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3-09-2025\"/>
    </mc:Choice>
  </mc:AlternateContent>
  <bookViews>
    <workbookView xWindow="0" yWindow="0" windowWidth="19200" windowHeight="693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2" i="1" l="1"/>
  <c r="C88" i="1"/>
  <c r="C74" i="1"/>
  <c r="C89" i="1" l="1"/>
  <c r="C75" i="1"/>
  <c r="C103" i="1"/>
  <c r="C105" i="1" s="1"/>
  <c r="C91" i="1" l="1"/>
  <c r="C90" i="1"/>
  <c r="C76" i="1"/>
  <c r="C77" i="1"/>
  <c r="C104" i="1"/>
  <c r="C96" i="1"/>
  <c r="J107" i="1"/>
  <c r="J106" i="1"/>
  <c r="J105" i="1"/>
  <c r="J104" i="1"/>
  <c r="D158" i="1" l="1"/>
  <c r="D157" i="1"/>
  <c r="I155" i="1"/>
  <c r="D144" i="1"/>
  <c r="D141" i="1"/>
  <c r="N209" i="1" l="1"/>
  <c r="D209" i="1"/>
  <c r="F209" i="1" s="1"/>
  <c r="N208" i="1"/>
  <c r="D208" i="1"/>
  <c r="F208" i="1" s="1"/>
  <c r="N207" i="1"/>
  <c r="D207" i="1"/>
  <c r="F207" i="1" s="1"/>
  <c r="N206" i="1"/>
  <c r="D206" i="1"/>
  <c r="F206" i="1" s="1"/>
  <c r="N205" i="1"/>
  <c r="N204" i="1"/>
  <c r="N203" i="1"/>
  <c r="D203" i="1"/>
  <c r="F203" i="1" s="1"/>
  <c r="N202" i="1"/>
  <c r="G202" i="1"/>
  <c r="D202" i="1"/>
  <c r="F202" i="1" s="1"/>
  <c r="N200" i="1"/>
  <c r="D200" i="1"/>
  <c r="F200" i="1" s="1"/>
  <c r="N199" i="1"/>
  <c r="D199" i="1"/>
  <c r="F199" i="1" s="1"/>
  <c r="N198" i="1"/>
  <c r="D198" i="1"/>
  <c r="F198" i="1" s="1"/>
  <c r="N197" i="1"/>
  <c r="D197" i="1"/>
  <c r="F197" i="1" s="1"/>
  <c r="N196" i="1"/>
  <c r="D196" i="1"/>
  <c r="F196" i="1" s="1"/>
  <c r="N195" i="1"/>
  <c r="D195" i="1"/>
  <c r="F195" i="1" s="1"/>
  <c r="N194" i="1"/>
  <c r="D194" i="1"/>
  <c r="F194" i="1" s="1"/>
  <c r="N193" i="1"/>
  <c r="G193" i="1"/>
  <c r="D193" i="1"/>
  <c r="F193" i="1" s="1"/>
  <c r="D188" i="1"/>
  <c r="F188" i="1" s="1"/>
  <c r="D187" i="1"/>
  <c r="F187" i="1" s="1"/>
  <c r="D186" i="1"/>
  <c r="F186" i="1" s="1"/>
  <c r="D185" i="1"/>
  <c r="F185" i="1" s="1"/>
  <c r="D182" i="1"/>
  <c r="F182" i="1" s="1"/>
  <c r="D181" i="1"/>
  <c r="F181" i="1" s="1"/>
  <c r="N188" i="1"/>
  <c r="N187" i="1"/>
  <c r="D179" i="1"/>
  <c r="F179" i="1" s="1"/>
  <c r="D178" i="1"/>
  <c r="F178" i="1" s="1"/>
  <c r="D175" i="1"/>
  <c r="F175" i="1" s="1"/>
  <c r="D174" i="1"/>
  <c r="F174" i="1" s="1"/>
  <c r="D177" i="1"/>
  <c r="F177" i="1" s="1"/>
  <c r="D176" i="1"/>
  <c r="F176" i="1" s="1"/>
  <c r="D173" i="1"/>
  <c r="F173" i="1" s="1"/>
  <c r="D172" i="1"/>
  <c r="F172" i="1" s="1"/>
  <c r="N179" i="1"/>
  <c r="N178" i="1"/>
  <c r="N186" i="1"/>
  <c r="N185" i="1"/>
  <c r="N184" i="1"/>
  <c r="N183" i="1"/>
  <c r="N182" i="1"/>
  <c r="N181" i="1"/>
  <c r="G181" i="1"/>
  <c r="N177" i="1"/>
  <c r="N176" i="1"/>
  <c r="N175" i="1"/>
  <c r="N174" i="1"/>
  <c r="N173" i="1"/>
  <c r="N172" i="1"/>
  <c r="G172" i="1"/>
  <c r="F239" i="1"/>
  <c r="F238" i="1"/>
  <c r="F237" i="1"/>
  <c r="A237" i="1"/>
  <c r="A238" i="1" s="1"/>
  <c r="A239" i="1" s="1"/>
  <c r="G236" i="1"/>
  <c r="G237" i="1" s="1"/>
  <c r="G238" i="1" s="1"/>
  <c r="G239" i="1" s="1"/>
  <c r="F236" i="1"/>
  <c r="D167" i="1"/>
  <c r="F167" i="1" s="1"/>
  <c r="D165" i="1"/>
  <c r="F165" i="1" s="1"/>
  <c r="D164" i="1"/>
  <c r="F164" i="1" s="1"/>
  <c r="D163" i="1"/>
  <c r="F163" i="1" s="1"/>
  <c r="O163" i="1" s="1"/>
  <c r="D162" i="1"/>
  <c r="F162" i="1" s="1"/>
  <c r="N163" i="1"/>
  <c r="N164" i="1"/>
  <c r="N165" i="1"/>
  <c r="N166" i="1"/>
  <c r="N167" i="1"/>
  <c r="N162" i="1"/>
  <c r="G162" i="1"/>
  <c r="F222" i="1"/>
  <c r="D155" i="1"/>
  <c r="D160" i="1"/>
  <c r="F160" i="1" s="1"/>
  <c r="D159" i="1"/>
  <c r="F159" i="1" s="1"/>
  <c r="F158" i="1"/>
  <c r="D156" i="1"/>
  <c r="F156" i="1" s="1"/>
  <c r="I156" i="1" s="1"/>
  <c r="K212" i="1"/>
  <c r="N156" i="1"/>
  <c r="N157" i="1"/>
  <c r="N158" i="1"/>
  <c r="N159" i="1"/>
  <c r="N160" i="1"/>
  <c r="N155" i="1"/>
  <c r="F157" i="1"/>
  <c r="G155" i="1"/>
  <c r="D147" i="1"/>
  <c r="F147" i="1" s="1"/>
  <c r="D146" i="1"/>
  <c r="F146" i="1" s="1"/>
  <c r="D145" i="1"/>
  <c r="F145" i="1" s="1"/>
  <c r="D143" i="1"/>
  <c r="D142" i="1"/>
  <c r="I162" i="1" l="1"/>
  <c r="O162" i="1"/>
  <c r="I157" i="1"/>
  <c r="O157" i="1"/>
  <c r="I164" i="1"/>
  <c r="O164" i="1"/>
  <c r="G132" i="1"/>
  <c r="G133" i="1"/>
  <c r="E133" i="1"/>
  <c r="C133" i="1"/>
  <c r="F155" i="1"/>
  <c r="C131" i="1"/>
  <c r="E131" i="1"/>
  <c r="C126" i="1"/>
  <c r="E126" i="1"/>
  <c r="E132" i="1"/>
  <c r="C132" i="1"/>
  <c r="C14" i="1"/>
  <c r="C134" i="1" l="1"/>
  <c r="E134" i="1"/>
  <c r="G131" i="1"/>
  <c r="G134" i="1" s="1"/>
  <c r="O156" i="1"/>
  <c r="E29" i="1"/>
  <c r="F123" i="1" l="1"/>
  <c r="F142" i="1" l="1"/>
  <c r="F143" i="1"/>
  <c r="F144" i="1"/>
  <c r="F141" i="1"/>
  <c r="G126" i="1" l="1"/>
  <c r="B242" i="1"/>
  <c r="A217" i="1"/>
  <c r="A230" i="1"/>
  <c r="A224" i="1"/>
  <c r="F234" i="1" l="1"/>
  <c r="F233" i="1"/>
  <c r="F232" i="1"/>
  <c r="F231" i="1"/>
  <c r="F230" i="1"/>
  <c r="F228" i="1"/>
  <c r="F227" i="1"/>
  <c r="F226" i="1"/>
  <c r="F225" i="1"/>
  <c r="F224" i="1"/>
  <c r="F221" i="1"/>
  <c r="F220" i="1"/>
  <c r="F219" i="1"/>
  <c r="F218" i="1"/>
  <c r="F217" i="1"/>
  <c r="F215" i="1"/>
  <c r="F214" i="1"/>
  <c r="F212" i="1"/>
  <c r="F211" i="1"/>
  <c r="F213" i="1"/>
  <c r="A231" i="1"/>
  <c r="A218" i="1"/>
  <c r="A225" i="1"/>
  <c r="B243" i="1" l="1"/>
  <c r="A226" i="1"/>
  <c r="A219" i="1"/>
  <c r="A232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63" i="1"/>
  <c r="G230" i="1"/>
  <c r="G231" i="1" s="1"/>
  <c r="G232" i="1" s="1"/>
  <c r="G233" i="1" s="1"/>
  <c r="G234" i="1" s="1"/>
  <c r="G224" i="1"/>
  <c r="G225" i="1" s="1"/>
  <c r="G226" i="1" s="1"/>
  <c r="G227" i="1" s="1"/>
  <c r="G228" i="1" s="1"/>
  <c r="G217" i="1"/>
  <c r="G218" i="1" s="1"/>
  <c r="G219" i="1" s="1"/>
  <c r="G220" i="1" s="1"/>
  <c r="G221" i="1" s="1"/>
  <c r="G222" i="1" s="1"/>
  <c r="G211" i="1"/>
  <c r="G212" i="1" s="1"/>
  <c r="G213" i="1" s="1"/>
  <c r="G214" i="1" s="1"/>
  <c r="G215" i="1" s="1"/>
  <c r="A211" i="1"/>
  <c r="A212" i="1" s="1"/>
  <c r="A213" i="1" s="1"/>
  <c r="A214" i="1" s="1"/>
  <c r="A215" i="1" s="1"/>
  <c r="A142" i="1"/>
  <c r="A143" i="1" s="1"/>
  <c r="A144" i="1" s="1"/>
  <c r="A145" i="1" s="1"/>
  <c r="A146" i="1" s="1"/>
  <c r="A147" i="1" s="1"/>
  <c r="G141" i="1"/>
  <c r="G142" i="1" s="1"/>
  <c r="G143" i="1" s="1"/>
  <c r="G144" i="1" s="1"/>
  <c r="G145" i="1" s="1"/>
  <c r="G146" i="1" s="1"/>
  <c r="G147" i="1" s="1"/>
  <c r="J93" i="1"/>
  <c r="J92" i="1"/>
  <c r="J91" i="1"/>
  <c r="J90" i="1"/>
  <c r="C82" i="1"/>
  <c r="J79" i="1"/>
  <c r="J78" i="1"/>
  <c r="J77" i="1"/>
  <c r="J76" i="1"/>
  <c r="C68" i="1"/>
  <c r="D55" i="1"/>
  <c r="G49" i="1"/>
  <c r="G50" i="1" s="1"/>
  <c r="C49" i="1"/>
  <c r="C50" i="1" s="1"/>
  <c r="E42" i="1"/>
  <c r="E26" i="1"/>
  <c r="E24" i="1"/>
  <c r="E7" i="1"/>
  <c r="E3" i="1"/>
  <c r="A227" i="1"/>
  <c r="H83" i="1"/>
  <c r="H69" i="1"/>
  <c r="A220" i="1"/>
  <c r="A233" i="1"/>
  <c r="D62" i="1" l="1"/>
  <c r="D81" i="1"/>
  <c r="D79" i="1"/>
  <c r="D78" i="1"/>
  <c r="D77" i="1"/>
  <c r="D75" i="1"/>
  <c r="J68" i="1"/>
  <c r="D80" i="1"/>
  <c r="D76" i="1"/>
  <c r="J72" i="1"/>
  <c r="J73" i="1"/>
  <c r="C72" i="1" s="1"/>
  <c r="J71" i="1"/>
  <c r="J74" i="1"/>
  <c r="J75" i="1" s="1"/>
  <c r="J80" i="1" s="1"/>
  <c r="J81" i="1" s="1"/>
  <c r="C73" i="1" s="1"/>
  <c r="J82" i="1"/>
  <c r="J86" i="1"/>
  <c r="D95" i="1"/>
  <c r="D93" i="1"/>
  <c r="D91" i="1"/>
  <c r="D89" i="1"/>
  <c r="J87" i="1"/>
  <c r="C86" i="1" s="1"/>
  <c r="J85" i="1"/>
  <c r="J88" i="1"/>
  <c r="D94" i="1"/>
  <c r="D92" i="1"/>
  <c r="D90" i="1"/>
  <c r="A234" i="1"/>
  <c r="A221" i="1"/>
  <c r="A228" i="1"/>
  <c r="J89" i="1" l="1"/>
  <c r="D88" i="1"/>
  <c r="J84" i="1"/>
  <c r="D86" i="1"/>
  <c r="D74" i="1"/>
  <c r="J70" i="1"/>
  <c r="E72" i="1"/>
  <c r="D73" i="1"/>
  <c r="G72" i="1"/>
  <c r="D66" i="1" s="1"/>
  <c r="D72" i="1"/>
  <c r="J69" i="1" s="1"/>
  <c r="A222" i="1"/>
  <c r="J94" i="1" l="1"/>
  <c r="J95" i="1" s="1"/>
  <c r="C87" i="1" s="1"/>
  <c r="G86" i="1" s="1"/>
  <c r="I69" i="1"/>
  <c r="F67" i="1"/>
  <c r="D67" i="1"/>
  <c r="H97" i="1"/>
  <c r="J101" i="1" l="1"/>
  <c r="C100" i="1" s="1"/>
  <c r="D100" i="1" s="1"/>
  <c r="J99" i="1"/>
  <c r="D109" i="1"/>
  <c r="D105" i="1"/>
  <c r="D108" i="1"/>
  <c r="D104" i="1"/>
  <c r="J100" i="1"/>
  <c r="D102" i="1"/>
  <c r="D107" i="1"/>
  <c r="D103" i="1"/>
  <c r="D106" i="1"/>
  <c r="J102" i="1"/>
  <c r="J103" i="1" s="1"/>
  <c r="J108" i="1" s="1"/>
  <c r="J109" i="1" s="1"/>
  <c r="C101" i="1" s="1"/>
  <c r="J96" i="1"/>
  <c r="J98" i="1" s="1"/>
  <c r="J83" i="1"/>
  <c r="D87" i="1"/>
  <c r="I83" i="1" s="1"/>
  <c r="I84" i="1" s="1"/>
  <c r="E86" i="1"/>
  <c r="I70" i="1"/>
  <c r="I68" i="1" s="1"/>
  <c r="C70" i="1" s="1"/>
  <c r="E100" i="1" l="1"/>
  <c r="D101" i="1"/>
  <c r="I97" i="1" s="1"/>
  <c r="I98" i="1" s="1"/>
  <c r="G100" i="1"/>
  <c r="J97" i="1"/>
  <c r="I82" i="1"/>
  <c r="C84" i="1" s="1"/>
  <c r="I96" i="1" l="1"/>
  <c r="C98" i="1" s="1"/>
</calcChain>
</file>

<file path=xl/sharedStrings.xml><?xml version="1.0" encoding="utf-8"?>
<sst xmlns="http://schemas.openxmlformats.org/spreadsheetml/2006/main" count="383" uniqueCount="242">
  <si>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</si>
  <si>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</si>
  <si>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</si>
  <si>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</si>
  <si>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</si>
  <si>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</si>
  <si>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</si>
  <si>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</si>
  <si>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</si>
  <si>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</si>
  <si>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</si>
  <si>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</si>
  <si>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</si>
  <si>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</si>
  <si>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</si>
  <si>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</si>
  <si>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</si>
  <si>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</si>
  <si>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</si>
  <si>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</si>
  <si>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</si>
  <si>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</si>
  <si>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</si>
  <si>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</si>
  <si>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</si>
  <si>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</si>
  <si>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</si>
  <si>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</si>
  <si>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</si>
  <si>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</si>
  <si>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</si>
  <si>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</si>
  <si>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</si>
  <si>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</si>
  <si>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</si>
  <si>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</si>
  <si>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</si>
  <si>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</si>
  <si>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</si>
  <si>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</si>
  <si>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</si>
  <si>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</si>
  <si>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</si>
  <si>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</si>
  <si>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</si>
  <si>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</si>
  <si>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</si>
  <si>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</si>
  <si>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</si>
  <si>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</si>
  <si>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</si>
  <si>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</si>
  <si>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</si>
  <si>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</si>
  <si>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</si>
  <si>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</si>
  <si>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</si>
  <si>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</si>
  <si>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</si>
  <si>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</si>
  <si>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</si>
  <si>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</si>
  <si>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</si>
  <si>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</si>
  <si>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</si>
  <si>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</si>
  <si>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</si>
  <si>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</si>
  <si>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</si>
  <si>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</si>
  <si>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</si>
  <si>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</si>
  <si>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</si>
  <si>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</si>
  <si>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</si>
  <si>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</si>
  <si>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</si>
  <si>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</si>
  <si>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</si>
  <si>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</si>
  <si>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</si>
  <si>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</si>
  <si>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</si>
  <si>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</si>
  <si>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</si>
  <si>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</si>
  <si>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</si>
  <si>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</si>
  <si>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</si>
  <si>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</si>
  <si>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</si>
  <si>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</si>
  <si>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</si>
  <si>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</si>
  <si>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</si>
  <si>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</si>
  <si>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</si>
  <si>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</si>
  <si>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</si>
  <si>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</si>
  <si>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</si>
  <si>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</si>
  <si>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</si>
  <si>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</si>
  <si>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</si>
  <si>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</si>
  <si>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</si>
  <si>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</si>
  <si>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</si>
  <si>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</si>
  <si>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</si>
  <si>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</si>
  <si>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</si>
  <si>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</si>
  <si>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</si>
  <si>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</si>
  <si>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</si>
  <si>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</si>
  <si>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</si>
  <si>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</si>
  <si>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</si>
  <si>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</si>
  <si>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</si>
  <si>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</si>
  <si>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</si>
  <si>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</si>
  <si>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</si>
  <si>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</si>
  <si>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</si>
  <si>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</si>
  <si>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</si>
  <si>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</si>
  <si>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</si>
  <si>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</si>
  <si>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</si>
  <si>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</si>
  <si>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</si>
  <si>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</si>
  <si>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</si>
  <si>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</si>
  <si>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</si>
  <si>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</si>
  <si>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</si>
  <si>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</si>
  <si>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</si>
  <si>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</si>
  <si>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</si>
  <si>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</si>
  <si>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</si>
  <si>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</si>
  <si>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</si>
  <si>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</si>
  <si>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</si>
  <si>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</si>
  <si>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</si>
  <si>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</si>
  <si>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</si>
  <si>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</si>
  <si>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</si>
  <si>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</si>
  <si>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</si>
  <si>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</si>
  <si>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</si>
  <si>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</si>
  <si>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</si>
  <si>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</si>
  <si>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</si>
  <si>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</si>
  <si>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</si>
  <si>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</si>
  <si>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</si>
  <si>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</si>
  <si>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</si>
  <si>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</si>
  <si>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</si>
  <si>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</si>
  <si>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</si>
  <si>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Survey No</t>
  </si>
  <si>
    <t>Adharwadi</t>
  </si>
  <si>
    <t>Open Plot</t>
  </si>
  <si>
    <t>https://goo.gl/maps/7NWEcRsDqyN6EewH6</t>
  </si>
  <si>
    <t>KDMC/TPD/BP/KD/2013-14/10/466</t>
  </si>
  <si>
    <t>Thane</t>
  </si>
  <si>
    <t>Kalyan</t>
  </si>
  <si>
    <t>Kalyan (West)</t>
  </si>
  <si>
    <t>As per RERA - 31/12/2028</t>
  </si>
  <si>
    <t>Wadeghar</t>
  </si>
  <si>
    <t>Internal Road</t>
  </si>
  <si>
    <t>4.5KM from Kalyan Railway Station</t>
  </si>
  <si>
    <t>Shop</t>
  </si>
  <si>
    <t>1st to 5th, 7th to 10th, 12th to 15th, 17th to 20th, 22nd to 25th, 27th to 30th Floor For Residential</t>
  </si>
  <si>
    <t>Refuge Area</t>
  </si>
  <si>
    <t>6th, 11th, 16th, 21st, 26th Floor For Residential (Part Refuge Area)</t>
  </si>
  <si>
    <t>Building F1 (A)</t>
  </si>
  <si>
    <t>Building F2 (B)</t>
  </si>
  <si>
    <t>Building F3 (C)</t>
  </si>
  <si>
    <t>F1 (Building A)</t>
  </si>
  <si>
    <t>F2 (Building B)</t>
  </si>
  <si>
    <t>F3 (Building C)</t>
  </si>
  <si>
    <t>F1 (Building A) = G + Podium + 1st to 30th Floor
F2 (Building B) = G + Podium + 1st to 30th Floor
F3 (Building C) = G + Podium + 1st to 30th Floor</t>
  </si>
  <si>
    <t>F1 (Building A) = G + Podium + 1st to 30th Floor</t>
  </si>
  <si>
    <t>Flats - 635, Shops - 7</t>
  </si>
  <si>
    <t>We considered Gross carpet area = Net carpet + A.P Area</t>
  </si>
  <si>
    <t>M/s. Raunak Corporation</t>
  </si>
  <si>
    <t>Building F1 - P51700033762
Building F2 - P51700033757
Building F3 - P51700033972</t>
  </si>
  <si>
    <t>Axis Badlapur</t>
  </si>
  <si>
    <t>Sunil Karandivkar - 9769963390</t>
  </si>
  <si>
    <t>Approved Plans, CC, Sale Plans.</t>
  </si>
  <si>
    <t>50, H.No-3/2,3/3, S.No.51 H.No-1,7,5 (Part),6, S.No.53, H.No-1,4, S.No.64 H.No-6,4,1/2/1,5,7,1/1, S.No.65 H.No-5,1,7/1,4,9,2,3 S.No.66 H.No-2,1,3/1(Part)</t>
  </si>
  <si>
    <t>MSEB Office, Kalyan (W)</t>
  </si>
  <si>
    <t>MSEB Office</t>
  </si>
  <si>
    <t>3 Building</t>
  </si>
  <si>
    <t>Kalyan-Dombivli Municipal Corporation (KDMC)</t>
  </si>
  <si>
    <t>F1 (Building A) = G/St + Podium + 1st to 30th Floor
F2 (Building B) = G/St + Podium + 1st to 30th Floor
F3 (Building C) = G/St + Podium + 1st to 30th Floor</t>
  </si>
  <si>
    <t>Ground Floor for Commercial &amp; Parking</t>
  </si>
  <si>
    <t>1st Podium Floor for Parking</t>
  </si>
  <si>
    <t>Ground Floor For Parking</t>
  </si>
  <si>
    <t>CS</t>
  </si>
  <si>
    <t>rate sheet</t>
  </si>
  <si>
    <t>cost sheet</t>
  </si>
  <si>
    <t>99A</t>
  </si>
  <si>
    <t>Market</t>
  </si>
  <si>
    <t>Raunak City Sector VI</t>
  </si>
  <si>
    <t xml:space="preserve"> As per approved floor plan, 
Sector IV - Phase II Building A
Sector IV - Phase II Building B
Sector IV - Phase II Building C
</t>
  </si>
  <si>
    <t>As per architecture letter, 
Sector VI - Building No. F1
Sector VI - Building No. F2
Sector VI - Building No. F3</t>
  </si>
  <si>
    <t>Sector IV</t>
  </si>
  <si>
    <t>5400 to 6000</t>
  </si>
  <si>
    <t xml:space="preserve">Cost sheet </t>
  </si>
  <si>
    <t xml:space="preserve">Abhishek </t>
  </si>
  <si>
    <t>340000 Other Charges</t>
  </si>
  <si>
    <t>Other Charges</t>
  </si>
  <si>
    <t>Other charges n Parking seems to be high</t>
  </si>
  <si>
    <t xml:space="preserve">Office No. 1031, Wing J, Akshar Business Park, Plot No. 03 Sector 25, Near APMC Market, 
Vashi, Navi Mumbai, Maharashtra 400703 TEL: 022-46090378/79/8
E mail : vsjcapf@gmail.com. Web site : www.vsjadon.com </t>
  </si>
  <si>
    <t>Site Meet Person Contact Details ( Name &amp; Contact No.)</t>
  </si>
  <si>
    <t>Vitrified tiles flooring, Kitchen Platform, Decorative Entrance etc.</t>
  </si>
  <si>
    <t>F2 (Building B) = G + Podium + 1st to 30th Floor</t>
  </si>
  <si>
    <t>F3 (Building C) = G + Podium + 1st to 30th Floor</t>
  </si>
  <si>
    <t>Sector VI (Building F1, F2 &amp; F3)</t>
  </si>
  <si>
    <t>8483900773 / 9082859511 / 8657027635</t>
  </si>
  <si>
    <t>Mangesh Laxman Bapardekar</t>
  </si>
  <si>
    <t>Construction work is in process at the time of Visit. (Internal Photo was not allowed)</t>
  </si>
  <si>
    <t xml:space="preserve">Pooja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</si>
</sst>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[&gt;0]0&quot;BHK&quot;;&quot;1RK&quot;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55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6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17" fillId="0" borderId="11" xfId="0" applyFont="1" applyFill="1" applyBorder="1" applyProtection="1">
      <protection hidden="1"/>
    </xf>
    <xf numFmtId="0" fontId="12" fillId="0" borderId="4" xfId="1" applyFont="1" applyFill="1" applyBorder="1" applyAlignment="1" applyProtection="1">
      <alignment horizontal="center" vertical="top"/>
      <protection locked="0"/>
    </xf>
    <xf numFmtId="0" fontId="12" fillId="0" borderId="5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10" xfId="1" applyFont="1" applyFill="1" applyBorder="1"/>
    <xf numFmtId="0" fontId="17" fillId="0" borderId="10" xfId="0" applyNumberFormat="1" applyFont="1" applyFill="1" applyBorder="1" applyProtection="1">
      <protection hidden="1"/>
    </xf>
    <xf numFmtId="1" fontId="0" fillId="0" borderId="10" xfId="0" applyNumberFormat="1" applyFill="1" applyBorder="1"/>
    <xf numFmtId="1" fontId="0" fillId="0" borderId="10" xfId="0" applyNumberFormat="1" applyFill="1" applyBorder="1" applyAlignment="1">
      <alignment horizontal="right"/>
    </xf>
    <xf numFmtId="1" fontId="0" fillId="0" borderId="12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7" fillId="0" borderId="0" xfId="1" applyFont="1" applyFill="1" applyAlignment="1">
      <alignment horizontal="center" vertical="center"/>
    </xf>
    <xf numFmtId="0" fontId="24" fillId="2" borderId="30" xfId="0" applyFont="1" applyFill="1" applyBorder="1"/>
    <xf numFmtId="0" fontId="25" fillId="0" borderId="31" xfId="0" applyFont="1" applyFill="1" applyBorder="1"/>
    <xf numFmtId="0" fontId="25" fillId="0" borderId="1" xfId="0" applyFont="1" applyFill="1" applyBorder="1"/>
    <xf numFmtId="0" fontId="25" fillId="0" borderId="5" xfId="0" applyFont="1" applyFill="1" applyBorder="1"/>
    <xf numFmtId="0" fontId="8" fillId="0" borderId="1" xfId="1" applyFont="1" applyFill="1" applyBorder="1" applyAlignment="1" applyProtection="1">
      <alignment vertical="top"/>
      <protection locked="0"/>
    </xf>
    <xf numFmtId="167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9" fontId="12" fillId="0" borderId="7" xfId="8" applyFont="1" applyFill="1" applyBorder="1" applyAlignment="1" applyProtection="1">
      <alignment horizontal="center" vertical="top" wrapText="1"/>
      <protection locked="0"/>
    </xf>
    <xf numFmtId="167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0" fontId="16" fillId="2" borderId="0" xfId="1" applyFont="1" applyFill="1"/>
    <xf numFmtId="1" fontId="7" fillId="0" borderId="1" xfId="1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1" fontId="12" fillId="0" borderId="1" xfId="1" applyNumberFormat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24" fillId="2" borderId="15" xfId="0" applyFont="1" applyFill="1" applyBorder="1"/>
    <xf numFmtId="0" fontId="25" fillId="0" borderId="9" xfId="0" applyFont="1" applyFill="1" applyBorder="1"/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8" fillId="0" borderId="16" xfId="1" applyFont="1" applyFill="1" applyBorder="1" applyAlignment="1" applyProtection="1">
      <alignment horizontal="left" vertical="top"/>
      <protection locked="0"/>
    </xf>
    <xf numFmtId="1" fontId="8" fillId="0" borderId="3" xfId="1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9" applyNumberFormat="1" applyFont="1" applyFill="1" applyBorder="1" applyAlignment="1" applyProtection="1">
      <alignment horizontal="right"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8" xfId="0" applyNumberFormat="1" applyFont="1" applyFill="1" applyBorder="1" applyAlignment="1" applyProtection="1">
      <alignment vertical="top" wrapText="1"/>
      <protection locked="0"/>
    </xf>
    <xf numFmtId="1" fontId="8" fillId="0" borderId="21" xfId="0" applyNumberFormat="1" applyFont="1" applyFill="1" applyBorder="1" applyAlignment="1" applyProtection="1">
      <alignment vertical="top" wrapText="1"/>
      <protection locked="0"/>
    </xf>
    <xf numFmtId="1" fontId="8" fillId="0" borderId="9" xfId="0" applyNumberFormat="1" applyFont="1" applyFill="1" applyBorder="1" applyAlignment="1" applyProtection="1">
      <alignment vertical="top" wrapText="1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0" fontId="6" fillId="0" borderId="9" xfId="1" applyFont="1" applyFill="1" applyBorder="1" applyAlignment="1" applyProtection="1">
      <alignment horizontal="left" vertical="top" wrapText="1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0" fontId="13" fillId="0" borderId="21" xfId="1" applyFont="1" applyFill="1" applyBorder="1" applyAlignment="1" applyProtection="1">
      <alignment horizontal="left" vertical="top"/>
      <protection locked="0"/>
    </xf>
    <xf numFmtId="0" fontId="13" fillId="0" borderId="9" xfId="1" applyFont="1" applyFill="1" applyBorder="1" applyAlignment="1" applyProtection="1">
      <alignment horizontal="left" vertical="top"/>
      <protection locked="0"/>
    </xf>
    <xf numFmtId="0" fontId="7" fillId="0" borderId="4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1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" fontId="8" fillId="0" borderId="20" xfId="1" applyNumberFormat="1" applyFont="1" applyFill="1" applyBorder="1" applyAlignment="1" applyProtection="1">
      <alignment horizontal="center" vertical="top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center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65" fontId="6" fillId="0" borderId="1" xfId="1" applyNumberFormat="1" applyFont="1" applyFill="1" applyBorder="1" applyAlignment="1" applyProtection="1">
      <alignment horizontal="left" vertical="top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2" fillId="0" borderId="9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6" fillId="0" borderId="21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12" fillId="0" borderId="3" xfId="1" applyFont="1" applyFill="1" applyBorder="1" applyAlignment="1" applyProtection="1">
      <alignment horizontal="left" vertical="top" wrapText="1"/>
      <protection locked="0"/>
    </xf>
    <xf numFmtId="0" fontId="12" fillId="0" borderId="3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0" fontId="12" fillId="0" borderId="24" xfId="1" applyFont="1" applyFill="1" applyBorder="1" applyAlignment="1" applyProtection="1">
      <alignment horizontal="left" vertical="top" wrapText="1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14" fontId="6" fillId="0" borderId="8" xfId="1" applyNumberFormat="1" applyFont="1" applyFill="1" applyBorder="1" applyAlignment="1" applyProtection="1">
      <alignment horizontal="left" vertical="top" wrapText="1"/>
      <protection locked="0"/>
    </xf>
    <xf numFmtId="14" fontId="6" fillId="0" borderId="9" xfId="1" applyNumberFormat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0" fontId="6" fillId="0" borderId="19" xfId="1" applyFont="1" applyFill="1" applyBorder="1" applyAlignment="1" applyProtection="1">
      <alignment horizontal="left" vertical="top" wrapText="1"/>
      <protection locked="0"/>
    </xf>
    <xf numFmtId="0" fontId="6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4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3" fillId="0" borderId="4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9" fontId="12" fillId="0" borderId="17" xfId="8" applyFont="1" applyFill="1" applyBorder="1" applyAlignment="1" applyProtection="1">
      <alignment horizontal="center" vertical="center" wrapText="1"/>
      <protection locked="0"/>
    </xf>
    <xf numFmtId="9" fontId="12" fillId="0" borderId="18" xfId="8" applyFont="1" applyFill="1" applyBorder="1" applyAlignment="1" applyProtection="1">
      <alignment horizontal="center" vertical="center" wrapText="1"/>
      <protection locked="0"/>
    </xf>
    <xf numFmtId="9" fontId="12" fillId="0" borderId="25" xfId="8" applyFont="1" applyFill="1" applyBorder="1" applyAlignment="1" applyProtection="1">
      <alignment horizontal="center" vertical="center" wrapText="1"/>
      <protection locked="0"/>
    </xf>
    <xf numFmtId="9" fontId="12" fillId="0" borderId="26" xfId="8" applyFont="1" applyFill="1" applyBorder="1" applyAlignment="1" applyProtection="1">
      <alignment horizontal="center" vertical="center" wrapText="1"/>
      <protection locked="0"/>
    </xf>
    <xf numFmtId="9" fontId="12" fillId="0" borderId="28" xfId="8" applyFont="1" applyFill="1" applyBorder="1" applyAlignment="1" applyProtection="1">
      <alignment horizontal="center" vertical="center" wrapText="1"/>
      <protection locked="0"/>
    </xf>
    <xf numFmtId="9" fontId="12" fillId="0" borderId="29" xfId="8" applyFont="1" applyFill="1" applyBorder="1" applyAlignment="1" applyProtection="1">
      <alignment horizontal="center" vertical="center" wrapText="1"/>
      <protection locked="0"/>
    </xf>
    <xf numFmtId="9" fontId="12" fillId="0" borderId="27" xfId="8" applyFont="1" applyFill="1" applyBorder="1" applyAlignment="1" applyProtection="1">
      <alignment horizontal="center" vertical="center" wrapText="1"/>
      <protection locked="0"/>
    </xf>
    <xf numFmtId="9" fontId="12" fillId="0" borderId="10" xfId="8" applyFont="1" applyFill="1" applyBorder="1" applyAlignment="1" applyProtection="1">
      <alignment horizontal="center" vertical="center" wrapText="1"/>
      <protection locked="0"/>
    </xf>
    <xf numFmtId="9" fontId="12" fillId="0" borderId="12" xfId="8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0" fontId="12" fillId="0" borderId="7" xfId="1" applyFont="1" applyFill="1" applyBorder="1" applyAlignment="1" applyProtection="1">
      <alignment horizontal="center" vertical="top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13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21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13" fillId="0" borderId="1" xfId="0" applyNumberFormat="1" applyFont="1" applyFill="1" applyBorder="1" applyAlignment="1" applyProtection="1">
      <alignment horizontal="left" vertical="top" wrapText="1"/>
      <protection locked="0"/>
    </xf>
    <xf numFmtId="1" fontId="13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1" xfId="1" applyNumberFormat="1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0" fontId="8" fillId="0" borderId="16" xfId="1" applyFont="1" applyFill="1" applyBorder="1" applyAlignment="1" applyProtection="1">
      <alignment horizontal="center" vertical="top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center" vertical="top" wrapText="1"/>
      <protection locked="0"/>
    </xf>
    <xf numFmtId="14" fontId="8" fillId="0" borderId="8" xfId="1" applyNumberFormat="1" applyFont="1" applyFill="1" applyBorder="1" applyAlignment="1" applyProtection="1">
      <alignment horizontal="left" vertical="top"/>
      <protection locked="0"/>
    </xf>
    <xf numFmtId="0" fontId="8" fillId="0" borderId="9" xfId="1" applyFont="1" applyFill="1" applyBorder="1" applyAlignment="1" applyProtection="1">
      <alignment horizontal="left" vertical="top"/>
      <protection locked="0"/>
    </xf>
    <xf numFmtId="0" fontId="8" fillId="0" borderId="17" xfId="1" applyFont="1" applyFill="1" applyBorder="1" applyAlignment="1" applyProtection="1">
      <alignment horizontal="left" vertical="top" wrapText="1"/>
      <protection locked="0"/>
    </xf>
    <xf numFmtId="0" fontId="8" fillId="0" borderId="18" xfId="1" applyFont="1" applyFill="1" applyBorder="1" applyAlignment="1" applyProtection="1">
      <alignment horizontal="left" vertical="top" wrapText="1"/>
      <protection locked="0"/>
    </xf>
    <xf numFmtId="0" fontId="8" fillId="0" borderId="19" xfId="1" applyFont="1" applyFill="1" applyBorder="1" applyAlignment="1" applyProtection="1">
      <alignment horizontal="left" vertical="top" wrapText="1"/>
      <protection locked="0"/>
    </xf>
    <xf numFmtId="0" fontId="8" fillId="0" borderId="20" xfId="1" applyFont="1" applyFill="1" applyBorder="1" applyAlignment="1" applyProtection="1">
      <alignment horizontal="left" vertical="top" wrapText="1"/>
      <protection locked="0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8" fillId="0" borderId="21" xfId="1" applyFont="1" applyFill="1" applyBorder="1" applyAlignment="1" applyProtection="1">
      <alignment horizontal="left" vertical="top" wrapText="1"/>
      <protection locked="0"/>
    </xf>
    <xf numFmtId="0" fontId="8" fillId="0" borderId="9" xfId="1" applyFont="1" applyFill="1" applyBorder="1" applyAlignment="1" applyProtection="1">
      <alignment horizontal="left" vertical="top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22" xfId="1" applyFont="1" applyFill="1" applyBorder="1" applyAlignment="1" applyProtection="1">
      <alignment horizontal="left" vertical="top" wrapText="1"/>
      <protection locked="0"/>
    </xf>
    <xf numFmtId="0" fontId="8" fillId="0" borderId="15" xfId="1" applyFont="1" applyFill="1" applyBorder="1" applyAlignment="1" applyProtection="1">
      <alignment horizontal="left" vertical="top" wrapText="1"/>
      <protection locked="0"/>
    </xf>
    <xf numFmtId="0" fontId="8" fillId="0" borderId="13" xfId="1" applyFont="1" applyFill="1" applyBorder="1" applyAlignment="1" applyProtection="1">
      <alignment horizontal="left" vertical="top" wrapText="1"/>
      <protection locked="0"/>
    </xf>
    <xf numFmtId="0" fontId="8" fillId="0" borderId="14" xfId="1" applyFont="1" applyFill="1" applyBorder="1" applyAlignment="1" applyProtection="1">
      <alignment horizontal="left" vertical="top" wrapText="1"/>
      <protection locked="0"/>
    </xf>
    <xf numFmtId="0" fontId="8" fillId="0" borderId="23" xfId="1" applyFont="1" applyFill="1" applyBorder="1" applyAlignment="1" applyProtection="1">
      <alignment horizontal="left" vertical="top" wrapText="1"/>
      <protection locked="0"/>
    </xf>
    <xf numFmtId="1" fontId="4" fillId="0" borderId="3" xfId="1" applyNumberFormat="1" applyFont="1" applyFill="1" applyBorder="1" applyAlignment="1" applyProtection="1">
      <alignment horizontal="center" vertical="top" wrapText="1"/>
      <protection locked="0"/>
    </xf>
    <xf numFmtId="1" fontId="4" fillId="0" borderId="16" xfId="1" applyNumberFormat="1" applyFont="1" applyFill="1" applyBorder="1" applyAlignment="1" applyProtection="1">
      <alignment horizontal="center" vertical="top" wrapText="1"/>
      <protection locked="0"/>
    </xf>
    <xf numFmtId="0" fontId="13" fillId="0" borderId="5" xfId="1" applyFont="1" applyFill="1" applyBorder="1" applyAlignment="1" applyProtection="1">
      <alignment horizontal="left" vertical="top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3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167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67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67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67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67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67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0" fontId="13" fillId="0" borderId="1" xfId="9" applyNumberFormat="1" applyFont="1" applyFill="1" applyBorder="1" applyAlignment="1" applyProtection="1">
      <alignment horizontal="right" vertical="top"/>
      <protection locked="0"/>
    </xf>
    <xf numFmtId="0" fontId="7" fillId="0" borderId="6" xfId="1" applyFont="1" applyFill="1" applyBorder="1" applyAlignment="1" applyProtection="1">
      <alignment horizontal="center" vertical="top" wrapText="1"/>
      <protection locked="0"/>
    </xf>
    <xf numFmtId="0" fontId="7" fillId="0" borderId="7" xfId="1" applyFont="1" applyFill="1" applyBorder="1" applyAlignment="1" applyProtection="1">
      <alignment horizontal="center" vertical="top" wrapText="1"/>
      <protection locked="0"/>
    </xf>
    <xf numFmtId="1" fontId="12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6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Fill="1" applyBorder="1" applyAlignment="1" applyProtection="1">
      <alignment horizontal="center" vertical="center" wrapText="1"/>
      <protection locked="0"/>
    </xf>
    <xf numFmtId="167" fontId="12" fillId="0" borderId="17" xfId="1" applyNumberFormat="1" applyFont="1" applyFill="1" applyBorder="1" applyAlignment="1" applyProtection="1">
      <alignment horizontal="center" vertical="center" wrapText="1"/>
      <protection locked="0"/>
    </xf>
    <xf numFmtId="167" fontId="12" fillId="0" borderId="24" xfId="1" applyNumberFormat="1" applyFont="1" applyFill="1" applyBorder="1" applyAlignment="1" applyProtection="1">
      <alignment horizontal="center" vertical="center" wrapText="1"/>
      <protection locked="0"/>
    </xf>
    <xf numFmtId="167" fontId="12" fillId="0" borderId="18" xfId="1" applyNumberFormat="1" applyFont="1" applyFill="1" applyBorder="1" applyAlignment="1" applyProtection="1">
      <alignment horizontal="center" vertical="center" wrapText="1"/>
      <protection locked="0"/>
    </xf>
    <xf numFmtId="167" fontId="12" fillId="0" borderId="19" xfId="1" applyNumberFormat="1" applyFont="1" applyFill="1" applyBorder="1" applyAlignment="1" applyProtection="1">
      <alignment horizontal="center" vertical="center" wrapText="1"/>
      <protection locked="0"/>
    </xf>
    <xf numFmtId="167" fontId="12" fillId="0" borderId="2" xfId="1" applyNumberFormat="1" applyFont="1" applyFill="1" applyBorder="1" applyAlignment="1" applyProtection="1">
      <alignment horizontal="center" vertical="center" wrapText="1"/>
      <protection locked="0"/>
    </xf>
    <xf numFmtId="167" fontId="12" fillId="0" borderId="20" xfId="1" applyNumberFormat="1" applyFont="1" applyFill="1" applyBorder="1" applyAlignment="1" applyProtection="1">
      <alignment horizontal="center" vertical="center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emf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48485</xdr:colOff>
      <xdr:row>310</xdr:row>
      <xdr:rowOff>47625</xdr:rowOff>
    </xdr:from>
    <xdr:to>
      <xdr:col>7</xdr:col>
      <xdr:colOff>2592</xdr:colOff>
      <xdr:row>326</xdr:row>
      <xdr:rowOff>186709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7635" y="59864625"/>
          <a:ext cx="5200650" cy="333948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47625</xdr:colOff>
      <xdr:row>328</xdr:row>
      <xdr:rowOff>66675</xdr:rowOff>
    </xdr:from>
    <xdr:to>
      <xdr:col>7</xdr:col>
      <xdr:colOff>2592</xdr:colOff>
      <xdr:row>346</xdr:row>
      <xdr:rowOff>33825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6775" y="63484125"/>
          <a:ext cx="5201510" cy="35676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733425</xdr:colOff>
      <xdr:row>354</xdr:row>
      <xdr:rowOff>19050</xdr:rowOff>
    </xdr:from>
    <xdr:to>
      <xdr:col>7</xdr:col>
      <xdr:colOff>111830</xdr:colOff>
      <xdr:row>392</xdr:row>
      <xdr:rowOff>190499</xdr:rowOff>
    </xdr:to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33425" y="62798325"/>
          <a:ext cx="5493455" cy="77724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511</xdr:col>
      <xdr:colOff>321252</xdr:colOff>
      <xdr:row>308</xdr:row>
      <xdr:rowOff>9525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178075"/>
          <a:ext cx="3119247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1082383</xdr:colOff>
      <xdr:row>273</xdr:row>
      <xdr:rowOff>173592</xdr:rowOff>
    </xdr:from>
    <xdr:ext cx="432362" cy="405432"/>
    <xdr:sp macro="" textlink="">
      <xdr:nvSpPr>
        <xdr:cNvPr id="19" name="TextBox 18"/>
        <xdr:cNvSpPr txBox="1"/>
      </xdr:nvSpPr>
      <xdr:spPr>
        <a:xfrm>
          <a:off x="7602678" y="52188751"/>
          <a:ext cx="432362" cy="40543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/>
            <a:t>F</a:t>
          </a:r>
          <a:r>
            <a:rPr lang="en-IN" sz="2000" b="1" baseline="0"/>
            <a:t>3</a:t>
          </a:r>
          <a:endParaRPr lang="en-IN" sz="2000" b="1"/>
        </a:p>
      </xdr:txBody>
    </xdr:sp>
    <xdr:clientData/>
  </xdr:oneCellAnchor>
  <xdr:oneCellAnchor>
    <xdr:from>
      <xdr:col>14</xdr:col>
      <xdr:colOff>251306</xdr:colOff>
      <xdr:row>264</xdr:row>
      <xdr:rowOff>43295</xdr:rowOff>
    </xdr:from>
    <xdr:ext cx="432362" cy="405432"/>
    <xdr:sp macro="" textlink="">
      <xdr:nvSpPr>
        <xdr:cNvPr id="37" name="TextBox 36"/>
        <xdr:cNvSpPr txBox="1"/>
      </xdr:nvSpPr>
      <xdr:spPr>
        <a:xfrm>
          <a:off x="9126874" y="50274681"/>
          <a:ext cx="432362" cy="405432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/>
            <a:t>F</a:t>
          </a:r>
          <a:r>
            <a:rPr lang="en-IN" sz="2000" b="1" baseline="0"/>
            <a:t>2</a:t>
          </a:r>
          <a:endParaRPr lang="en-IN" sz="2000" b="1"/>
        </a:p>
      </xdr:txBody>
    </xdr:sp>
    <xdr:clientData/>
  </xdr:oneCellAnchor>
  <xdr:oneCellAnchor>
    <xdr:from>
      <xdr:col>14</xdr:col>
      <xdr:colOff>337703</xdr:colOff>
      <xdr:row>271</xdr:row>
      <xdr:rowOff>121892</xdr:rowOff>
    </xdr:from>
    <xdr:ext cx="432362" cy="405432"/>
    <xdr:sp macro="" textlink="">
      <xdr:nvSpPr>
        <xdr:cNvPr id="38" name="TextBox 37"/>
        <xdr:cNvSpPr txBox="1"/>
      </xdr:nvSpPr>
      <xdr:spPr>
        <a:xfrm>
          <a:off x="8780317" y="51738733"/>
          <a:ext cx="432362" cy="405432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/>
            <a:t>F</a:t>
          </a:r>
          <a:r>
            <a:rPr lang="en-IN" sz="2000" b="1" baseline="0"/>
            <a:t>3</a:t>
          </a:r>
          <a:endParaRPr lang="en-IN" sz="2000" b="1"/>
        </a:p>
      </xdr:txBody>
    </xdr:sp>
    <xdr:clientData/>
  </xdr:oneCellAnchor>
  <xdr:oneCellAnchor>
    <xdr:from>
      <xdr:col>14</xdr:col>
      <xdr:colOff>522637</xdr:colOff>
      <xdr:row>260</xdr:row>
      <xdr:rowOff>66793</xdr:rowOff>
    </xdr:from>
    <xdr:ext cx="432362" cy="405432"/>
    <xdr:sp macro="" textlink="">
      <xdr:nvSpPr>
        <xdr:cNvPr id="30" name="TextBox 29"/>
        <xdr:cNvSpPr txBox="1"/>
      </xdr:nvSpPr>
      <xdr:spPr>
        <a:xfrm>
          <a:off x="9409462" y="50301643"/>
          <a:ext cx="432362" cy="40543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/>
            <a:t>F</a:t>
          </a:r>
          <a:r>
            <a:rPr lang="en-IN" sz="2000" b="1" baseline="0"/>
            <a:t>2</a:t>
          </a:r>
          <a:endParaRPr lang="en-IN" sz="2000" b="1"/>
        </a:p>
      </xdr:txBody>
    </xdr:sp>
    <xdr:clientData/>
  </xdr:oneCellAnchor>
  <xdr:oneCellAnchor>
    <xdr:from>
      <xdr:col>17</xdr:col>
      <xdr:colOff>584899</xdr:colOff>
      <xdr:row>260</xdr:row>
      <xdr:rowOff>66793</xdr:rowOff>
    </xdr:from>
    <xdr:ext cx="432362" cy="405432"/>
    <xdr:sp macro="" textlink="">
      <xdr:nvSpPr>
        <xdr:cNvPr id="31" name="TextBox 30"/>
        <xdr:cNvSpPr txBox="1"/>
      </xdr:nvSpPr>
      <xdr:spPr>
        <a:xfrm>
          <a:off x="11519599" y="50301643"/>
          <a:ext cx="432362" cy="40543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000" b="1"/>
            <a:t>F</a:t>
          </a:r>
          <a:r>
            <a:rPr lang="en-IN" sz="2000" b="1" baseline="0"/>
            <a:t>3</a:t>
          </a:r>
          <a:endParaRPr lang="en-IN" sz="2000" b="1"/>
        </a:p>
      </xdr:txBody>
    </xdr:sp>
    <xdr:clientData/>
  </xdr:oneCellAnchor>
  <xdr:twoCellAnchor>
    <xdr:from>
      <xdr:col>9</xdr:col>
      <xdr:colOff>78921</xdr:colOff>
      <xdr:row>261</xdr:row>
      <xdr:rowOff>20864</xdr:rowOff>
    </xdr:from>
    <xdr:to>
      <xdr:col>22</xdr:col>
      <xdr:colOff>358018</xdr:colOff>
      <xdr:row>298</xdr:row>
      <xdr:rowOff>2184</xdr:rowOff>
    </xdr:to>
    <xdr:grpSp>
      <xdr:nvGrpSpPr>
        <xdr:cNvPr id="8" name="Group 7"/>
        <xdr:cNvGrpSpPr/>
      </xdr:nvGrpSpPr>
      <xdr:grpSpPr>
        <a:xfrm>
          <a:off x="8600621" y="50243014"/>
          <a:ext cx="6432247" cy="7258420"/>
          <a:chOff x="419100" y="50914300"/>
          <a:chExt cx="6444947" cy="7258420"/>
        </a:xfrm>
      </xdr:grpSpPr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32416" y="5601272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814184" y="509143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02716" y="53751510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9100" y="509143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45733" y="5375151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16642" y="509143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9100" y="5375151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1" name="TextBox 50"/>
          <xdr:cNvSpPr txBox="1"/>
        </xdr:nvSpPr>
        <xdr:spPr>
          <a:xfrm>
            <a:off x="419100" y="50914300"/>
            <a:ext cx="432362" cy="40543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2000" b="1"/>
              <a:t>F</a:t>
            </a:r>
            <a:r>
              <a:rPr lang="en-IN" sz="2000" b="1" baseline="0"/>
              <a:t>1</a:t>
            </a:r>
            <a:endParaRPr lang="en-IN" sz="2000" b="1"/>
          </a:p>
        </xdr:txBody>
      </xdr:sp>
      <xdr:sp macro="" textlink="">
        <xdr:nvSpPr>
          <xdr:cNvPr id="52" name="TextBox 51"/>
          <xdr:cNvSpPr txBox="1"/>
        </xdr:nvSpPr>
        <xdr:spPr>
          <a:xfrm>
            <a:off x="3594542" y="50958750"/>
            <a:ext cx="432362" cy="40543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2000" b="1"/>
              <a:t>F</a:t>
            </a:r>
            <a:r>
              <a:rPr lang="en-IN" sz="2000" b="1" baseline="0"/>
              <a:t>2</a:t>
            </a:r>
            <a:endParaRPr lang="en-IN" sz="2000" b="1"/>
          </a:p>
        </xdr:txBody>
      </xdr:sp>
      <xdr:sp macro="" textlink="">
        <xdr:nvSpPr>
          <xdr:cNvPr id="53" name="TextBox 52"/>
          <xdr:cNvSpPr txBox="1"/>
        </xdr:nvSpPr>
        <xdr:spPr>
          <a:xfrm>
            <a:off x="5880984" y="50920650"/>
            <a:ext cx="432362" cy="40543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2000" b="1"/>
              <a:t>F</a:t>
            </a:r>
            <a:r>
              <a:rPr lang="en-IN" sz="2000" b="1" baseline="0"/>
              <a:t>3</a:t>
            </a:r>
            <a:endParaRPr lang="en-IN" sz="2000" b="1"/>
          </a:p>
        </xdr:txBody>
      </xdr:sp>
    </xdr:grpSp>
    <xdr:clientData/>
  </xdr:twoCellAnchor>
  <xdr:twoCellAnchor>
    <xdr:from>
      <xdr:col>0</xdr:col>
      <xdr:colOff>381000</xdr:colOff>
      <xdr:row>263</xdr:row>
      <xdr:rowOff>95250</xdr:rowOff>
    </xdr:from>
    <xdr:to>
      <xdr:col>7</xdr:col>
      <xdr:colOff>812024</xdr:colOff>
      <xdr:row>295</xdr:row>
      <xdr:rowOff>34707</xdr:rowOff>
    </xdr:to>
    <xdr:grpSp>
      <xdr:nvGrpSpPr>
        <xdr:cNvPr id="2" name="Group 1"/>
        <xdr:cNvGrpSpPr/>
      </xdr:nvGrpSpPr>
      <xdr:grpSpPr>
        <a:xfrm>
          <a:off x="381000" y="50711100"/>
          <a:ext cx="6406374" cy="6232307"/>
          <a:chOff x="381000" y="50711100"/>
          <a:chExt cx="6406374" cy="6232307"/>
        </a:xfrm>
      </xdr:grpSpPr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69061" y="54783407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65690" y="507111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1000" y="54783407"/>
            <a:ext cx="2877714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04731" y="54783407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63410" y="5071110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1</xdr:col>
      <xdr:colOff>342900</xdr:colOff>
      <xdr:row>265</xdr:row>
      <xdr:rowOff>177800</xdr:rowOff>
    </xdr:from>
    <xdr:to>
      <xdr:col>1</xdr:col>
      <xdr:colOff>774410</xdr:colOff>
      <xdr:row>267</xdr:row>
      <xdr:rowOff>195882</xdr:rowOff>
    </xdr:to>
    <xdr:sp macro="" textlink="">
      <xdr:nvSpPr>
        <xdr:cNvPr id="39" name="TextBox 38"/>
        <xdr:cNvSpPr txBox="1"/>
      </xdr:nvSpPr>
      <xdr:spPr>
        <a:xfrm>
          <a:off x="1143000" y="51187350"/>
          <a:ext cx="431510" cy="40543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2000" b="1"/>
            <a:t>F</a:t>
          </a:r>
          <a:r>
            <a:rPr lang="en-IN" sz="2000" b="1" baseline="0"/>
            <a:t>1</a:t>
          </a:r>
          <a:endParaRPr lang="en-IN" sz="2000" b="1"/>
        </a:p>
      </xdr:txBody>
    </xdr:sp>
    <xdr:clientData/>
  </xdr:twoCellAnchor>
  <xdr:twoCellAnchor>
    <xdr:from>
      <xdr:col>5</xdr:col>
      <xdr:colOff>38100</xdr:colOff>
      <xdr:row>265</xdr:row>
      <xdr:rowOff>76200</xdr:rowOff>
    </xdr:from>
    <xdr:to>
      <xdr:col>5</xdr:col>
      <xdr:colOff>469610</xdr:colOff>
      <xdr:row>267</xdr:row>
      <xdr:rowOff>94282</xdr:rowOff>
    </xdr:to>
    <xdr:sp macro="" textlink="">
      <xdr:nvSpPr>
        <xdr:cNvPr id="40" name="TextBox 39"/>
        <xdr:cNvSpPr txBox="1"/>
      </xdr:nvSpPr>
      <xdr:spPr>
        <a:xfrm>
          <a:off x="4375150" y="51085750"/>
          <a:ext cx="431510" cy="40543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2000" b="1"/>
            <a:t>F</a:t>
          </a:r>
          <a:r>
            <a:rPr lang="en-IN" sz="2000" b="1" baseline="0"/>
            <a:t>2</a:t>
          </a:r>
          <a:endParaRPr lang="en-IN" sz="2000" b="1"/>
        </a:p>
      </xdr:txBody>
    </xdr:sp>
    <xdr:clientData/>
  </xdr:twoCellAnchor>
  <xdr:twoCellAnchor>
    <xdr:from>
      <xdr:col>6</xdr:col>
      <xdr:colOff>419100</xdr:colOff>
      <xdr:row>265</xdr:row>
      <xdr:rowOff>0</xdr:rowOff>
    </xdr:from>
    <xdr:to>
      <xdr:col>7</xdr:col>
      <xdr:colOff>31460</xdr:colOff>
      <xdr:row>267</xdr:row>
      <xdr:rowOff>18082</xdr:rowOff>
    </xdr:to>
    <xdr:sp macro="" textlink="">
      <xdr:nvSpPr>
        <xdr:cNvPr id="60" name="TextBox 59"/>
        <xdr:cNvSpPr txBox="1"/>
      </xdr:nvSpPr>
      <xdr:spPr>
        <a:xfrm>
          <a:off x="5575300" y="51009550"/>
          <a:ext cx="431510" cy="40543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IN" sz="2000" b="1"/>
            <a:t>F</a:t>
          </a:r>
          <a:r>
            <a:rPr lang="en-IN" sz="2000" b="1" baseline="0"/>
            <a:t>3</a:t>
          </a:r>
          <a:endParaRPr lang="en-IN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7NWEcRsDqyN6EewH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309"/>
  <sheetViews>
    <sheetView tabSelected="1" view="pageBreakPreview" topLeftCell="A2" zoomScaleNormal="100" zoomScaleSheetLayoutView="100" workbookViewId="0">
      <selection activeCell="E9" sqref="E9:H9"/>
    </sheetView>
  </sheetViews>
  <sheetFormatPr defaultColWidth="9.1796875" defaultRowHeight="15.5" x14ac:dyDescent="0.35"/>
  <cols>
    <col min="1" max="1" width="11.453125" style="43" customWidth="1"/>
    <col min="2" max="2" width="12" style="43" customWidth="1"/>
    <col min="3" max="3" width="12.7265625" style="43" customWidth="1"/>
    <col min="4" max="4" width="14.1796875" style="43" customWidth="1"/>
    <col min="5" max="7" width="11.7265625" style="43" customWidth="1"/>
    <col min="8" max="8" width="19" style="43" customWidth="1"/>
    <col min="9" max="9" width="17.453125" style="23" customWidth="1"/>
    <col min="10" max="10" width="11.453125" style="23" customWidth="1"/>
    <col min="11" max="12" width="10.54296875" style="23" hidden="1" customWidth="1"/>
    <col min="13" max="13" width="11.81640625" style="23" hidden="1" customWidth="1"/>
    <col min="14" max="14" width="12.54296875" style="23" hidden="1" customWidth="1"/>
    <col min="15" max="15" width="9.81640625" style="23" customWidth="1"/>
    <col min="16" max="16" width="11.7265625" style="23" customWidth="1"/>
    <col min="17" max="247" width="9.1796875" style="23"/>
    <col min="248" max="248" width="8.7265625" style="23" customWidth="1"/>
    <col min="249" max="249" width="9.81640625" style="23" customWidth="1"/>
    <col min="250" max="250" width="14.453125" style="23" customWidth="1"/>
    <col min="251" max="251" width="7.26953125" style="23" customWidth="1"/>
    <col min="252" max="252" width="5.54296875" style="23" customWidth="1"/>
    <col min="253" max="253" width="9" style="23" customWidth="1"/>
    <col min="254" max="255" width="9.81640625" style="23" customWidth="1"/>
    <col min="256" max="256" width="11.1796875" style="23" customWidth="1"/>
    <col min="257" max="257" width="2.81640625" style="23" customWidth="1"/>
    <col min="258" max="258" width="3.54296875" style="23" customWidth="1"/>
    <col min="259" max="503" width="9.1796875" style="23"/>
    <col min="504" max="504" width="8.7265625" style="23" customWidth="1"/>
    <col min="505" max="505" width="9.81640625" style="23" customWidth="1"/>
    <col min="506" max="506" width="14.453125" style="23" customWidth="1"/>
    <col min="507" max="507" width="7.26953125" style="23" customWidth="1"/>
    <col min="508" max="508" width="5.54296875" style="23" customWidth="1"/>
    <col min="509" max="509" width="9" style="23" customWidth="1"/>
    <col min="510" max="511" width="9.81640625" style="23" customWidth="1"/>
    <col min="512" max="512" width="11.1796875" style="23" customWidth="1"/>
    <col min="513" max="513" width="2.81640625" style="23" customWidth="1"/>
    <col min="514" max="514" width="3.54296875" style="23" customWidth="1"/>
    <col min="515" max="759" width="9.1796875" style="23"/>
    <col min="760" max="760" width="8.7265625" style="23" customWidth="1"/>
    <col min="761" max="761" width="9.81640625" style="23" customWidth="1"/>
    <col min="762" max="762" width="14.453125" style="23" customWidth="1"/>
    <col min="763" max="763" width="7.26953125" style="23" customWidth="1"/>
    <col min="764" max="764" width="5.54296875" style="23" customWidth="1"/>
    <col min="765" max="765" width="9" style="23" customWidth="1"/>
    <col min="766" max="767" width="9.81640625" style="23" customWidth="1"/>
    <col min="768" max="768" width="11.1796875" style="23" customWidth="1"/>
    <col min="769" max="769" width="2.81640625" style="23" customWidth="1"/>
    <col min="770" max="770" width="3.54296875" style="23" customWidth="1"/>
    <col min="771" max="1015" width="9.1796875" style="23"/>
    <col min="1016" max="1016" width="8.7265625" style="23" customWidth="1"/>
    <col min="1017" max="1017" width="9.81640625" style="23" customWidth="1"/>
    <col min="1018" max="1018" width="14.453125" style="23" customWidth="1"/>
    <col min="1019" max="1019" width="7.26953125" style="23" customWidth="1"/>
    <col min="1020" max="1020" width="5.54296875" style="23" customWidth="1"/>
    <col min="1021" max="1021" width="9" style="23" customWidth="1"/>
    <col min="1022" max="1023" width="9.81640625" style="23" customWidth="1"/>
    <col min="1024" max="1024" width="11.1796875" style="23" customWidth="1"/>
    <col min="1025" max="1025" width="2.81640625" style="23" customWidth="1"/>
    <col min="1026" max="1026" width="3.54296875" style="23" customWidth="1"/>
    <col min="1027" max="1271" width="9.1796875" style="23"/>
    <col min="1272" max="1272" width="8.7265625" style="23" customWidth="1"/>
    <col min="1273" max="1273" width="9.81640625" style="23" customWidth="1"/>
    <col min="1274" max="1274" width="14.453125" style="23" customWidth="1"/>
    <col min="1275" max="1275" width="7.26953125" style="23" customWidth="1"/>
    <col min="1276" max="1276" width="5.54296875" style="23" customWidth="1"/>
    <col min="1277" max="1277" width="9" style="23" customWidth="1"/>
    <col min="1278" max="1279" width="9.81640625" style="23" customWidth="1"/>
    <col min="1280" max="1280" width="11.1796875" style="23" customWidth="1"/>
    <col min="1281" max="1281" width="2.81640625" style="23" customWidth="1"/>
    <col min="1282" max="1282" width="3.54296875" style="23" customWidth="1"/>
    <col min="1283" max="1527" width="9.1796875" style="23"/>
    <col min="1528" max="1528" width="8.7265625" style="23" customWidth="1"/>
    <col min="1529" max="1529" width="9.81640625" style="23" customWidth="1"/>
    <col min="1530" max="1530" width="14.453125" style="23" customWidth="1"/>
    <col min="1531" max="1531" width="7.26953125" style="23" customWidth="1"/>
    <col min="1532" max="1532" width="5.54296875" style="23" customWidth="1"/>
    <col min="1533" max="1533" width="9" style="23" customWidth="1"/>
    <col min="1534" max="1535" width="9.81640625" style="23" customWidth="1"/>
    <col min="1536" max="1536" width="11.1796875" style="23" customWidth="1"/>
    <col min="1537" max="1537" width="2.81640625" style="23" customWidth="1"/>
    <col min="1538" max="1538" width="3.54296875" style="23" customWidth="1"/>
    <col min="1539" max="1783" width="9.1796875" style="23"/>
    <col min="1784" max="1784" width="8.7265625" style="23" customWidth="1"/>
    <col min="1785" max="1785" width="9.81640625" style="23" customWidth="1"/>
    <col min="1786" max="1786" width="14.453125" style="23" customWidth="1"/>
    <col min="1787" max="1787" width="7.26953125" style="23" customWidth="1"/>
    <col min="1788" max="1788" width="5.54296875" style="23" customWidth="1"/>
    <col min="1789" max="1789" width="9" style="23" customWidth="1"/>
    <col min="1790" max="1791" width="9.81640625" style="23" customWidth="1"/>
    <col min="1792" max="1792" width="11.1796875" style="23" customWidth="1"/>
    <col min="1793" max="1793" width="2.81640625" style="23" customWidth="1"/>
    <col min="1794" max="1794" width="3.54296875" style="23" customWidth="1"/>
    <col min="1795" max="2039" width="9.1796875" style="23"/>
    <col min="2040" max="2040" width="8.7265625" style="23" customWidth="1"/>
    <col min="2041" max="2041" width="9.81640625" style="23" customWidth="1"/>
    <col min="2042" max="2042" width="14.453125" style="23" customWidth="1"/>
    <col min="2043" max="2043" width="7.26953125" style="23" customWidth="1"/>
    <col min="2044" max="2044" width="5.54296875" style="23" customWidth="1"/>
    <col min="2045" max="2045" width="9" style="23" customWidth="1"/>
    <col min="2046" max="2047" width="9.81640625" style="23" customWidth="1"/>
    <col min="2048" max="2048" width="11.1796875" style="23" customWidth="1"/>
    <col min="2049" max="2049" width="2.81640625" style="23" customWidth="1"/>
    <col min="2050" max="2050" width="3.54296875" style="23" customWidth="1"/>
    <col min="2051" max="2295" width="9.1796875" style="23"/>
    <col min="2296" max="2296" width="8.7265625" style="23" customWidth="1"/>
    <col min="2297" max="2297" width="9.81640625" style="23" customWidth="1"/>
    <col min="2298" max="2298" width="14.453125" style="23" customWidth="1"/>
    <col min="2299" max="2299" width="7.26953125" style="23" customWidth="1"/>
    <col min="2300" max="2300" width="5.54296875" style="23" customWidth="1"/>
    <col min="2301" max="2301" width="9" style="23" customWidth="1"/>
    <col min="2302" max="2303" width="9.81640625" style="23" customWidth="1"/>
    <col min="2304" max="2304" width="11.1796875" style="23" customWidth="1"/>
    <col min="2305" max="2305" width="2.81640625" style="23" customWidth="1"/>
    <col min="2306" max="2306" width="3.54296875" style="23" customWidth="1"/>
    <col min="2307" max="2551" width="9.1796875" style="23"/>
    <col min="2552" max="2552" width="8.7265625" style="23" customWidth="1"/>
    <col min="2553" max="2553" width="9.81640625" style="23" customWidth="1"/>
    <col min="2554" max="2554" width="14.453125" style="23" customWidth="1"/>
    <col min="2555" max="2555" width="7.26953125" style="23" customWidth="1"/>
    <col min="2556" max="2556" width="5.54296875" style="23" customWidth="1"/>
    <col min="2557" max="2557" width="9" style="23" customWidth="1"/>
    <col min="2558" max="2559" width="9.81640625" style="23" customWidth="1"/>
    <col min="2560" max="2560" width="11.1796875" style="23" customWidth="1"/>
    <col min="2561" max="2561" width="2.81640625" style="23" customWidth="1"/>
    <col min="2562" max="2562" width="3.54296875" style="23" customWidth="1"/>
    <col min="2563" max="2807" width="9.1796875" style="23"/>
    <col min="2808" max="2808" width="8.7265625" style="23" customWidth="1"/>
    <col min="2809" max="2809" width="9.81640625" style="23" customWidth="1"/>
    <col min="2810" max="2810" width="14.453125" style="23" customWidth="1"/>
    <col min="2811" max="2811" width="7.26953125" style="23" customWidth="1"/>
    <col min="2812" max="2812" width="5.54296875" style="23" customWidth="1"/>
    <col min="2813" max="2813" width="9" style="23" customWidth="1"/>
    <col min="2814" max="2815" width="9.81640625" style="23" customWidth="1"/>
    <col min="2816" max="2816" width="11.1796875" style="23" customWidth="1"/>
    <col min="2817" max="2817" width="2.81640625" style="23" customWidth="1"/>
    <col min="2818" max="2818" width="3.54296875" style="23" customWidth="1"/>
    <col min="2819" max="3063" width="9.1796875" style="23"/>
    <col min="3064" max="3064" width="8.7265625" style="23" customWidth="1"/>
    <col min="3065" max="3065" width="9.81640625" style="23" customWidth="1"/>
    <col min="3066" max="3066" width="14.453125" style="23" customWidth="1"/>
    <col min="3067" max="3067" width="7.26953125" style="23" customWidth="1"/>
    <col min="3068" max="3068" width="5.54296875" style="23" customWidth="1"/>
    <col min="3069" max="3069" width="9" style="23" customWidth="1"/>
    <col min="3070" max="3071" width="9.81640625" style="23" customWidth="1"/>
    <col min="3072" max="3072" width="11.1796875" style="23" customWidth="1"/>
    <col min="3073" max="3073" width="2.81640625" style="23" customWidth="1"/>
    <col min="3074" max="3074" width="3.54296875" style="23" customWidth="1"/>
    <col min="3075" max="3319" width="9.1796875" style="23"/>
    <col min="3320" max="3320" width="8.7265625" style="23" customWidth="1"/>
    <col min="3321" max="3321" width="9.81640625" style="23" customWidth="1"/>
    <col min="3322" max="3322" width="14.453125" style="23" customWidth="1"/>
    <col min="3323" max="3323" width="7.26953125" style="23" customWidth="1"/>
    <col min="3324" max="3324" width="5.54296875" style="23" customWidth="1"/>
    <col min="3325" max="3325" width="9" style="23" customWidth="1"/>
    <col min="3326" max="3327" width="9.81640625" style="23" customWidth="1"/>
    <col min="3328" max="3328" width="11.1796875" style="23" customWidth="1"/>
    <col min="3329" max="3329" width="2.81640625" style="23" customWidth="1"/>
    <col min="3330" max="3330" width="3.54296875" style="23" customWidth="1"/>
    <col min="3331" max="3575" width="9.1796875" style="23"/>
    <col min="3576" max="3576" width="8.7265625" style="23" customWidth="1"/>
    <col min="3577" max="3577" width="9.81640625" style="23" customWidth="1"/>
    <col min="3578" max="3578" width="14.453125" style="23" customWidth="1"/>
    <col min="3579" max="3579" width="7.26953125" style="23" customWidth="1"/>
    <col min="3580" max="3580" width="5.54296875" style="23" customWidth="1"/>
    <col min="3581" max="3581" width="9" style="23" customWidth="1"/>
    <col min="3582" max="3583" width="9.81640625" style="23" customWidth="1"/>
    <col min="3584" max="3584" width="11.1796875" style="23" customWidth="1"/>
    <col min="3585" max="3585" width="2.81640625" style="23" customWidth="1"/>
    <col min="3586" max="3586" width="3.54296875" style="23" customWidth="1"/>
    <col min="3587" max="3831" width="9.1796875" style="23"/>
    <col min="3832" max="3832" width="8.7265625" style="23" customWidth="1"/>
    <col min="3833" max="3833" width="9.81640625" style="23" customWidth="1"/>
    <col min="3834" max="3834" width="14.453125" style="23" customWidth="1"/>
    <col min="3835" max="3835" width="7.26953125" style="23" customWidth="1"/>
    <col min="3836" max="3836" width="5.54296875" style="23" customWidth="1"/>
    <col min="3837" max="3837" width="9" style="23" customWidth="1"/>
    <col min="3838" max="3839" width="9.81640625" style="23" customWidth="1"/>
    <col min="3840" max="3840" width="11.1796875" style="23" customWidth="1"/>
    <col min="3841" max="3841" width="2.81640625" style="23" customWidth="1"/>
    <col min="3842" max="3842" width="3.54296875" style="23" customWidth="1"/>
    <col min="3843" max="4087" width="9.1796875" style="23"/>
    <col min="4088" max="4088" width="8.7265625" style="23" customWidth="1"/>
    <col min="4089" max="4089" width="9.81640625" style="23" customWidth="1"/>
    <col min="4090" max="4090" width="14.453125" style="23" customWidth="1"/>
    <col min="4091" max="4091" width="7.26953125" style="23" customWidth="1"/>
    <col min="4092" max="4092" width="5.54296875" style="23" customWidth="1"/>
    <col min="4093" max="4093" width="9" style="23" customWidth="1"/>
    <col min="4094" max="4095" width="9.81640625" style="23" customWidth="1"/>
    <col min="4096" max="4096" width="11.1796875" style="23" customWidth="1"/>
    <col min="4097" max="4097" width="2.81640625" style="23" customWidth="1"/>
    <col min="4098" max="4098" width="3.54296875" style="23" customWidth="1"/>
    <col min="4099" max="4343" width="9.1796875" style="23"/>
    <col min="4344" max="4344" width="8.7265625" style="23" customWidth="1"/>
    <col min="4345" max="4345" width="9.81640625" style="23" customWidth="1"/>
    <col min="4346" max="4346" width="14.453125" style="23" customWidth="1"/>
    <col min="4347" max="4347" width="7.26953125" style="23" customWidth="1"/>
    <col min="4348" max="4348" width="5.54296875" style="23" customWidth="1"/>
    <col min="4349" max="4349" width="9" style="23" customWidth="1"/>
    <col min="4350" max="4351" width="9.81640625" style="23" customWidth="1"/>
    <col min="4352" max="4352" width="11.1796875" style="23" customWidth="1"/>
    <col min="4353" max="4353" width="2.81640625" style="23" customWidth="1"/>
    <col min="4354" max="4354" width="3.54296875" style="23" customWidth="1"/>
    <col min="4355" max="4599" width="9.1796875" style="23"/>
    <col min="4600" max="4600" width="8.7265625" style="23" customWidth="1"/>
    <col min="4601" max="4601" width="9.81640625" style="23" customWidth="1"/>
    <col min="4602" max="4602" width="14.453125" style="23" customWidth="1"/>
    <col min="4603" max="4603" width="7.26953125" style="23" customWidth="1"/>
    <col min="4604" max="4604" width="5.54296875" style="23" customWidth="1"/>
    <col min="4605" max="4605" width="9" style="23" customWidth="1"/>
    <col min="4606" max="4607" width="9.81640625" style="23" customWidth="1"/>
    <col min="4608" max="4608" width="11.1796875" style="23" customWidth="1"/>
    <col min="4609" max="4609" width="2.81640625" style="23" customWidth="1"/>
    <col min="4610" max="4610" width="3.54296875" style="23" customWidth="1"/>
    <col min="4611" max="4855" width="9.1796875" style="23"/>
    <col min="4856" max="4856" width="8.7265625" style="23" customWidth="1"/>
    <col min="4857" max="4857" width="9.81640625" style="23" customWidth="1"/>
    <col min="4858" max="4858" width="14.453125" style="23" customWidth="1"/>
    <col min="4859" max="4859" width="7.26953125" style="23" customWidth="1"/>
    <col min="4860" max="4860" width="5.54296875" style="23" customWidth="1"/>
    <col min="4861" max="4861" width="9" style="23" customWidth="1"/>
    <col min="4862" max="4863" width="9.81640625" style="23" customWidth="1"/>
    <col min="4864" max="4864" width="11.1796875" style="23" customWidth="1"/>
    <col min="4865" max="4865" width="2.81640625" style="23" customWidth="1"/>
    <col min="4866" max="4866" width="3.54296875" style="23" customWidth="1"/>
    <col min="4867" max="5111" width="9.1796875" style="23"/>
    <col min="5112" max="5112" width="8.7265625" style="23" customWidth="1"/>
    <col min="5113" max="5113" width="9.81640625" style="23" customWidth="1"/>
    <col min="5114" max="5114" width="14.453125" style="23" customWidth="1"/>
    <col min="5115" max="5115" width="7.26953125" style="23" customWidth="1"/>
    <col min="5116" max="5116" width="5.54296875" style="23" customWidth="1"/>
    <col min="5117" max="5117" width="9" style="23" customWidth="1"/>
    <col min="5118" max="5119" width="9.81640625" style="23" customWidth="1"/>
    <col min="5120" max="5120" width="11.1796875" style="23" customWidth="1"/>
    <col min="5121" max="5121" width="2.81640625" style="23" customWidth="1"/>
    <col min="5122" max="5122" width="3.54296875" style="23" customWidth="1"/>
    <col min="5123" max="5367" width="9.1796875" style="23"/>
    <col min="5368" max="5368" width="8.7265625" style="23" customWidth="1"/>
    <col min="5369" max="5369" width="9.81640625" style="23" customWidth="1"/>
    <col min="5370" max="5370" width="14.453125" style="23" customWidth="1"/>
    <col min="5371" max="5371" width="7.26953125" style="23" customWidth="1"/>
    <col min="5372" max="5372" width="5.54296875" style="23" customWidth="1"/>
    <col min="5373" max="5373" width="9" style="23" customWidth="1"/>
    <col min="5374" max="5375" width="9.81640625" style="23" customWidth="1"/>
    <col min="5376" max="5376" width="11.1796875" style="23" customWidth="1"/>
    <col min="5377" max="5377" width="2.81640625" style="23" customWidth="1"/>
    <col min="5378" max="5378" width="3.54296875" style="23" customWidth="1"/>
    <col min="5379" max="5623" width="9.1796875" style="23"/>
    <col min="5624" max="5624" width="8.7265625" style="23" customWidth="1"/>
    <col min="5625" max="5625" width="9.81640625" style="23" customWidth="1"/>
    <col min="5626" max="5626" width="14.453125" style="23" customWidth="1"/>
    <col min="5627" max="5627" width="7.26953125" style="23" customWidth="1"/>
    <col min="5628" max="5628" width="5.54296875" style="23" customWidth="1"/>
    <col min="5629" max="5629" width="9" style="23" customWidth="1"/>
    <col min="5630" max="5631" width="9.81640625" style="23" customWidth="1"/>
    <col min="5632" max="5632" width="11.1796875" style="23" customWidth="1"/>
    <col min="5633" max="5633" width="2.81640625" style="23" customWidth="1"/>
    <col min="5634" max="5634" width="3.54296875" style="23" customWidth="1"/>
    <col min="5635" max="5879" width="9.1796875" style="23"/>
    <col min="5880" max="5880" width="8.7265625" style="23" customWidth="1"/>
    <col min="5881" max="5881" width="9.81640625" style="23" customWidth="1"/>
    <col min="5882" max="5882" width="14.453125" style="23" customWidth="1"/>
    <col min="5883" max="5883" width="7.26953125" style="23" customWidth="1"/>
    <col min="5884" max="5884" width="5.54296875" style="23" customWidth="1"/>
    <col min="5885" max="5885" width="9" style="23" customWidth="1"/>
    <col min="5886" max="5887" width="9.81640625" style="23" customWidth="1"/>
    <col min="5888" max="5888" width="11.1796875" style="23" customWidth="1"/>
    <col min="5889" max="5889" width="2.81640625" style="23" customWidth="1"/>
    <col min="5890" max="5890" width="3.54296875" style="23" customWidth="1"/>
    <col min="5891" max="6135" width="9.1796875" style="23"/>
    <col min="6136" max="6136" width="8.7265625" style="23" customWidth="1"/>
    <col min="6137" max="6137" width="9.81640625" style="23" customWidth="1"/>
    <col min="6138" max="6138" width="14.453125" style="23" customWidth="1"/>
    <col min="6139" max="6139" width="7.26953125" style="23" customWidth="1"/>
    <col min="6140" max="6140" width="5.54296875" style="23" customWidth="1"/>
    <col min="6141" max="6141" width="9" style="23" customWidth="1"/>
    <col min="6142" max="6143" width="9.81640625" style="23" customWidth="1"/>
    <col min="6144" max="6144" width="11.1796875" style="23" customWidth="1"/>
    <col min="6145" max="6145" width="2.81640625" style="23" customWidth="1"/>
    <col min="6146" max="6146" width="3.54296875" style="23" customWidth="1"/>
    <col min="6147" max="6391" width="9.1796875" style="23"/>
    <col min="6392" max="6392" width="8.7265625" style="23" customWidth="1"/>
    <col min="6393" max="6393" width="9.81640625" style="23" customWidth="1"/>
    <col min="6394" max="6394" width="14.453125" style="23" customWidth="1"/>
    <col min="6395" max="6395" width="7.26953125" style="23" customWidth="1"/>
    <col min="6396" max="6396" width="5.54296875" style="23" customWidth="1"/>
    <col min="6397" max="6397" width="9" style="23" customWidth="1"/>
    <col min="6398" max="6399" width="9.81640625" style="23" customWidth="1"/>
    <col min="6400" max="6400" width="11.1796875" style="23" customWidth="1"/>
    <col min="6401" max="6401" width="2.81640625" style="23" customWidth="1"/>
    <col min="6402" max="6402" width="3.54296875" style="23" customWidth="1"/>
    <col min="6403" max="6647" width="9.1796875" style="23"/>
    <col min="6648" max="6648" width="8.7265625" style="23" customWidth="1"/>
    <col min="6649" max="6649" width="9.81640625" style="23" customWidth="1"/>
    <col min="6650" max="6650" width="14.453125" style="23" customWidth="1"/>
    <col min="6651" max="6651" width="7.26953125" style="23" customWidth="1"/>
    <col min="6652" max="6652" width="5.54296875" style="23" customWidth="1"/>
    <col min="6653" max="6653" width="9" style="23" customWidth="1"/>
    <col min="6654" max="6655" width="9.81640625" style="23" customWidth="1"/>
    <col min="6656" max="6656" width="11.1796875" style="23" customWidth="1"/>
    <col min="6657" max="6657" width="2.81640625" style="23" customWidth="1"/>
    <col min="6658" max="6658" width="3.54296875" style="23" customWidth="1"/>
    <col min="6659" max="6903" width="9.1796875" style="23"/>
    <col min="6904" max="6904" width="8.7265625" style="23" customWidth="1"/>
    <col min="6905" max="6905" width="9.81640625" style="23" customWidth="1"/>
    <col min="6906" max="6906" width="14.453125" style="23" customWidth="1"/>
    <col min="6907" max="6907" width="7.26953125" style="23" customWidth="1"/>
    <col min="6908" max="6908" width="5.54296875" style="23" customWidth="1"/>
    <col min="6909" max="6909" width="9" style="23" customWidth="1"/>
    <col min="6910" max="6911" width="9.81640625" style="23" customWidth="1"/>
    <col min="6912" max="6912" width="11.1796875" style="23" customWidth="1"/>
    <col min="6913" max="6913" width="2.81640625" style="23" customWidth="1"/>
    <col min="6914" max="6914" width="3.54296875" style="23" customWidth="1"/>
    <col min="6915" max="7159" width="9.1796875" style="23"/>
    <col min="7160" max="7160" width="8.7265625" style="23" customWidth="1"/>
    <col min="7161" max="7161" width="9.81640625" style="23" customWidth="1"/>
    <col min="7162" max="7162" width="14.453125" style="23" customWidth="1"/>
    <col min="7163" max="7163" width="7.26953125" style="23" customWidth="1"/>
    <col min="7164" max="7164" width="5.54296875" style="23" customWidth="1"/>
    <col min="7165" max="7165" width="9" style="23" customWidth="1"/>
    <col min="7166" max="7167" width="9.81640625" style="23" customWidth="1"/>
    <col min="7168" max="7168" width="11.1796875" style="23" customWidth="1"/>
    <col min="7169" max="7169" width="2.81640625" style="23" customWidth="1"/>
    <col min="7170" max="7170" width="3.54296875" style="23" customWidth="1"/>
    <col min="7171" max="7415" width="9.1796875" style="23"/>
    <col min="7416" max="7416" width="8.7265625" style="23" customWidth="1"/>
    <col min="7417" max="7417" width="9.81640625" style="23" customWidth="1"/>
    <col min="7418" max="7418" width="14.453125" style="23" customWidth="1"/>
    <col min="7419" max="7419" width="7.26953125" style="23" customWidth="1"/>
    <col min="7420" max="7420" width="5.54296875" style="23" customWidth="1"/>
    <col min="7421" max="7421" width="9" style="23" customWidth="1"/>
    <col min="7422" max="7423" width="9.81640625" style="23" customWidth="1"/>
    <col min="7424" max="7424" width="11.1796875" style="23" customWidth="1"/>
    <col min="7425" max="7425" width="2.81640625" style="23" customWidth="1"/>
    <col min="7426" max="7426" width="3.54296875" style="23" customWidth="1"/>
    <col min="7427" max="7671" width="9.1796875" style="23"/>
    <col min="7672" max="7672" width="8.7265625" style="23" customWidth="1"/>
    <col min="7673" max="7673" width="9.81640625" style="23" customWidth="1"/>
    <col min="7674" max="7674" width="14.453125" style="23" customWidth="1"/>
    <col min="7675" max="7675" width="7.26953125" style="23" customWidth="1"/>
    <col min="7676" max="7676" width="5.54296875" style="23" customWidth="1"/>
    <col min="7677" max="7677" width="9" style="23" customWidth="1"/>
    <col min="7678" max="7679" width="9.81640625" style="23" customWidth="1"/>
    <col min="7680" max="7680" width="11.1796875" style="23" customWidth="1"/>
    <col min="7681" max="7681" width="2.81640625" style="23" customWidth="1"/>
    <col min="7682" max="7682" width="3.54296875" style="23" customWidth="1"/>
    <col min="7683" max="7927" width="9.1796875" style="23"/>
    <col min="7928" max="7928" width="8.7265625" style="23" customWidth="1"/>
    <col min="7929" max="7929" width="9.81640625" style="23" customWidth="1"/>
    <col min="7930" max="7930" width="14.453125" style="23" customWidth="1"/>
    <col min="7931" max="7931" width="7.26953125" style="23" customWidth="1"/>
    <col min="7932" max="7932" width="5.54296875" style="23" customWidth="1"/>
    <col min="7933" max="7933" width="9" style="23" customWidth="1"/>
    <col min="7934" max="7935" width="9.81640625" style="23" customWidth="1"/>
    <col min="7936" max="7936" width="11.1796875" style="23" customWidth="1"/>
    <col min="7937" max="7937" width="2.81640625" style="23" customWidth="1"/>
    <col min="7938" max="7938" width="3.54296875" style="23" customWidth="1"/>
    <col min="7939" max="8183" width="9.1796875" style="23"/>
    <col min="8184" max="8184" width="8.7265625" style="23" customWidth="1"/>
    <col min="8185" max="8185" width="9.81640625" style="23" customWidth="1"/>
    <col min="8186" max="8186" width="14.453125" style="23" customWidth="1"/>
    <col min="8187" max="8187" width="7.26953125" style="23" customWidth="1"/>
    <col min="8188" max="8188" width="5.54296875" style="23" customWidth="1"/>
    <col min="8189" max="8189" width="9" style="23" customWidth="1"/>
    <col min="8190" max="8191" width="9.81640625" style="23" customWidth="1"/>
    <col min="8192" max="8192" width="11.1796875" style="23" customWidth="1"/>
    <col min="8193" max="8193" width="2.81640625" style="23" customWidth="1"/>
    <col min="8194" max="8194" width="3.54296875" style="23" customWidth="1"/>
    <col min="8195" max="8439" width="9.1796875" style="23"/>
    <col min="8440" max="8440" width="8.7265625" style="23" customWidth="1"/>
    <col min="8441" max="8441" width="9.81640625" style="23" customWidth="1"/>
    <col min="8442" max="8442" width="14.453125" style="23" customWidth="1"/>
    <col min="8443" max="8443" width="7.26953125" style="23" customWidth="1"/>
    <col min="8444" max="8444" width="5.54296875" style="23" customWidth="1"/>
    <col min="8445" max="8445" width="9" style="23" customWidth="1"/>
    <col min="8446" max="8447" width="9.81640625" style="23" customWidth="1"/>
    <col min="8448" max="8448" width="11.1796875" style="23" customWidth="1"/>
    <col min="8449" max="8449" width="2.81640625" style="23" customWidth="1"/>
    <col min="8450" max="8450" width="3.54296875" style="23" customWidth="1"/>
    <col min="8451" max="8695" width="9.1796875" style="23"/>
    <col min="8696" max="8696" width="8.7265625" style="23" customWidth="1"/>
    <col min="8697" max="8697" width="9.81640625" style="23" customWidth="1"/>
    <col min="8698" max="8698" width="14.453125" style="23" customWidth="1"/>
    <col min="8699" max="8699" width="7.26953125" style="23" customWidth="1"/>
    <col min="8700" max="8700" width="5.54296875" style="23" customWidth="1"/>
    <col min="8701" max="8701" width="9" style="23" customWidth="1"/>
    <col min="8702" max="8703" width="9.81640625" style="23" customWidth="1"/>
    <col min="8704" max="8704" width="11.1796875" style="23" customWidth="1"/>
    <col min="8705" max="8705" width="2.81640625" style="23" customWidth="1"/>
    <col min="8706" max="8706" width="3.54296875" style="23" customWidth="1"/>
    <col min="8707" max="8951" width="9.1796875" style="23"/>
    <col min="8952" max="8952" width="8.7265625" style="23" customWidth="1"/>
    <col min="8953" max="8953" width="9.81640625" style="23" customWidth="1"/>
    <col min="8954" max="8954" width="14.453125" style="23" customWidth="1"/>
    <col min="8955" max="8955" width="7.26953125" style="23" customWidth="1"/>
    <col min="8956" max="8956" width="5.54296875" style="23" customWidth="1"/>
    <col min="8957" max="8957" width="9" style="23" customWidth="1"/>
    <col min="8958" max="8959" width="9.81640625" style="23" customWidth="1"/>
    <col min="8960" max="8960" width="11.1796875" style="23" customWidth="1"/>
    <col min="8961" max="8961" width="2.81640625" style="23" customWidth="1"/>
    <col min="8962" max="8962" width="3.54296875" style="23" customWidth="1"/>
    <col min="8963" max="9207" width="9.1796875" style="23"/>
    <col min="9208" max="9208" width="8.7265625" style="23" customWidth="1"/>
    <col min="9209" max="9209" width="9.81640625" style="23" customWidth="1"/>
    <col min="9210" max="9210" width="14.453125" style="23" customWidth="1"/>
    <col min="9211" max="9211" width="7.26953125" style="23" customWidth="1"/>
    <col min="9212" max="9212" width="5.54296875" style="23" customWidth="1"/>
    <col min="9213" max="9213" width="9" style="23" customWidth="1"/>
    <col min="9214" max="9215" width="9.81640625" style="23" customWidth="1"/>
    <col min="9216" max="9216" width="11.1796875" style="23" customWidth="1"/>
    <col min="9217" max="9217" width="2.81640625" style="23" customWidth="1"/>
    <col min="9218" max="9218" width="3.54296875" style="23" customWidth="1"/>
    <col min="9219" max="9463" width="9.1796875" style="23"/>
    <col min="9464" max="9464" width="8.7265625" style="23" customWidth="1"/>
    <col min="9465" max="9465" width="9.81640625" style="23" customWidth="1"/>
    <col min="9466" max="9466" width="14.453125" style="23" customWidth="1"/>
    <col min="9467" max="9467" width="7.26953125" style="23" customWidth="1"/>
    <col min="9468" max="9468" width="5.54296875" style="23" customWidth="1"/>
    <col min="9469" max="9469" width="9" style="23" customWidth="1"/>
    <col min="9470" max="9471" width="9.81640625" style="23" customWidth="1"/>
    <col min="9472" max="9472" width="11.1796875" style="23" customWidth="1"/>
    <col min="9473" max="9473" width="2.81640625" style="23" customWidth="1"/>
    <col min="9474" max="9474" width="3.54296875" style="23" customWidth="1"/>
    <col min="9475" max="9719" width="9.1796875" style="23"/>
    <col min="9720" max="9720" width="8.7265625" style="23" customWidth="1"/>
    <col min="9721" max="9721" width="9.81640625" style="23" customWidth="1"/>
    <col min="9722" max="9722" width="14.453125" style="23" customWidth="1"/>
    <col min="9723" max="9723" width="7.26953125" style="23" customWidth="1"/>
    <col min="9724" max="9724" width="5.54296875" style="23" customWidth="1"/>
    <col min="9725" max="9725" width="9" style="23" customWidth="1"/>
    <col min="9726" max="9727" width="9.81640625" style="23" customWidth="1"/>
    <col min="9728" max="9728" width="11.1796875" style="23" customWidth="1"/>
    <col min="9729" max="9729" width="2.81640625" style="23" customWidth="1"/>
    <col min="9730" max="9730" width="3.54296875" style="23" customWidth="1"/>
    <col min="9731" max="9975" width="9.1796875" style="23"/>
    <col min="9976" max="9976" width="8.7265625" style="23" customWidth="1"/>
    <col min="9977" max="9977" width="9.81640625" style="23" customWidth="1"/>
    <col min="9978" max="9978" width="14.453125" style="23" customWidth="1"/>
    <col min="9979" max="9979" width="7.26953125" style="23" customWidth="1"/>
    <col min="9980" max="9980" width="5.54296875" style="23" customWidth="1"/>
    <col min="9981" max="9981" width="9" style="23" customWidth="1"/>
    <col min="9982" max="9983" width="9.81640625" style="23" customWidth="1"/>
    <col min="9984" max="9984" width="11.1796875" style="23" customWidth="1"/>
    <col min="9985" max="9985" width="2.81640625" style="23" customWidth="1"/>
    <col min="9986" max="9986" width="3.54296875" style="23" customWidth="1"/>
    <col min="9987" max="10231" width="9.1796875" style="23"/>
    <col min="10232" max="10232" width="8.7265625" style="23" customWidth="1"/>
    <col min="10233" max="10233" width="9.81640625" style="23" customWidth="1"/>
    <col min="10234" max="10234" width="14.453125" style="23" customWidth="1"/>
    <col min="10235" max="10235" width="7.26953125" style="23" customWidth="1"/>
    <col min="10236" max="10236" width="5.54296875" style="23" customWidth="1"/>
    <col min="10237" max="10237" width="9" style="23" customWidth="1"/>
    <col min="10238" max="10239" width="9.81640625" style="23" customWidth="1"/>
    <col min="10240" max="10240" width="11.1796875" style="23" customWidth="1"/>
    <col min="10241" max="10241" width="2.81640625" style="23" customWidth="1"/>
    <col min="10242" max="10242" width="3.54296875" style="23" customWidth="1"/>
    <col min="10243" max="10487" width="9.1796875" style="23"/>
    <col min="10488" max="10488" width="8.7265625" style="23" customWidth="1"/>
    <col min="10489" max="10489" width="9.81640625" style="23" customWidth="1"/>
    <col min="10490" max="10490" width="14.453125" style="23" customWidth="1"/>
    <col min="10491" max="10491" width="7.26953125" style="23" customWidth="1"/>
    <col min="10492" max="10492" width="5.54296875" style="23" customWidth="1"/>
    <col min="10493" max="10493" width="9" style="23" customWidth="1"/>
    <col min="10494" max="10495" width="9.81640625" style="23" customWidth="1"/>
    <col min="10496" max="10496" width="11.1796875" style="23" customWidth="1"/>
    <col min="10497" max="10497" width="2.81640625" style="23" customWidth="1"/>
    <col min="10498" max="10498" width="3.54296875" style="23" customWidth="1"/>
    <col min="10499" max="10743" width="9.1796875" style="23"/>
    <col min="10744" max="10744" width="8.7265625" style="23" customWidth="1"/>
    <col min="10745" max="10745" width="9.81640625" style="23" customWidth="1"/>
    <col min="10746" max="10746" width="14.453125" style="23" customWidth="1"/>
    <col min="10747" max="10747" width="7.26953125" style="23" customWidth="1"/>
    <col min="10748" max="10748" width="5.54296875" style="23" customWidth="1"/>
    <col min="10749" max="10749" width="9" style="23" customWidth="1"/>
    <col min="10750" max="10751" width="9.81640625" style="23" customWidth="1"/>
    <col min="10752" max="10752" width="11.1796875" style="23" customWidth="1"/>
    <col min="10753" max="10753" width="2.81640625" style="23" customWidth="1"/>
    <col min="10754" max="10754" width="3.54296875" style="23" customWidth="1"/>
    <col min="10755" max="10999" width="9.1796875" style="23"/>
    <col min="11000" max="11000" width="8.7265625" style="23" customWidth="1"/>
    <col min="11001" max="11001" width="9.81640625" style="23" customWidth="1"/>
    <col min="11002" max="11002" width="14.453125" style="23" customWidth="1"/>
    <col min="11003" max="11003" width="7.26953125" style="23" customWidth="1"/>
    <col min="11004" max="11004" width="5.54296875" style="23" customWidth="1"/>
    <col min="11005" max="11005" width="9" style="23" customWidth="1"/>
    <col min="11006" max="11007" width="9.81640625" style="23" customWidth="1"/>
    <col min="11008" max="11008" width="11.1796875" style="23" customWidth="1"/>
    <col min="11009" max="11009" width="2.81640625" style="23" customWidth="1"/>
    <col min="11010" max="11010" width="3.54296875" style="23" customWidth="1"/>
    <col min="11011" max="11255" width="9.1796875" style="23"/>
    <col min="11256" max="11256" width="8.7265625" style="23" customWidth="1"/>
    <col min="11257" max="11257" width="9.81640625" style="23" customWidth="1"/>
    <col min="11258" max="11258" width="14.453125" style="23" customWidth="1"/>
    <col min="11259" max="11259" width="7.26953125" style="23" customWidth="1"/>
    <col min="11260" max="11260" width="5.54296875" style="23" customWidth="1"/>
    <col min="11261" max="11261" width="9" style="23" customWidth="1"/>
    <col min="11262" max="11263" width="9.81640625" style="23" customWidth="1"/>
    <col min="11264" max="11264" width="11.1796875" style="23" customWidth="1"/>
    <col min="11265" max="11265" width="2.81640625" style="23" customWidth="1"/>
    <col min="11266" max="11266" width="3.54296875" style="23" customWidth="1"/>
    <col min="11267" max="11511" width="9.1796875" style="23"/>
    <col min="11512" max="11512" width="8.7265625" style="23" customWidth="1"/>
    <col min="11513" max="11513" width="9.81640625" style="23" customWidth="1"/>
    <col min="11514" max="11514" width="14.453125" style="23" customWidth="1"/>
    <col min="11515" max="11515" width="7.26953125" style="23" customWidth="1"/>
    <col min="11516" max="11516" width="5.54296875" style="23" customWidth="1"/>
    <col min="11517" max="11517" width="9" style="23" customWidth="1"/>
    <col min="11518" max="11519" width="9.81640625" style="23" customWidth="1"/>
    <col min="11520" max="11520" width="11.1796875" style="23" customWidth="1"/>
    <col min="11521" max="11521" width="2.81640625" style="23" customWidth="1"/>
    <col min="11522" max="11522" width="3.54296875" style="23" customWidth="1"/>
    <col min="11523" max="11767" width="9.1796875" style="23"/>
    <col min="11768" max="11768" width="8.7265625" style="23" customWidth="1"/>
    <col min="11769" max="11769" width="9.81640625" style="23" customWidth="1"/>
    <col min="11770" max="11770" width="14.453125" style="23" customWidth="1"/>
    <col min="11771" max="11771" width="7.26953125" style="23" customWidth="1"/>
    <col min="11772" max="11772" width="5.54296875" style="23" customWidth="1"/>
    <col min="11773" max="11773" width="9" style="23" customWidth="1"/>
    <col min="11774" max="11775" width="9.81640625" style="23" customWidth="1"/>
    <col min="11776" max="11776" width="11.1796875" style="23" customWidth="1"/>
    <col min="11777" max="11777" width="2.81640625" style="23" customWidth="1"/>
    <col min="11778" max="11778" width="3.54296875" style="23" customWidth="1"/>
    <col min="11779" max="12023" width="9.1796875" style="23"/>
    <col min="12024" max="12024" width="8.7265625" style="23" customWidth="1"/>
    <col min="12025" max="12025" width="9.81640625" style="23" customWidth="1"/>
    <col min="12026" max="12026" width="14.453125" style="23" customWidth="1"/>
    <col min="12027" max="12027" width="7.26953125" style="23" customWidth="1"/>
    <col min="12028" max="12028" width="5.54296875" style="23" customWidth="1"/>
    <col min="12029" max="12029" width="9" style="23" customWidth="1"/>
    <col min="12030" max="12031" width="9.81640625" style="23" customWidth="1"/>
    <col min="12032" max="12032" width="11.1796875" style="23" customWidth="1"/>
    <col min="12033" max="12033" width="2.81640625" style="23" customWidth="1"/>
    <col min="12034" max="12034" width="3.54296875" style="23" customWidth="1"/>
    <col min="12035" max="12279" width="9.1796875" style="23"/>
    <col min="12280" max="12280" width="8.7265625" style="23" customWidth="1"/>
    <col min="12281" max="12281" width="9.81640625" style="23" customWidth="1"/>
    <col min="12282" max="12282" width="14.453125" style="23" customWidth="1"/>
    <col min="12283" max="12283" width="7.26953125" style="23" customWidth="1"/>
    <col min="12284" max="12284" width="5.54296875" style="23" customWidth="1"/>
    <col min="12285" max="12285" width="9" style="23" customWidth="1"/>
    <col min="12286" max="12287" width="9.81640625" style="23" customWidth="1"/>
    <col min="12288" max="12288" width="11.1796875" style="23" customWidth="1"/>
    <col min="12289" max="12289" width="2.81640625" style="23" customWidth="1"/>
    <col min="12290" max="12290" width="3.54296875" style="23" customWidth="1"/>
    <col min="12291" max="12535" width="9.1796875" style="23"/>
    <col min="12536" max="12536" width="8.7265625" style="23" customWidth="1"/>
    <col min="12537" max="12537" width="9.81640625" style="23" customWidth="1"/>
    <col min="12538" max="12538" width="14.453125" style="23" customWidth="1"/>
    <col min="12539" max="12539" width="7.26953125" style="23" customWidth="1"/>
    <col min="12540" max="12540" width="5.54296875" style="23" customWidth="1"/>
    <col min="12541" max="12541" width="9" style="23" customWidth="1"/>
    <col min="12542" max="12543" width="9.81640625" style="23" customWidth="1"/>
    <col min="12544" max="12544" width="11.1796875" style="23" customWidth="1"/>
    <col min="12545" max="12545" width="2.81640625" style="23" customWidth="1"/>
    <col min="12546" max="12546" width="3.54296875" style="23" customWidth="1"/>
    <col min="12547" max="12791" width="9.1796875" style="23"/>
    <col min="12792" max="12792" width="8.7265625" style="23" customWidth="1"/>
    <col min="12793" max="12793" width="9.81640625" style="23" customWidth="1"/>
    <col min="12794" max="12794" width="14.453125" style="23" customWidth="1"/>
    <col min="12795" max="12795" width="7.26953125" style="23" customWidth="1"/>
    <col min="12796" max="12796" width="5.54296875" style="23" customWidth="1"/>
    <col min="12797" max="12797" width="9" style="23" customWidth="1"/>
    <col min="12798" max="12799" width="9.81640625" style="23" customWidth="1"/>
    <col min="12800" max="12800" width="11.1796875" style="23" customWidth="1"/>
    <col min="12801" max="12801" width="2.81640625" style="23" customWidth="1"/>
    <col min="12802" max="12802" width="3.54296875" style="23" customWidth="1"/>
    <col min="12803" max="13047" width="9.1796875" style="23"/>
    <col min="13048" max="13048" width="8.7265625" style="23" customWidth="1"/>
    <col min="13049" max="13049" width="9.81640625" style="23" customWidth="1"/>
    <col min="13050" max="13050" width="14.453125" style="23" customWidth="1"/>
    <col min="13051" max="13051" width="7.26953125" style="23" customWidth="1"/>
    <col min="13052" max="13052" width="5.54296875" style="23" customWidth="1"/>
    <col min="13053" max="13053" width="9" style="23" customWidth="1"/>
    <col min="13054" max="13055" width="9.81640625" style="23" customWidth="1"/>
    <col min="13056" max="13056" width="11.1796875" style="23" customWidth="1"/>
    <col min="13057" max="13057" width="2.81640625" style="23" customWidth="1"/>
    <col min="13058" max="13058" width="3.54296875" style="23" customWidth="1"/>
    <col min="13059" max="13303" width="9.1796875" style="23"/>
    <col min="13304" max="13304" width="8.7265625" style="23" customWidth="1"/>
    <col min="13305" max="13305" width="9.81640625" style="23" customWidth="1"/>
    <col min="13306" max="13306" width="14.453125" style="23" customWidth="1"/>
    <col min="13307" max="13307" width="7.26953125" style="23" customWidth="1"/>
    <col min="13308" max="13308" width="5.54296875" style="23" customWidth="1"/>
    <col min="13309" max="13309" width="9" style="23" customWidth="1"/>
    <col min="13310" max="13311" width="9.81640625" style="23" customWidth="1"/>
    <col min="13312" max="13312" width="11.1796875" style="23" customWidth="1"/>
    <col min="13313" max="13313" width="2.81640625" style="23" customWidth="1"/>
    <col min="13314" max="13314" width="3.54296875" style="23" customWidth="1"/>
    <col min="13315" max="13559" width="9.1796875" style="23"/>
    <col min="13560" max="13560" width="8.7265625" style="23" customWidth="1"/>
    <col min="13561" max="13561" width="9.81640625" style="23" customWidth="1"/>
    <col min="13562" max="13562" width="14.453125" style="23" customWidth="1"/>
    <col min="13563" max="13563" width="7.26953125" style="23" customWidth="1"/>
    <col min="13564" max="13564" width="5.54296875" style="23" customWidth="1"/>
    <col min="13565" max="13565" width="9" style="23" customWidth="1"/>
    <col min="13566" max="13567" width="9.81640625" style="23" customWidth="1"/>
    <col min="13568" max="13568" width="11.1796875" style="23" customWidth="1"/>
    <col min="13569" max="13569" width="2.81640625" style="23" customWidth="1"/>
    <col min="13570" max="13570" width="3.54296875" style="23" customWidth="1"/>
    <col min="13571" max="13815" width="9.1796875" style="23"/>
    <col min="13816" max="13816" width="8.7265625" style="23" customWidth="1"/>
    <col min="13817" max="13817" width="9.81640625" style="23" customWidth="1"/>
    <col min="13818" max="13818" width="14.453125" style="23" customWidth="1"/>
    <col min="13819" max="13819" width="7.26953125" style="23" customWidth="1"/>
    <col min="13820" max="13820" width="5.54296875" style="23" customWidth="1"/>
    <col min="13821" max="13821" width="9" style="23" customWidth="1"/>
    <col min="13822" max="13823" width="9.81640625" style="23" customWidth="1"/>
    <col min="13824" max="13824" width="11.1796875" style="23" customWidth="1"/>
    <col min="13825" max="13825" width="2.81640625" style="23" customWidth="1"/>
    <col min="13826" max="13826" width="3.54296875" style="23" customWidth="1"/>
    <col min="13827" max="14071" width="9.1796875" style="23"/>
    <col min="14072" max="14072" width="8.7265625" style="23" customWidth="1"/>
    <col min="14073" max="14073" width="9.81640625" style="23" customWidth="1"/>
    <col min="14074" max="14074" width="14.453125" style="23" customWidth="1"/>
    <col min="14075" max="14075" width="7.26953125" style="23" customWidth="1"/>
    <col min="14076" max="14076" width="5.54296875" style="23" customWidth="1"/>
    <col min="14077" max="14077" width="9" style="23" customWidth="1"/>
    <col min="14078" max="14079" width="9.81640625" style="23" customWidth="1"/>
    <col min="14080" max="14080" width="11.1796875" style="23" customWidth="1"/>
    <col min="14081" max="14081" width="2.81640625" style="23" customWidth="1"/>
    <col min="14082" max="14082" width="3.54296875" style="23" customWidth="1"/>
    <col min="14083" max="14327" width="9.1796875" style="23"/>
    <col min="14328" max="14328" width="8.7265625" style="23" customWidth="1"/>
    <col min="14329" max="14329" width="9.81640625" style="23" customWidth="1"/>
    <col min="14330" max="14330" width="14.453125" style="23" customWidth="1"/>
    <col min="14331" max="14331" width="7.26953125" style="23" customWidth="1"/>
    <col min="14332" max="14332" width="5.54296875" style="23" customWidth="1"/>
    <col min="14333" max="14333" width="9" style="23" customWidth="1"/>
    <col min="14334" max="14335" width="9.81640625" style="23" customWidth="1"/>
    <col min="14336" max="14336" width="11.1796875" style="23" customWidth="1"/>
    <col min="14337" max="14337" width="2.81640625" style="23" customWidth="1"/>
    <col min="14338" max="14338" width="3.54296875" style="23" customWidth="1"/>
    <col min="14339" max="14583" width="9.1796875" style="23"/>
    <col min="14584" max="14584" width="8.7265625" style="23" customWidth="1"/>
    <col min="14585" max="14585" width="9.81640625" style="23" customWidth="1"/>
    <col min="14586" max="14586" width="14.453125" style="23" customWidth="1"/>
    <col min="14587" max="14587" width="7.26953125" style="23" customWidth="1"/>
    <col min="14588" max="14588" width="5.54296875" style="23" customWidth="1"/>
    <col min="14589" max="14589" width="9" style="23" customWidth="1"/>
    <col min="14590" max="14591" width="9.81640625" style="23" customWidth="1"/>
    <col min="14592" max="14592" width="11.1796875" style="23" customWidth="1"/>
    <col min="14593" max="14593" width="2.81640625" style="23" customWidth="1"/>
    <col min="14594" max="14594" width="3.54296875" style="23" customWidth="1"/>
    <col min="14595" max="14839" width="9.1796875" style="23"/>
    <col min="14840" max="14840" width="8.7265625" style="23" customWidth="1"/>
    <col min="14841" max="14841" width="9.81640625" style="23" customWidth="1"/>
    <col min="14842" max="14842" width="14.453125" style="23" customWidth="1"/>
    <col min="14843" max="14843" width="7.26953125" style="23" customWidth="1"/>
    <col min="14844" max="14844" width="5.54296875" style="23" customWidth="1"/>
    <col min="14845" max="14845" width="9" style="23" customWidth="1"/>
    <col min="14846" max="14847" width="9.81640625" style="23" customWidth="1"/>
    <col min="14848" max="14848" width="11.1796875" style="23" customWidth="1"/>
    <col min="14849" max="14849" width="2.81640625" style="23" customWidth="1"/>
    <col min="14850" max="14850" width="3.54296875" style="23" customWidth="1"/>
    <col min="14851" max="15095" width="9.1796875" style="23"/>
    <col min="15096" max="15096" width="8.7265625" style="23" customWidth="1"/>
    <col min="15097" max="15097" width="9.81640625" style="23" customWidth="1"/>
    <col min="15098" max="15098" width="14.453125" style="23" customWidth="1"/>
    <col min="15099" max="15099" width="7.26953125" style="23" customWidth="1"/>
    <col min="15100" max="15100" width="5.54296875" style="23" customWidth="1"/>
    <col min="15101" max="15101" width="9" style="23" customWidth="1"/>
    <col min="15102" max="15103" width="9.81640625" style="23" customWidth="1"/>
    <col min="15104" max="15104" width="11.1796875" style="23" customWidth="1"/>
    <col min="15105" max="15105" width="2.81640625" style="23" customWidth="1"/>
    <col min="15106" max="15106" width="3.54296875" style="23" customWidth="1"/>
    <col min="15107" max="15351" width="9.1796875" style="23"/>
    <col min="15352" max="15352" width="8.7265625" style="23" customWidth="1"/>
    <col min="15353" max="15353" width="9.81640625" style="23" customWidth="1"/>
    <col min="15354" max="15354" width="14.453125" style="23" customWidth="1"/>
    <col min="15355" max="15355" width="7.26953125" style="23" customWidth="1"/>
    <col min="15356" max="15356" width="5.54296875" style="23" customWidth="1"/>
    <col min="15357" max="15357" width="9" style="23" customWidth="1"/>
    <col min="15358" max="15359" width="9.81640625" style="23" customWidth="1"/>
    <col min="15360" max="15360" width="11.1796875" style="23" customWidth="1"/>
    <col min="15361" max="15361" width="2.81640625" style="23" customWidth="1"/>
    <col min="15362" max="15362" width="3.54296875" style="23" customWidth="1"/>
    <col min="15363" max="15607" width="9.1796875" style="23"/>
    <col min="15608" max="15608" width="8.7265625" style="23" customWidth="1"/>
    <col min="15609" max="15609" width="9.81640625" style="23" customWidth="1"/>
    <col min="15610" max="15610" width="14.453125" style="23" customWidth="1"/>
    <col min="15611" max="15611" width="7.26953125" style="23" customWidth="1"/>
    <col min="15612" max="15612" width="5.54296875" style="23" customWidth="1"/>
    <col min="15613" max="15613" width="9" style="23" customWidth="1"/>
    <col min="15614" max="15615" width="9.81640625" style="23" customWidth="1"/>
    <col min="15616" max="15616" width="11.1796875" style="23" customWidth="1"/>
    <col min="15617" max="15617" width="2.81640625" style="23" customWidth="1"/>
    <col min="15618" max="15618" width="3.54296875" style="23" customWidth="1"/>
    <col min="15619" max="15863" width="9.1796875" style="23"/>
    <col min="15864" max="15864" width="8.7265625" style="23" customWidth="1"/>
    <col min="15865" max="15865" width="9.81640625" style="23" customWidth="1"/>
    <col min="15866" max="15866" width="14.453125" style="23" customWidth="1"/>
    <col min="15867" max="15867" width="7.26953125" style="23" customWidth="1"/>
    <col min="15868" max="15868" width="5.54296875" style="23" customWidth="1"/>
    <col min="15869" max="15869" width="9" style="23" customWidth="1"/>
    <col min="15870" max="15871" width="9.81640625" style="23" customWidth="1"/>
    <col min="15872" max="15872" width="11.1796875" style="23" customWidth="1"/>
    <col min="15873" max="15873" width="2.81640625" style="23" customWidth="1"/>
    <col min="15874" max="15874" width="3.54296875" style="23" customWidth="1"/>
    <col min="15875" max="16119" width="9.1796875" style="23"/>
    <col min="16120" max="16120" width="8.7265625" style="23" customWidth="1"/>
    <col min="16121" max="16121" width="9.81640625" style="23" customWidth="1"/>
    <col min="16122" max="16122" width="14.453125" style="23" customWidth="1"/>
    <col min="16123" max="16123" width="7.26953125" style="23" customWidth="1"/>
    <col min="16124" max="16124" width="5.54296875" style="23" customWidth="1"/>
    <col min="16125" max="16125" width="9" style="23" customWidth="1"/>
    <col min="16126" max="16127" width="9.81640625" style="23" customWidth="1"/>
    <col min="16128" max="16128" width="11.1796875" style="23" customWidth="1"/>
    <col min="16129" max="16129" width="2.81640625" style="23" customWidth="1"/>
    <col min="16130" max="16130" width="3.54296875" style="23" customWidth="1"/>
    <col min="16131" max="16384" width="9.1796875" style="23"/>
  </cols>
  <sheetData>
    <row r="1" spans="1:8" ht="46.5" customHeight="1" x14ac:dyDescent="0.35">
      <c r="A1" s="150" t="s">
        <v>232</v>
      </c>
      <c r="B1" s="150"/>
      <c r="C1" s="150"/>
      <c r="D1" s="150"/>
      <c r="E1" s="150"/>
      <c r="F1" s="150"/>
      <c r="G1" s="150"/>
      <c r="H1" s="150"/>
    </row>
    <row r="2" spans="1:8" ht="16.5" customHeight="1" x14ac:dyDescent="0.35">
      <c r="A2" s="135" t="s">
        <v>0</v>
      </c>
      <c r="B2" s="135"/>
      <c r="C2" s="135"/>
      <c r="D2" s="135"/>
      <c r="E2" s="135"/>
      <c r="F2" s="135"/>
      <c r="G2" s="135"/>
      <c r="H2" s="135"/>
    </row>
    <row r="3" spans="1:8" x14ac:dyDescent="0.35">
      <c r="A3" s="133" t="s">
        <v>1</v>
      </c>
      <c r="B3" s="133"/>
      <c r="C3" s="133"/>
      <c r="D3" s="133"/>
      <c r="E3" s="133" t="str">
        <f ca="1">TEXT(TODAY(),"DD/MM/YYYY")</f>
        <v>13/09/2025</v>
      </c>
      <c r="F3" s="133"/>
      <c r="G3" s="133"/>
      <c r="H3" s="133"/>
    </row>
    <row r="4" spans="1:8" ht="15" customHeight="1" x14ac:dyDescent="0.35">
      <c r="A4" s="133" t="s">
        <v>2</v>
      </c>
      <c r="B4" s="133"/>
      <c r="C4" s="133"/>
      <c r="D4" s="133"/>
      <c r="E4" s="133" t="s">
        <v>205</v>
      </c>
      <c r="F4" s="133"/>
      <c r="G4" s="133"/>
      <c r="H4" s="133"/>
    </row>
    <row r="5" spans="1:8" x14ac:dyDescent="0.35">
      <c r="A5" s="133" t="s">
        <v>3</v>
      </c>
      <c r="B5" s="133"/>
      <c r="C5" s="133"/>
      <c r="D5" s="133"/>
      <c r="E5" s="152">
        <v>45906</v>
      </c>
      <c r="F5" s="133"/>
      <c r="G5" s="133"/>
      <c r="H5" s="133"/>
    </row>
    <row r="6" spans="1:8" ht="16.5" customHeight="1" x14ac:dyDescent="0.35">
      <c r="A6" s="133" t="s">
        <v>4</v>
      </c>
      <c r="B6" s="133"/>
      <c r="C6" s="133"/>
      <c r="D6" s="133"/>
      <c r="E6" s="133" t="s">
        <v>203</v>
      </c>
      <c r="F6" s="133"/>
      <c r="G6" s="133"/>
      <c r="H6" s="133"/>
    </row>
    <row r="7" spans="1:8" ht="15" customHeight="1" x14ac:dyDescent="0.35">
      <c r="A7" s="133" t="s">
        <v>5</v>
      </c>
      <c r="B7" s="133"/>
      <c r="C7" s="133"/>
      <c r="D7" s="133"/>
      <c r="E7" s="133" t="str">
        <f>E6</f>
        <v>M/s. Raunak Corporation</v>
      </c>
      <c r="F7" s="133"/>
      <c r="G7" s="133"/>
      <c r="H7" s="133"/>
    </row>
    <row r="8" spans="1:8" x14ac:dyDescent="0.35">
      <c r="A8" s="133" t="s">
        <v>6</v>
      </c>
      <c r="B8" s="133"/>
      <c r="C8" s="133"/>
      <c r="D8" s="133"/>
      <c r="E8" s="151" t="s">
        <v>222</v>
      </c>
      <c r="F8" s="151"/>
      <c r="G8" s="151"/>
      <c r="H8" s="151"/>
    </row>
    <row r="9" spans="1:8" x14ac:dyDescent="0.35">
      <c r="A9" s="133" t="s">
        <v>127</v>
      </c>
      <c r="B9" s="133"/>
      <c r="C9" s="133"/>
      <c r="D9" s="133"/>
      <c r="E9" s="133" t="s">
        <v>206</v>
      </c>
      <c r="F9" s="133"/>
      <c r="G9" s="133"/>
      <c r="H9" s="133"/>
    </row>
    <row r="10" spans="1:8" x14ac:dyDescent="0.35">
      <c r="A10" s="133" t="s">
        <v>233</v>
      </c>
      <c r="B10" s="133"/>
      <c r="C10" s="133"/>
      <c r="D10" s="133"/>
      <c r="E10" s="133" t="s">
        <v>238</v>
      </c>
      <c r="F10" s="133"/>
      <c r="G10" s="133"/>
      <c r="H10" s="133"/>
    </row>
    <row r="11" spans="1:8" x14ac:dyDescent="0.35">
      <c r="A11" s="133" t="s">
        <v>7</v>
      </c>
      <c r="B11" s="133"/>
      <c r="C11" s="133"/>
      <c r="D11" s="133"/>
      <c r="E11" s="133" t="s">
        <v>237</v>
      </c>
      <c r="F11" s="133"/>
      <c r="G11" s="133"/>
      <c r="H11" s="133"/>
    </row>
    <row r="12" spans="1:8" x14ac:dyDescent="0.35">
      <c r="A12" s="133" t="s">
        <v>8</v>
      </c>
      <c r="B12" s="133"/>
      <c r="C12" s="133"/>
      <c r="D12" s="133"/>
      <c r="E12" s="139" t="s">
        <v>207</v>
      </c>
      <c r="F12" s="139"/>
      <c r="G12" s="139"/>
      <c r="H12" s="139"/>
    </row>
    <row r="13" spans="1:8" ht="48.75" customHeight="1" x14ac:dyDescent="0.35">
      <c r="A13" s="133" t="s">
        <v>9</v>
      </c>
      <c r="B13" s="133"/>
      <c r="C13" s="133"/>
      <c r="D13" s="133"/>
      <c r="E13" s="139" t="s">
        <v>204</v>
      </c>
      <c r="F13" s="133"/>
      <c r="G13" s="133"/>
      <c r="H13" s="133"/>
    </row>
    <row r="14" spans="1:8" ht="65.25" customHeight="1" x14ac:dyDescent="0.35">
      <c r="A14" s="143" t="s">
        <v>10</v>
      </c>
      <c r="B14" s="143"/>
      <c r="C14" s="14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Raunak City Sector VI, Survey No.50, H.No-3/2,3/3, S.No.51 H.No-1,7,5 (Part),6, S.No.53, H.No-1,4, S.No.64 H.No-6,4,1/2/1,5,7,1/1, S.No.65 H.No-5,1,7/1,4,9,2,3 S.No.66 H.No-2,1,3/1(Part), near MSEB Office, Kalyan (W), Internal Road, Adharwadi, Wadeghar, Kalyan (West), Kalyan, Thane - 421301.</v>
      </c>
      <c r="D14" s="143"/>
      <c r="E14" s="143"/>
      <c r="F14" s="143"/>
      <c r="G14" s="143"/>
      <c r="H14" s="143"/>
    </row>
    <row r="15" spans="1:8" ht="31.5" customHeight="1" x14ac:dyDescent="0.35">
      <c r="A15" s="153" t="s">
        <v>177</v>
      </c>
      <c r="B15" s="153"/>
      <c r="C15" s="139" t="s">
        <v>208</v>
      </c>
      <c r="D15" s="139"/>
      <c r="E15" s="139"/>
      <c r="F15" s="139"/>
      <c r="G15" s="139"/>
      <c r="H15" s="139"/>
    </row>
    <row r="16" spans="1:8" ht="15.75" customHeight="1" x14ac:dyDescent="0.35">
      <c r="A16" s="145" t="s">
        <v>174</v>
      </c>
      <c r="B16" s="146"/>
      <c r="C16" s="145" t="s">
        <v>178</v>
      </c>
      <c r="D16" s="147"/>
      <c r="E16" s="147"/>
      <c r="F16" s="147"/>
      <c r="G16" s="147"/>
      <c r="H16" s="146"/>
    </row>
    <row r="17" spans="1:8" ht="15.75" customHeight="1" x14ac:dyDescent="0.35">
      <c r="A17" s="143" t="s">
        <v>11</v>
      </c>
      <c r="B17" s="143"/>
      <c r="C17" s="133" t="s">
        <v>187</v>
      </c>
      <c r="D17" s="133"/>
      <c r="E17" s="143" t="s">
        <v>175</v>
      </c>
      <c r="F17" s="143"/>
      <c r="G17" s="139" t="s">
        <v>186</v>
      </c>
      <c r="H17" s="139"/>
    </row>
    <row r="18" spans="1:8" x14ac:dyDescent="0.35">
      <c r="A18" s="92" t="s">
        <v>13</v>
      </c>
      <c r="B18" s="92"/>
      <c r="C18" s="139" t="s">
        <v>184</v>
      </c>
      <c r="D18" s="139"/>
      <c r="E18" s="143" t="s">
        <v>12</v>
      </c>
      <c r="F18" s="143"/>
      <c r="G18" s="144" t="s">
        <v>182</v>
      </c>
      <c r="H18" s="144"/>
    </row>
    <row r="19" spans="1:8" x14ac:dyDescent="0.35">
      <c r="A19" s="92" t="s">
        <v>76</v>
      </c>
      <c r="B19" s="92"/>
      <c r="C19" s="139" t="s">
        <v>183</v>
      </c>
      <c r="D19" s="139"/>
      <c r="E19" s="143" t="s">
        <v>14</v>
      </c>
      <c r="F19" s="143"/>
      <c r="G19" s="139">
        <v>421301</v>
      </c>
      <c r="H19" s="139"/>
    </row>
    <row r="20" spans="1:8" ht="32.25" customHeight="1" x14ac:dyDescent="0.35">
      <c r="A20" s="92" t="s">
        <v>128</v>
      </c>
      <c r="B20" s="92"/>
      <c r="C20" s="139" t="s">
        <v>209</v>
      </c>
      <c r="D20" s="139"/>
      <c r="E20" s="143" t="s">
        <v>15</v>
      </c>
      <c r="F20" s="143"/>
      <c r="G20" s="139" t="s">
        <v>188</v>
      </c>
      <c r="H20" s="139"/>
    </row>
    <row r="21" spans="1:8" ht="15" customHeight="1" x14ac:dyDescent="0.35">
      <c r="A21" s="143" t="s">
        <v>79</v>
      </c>
      <c r="B21" s="143"/>
      <c r="C21" s="143"/>
      <c r="D21" s="143"/>
      <c r="E21" s="133" t="s">
        <v>16</v>
      </c>
      <c r="F21" s="133"/>
      <c r="G21" s="133"/>
      <c r="H21" s="133"/>
    </row>
    <row r="22" spans="1:8" ht="18.75" customHeight="1" x14ac:dyDescent="0.35">
      <c r="A22" s="143"/>
      <c r="B22" s="143"/>
      <c r="C22" s="143"/>
      <c r="D22" s="143"/>
      <c r="E22" s="133"/>
      <c r="F22" s="133"/>
      <c r="G22" s="133"/>
      <c r="H22" s="133"/>
    </row>
    <row r="23" spans="1:8" ht="15" customHeight="1" x14ac:dyDescent="0.35">
      <c r="A23" s="143" t="s">
        <v>17</v>
      </c>
      <c r="B23" s="143"/>
      <c r="C23" s="143"/>
      <c r="D23" s="143"/>
      <c r="E23" s="139" t="s">
        <v>18</v>
      </c>
      <c r="F23" s="139"/>
      <c r="G23" s="139"/>
      <c r="H23" s="139"/>
    </row>
    <row r="24" spans="1:8" ht="15" customHeight="1" x14ac:dyDescent="0.35">
      <c r="A24" s="92" t="s">
        <v>19</v>
      </c>
      <c r="B24" s="92"/>
      <c r="C24" s="92"/>
      <c r="D24" s="92"/>
      <c r="E24" s="139" t="str">
        <f>IF(AND(G18="Mumbai"),"Upper Class","Middle Class")</f>
        <v>Middle Class</v>
      </c>
      <c r="F24" s="139"/>
      <c r="G24" s="139"/>
      <c r="H24" s="139"/>
    </row>
    <row r="25" spans="1:8" x14ac:dyDescent="0.35">
      <c r="A25" s="92" t="s">
        <v>20</v>
      </c>
      <c r="B25" s="92"/>
      <c r="C25" s="92"/>
      <c r="D25" s="92"/>
      <c r="E25" s="139" t="s">
        <v>21</v>
      </c>
      <c r="F25" s="139"/>
      <c r="G25" s="139"/>
      <c r="H25" s="139"/>
    </row>
    <row r="26" spans="1:8" ht="15.75" customHeight="1" x14ac:dyDescent="0.35">
      <c r="A26" s="92" t="s">
        <v>22</v>
      </c>
      <c r="B26" s="92"/>
      <c r="C26" s="92"/>
      <c r="D26" s="92"/>
      <c r="E26" s="139" t="str">
        <f>IF(AND(G18="Mumbai"),"Developed","Developing")</f>
        <v>Developing</v>
      </c>
      <c r="F26" s="139"/>
      <c r="G26" s="139"/>
      <c r="H26" s="139"/>
    </row>
    <row r="27" spans="1:8" x14ac:dyDescent="0.35">
      <c r="A27" s="92" t="s">
        <v>23</v>
      </c>
      <c r="B27" s="92"/>
      <c r="C27" s="92"/>
      <c r="D27" s="92"/>
      <c r="E27" s="139" t="s">
        <v>24</v>
      </c>
      <c r="F27" s="139"/>
      <c r="G27" s="139"/>
      <c r="H27" s="139"/>
    </row>
    <row r="28" spans="1:8" ht="15.75" customHeight="1" x14ac:dyDescent="0.35">
      <c r="A28" s="92" t="s">
        <v>84</v>
      </c>
      <c r="B28" s="92"/>
      <c r="C28" s="92"/>
      <c r="D28" s="92"/>
      <c r="E28" s="139" t="s">
        <v>85</v>
      </c>
      <c r="F28" s="139"/>
      <c r="G28" s="139"/>
      <c r="H28" s="139"/>
    </row>
    <row r="29" spans="1:8" ht="15" customHeight="1" x14ac:dyDescent="0.35">
      <c r="A29" s="92" t="s">
        <v>35</v>
      </c>
      <c r="B29" s="92"/>
      <c r="C29" s="92"/>
      <c r="D29" s="92"/>
      <c r="E29" s="139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 + Commercial</v>
      </c>
      <c r="F29" s="139"/>
      <c r="G29" s="139"/>
      <c r="H29" s="139"/>
    </row>
    <row r="30" spans="1:8" ht="15.75" customHeight="1" x14ac:dyDescent="0.35">
      <c r="A30" s="92" t="s">
        <v>96</v>
      </c>
      <c r="B30" s="92"/>
      <c r="C30" s="92"/>
      <c r="D30" s="92"/>
      <c r="E30" s="139" t="s">
        <v>36</v>
      </c>
      <c r="F30" s="139"/>
      <c r="G30" s="139"/>
      <c r="H30" s="139"/>
    </row>
    <row r="31" spans="1:8" s="24" customFormat="1" x14ac:dyDescent="0.35">
      <c r="A31" s="142" t="s">
        <v>97</v>
      </c>
      <c r="B31" s="142"/>
      <c r="C31" s="141" t="s">
        <v>29</v>
      </c>
      <c r="D31" s="141"/>
      <c r="E31" s="141"/>
      <c r="F31" s="141" t="s">
        <v>31</v>
      </c>
      <c r="G31" s="141"/>
      <c r="H31" s="141"/>
    </row>
    <row r="32" spans="1:8" s="24" customFormat="1" x14ac:dyDescent="0.35">
      <c r="A32" s="140" t="s">
        <v>25</v>
      </c>
      <c r="B32" s="140" t="s">
        <v>30</v>
      </c>
      <c r="C32" s="129" t="s">
        <v>30</v>
      </c>
      <c r="D32" s="129"/>
      <c r="E32" s="129"/>
      <c r="F32" s="129" t="s">
        <v>179</v>
      </c>
      <c r="G32" s="129"/>
      <c r="H32" s="129"/>
    </row>
    <row r="33" spans="1:8" x14ac:dyDescent="0.35">
      <c r="A33" s="140" t="s">
        <v>26</v>
      </c>
      <c r="B33" s="140" t="s">
        <v>30</v>
      </c>
      <c r="C33" s="129" t="s">
        <v>30</v>
      </c>
      <c r="D33" s="129"/>
      <c r="E33" s="129"/>
      <c r="F33" s="129" t="s">
        <v>179</v>
      </c>
      <c r="G33" s="129"/>
      <c r="H33" s="129"/>
    </row>
    <row r="34" spans="1:8" s="24" customFormat="1" x14ac:dyDescent="0.35">
      <c r="A34" s="140" t="s">
        <v>28</v>
      </c>
      <c r="B34" s="140" t="s">
        <v>30</v>
      </c>
      <c r="C34" s="129" t="s">
        <v>30</v>
      </c>
      <c r="D34" s="129"/>
      <c r="E34" s="129"/>
      <c r="F34" s="129" t="s">
        <v>179</v>
      </c>
      <c r="G34" s="129"/>
      <c r="H34" s="129"/>
    </row>
    <row r="35" spans="1:8" x14ac:dyDescent="0.35">
      <c r="A35" s="127" t="s">
        <v>27</v>
      </c>
      <c r="B35" s="127" t="s">
        <v>30</v>
      </c>
      <c r="C35" s="127" t="s">
        <v>30</v>
      </c>
      <c r="D35" s="127"/>
      <c r="E35" s="127"/>
      <c r="F35" s="134" t="s">
        <v>210</v>
      </c>
      <c r="G35" s="127"/>
      <c r="H35" s="127"/>
    </row>
    <row r="36" spans="1:8" x14ac:dyDescent="0.35">
      <c r="A36" s="92" t="s">
        <v>32</v>
      </c>
      <c r="B36" s="92"/>
      <c r="C36" s="92"/>
      <c r="D36" s="92"/>
      <c r="E36" s="92"/>
      <c r="F36" s="92"/>
      <c r="G36" s="92"/>
      <c r="H36" s="92"/>
    </row>
    <row r="37" spans="1:8" ht="15.75" customHeight="1" x14ac:dyDescent="0.35">
      <c r="A37" s="135" t="s">
        <v>33</v>
      </c>
      <c r="B37" s="135"/>
      <c r="C37" s="136">
        <v>19.265108000000001</v>
      </c>
      <c r="D37" s="136"/>
      <c r="E37" s="135" t="s">
        <v>34</v>
      </c>
      <c r="F37" s="135"/>
      <c r="G37" s="137">
        <v>73.121684999999999</v>
      </c>
      <c r="H37" s="137"/>
    </row>
    <row r="38" spans="1:8" x14ac:dyDescent="0.35">
      <c r="A38" s="135" t="s">
        <v>173</v>
      </c>
      <c r="B38" s="135"/>
      <c r="C38" s="138" t="s">
        <v>180</v>
      </c>
      <c r="D38" s="139"/>
      <c r="E38" s="139"/>
      <c r="F38" s="139"/>
      <c r="G38" s="139"/>
      <c r="H38" s="139"/>
    </row>
    <row r="39" spans="1:8" x14ac:dyDescent="0.35">
      <c r="A39" s="130" t="s">
        <v>37</v>
      </c>
      <c r="B39" s="130"/>
      <c r="C39" s="130"/>
      <c r="D39" s="130"/>
      <c r="E39" s="130"/>
      <c r="F39" s="130"/>
      <c r="G39" s="130"/>
      <c r="H39" s="130"/>
    </row>
    <row r="40" spans="1:8" x14ac:dyDescent="0.35">
      <c r="A40" s="92" t="s">
        <v>38</v>
      </c>
      <c r="B40" s="92"/>
      <c r="C40" s="92"/>
      <c r="D40" s="92"/>
      <c r="E40" s="128">
        <v>108490.7</v>
      </c>
      <c r="F40" s="128"/>
      <c r="G40" s="128"/>
      <c r="H40" s="128"/>
    </row>
    <row r="41" spans="1:8" x14ac:dyDescent="0.35">
      <c r="A41" s="92" t="s">
        <v>39</v>
      </c>
      <c r="B41" s="92"/>
      <c r="C41" s="92"/>
      <c r="D41" s="92"/>
      <c r="E41" s="131">
        <v>1.1000000000000001</v>
      </c>
      <c r="F41" s="131"/>
      <c r="G41" s="131"/>
      <c r="H41" s="131"/>
    </row>
    <row r="42" spans="1:8" x14ac:dyDescent="0.35">
      <c r="A42" s="92" t="s">
        <v>40</v>
      </c>
      <c r="B42" s="92"/>
      <c r="C42" s="92"/>
      <c r="D42" s="92"/>
      <c r="E42" s="131">
        <f>E44/E40-E41</f>
        <v>1.0139117915031193E-5</v>
      </c>
      <c r="F42" s="131"/>
      <c r="G42" s="131"/>
      <c r="H42" s="131"/>
    </row>
    <row r="43" spans="1:8" x14ac:dyDescent="0.35">
      <c r="A43" s="92" t="s">
        <v>41</v>
      </c>
      <c r="B43" s="92"/>
      <c r="C43" s="92"/>
      <c r="D43" s="92"/>
      <c r="E43" s="131">
        <v>1.1000000000000001</v>
      </c>
      <c r="F43" s="131"/>
      <c r="G43" s="131"/>
      <c r="H43" s="131"/>
    </row>
    <row r="44" spans="1:8" x14ac:dyDescent="0.35">
      <c r="A44" s="92" t="s">
        <v>95</v>
      </c>
      <c r="B44" s="92"/>
      <c r="C44" s="92"/>
      <c r="D44" s="92"/>
      <c r="E44" s="132">
        <v>119340.87</v>
      </c>
      <c r="F44" s="132"/>
      <c r="G44" s="132"/>
      <c r="H44" s="132"/>
    </row>
    <row r="45" spans="1:8" x14ac:dyDescent="0.35">
      <c r="A45" s="133" t="s">
        <v>42</v>
      </c>
      <c r="B45" s="133"/>
      <c r="C45" s="133"/>
      <c r="D45" s="133"/>
      <c r="E45" s="133" t="s">
        <v>211</v>
      </c>
      <c r="F45" s="133"/>
      <c r="G45" s="133"/>
      <c r="H45" s="133"/>
    </row>
    <row r="46" spans="1:8" x14ac:dyDescent="0.35">
      <c r="A46" s="130" t="s">
        <v>43</v>
      </c>
      <c r="B46" s="130"/>
      <c r="C46" s="130"/>
      <c r="D46" s="130"/>
      <c r="E46" s="130"/>
      <c r="F46" s="130"/>
      <c r="G46" s="130"/>
      <c r="H46" s="130"/>
    </row>
    <row r="47" spans="1:8" ht="33.75" customHeight="1" x14ac:dyDescent="0.35">
      <c r="A47" s="108" t="s">
        <v>160</v>
      </c>
      <c r="B47" s="109"/>
      <c r="C47" s="110" t="s">
        <v>212</v>
      </c>
      <c r="D47" s="111"/>
      <c r="E47" s="111"/>
      <c r="F47" s="111"/>
      <c r="G47" s="111"/>
      <c r="H47" s="112"/>
    </row>
    <row r="48" spans="1:8" ht="15" customHeight="1" x14ac:dyDescent="0.35">
      <c r="A48" s="108" t="s">
        <v>44</v>
      </c>
      <c r="B48" s="109"/>
      <c r="C48" s="108" t="s">
        <v>181</v>
      </c>
      <c r="D48" s="149"/>
      <c r="E48" s="109"/>
      <c r="F48" s="20" t="s">
        <v>45</v>
      </c>
      <c r="G48" s="160">
        <v>44593</v>
      </c>
      <c r="H48" s="109"/>
    </row>
    <row r="49" spans="1:14" x14ac:dyDescent="0.35">
      <c r="A49" s="108" t="s">
        <v>46</v>
      </c>
      <c r="B49" s="109"/>
      <c r="C49" s="108" t="str">
        <f>C48</f>
        <v>KDMC/TPD/BP/KD/2013-14/10/466</v>
      </c>
      <c r="D49" s="149"/>
      <c r="E49" s="109"/>
      <c r="F49" s="20" t="s">
        <v>45</v>
      </c>
      <c r="G49" s="160">
        <f>G48</f>
        <v>44593</v>
      </c>
      <c r="H49" s="161"/>
    </row>
    <row r="50" spans="1:14" s="25" customFormat="1" ht="15.75" customHeight="1" x14ac:dyDescent="0.35">
      <c r="A50" s="162" t="s">
        <v>164</v>
      </c>
      <c r="B50" s="163"/>
      <c r="C50" s="108" t="str">
        <f>C49</f>
        <v>KDMC/TPD/BP/KD/2013-14/10/466</v>
      </c>
      <c r="D50" s="149"/>
      <c r="E50" s="109"/>
      <c r="F50" s="20" t="s">
        <v>45</v>
      </c>
      <c r="G50" s="160">
        <f>G49</f>
        <v>44593</v>
      </c>
      <c r="H50" s="161"/>
    </row>
    <row r="51" spans="1:14" s="25" customFormat="1" ht="49.5" customHeight="1" x14ac:dyDescent="0.35">
      <c r="A51" s="164"/>
      <c r="B51" s="165"/>
      <c r="C51" s="108" t="s">
        <v>213</v>
      </c>
      <c r="D51" s="149"/>
      <c r="E51" s="149"/>
      <c r="F51" s="149"/>
      <c r="G51" s="149"/>
      <c r="H51" s="109"/>
    </row>
    <row r="52" spans="1:14" x14ac:dyDescent="0.35">
      <c r="A52" s="205" t="s">
        <v>176</v>
      </c>
      <c r="B52" s="206"/>
      <c r="C52" s="209" t="s">
        <v>30</v>
      </c>
      <c r="D52" s="210"/>
      <c r="E52" s="211"/>
      <c r="F52" s="57" t="s">
        <v>45</v>
      </c>
      <c r="G52" s="203" t="s">
        <v>30</v>
      </c>
      <c r="H52" s="204"/>
    </row>
    <row r="53" spans="1:14" hidden="1" x14ac:dyDescent="0.35">
      <c r="A53" s="207"/>
      <c r="B53" s="208"/>
      <c r="C53" s="209" t="s">
        <v>30</v>
      </c>
      <c r="D53" s="210"/>
      <c r="E53" s="210"/>
      <c r="F53" s="210"/>
      <c r="G53" s="210"/>
      <c r="H53" s="211"/>
    </row>
    <row r="54" spans="1:14" x14ac:dyDescent="0.35">
      <c r="A54" s="154" t="s">
        <v>48</v>
      </c>
      <c r="B54" s="154"/>
      <c r="C54" s="154"/>
      <c r="D54" s="154"/>
      <c r="E54" s="154"/>
      <c r="F54" s="154"/>
      <c r="G54" s="154"/>
      <c r="H54" s="154"/>
    </row>
    <row r="55" spans="1:14" x14ac:dyDescent="0.35">
      <c r="A55" s="143" t="s">
        <v>94</v>
      </c>
      <c r="B55" s="143"/>
      <c r="C55" s="143"/>
      <c r="D55" s="133">
        <f>E44</f>
        <v>119340.87</v>
      </c>
      <c r="E55" s="133"/>
      <c r="F55" s="133"/>
      <c r="G55" s="133"/>
      <c r="H55" s="133"/>
    </row>
    <row r="56" spans="1:14" x14ac:dyDescent="0.35">
      <c r="A56" s="139" t="s">
        <v>49</v>
      </c>
      <c r="B56" s="133"/>
      <c r="C56" s="133"/>
      <c r="D56" s="133" t="s">
        <v>201</v>
      </c>
      <c r="E56" s="133"/>
      <c r="F56" s="133"/>
      <c r="G56" s="133"/>
      <c r="H56" s="133"/>
      <c r="I56" s="26"/>
    </row>
    <row r="57" spans="1:14" ht="48.75" customHeight="1" x14ac:dyDescent="0.35">
      <c r="A57" s="157" t="s">
        <v>50</v>
      </c>
      <c r="B57" s="158"/>
      <c r="C57" s="159"/>
      <c r="D57" s="155" t="s">
        <v>199</v>
      </c>
      <c r="E57" s="156"/>
      <c r="F57" s="156"/>
      <c r="G57" s="156"/>
      <c r="H57" s="156"/>
      <c r="I57" s="27"/>
    </row>
    <row r="58" spans="1:14" ht="15" customHeight="1" x14ac:dyDescent="0.35">
      <c r="A58" s="139" t="s">
        <v>92</v>
      </c>
      <c r="B58" s="139"/>
      <c r="C58" s="139"/>
      <c r="D58" s="133" t="s">
        <v>200</v>
      </c>
      <c r="E58" s="133"/>
      <c r="F58" s="133"/>
      <c r="G58" s="133"/>
      <c r="H58" s="133"/>
      <c r="I58" s="27"/>
    </row>
    <row r="59" spans="1:14" x14ac:dyDescent="0.35">
      <c r="A59" s="139"/>
      <c r="B59" s="139"/>
      <c r="C59" s="139"/>
      <c r="D59" s="139" t="s">
        <v>235</v>
      </c>
      <c r="E59" s="139"/>
      <c r="F59" s="139"/>
      <c r="G59" s="139"/>
      <c r="H59" s="139"/>
      <c r="I59" s="27"/>
    </row>
    <row r="60" spans="1:14" x14ac:dyDescent="0.35">
      <c r="A60" s="139"/>
      <c r="B60" s="139"/>
      <c r="C60" s="139"/>
      <c r="D60" s="139" t="s">
        <v>236</v>
      </c>
      <c r="E60" s="139"/>
      <c r="F60" s="139"/>
      <c r="G60" s="139"/>
      <c r="H60" s="139"/>
      <c r="I60" s="27"/>
    </row>
    <row r="61" spans="1:14" ht="15.75" customHeight="1" x14ac:dyDescent="0.35">
      <c r="A61" s="92" t="s">
        <v>47</v>
      </c>
      <c r="B61" s="92"/>
      <c r="C61" s="92"/>
      <c r="D61" s="143" t="s">
        <v>185</v>
      </c>
      <c r="E61" s="143"/>
      <c r="F61" s="143"/>
      <c r="G61" s="143"/>
      <c r="H61" s="143"/>
      <c r="J61" s="28"/>
      <c r="K61" s="26"/>
      <c r="N61" s="26"/>
    </row>
    <row r="62" spans="1:14" ht="15.75" customHeight="1" x14ac:dyDescent="0.35">
      <c r="A62" s="92" t="s">
        <v>90</v>
      </c>
      <c r="B62" s="92"/>
      <c r="C62" s="92"/>
      <c r="D62" s="148" t="str">
        <f>(IF(G52="NA","60 Years After Completion",IF(G52&lt;&gt;"NA",""&amp;60-ROUNDDOWN((E3-G52)/360,0)&amp;" Years"," ")))</f>
        <v>60 Years After Completion</v>
      </c>
      <c r="E62" s="148"/>
      <c r="F62" s="148"/>
      <c r="G62" s="148"/>
      <c r="H62" s="148"/>
      <c r="N62" s="26"/>
    </row>
    <row r="63" spans="1:14" ht="15.75" customHeight="1" x14ac:dyDescent="0.35">
      <c r="A63" s="92" t="s">
        <v>91</v>
      </c>
      <c r="B63" s="92"/>
      <c r="C63" s="92"/>
      <c r="D63" s="143" t="s">
        <v>24</v>
      </c>
      <c r="E63" s="143"/>
      <c r="F63" s="143"/>
      <c r="G63" s="143"/>
      <c r="H63" s="143"/>
      <c r="J63" s="29"/>
      <c r="K63" s="29"/>
    </row>
    <row r="64" spans="1:14" ht="15" customHeight="1" x14ac:dyDescent="0.35">
      <c r="A64" s="92" t="s">
        <v>77</v>
      </c>
      <c r="B64" s="92"/>
      <c r="C64" s="92"/>
      <c r="D64" s="139" t="s">
        <v>234</v>
      </c>
      <c r="E64" s="143"/>
      <c r="F64" s="143"/>
      <c r="G64" s="143"/>
      <c r="H64" s="143"/>
    </row>
    <row r="65" spans="1:14" x14ac:dyDescent="0.35">
      <c r="A65" s="143" t="s">
        <v>156</v>
      </c>
      <c r="B65" s="143"/>
      <c r="C65" s="143"/>
      <c r="D65" s="143" t="s">
        <v>30</v>
      </c>
      <c r="E65" s="143"/>
      <c r="F65" s="143"/>
      <c r="G65" s="143"/>
      <c r="H65" s="143"/>
      <c r="I65" s="30"/>
      <c r="J65" s="30"/>
      <c r="K65" s="30"/>
      <c r="L65" s="30"/>
      <c r="M65" s="30"/>
      <c r="N65" s="30"/>
    </row>
    <row r="66" spans="1:14" ht="15.75" customHeight="1" x14ac:dyDescent="0.35">
      <c r="A66" s="92" t="s">
        <v>89</v>
      </c>
      <c r="B66" s="92"/>
      <c r="C66" s="92"/>
      <c r="D66" s="139" t="str">
        <f ca="1">(IF(G72&gt;95%,"Nothing",IF(G72&gt;0%,"Cement, Aggregate, Steel, etc",IF(G72=0%,"Work not yet Started"))))</f>
        <v>Cement, Aggregate, Steel, etc</v>
      </c>
      <c r="E66" s="139"/>
      <c r="F66" s="139"/>
      <c r="G66" s="139"/>
      <c r="H66" s="139"/>
      <c r="J66" s="29"/>
    </row>
    <row r="67" spans="1:14" ht="33.75" customHeight="1" thickBot="1" x14ac:dyDescent="0.4">
      <c r="A67" s="143" t="s">
        <v>120</v>
      </c>
      <c r="B67" s="143"/>
      <c r="C67" s="143"/>
      <c r="D67" s="139" t="str">
        <f ca="1">(IF(D66="Nothing","Yes",IF(D66="Cement, Aggregate, Steel, etc","Under Construction",IF(D66="Work not yet Started","Work not yet Started"))))</f>
        <v>Under Construction</v>
      </c>
      <c r="E67" s="139"/>
      <c r="F67" s="139" t="str">
        <f ca="1">(IF(D66="Nothing","Yes",IF(D66="Cement, Aggregate, Steel, etc","Under Construction",IF(D66="Work not yet Started","Work not yet Started"))))</f>
        <v>Under Construction</v>
      </c>
      <c r="G67" s="139"/>
      <c r="H67" s="139"/>
    </row>
    <row r="68" spans="1:14" ht="15.75" customHeight="1" x14ac:dyDescent="0.35">
      <c r="A68" s="169" t="s">
        <v>146</v>
      </c>
      <c r="B68" s="169"/>
      <c r="C68" s="169" t="str">
        <f>D58</f>
        <v>F1 (Building A) = G + Podium + 1st to 30th Floor</v>
      </c>
      <c r="D68" s="169"/>
      <c r="E68" s="169"/>
      <c r="F68" s="169"/>
      <c r="G68" s="169"/>
      <c r="H68" s="169"/>
      <c r="I68" s="83" t="str">
        <f ca="1">IF(D81=100%,"All work Completed. Possession granted to the Building.",IF(D80=100%,"All work Completed, Waiting for OC",I69&amp;""&amp;I70&amp;""&amp;J69&amp;""&amp;J68&amp;" "&amp;J70))</f>
        <v>Excavation, Plinth, RCC Slab, Brickwork Completed, Internal Plaster upto 25.5 Floor, External Plaster upto 22.5 Floor, Flooring upto 6 Floor Completed</v>
      </c>
      <c r="J68" s="54" t="str">
        <f ca="1">(IF(C74=(D69+F69+H69),"",IF(C74&gt;0,", RCC upto "&amp;C74&amp;" Slab","")))&amp;(IF(C75=H69,"",IF(C75&gt;0,", Brickwork upto "&amp;C75&amp;" Floor","")))&amp;(IF(C76=H69,"",IF(C76&gt;0,", Internal Plaster upto "&amp;C76&amp;" Floor","")))&amp;(IF(C77=H69,"",IF(C77&gt;0,", External Plaster upto "&amp;C77&amp;" Floor","")))&amp;(IF(C78=H69,"",IF(C78&gt;0,", Flooring upto "&amp;C78&amp;" Floor","")))&amp;(IF(C79=H69,"",IF(C79&gt;0,", Painting upto "&amp;C79&amp;" Floor","")))&amp;(IF(C80=H69,"",IF(C80&gt;0,", Finishing upto "&amp;C80&amp;" Floor","")))&amp;(IF(C81=H69,"",IF(C81&gt;0,", Possession upto "&amp;C81&amp;" Floor","")))</f>
        <v>, Internal Plaster upto 25.5 Floor, External Plaster upto 22.5 Floor, Flooring upto 6 Floor</v>
      </c>
    </row>
    <row r="69" spans="1:14" x14ac:dyDescent="0.35">
      <c r="A69" s="82" t="s">
        <v>148</v>
      </c>
      <c r="B69" s="82">
        <v>0</v>
      </c>
      <c r="C69" s="82" t="s">
        <v>75</v>
      </c>
      <c r="D69" s="82">
        <v>1</v>
      </c>
      <c r="E69" s="82" t="s">
        <v>74</v>
      </c>
      <c r="F69" s="82">
        <v>1</v>
      </c>
      <c r="G69" s="82" t="s">
        <v>83</v>
      </c>
      <c r="H69" s="82">
        <f ca="1">--TRIM(RIGHT(SUBSTITUTE(LEFT(C68,_xlfn.AGGREGATE(16,6,FIND({0,1,2,3,4,5,6,7,8,9},C68,ROW(INDIRECT("1:"&amp;LEN(C68)))),1))," ",REPT(" ",LEN(C68))),LEN(C68)))</f>
        <v>30</v>
      </c>
      <c r="I69" s="84" t="str">
        <f ca="1">IF(D72=100%,"Excavation","")&amp;IF(D73=100%,", Plinth","")&amp;IF(D74=100%,", RCC Slab","")&amp;IF(D75=100%,", Brickwork","")&amp;IF(D76=100%,", Internal Plaster","")&amp;IF(D77=100%,", External Plaster","")&amp;IF(D78=100%,", Flooring","")&amp;IF(D79=100%,", Painting","")&amp;IF(D80=100%,", Building common Amenities","")</f>
        <v>Excavation, Plinth, RCC Slab, Brickwork</v>
      </c>
      <c r="J69" s="56" t="str">
        <f ca="1">(IF(C72=0,"Work not yet Started.",IF(D72=25%,"Piling work in process",IF(D72=50%,"Excavation work in process",IF(D72=100%,"","0")))))&amp;(IF(C73=0%,"",IF(C73=J74,", Footing work is process",IF(C73=J75,", Footing work Completed",IF(C73=J76,", 1st Basement Completed",IF(C73=J77,", 1st &amp; 2nd Basement Completed",IF(C73=J78,", 1st to 3rd Basement Completed",IF(C73=J79,", 1st to 4th Basement Completed",IF(C73=J80,", Plinth work is process",IF(C73=J81,"","0"))))))))))</f>
        <v/>
      </c>
    </row>
    <row r="70" spans="1:14" ht="33" customHeight="1" x14ac:dyDescent="0.35">
      <c r="A70" s="168" t="s">
        <v>93</v>
      </c>
      <c r="B70" s="151"/>
      <c r="C70" s="169" t="str">
        <f ca="1">(IF($C$53=C68,"All work Completed. OC Received.",I68))</f>
        <v>Excavation, Plinth, RCC Slab, Brickwork Completed, Internal Plaster upto 25.5 Floor, External Plaster upto 22.5 Floor, Flooring upto 6 Floor Completed</v>
      </c>
      <c r="D70" s="169"/>
      <c r="E70" s="169"/>
      <c r="F70" s="169"/>
      <c r="G70" s="169"/>
      <c r="H70" s="225"/>
      <c r="I70" s="55" t="str">
        <f ca="1">IF(I69&lt;&gt;""," Completed","")</f>
        <v xml:space="preserve"> Completed</v>
      </c>
      <c r="J70" s="56" t="str">
        <f ca="1">IF(J68&lt;&gt;"","Completed","")</f>
        <v>Completed</v>
      </c>
    </row>
    <row r="71" spans="1:14" ht="15.75" customHeight="1" x14ac:dyDescent="0.35">
      <c r="A71" s="166" t="s">
        <v>51</v>
      </c>
      <c r="B71" s="167"/>
      <c r="C71" s="65" t="s">
        <v>145</v>
      </c>
      <c r="D71" s="65" t="s">
        <v>86</v>
      </c>
      <c r="E71" s="167" t="s">
        <v>88</v>
      </c>
      <c r="F71" s="167"/>
      <c r="G71" s="167" t="s">
        <v>87</v>
      </c>
      <c r="H71" s="236"/>
      <c r="I71" s="16" t="s">
        <v>147</v>
      </c>
      <c r="J71" s="31">
        <f ca="1">H69*25%</f>
        <v>7.5</v>
      </c>
    </row>
    <row r="72" spans="1:14" x14ac:dyDescent="0.35">
      <c r="A72" s="166" t="s">
        <v>134</v>
      </c>
      <c r="B72" s="167"/>
      <c r="C72" s="65">
        <f ca="1">J73</f>
        <v>30</v>
      </c>
      <c r="D72" s="66">
        <f ca="1">((100/H69)*C72)/100</f>
        <v>1</v>
      </c>
      <c r="E72" s="170">
        <f ca="1">(((C73/H69*10)+(40/(D69+F69+H69)*C74)+(7.5/(H69)*C75)+(7.5/(H69)*C76)+(10/H69*C77)+(10/H69*C78)+(5/H69*C79)+(5/H69*C80)+(5/H69*C81))/100)</f>
        <v>0.73375000000000001</v>
      </c>
      <c r="F72" s="171"/>
      <c r="G72" s="170">
        <f ca="1">((((C72/H69)*20)+((C73/H69)*25)+(30/(H69+F69+D69)*C74)+(5/H69*C75)+(5/H69*C76)+(5/H69*C77)+(5/H69*C78)+(0/H69*C79)+(0/H69*C80)+(5/H69*C81))/100)</f>
        <v>0.89</v>
      </c>
      <c r="H72" s="176"/>
      <c r="I72" s="16" t="s">
        <v>103</v>
      </c>
      <c r="J72" s="32">
        <f ca="1">H69*50%</f>
        <v>15</v>
      </c>
    </row>
    <row r="73" spans="1:14" x14ac:dyDescent="0.35">
      <c r="A73" s="166" t="s">
        <v>52</v>
      </c>
      <c r="B73" s="167"/>
      <c r="C73" s="79">
        <f ca="1">J81</f>
        <v>30</v>
      </c>
      <c r="D73" s="66">
        <f ca="1">((100/H69)*C73)/100</f>
        <v>1</v>
      </c>
      <c r="E73" s="172"/>
      <c r="F73" s="173"/>
      <c r="G73" s="172"/>
      <c r="H73" s="177"/>
      <c r="I73" s="16" t="s">
        <v>104</v>
      </c>
      <c r="J73" s="32">
        <f ca="1">H69</f>
        <v>30</v>
      </c>
    </row>
    <row r="74" spans="1:14" ht="15.75" customHeight="1" x14ac:dyDescent="0.35">
      <c r="A74" s="166" t="s">
        <v>135</v>
      </c>
      <c r="B74" s="167"/>
      <c r="C74" s="65">
        <f>F69+31</f>
        <v>32</v>
      </c>
      <c r="D74" s="66">
        <f ca="1">((100/(D69+F69+H69))*C74)/100</f>
        <v>1</v>
      </c>
      <c r="E74" s="172"/>
      <c r="F74" s="173"/>
      <c r="G74" s="172"/>
      <c r="H74" s="177"/>
      <c r="I74" s="16" t="s">
        <v>105</v>
      </c>
      <c r="J74" s="33">
        <f ca="1">(IF(B69&gt;1,(H69/(B69+2)),H69/4))</f>
        <v>7.5</v>
      </c>
    </row>
    <row r="75" spans="1:14" ht="15.75" customHeight="1" x14ac:dyDescent="0.35">
      <c r="A75" s="166" t="s">
        <v>142</v>
      </c>
      <c r="B75" s="167" t="s">
        <v>136</v>
      </c>
      <c r="C75" s="65">
        <f>C74-F69-D69</f>
        <v>30</v>
      </c>
      <c r="D75" s="66">
        <f ca="1">((100/H69)*C75)/100</f>
        <v>1</v>
      </c>
      <c r="E75" s="172"/>
      <c r="F75" s="173"/>
      <c r="G75" s="172"/>
      <c r="H75" s="177"/>
      <c r="I75" s="16" t="s">
        <v>106</v>
      </c>
      <c r="J75" s="33">
        <f ca="1">(IF(B69&gt;1,(H69/(B69+2)+J74),H69/4+J74))</f>
        <v>15</v>
      </c>
    </row>
    <row r="76" spans="1:14" ht="15.75" customHeight="1" x14ac:dyDescent="0.35">
      <c r="A76" s="166" t="s">
        <v>143</v>
      </c>
      <c r="B76" s="167" t="s">
        <v>136</v>
      </c>
      <c r="C76" s="79">
        <f>C75*0.85</f>
        <v>25.5</v>
      </c>
      <c r="D76" s="66">
        <f ca="1">((100/H69)*C76)/100</f>
        <v>0.85</v>
      </c>
      <c r="E76" s="172"/>
      <c r="F76" s="173"/>
      <c r="G76" s="172"/>
      <c r="H76" s="177"/>
      <c r="I76" s="16" t="s">
        <v>154</v>
      </c>
      <c r="J76" s="33">
        <f>(IF(B69&gt;1,(H69/(B69+2)+J75),0))</f>
        <v>0</v>
      </c>
    </row>
    <row r="77" spans="1:14" ht="15" customHeight="1" x14ac:dyDescent="0.35">
      <c r="A77" s="166" t="s">
        <v>141</v>
      </c>
      <c r="B77" s="167" t="s">
        <v>138</v>
      </c>
      <c r="C77" s="79">
        <f>C75*0.75</f>
        <v>22.5</v>
      </c>
      <c r="D77" s="66">
        <f ca="1">((100/(H69))*C77)/100</f>
        <v>0.75</v>
      </c>
      <c r="E77" s="172"/>
      <c r="F77" s="173"/>
      <c r="G77" s="172"/>
      <c r="H77" s="177"/>
      <c r="I77" s="16" t="s">
        <v>149</v>
      </c>
      <c r="J77" s="33">
        <f>(IF(B69&gt;2,(H69/(B69+2)+J76),0))</f>
        <v>0</v>
      </c>
    </row>
    <row r="78" spans="1:14" ht="15.75" customHeight="1" x14ac:dyDescent="0.35">
      <c r="A78" s="166" t="s">
        <v>137</v>
      </c>
      <c r="B78" s="167" t="s">
        <v>137</v>
      </c>
      <c r="C78" s="65">
        <v>6</v>
      </c>
      <c r="D78" s="66">
        <f ca="1">((100/H69)*C78)/100</f>
        <v>0.2</v>
      </c>
      <c r="E78" s="172"/>
      <c r="F78" s="173"/>
      <c r="G78" s="172"/>
      <c r="H78" s="177"/>
      <c r="I78" s="16" t="s">
        <v>150</v>
      </c>
      <c r="J78" s="34">
        <f>(IF(B69&gt;3,(H69/(B69+2)+J77),0))</f>
        <v>0</v>
      </c>
    </row>
    <row r="79" spans="1:14" ht="15.75" customHeight="1" x14ac:dyDescent="0.35">
      <c r="A79" s="166" t="s">
        <v>144</v>
      </c>
      <c r="B79" s="167"/>
      <c r="C79" s="65">
        <v>0</v>
      </c>
      <c r="D79" s="66">
        <f ca="1">((100/H69)*C79)/100</f>
        <v>0</v>
      </c>
      <c r="E79" s="172"/>
      <c r="F79" s="173"/>
      <c r="G79" s="172"/>
      <c r="H79" s="177"/>
      <c r="I79" s="16" t="s">
        <v>151</v>
      </c>
      <c r="J79" s="33">
        <f>(IF(B69&gt;4,(H69/(B69+2)+J78),0))</f>
        <v>0</v>
      </c>
    </row>
    <row r="80" spans="1:14" ht="15.75" customHeight="1" x14ac:dyDescent="0.35">
      <c r="A80" s="166" t="s">
        <v>139</v>
      </c>
      <c r="B80" s="167" t="s">
        <v>139</v>
      </c>
      <c r="C80" s="65">
        <v>0</v>
      </c>
      <c r="D80" s="66">
        <f ca="1">((100/(H69))*C80)/100</f>
        <v>0</v>
      </c>
      <c r="E80" s="172"/>
      <c r="F80" s="173"/>
      <c r="G80" s="172"/>
      <c r="H80" s="177"/>
      <c r="I80" s="16" t="s">
        <v>155</v>
      </c>
      <c r="J80" s="33">
        <f ca="1">(IF(B69=1,(H69/(B69+3)+J75),IF(B69=0,(H69/4+J75),IF(B69&gt;1,0))))</f>
        <v>22.5</v>
      </c>
    </row>
    <row r="81" spans="1:10" ht="16" thickBot="1" x14ac:dyDescent="0.4">
      <c r="A81" s="179" t="s">
        <v>140</v>
      </c>
      <c r="B81" s="180"/>
      <c r="C81" s="67">
        <v>0</v>
      </c>
      <c r="D81" s="68">
        <f ca="1">((100/(H69))*C81)/100</f>
        <v>0</v>
      </c>
      <c r="E81" s="174"/>
      <c r="F81" s="175"/>
      <c r="G81" s="174"/>
      <c r="H81" s="178"/>
      <c r="I81" s="17" t="s">
        <v>107</v>
      </c>
      <c r="J81" s="35">
        <f ca="1">(IF(B69&gt;1.5,(H69/(B69+2)+J75+MAX(0,J76-J75)+MAX(0,J77-J76)+MAX(0,J78-J77)+MAX(0,J79-J78)+MAX(0,J80-J79)),IF(B69=1,(H69/(B69+3)+J80),IF(B69=0,H69/4+J80))))</f>
        <v>30</v>
      </c>
    </row>
    <row r="82" spans="1:10" ht="15.75" customHeight="1" x14ac:dyDescent="0.35">
      <c r="A82" s="218" t="s">
        <v>146</v>
      </c>
      <c r="B82" s="219"/>
      <c r="C82" s="220" t="str">
        <f>D59</f>
        <v>F2 (Building B) = G + Podium + 1st to 30th Floor</v>
      </c>
      <c r="D82" s="221"/>
      <c r="E82" s="221"/>
      <c r="F82" s="221"/>
      <c r="G82" s="221"/>
      <c r="H82" s="222"/>
      <c r="I82" s="53" t="str">
        <f ca="1">IF(D95=100%,"All work Completed. Possession granted to the Building.",IF(D94=100%,"All work Completed, Waiting for OC",I83&amp;""&amp;I84&amp;""&amp;J83&amp;""&amp;J82&amp;" "&amp;J84))</f>
        <v>Excavation, Plinth Completed, RCC upto 33 Slab, Brickwork upto 31 Floor, Internal Plaster upto 26.35 Floor, External Plaster upto 23.25 Floor, Flooring upto 3 Floor Completed</v>
      </c>
      <c r="J82" s="54" t="str">
        <f ca="1">(IF(C88=(D83+F83+H83),"",IF(C88&gt;0,", RCC upto "&amp;C88&amp;" Slab","")))&amp;(IF(C89=H83,"",IF(C89&gt;0,", Brickwork upto "&amp;C89&amp;" Floor","")))&amp;(IF(C90=H83,"",IF(C90&gt;0,", Internal Plaster upto "&amp;C90&amp;" Floor","")))&amp;(IF(C91=H83,"",IF(C91&gt;0,", External Plaster upto "&amp;C91&amp;" Floor","")))&amp;(IF(C92=H83,"",IF(C92&gt;0,", Flooring upto "&amp;C92&amp;" Floor","")))&amp;(IF(C93=H83,"",IF(C93&gt;0,", Painting upto "&amp;C93&amp;" Floor","")))&amp;(IF(C94=H83,"",IF(C94&gt;0,", Finishing upto "&amp;C94&amp;" Floor","")))&amp;(IF(C95=H83,"",IF(C95&gt;0,", Possession upto "&amp;C95&amp;" Floor","")))</f>
        <v>, RCC upto 33 Slab, Brickwork upto 31 Floor, Internal Plaster upto 26.35 Floor, External Plaster upto 23.25 Floor, Flooring upto 3 Floor</v>
      </c>
    </row>
    <row r="83" spans="1:10" x14ac:dyDescent="0.35">
      <c r="A83" s="18" t="s">
        <v>148</v>
      </c>
      <c r="B83" s="61">
        <v>0</v>
      </c>
      <c r="C83" s="50" t="s">
        <v>75</v>
      </c>
      <c r="D83" s="50">
        <v>1</v>
      </c>
      <c r="E83" s="50" t="s">
        <v>74</v>
      </c>
      <c r="F83" s="61">
        <v>1</v>
      </c>
      <c r="G83" s="51" t="s">
        <v>83</v>
      </c>
      <c r="H83" s="19">
        <f ca="1">--TRIM(RIGHT(SUBSTITUTE(LEFT(C82,_xlfn.AGGREGATE(16,6,FIND({0,1,2,3,4,5,6,7,8,9},C82,ROW(INDIRECT("1:"&amp;LEN(C82)))),1))," ",REPT(" ",LEN(C82))),LEN(C82)))</f>
        <v>30</v>
      </c>
      <c r="I83" s="55" t="str">
        <f ca="1">IF(D86=100%,"Excavation","")&amp;IF(D87=100%,", Plinth","")&amp;IF(D88=100%,", RCC Slab","")&amp;IF(D89=100%,", Brickwork","")&amp;IF(D90=100%,", Internal Plaster","")&amp;IF(D91=100%,", External Plaster","")&amp;IF(D92=100%,", Flooring","")&amp;IF(D93=100%,", Painting","")&amp;IF(D94=100%,", Building common Amenities","")</f>
        <v>Excavation, Plinth</v>
      </c>
      <c r="J83" s="56" t="str">
        <f ca="1">(IF(C86=0,"Work not yet Started.",IF(D86=25%,"Piling work in process",IF(D86=50%,"Excavation work in process",IF(D86=100%,"","0")))))&amp;(IF(C87=0%,"",IF(C87=J88,", Footing work is process",IF(C87=J89,", Footing work Completed",IF(C87=J90,", 1st Basement Completed",IF(C87=J91,", 1st &amp; 2nd Basement Completed",IF(C87=J92,", 1st to 3rd Basement Completed",IF(C87=J93,", 1st to 4th Basement Completed",IF(C87=J94,", Plinth work is process",IF(C87=J95,"","0"))))))))))</f>
        <v/>
      </c>
    </row>
    <row r="84" spans="1:10" ht="49.5" customHeight="1" x14ac:dyDescent="0.35">
      <c r="A84" s="168" t="s">
        <v>93</v>
      </c>
      <c r="B84" s="151"/>
      <c r="C84" s="169" t="str">
        <f ca="1">(IF($C$53=C82,"All work Completed. OC Received.",I82))</f>
        <v>Excavation, Plinth Completed, RCC upto 33 Slab, Brickwork upto 31 Floor, Internal Plaster upto 26.35 Floor, External Plaster upto 23.25 Floor, Flooring upto 3 Floor Completed</v>
      </c>
      <c r="D84" s="169"/>
      <c r="E84" s="169"/>
      <c r="F84" s="169"/>
      <c r="G84" s="169"/>
      <c r="H84" s="225"/>
      <c r="I84" s="55" t="str">
        <f ca="1">IF(I83&lt;&gt;""," Completed","")</f>
        <v xml:space="preserve"> Completed</v>
      </c>
      <c r="J84" s="56" t="str">
        <f ca="1">IF(J82&lt;&gt;"","Completed","")</f>
        <v>Completed</v>
      </c>
    </row>
    <row r="85" spans="1:10" ht="15.75" customHeight="1" x14ac:dyDescent="0.35">
      <c r="A85" s="113" t="s">
        <v>51</v>
      </c>
      <c r="B85" s="114"/>
      <c r="C85" s="47" t="s">
        <v>145</v>
      </c>
      <c r="D85" s="47" t="s">
        <v>86</v>
      </c>
      <c r="E85" s="114" t="s">
        <v>88</v>
      </c>
      <c r="F85" s="114"/>
      <c r="G85" s="114" t="s">
        <v>87</v>
      </c>
      <c r="H85" s="202"/>
      <c r="I85" s="16" t="s">
        <v>147</v>
      </c>
      <c r="J85" s="31">
        <f ca="1">H83*25%</f>
        <v>7.5</v>
      </c>
    </row>
    <row r="86" spans="1:10" x14ac:dyDescent="0.35">
      <c r="A86" s="113" t="s">
        <v>134</v>
      </c>
      <c r="B86" s="114"/>
      <c r="C86" s="47">
        <f ca="1">J87</f>
        <v>30</v>
      </c>
      <c r="D86" s="21">
        <f ca="1">((100/H83)*C86)/100</f>
        <v>1</v>
      </c>
      <c r="E86" s="192">
        <f ca="1">(((C87/H83*10)+(40/(D83+F83+H83)*C88)+(7.5/(H83)*C89)+(7.5/(H83)*C90)+(10/H83*C91)+(10/H83*C92)+(5/H83*C93)+(5/H83*C94)+(5/H83*C95))/100)</f>
        <v>0.74337500000000001</v>
      </c>
      <c r="F86" s="193"/>
      <c r="G86" s="192">
        <f ca="1">((((C86/H83)*20)+((C87/H83)*25)+(30/(H83+F83+D83)*C88)+(5/H83*C89)+(5/H83*C90)+(5/H83*C91)+(5/H83*C92)+(0/H83*C93)+(0/H83*C94)+(5/H83*C95))/100)</f>
        <v>0.89870833333333333</v>
      </c>
      <c r="H86" s="199"/>
      <c r="I86" s="16" t="s">
        <v>103</v>
      </c>
      <c r="J86" s="32">
        <f ca="1">H83*50%</f>
        <v>15</v>
      </c>
    </row>
    <row r="87" spans="1:10" x14ac:dyDescent="0.35">
      <c r="A87" s="113" t="s">
        <v>52</v>
      </c>
      <c r="B87" s="114"/>
      <c r="C87" s="76">
        <f ca="1">J95</f>
        <v>30</v>
      </c>
      <c r="D87" s="21">
        <f ca="1">((100/H83)*C87)/100</f>
        <v>1</v>
      </c>
      <c r="E87" s="194"/>
      <c r="F87" s="195"/>
      <c r="G87" s="194"/>
      <c r="H87" s="200"/>
      <c r="I87" s="16" t="s">
        <v>104</v>
      </c>
      <c r="J87" s="32">
        <f ca="1">H83</f>
        <v>30</v>
      </c>
    </row>
    <row r="88" spans="1:10" ht="15.75" customHeight="1" x14ac:dyDescent="0.35">
      <c r="A88" s="113" t="s">
        <v>135</v>
      </c>
      <c r="B88" s="114"/>
      <c r="C88" s="47">
        <f>D83+F83+31</f>
        <v>33</v>
      </c>
      <c r="D88" s="21">
        <f ca="1">((100/(D83+F83+H83))*C88)/100</f>
        <v>1.03125</v>
      </c>
      <c r="E88" s="194"/>
      <c r="F88" s="195"/>
      <c r="G88" s="194"/>
      <c r="H88" s="200"/>
      <c r="I88" s="16" t="s">
        <v>105</v>
      </c>
      <c r="J88" s="33">
        <f ca="1">(IF(B83&gt;1,(H83/(B83+2)),H83/4))</f>
        <v>7.5</v>
      </c>
    </row>
    <row r="89" spans="1:10" ht="15.75" customHeight="1" x14ac:dyDescent="0.35">
      <c r="A89" s="113" t="s">
        <v>142</v>
      </c>
      <c r="B89" s="114" t="s">
        <v>136</v>
      </c>
      <c r="C89" s="47">
        <f>C88-F83-D83</f>
        <v>31</v>
      </c>
      <c r="D89" s="21">
        <f ca="1">((100/H83)*C89)/100</f>
        <v>1.0333333333333334</v>
      </c>
      <c r="E89" s="194"/>
      <c r="F89" s="195"/>
      <c r="G89" s="194"/>
      <c r="H89" s="200"/>
      <c r="I89" s="16" t="s">
        <v>106</v>
      </c>
      <c r="J89" s="33">
        <f ca="1">(IF(B83&gt;1,(H83/(B83+2)+J88),H83/4+J88))</f>
        <v>15</v>
      </c>
    </row>
    <row r="90" spans="1:10" ht="15.75" customHeight="1" x14ac:dyDescent="0.35">
      <c r="A90" s="113" t="s">
        <v>143</v>
      </c>
      <c r="B90" s="114" t="s">
        <v>136</v>
      </c>
      <c r="C90" s="76">
        <f>C89*0.85</f>
        <v>26.349999999999998</v>
      </c>
      <c r="D90" s="21">
        <f ca="1">((100/H83)*C90)/100</f>
        <v>0.8783333333333333</v>
      </c>
      <c r="E90" s="194"/>
      <c r="F90" s="195"/>
      <c r="G90" s="194"/>
      <c r="H90" s="200"/>
      <c r="I90" s="16" t="s">
        <v>154</v>
      </c>
      <c r="J90" s="33">
        <f>(IF(B83&gt;1,(H83/(B83+2)+J89),0))</f>
        <v>0</v>
      </c>
    </row>
    <row r="91" spans="1:10" ht="15" customHeight="1" x14ac:dyDescent="0.35">
      <c r="A91" s="113" t="s">
        <v>141</v>
      </c>
      <c r="B91" s="114" t="s">
        <v>138</v>
      </c>
      <c r="C91" s="76">
        <f>C89*0.75</f>
        <v>23.25</v>
      </c>
      <c r="D91" s="21">
        <f ca="1">((100/(H83))*C91)/100</f>
        <v>0.77500000000000002</v>
      </c>
      <c r="E91" s="194"/>
      <c r="F91" s="195"/>
      <c r="G91" s="194"/>
      <c r="H91" s="200"/>
      <c r="I91" s="16" t="s">
        <v>149</v>
      </c>
      <c r="J91" s="33">
        <f>(IF(B83&gt;2,(H83/(B83+2)+J90),0))</f>
        <v>0</v>
      </c>
    </row>
    <row r="92" spans="1:10" ht="15.75" customHeight="1" x14ac:dyDescent="0.35">
      <c r="A92" s="113" t="s">
        <v>137</v>
      </c>
      <c r="B92" s="114" t="s">
        <v>137</v>
      </c>
      <c r="C92" s="47">
        <v>3</v>
      </c>
      <c r="D92" s="21">
        <f ca="1">((100/H83)*C92)/100</f>
        <v>0.1</v>
      </c>
      <c r="E92" s="194"/>
      <c r="F92" s="195"/>
      <c r="G92" s="194"/>
      <c r="H92" s="200"/>
      <c r="I92" s="16" t="s">
        <v>150</v>
      </c>
      <c r="J92" s="34">
        <f>(IF(B83&gt;3,(H83/(B83+2)+J91),0))</f>
        <v>0</v>
      </c>
    </row>
    <row r="93" spans="1:10" ht="15.75" customHeight="1" x14ac:dyDescent="0.35">
      <c r="A93" s="113" t="s">
        <v>144</v>
      </c>
      <c r="B93" s="114"/>
      <c r="C93" s="47">
        <v>0</v>
      </c>
      <c r="D93" s="21">
        <f ca="1">((100/H83)*C93)/100</f>
        <v>0</v>
      </c>
      <c r="E93" s="194"/>
      <c r="F93" s="195"/>
      <c r="G93" s="194"/>
      <c r="H93" s="200"/>
      <c r="I93" s="16" t="s">
        <v>151</v>
      </c>
      <c r="J93" s="33">
        <f>(IF(B83&gt;4,(H83/(B83+2)+J92),0))</f>
        <v>0</v>
      </c>
    </row>
    <row r="94" spans="1:10" ht="15.75" customHeight="1" x14ac:dyDescent="0.35">
      <c r="A94" s="113" t="s">
        <v>139</v>
      </c>
      <c r="B94" s="114" t="s">
        <v>139</v>
      </c>
      <c r="C94" s="47">
        <v>0</v>
      </c>
      <c r="D94" s="21">
        <f ca="1">((100/(H83))*C94)/100</f>
        <v>0</v>
      </c>
      <c r="E94" s="194"/>
      <c r="F94" s="195"/>
      <c r="G94" s="194"/>
      <c r="H94" s="200"/>
      <c r="I94" s="16" t="s">
        <v>155</v>
      </c>
      <c r="J94" s="33">
        <f ca="1">(IF(B83=1,(H83/(B83+3)+J89),IF(B83=0,(H83/4+J89),IF(B83&gt;1,0))))</f>
        <v>22.5</v>
      </c>
    </row>
    <row r="95" spans="1:10" ht="16" thickBot="1" x14ac:dyDescent="0.4">
      <c r="A95" s="239" t="s">
        <v>140</v>
      </c>
      <c r="B95" s="240"/>
      <c r="C95" s="48">
        <v>0</v>
      </c>
      <c r="D95" s="22">
        <f ca="1">((100/(H83))*C95)/100</f>
        <v>0</v>
      </c>
      <c r="E95" s="196"/>
      <c r="F95" s="197"/>
      <c r="G95" s="196"/>
      <c r="H95" s="201"/>
      <c r="I95" s="17" t="s">
        <v>107</v>
      </c>
      <c r="J95" s="35">
        <f ca="1">(IF(B83&gt;1.5,(H83/(B83+2)+J89+MAX(0,J90-J89)+MAX(0,J91-J90)+MAX(0,J92-J91)+MAX(0,J93-J92)+MAX(0,J94-J93)),IF(B83=1,(H83/(B83+3)+J94),IF(B83=0,H83/4+J94))))</f>
        <v>30</v>
      </c>
    </row>
    <row r="96" spans="1:10" ht="15.75" customHeight="1" x14ac:dyDescent="0.35">
      <c r="A96" s="218" t="s">
        <v>146</v>
      </c>
      <c r="B96" s="219"/>
      <c r="C96" s="220" t="str">
        <f>D60</f>
        <v>F3 (Building C) = G + Podium + 1st to 30th Floor</v>
      </c>
      <c r="D96" s="221"/>
      <c r="E96" s="221"/>
      <c r="F96" s="221"/>
      <c r="G96" s="221"/>
      <c r="H96" s="222"/>
      <c r="I96" s="53" t="str">
        <f ca="1">IF(D109=100%,"All work Completed. Possession granted to the Building.",IF(D108=100%,"All work Completed, Waiting for OC",I97&amp;""&amp;I98&amp;""&amp;J97&amp;""&amp;J96&amp;" "&amp;J98))</f>
        <v>Excavation, Plinth Completed, RCC upto 33 Slab, Brickwork upto 31 Floor, Internal Plaster upto 26.35 Floor, External Plaster upto 23.25 Floor, Flooring upto 6 Floor Completed</v>
      </c>
      <c r="J96" s="54" t="str">
        <f ca="1">(IF(C102=(D97+F97+H97),"",IF(C102&gt;0,", RCC upto "&amp;C102&amp;" Slab","")))&amp;(IF(C103=H97,"",IF(C103&gt;0,", Brickwork upto "&amp;C103&amp;" Floor","")))&amp;(IF(C104=H97,"",IF(C104&gt;0,", Internal Plaster upto "&amp;C104&amp;" Floor","")))&amp;(IF(C105=H97,"",IF(C105&gt;0,", External Plaster upto "&amp;C105&amp;" Floor","")))&amp;(IF(C106=H97,"",IF(C106&gt;0,", Flooring upto "&amp;C106&amp;" Floor","")))&amp;(IF(C107=H97,"",IF(C107&gt;0,", Painting upto "&amp;C107&amp;" Floor","")))&amp;(IF(C108=H97,"",IF(C108&gt;0,", Finishing upto "&amp;C108&amp;" Floor","")))&amp;(IF(C109=H97,"",IF(C109&gt;0,", Possession upto "&amp;C109&amp;" Floor","")))</f>
        <v>, RCC upto 33 Slab, Brickwork upto 31 Floor, Internal Plaster upto 26.35 Floor, External Plaster upto 23.25 Floor, Flooring upto 6 Floor</v>
      </c>
    </row>
    <row r="97" spans="1:16" x14ac:dyDescent="0.35">
      <c r="A97" s="18" t="s">
        <v>148</v>
      </c>
      <c r="B97" s="77">
        <v>0</v>
      </c>
      <c r="C97" s="77" t="s">
        <v>75</v>
      </c>
      <c r="D97" s="77">
        <v>1</v>
      </c>
      <c r="E97" s="77" t="s">
        <v>74</v>
      </c>
      <c r="F97" s="77">
        <v>1</v>
      </c>
      <c r="G97" s="78" t="s">
        <v>83</v>
      </c>
      <c r="H97" s="19">
        <f ca="1">--TRIM(RIGHT(SUBSTITUTE(LEFT(C96,_xlfn.AGGREGATE(16,6,FIND({0,1,2,3,4,5,6,7,8,9},C96,ROW(INDIRECT("1:"&amp;LEN(C96)))),1))," ",REPT(" ",LEN(C96))),LEN(C96)))</f>
        <v>30</v>
      </c>
      <c r="I97" s="55" t="str">
        <f ca="1">IF(D100=100%,"Excavation","")&amp;IF(D101=100%,", Plinth","")&amp;IF(D102=100%,", RCC Slab","")&amp;IF(D103=100%,", Brickwork","")&amp;IF(D104=100%,", Internal Plaster","")&amp;IF(D105=100%,", External Plaster","")&amp;IF(D106=100%,", Flooring","")&amp;IF(D107=100%,", Painting","")&amp;IF(D108=100%,", Building common Amenities","")</f>
        <v>Excavation, Plinth</v>
      </c>
      <c r="J97" s="56" t="str">
        <f ca="1">(IF(C100=0,"Work not yet Started.",IF(D100=25%,"Piling work in process",IF(D100=50%,"Excavation work in process",IF(D100=100%,"","0")))))&amp;(IF(C101=0%,"",IF(C101=J102,", Footing work is process",IF(C101=J103,", Footing work Completed",IF(C101=J104,", 1st Basement Completed",IF(C101=J105,", 1st &amp; 2nd Basement Completed",IF(C101=J106,", 1st to 3rd Basement Completed",IF(C101=J107,", 1st to 4th Basement Completed",IF(C101=J108,", Plinth work is process",IF(C101=J109,"","0"))))))))))</f>
        <v/>
      </c>
    </row>
    <row r="98" spans="1:16" ht="50.25" customHeight="1" x14ac:dyDescent="0.35">
      <c r="A98" s="151" t="s">
        <v>93</v>
      </c>
      <c r="B98" s="151"/>
      <c r="C98" s="169" t="str">
        <f ca="1">(IF($C$53=C96,"All work Completed. OC Received.",I96))</f>
        <v>Excavation, Plinth Completed, RCC upto 33 Slab, Brickwork upto 31 Floor, Internal Plaster upto 26.35 Floor, External Plaster upto 23.25 Floor, Flooring upto 6 Floor Completed</v>
      </c>
      <c r="D98" s="169"/>
      <c r="E98" s="169"/>
      <c r="F98" s="169"/>
      <c r="G98" s="169"/>
      <c r="H98" s="169"/>
      <c r="I98" s="84" t="str">
        <f ca="1">IF(I97&lt;&gt;""," Completed","")</f>
        <v xml:space="preserve"> Completed</v>
      </c>
      <c r="J98" s="56" t="str">
        <f ca="1">IF(J96&lt;&gt;"","Completed","")</f>
        <v>Completed</v>
      </c>
    </row>
    <row r="99" spans="1:16" ht="15.75" customHeight="1" x14ac:dyDescent="0.35">
      <c r="A99" s="114" t="s">
        <v>51</v>
      </c>
      <c r="B99" s="114"/>
      <c r="C99" s="81" t="s">
        <v>145</v>
      </c>
      <c r="D99" s="81" t="s">
        <v>86</v>
      </c>
      <c r="E99" s="114" t="s">
        <v>88</v>
      </c>
      <c r="F99" s="114"/>
      <c r="G99" s="114" t="s">
        <v>87</v>
      </c>
      <c r="H99" s="114"/>
      <c r="I99" s="16" t="s">
        <v>147</v>
      </c>
      <c r="J99" s="31">
        <f ca="1">H97*25%</f>
        <v>7.5</v>
      </c>
    </row>
    <row r="100" spans="1:16" x14ac:dyDescent="0.35">
      <c r="A100" s="114" t="s">
        <v>134</v>
      </c>
      <c r="B100" s="114"/>
      <c r="C100" s="81">
        <f ca="1">J101</f>
        <v>30</v>
      </c>
      <c r="D100" s="21">
        <f ca="1">((100/H97)*C100)/100</f>
        <v>1</v>
      </c>
      <c r="E100" s="253">
        <f ca="1">(((C101/H97*10)+(40/(D97+F97+H97)*C102)+(7.5/(H97)*C103)+(7.5/(H97)*C104)+(10/H97*C105)+(10/H97*C106)+(5/H97*C107)+(5/H97*C108)+(5/H97*C109))/100)</f>
        <v>0.75337500000000002</v>
      </c>
      <c r="F100" s="253"/>
      <c r="G100" s="253">
        <f ca="1">((((C100/H97)*20)+((C101/H97)*25)+(30/(H97+F97+D97)*C102)+(5/H97*C103)+(5/H97*C104)+(5/H97*C105)+(5/H97*C106)+(0/H97*C107)+(0/H97*C108)+(5/H97*C109))/100)</f>
        <v>0.90370833333333334</v>
      </c>
      <c r="H100" s="253"/>
      <c r="I100" s="16" t="s">
        <v>103</v>
      </c>
      <c r="J100" s="32">
        <f ca="1">H97*50%</f>
        <v>15</v>
      </c>
    </row>
    <row r="101" spans="1:16" x14ac:dyDescent="0.35">
      <c r="A101" s="114" t="s">
        <v>52</v>
      </c>
      <c r="B101" s="114"/>
      <c r="C101" s="76">
        <f ca="1">J109</f>
        <v>30</v>
      </c>
      <c r="D101" s="21">
        <f ca="1">((100/H97)*C101)/100</f>
        <v>1</v>
      </c>
      <c r="E101" s="253"/>
      <c r="F101" s="253"/>
      <c r="G101" s="253"/>
      <c r="H101" s="253"/>
      <c r="I101" s="16" t="s">
        <v>104</v>
      </c>
      <c r="J101" s="32">
        <f ca="1">H97</f>
        <v>30</v>
      </c>
    </row>
    <row r="102" spans="1:16" ht="15.75" customHeight="1" x14ac:dyDescent="0.35">
      <c r="A102" s="114" t="s">
        <v>135</v>
      </c>
      <c r="B102" s="114"/>
      <c r="C102" s="81">
        <f>D97+F97+31</f>
        <v>33</v>
      </c>
      <c r="D102" s="21">
        <f ca="1">((100/(D97+F97+H97))*C102)/100</f>
        <v>1.03125</v>
      </c>
      <c r="E102" s="253"/>
      <c r="F102" s="253"/>
      <c r="G102" s="253"/>
      <c r="H102" s="253"/>
      <c r="I102" s="16" t="s">
        <v>105</v>
      </c>
      <c r="J102" s="33">
        <f ca="1">(IF(B97&gt;1,(H97/(B97+2)),H97/4))</f>
        <v>7.5</v>
      </c>
    </row>
    <row r="103" spans="1:16" ht="15.75" customHeight="1" x14ac:dyDescent="0.35">
      <c r="A103" s="114" t="s">
        <v>142</v>
      </c>
      <c r="B103" s="114" t="s">
        <v>136</v>
      </c>
      <c r="C103" s="81">
        <f>C102-F97-D97</f>
        <v>31</v>
      </c>
      <c r="D103" s="21">
        <f ca="1">((100/H97)*C103)/100</f>
        <v>1.0333333333333334</v>
      </c>
      <c r="E103" s="253"/>
      <c r="F103" s="253"/>
      <c r="G103" s="253"/>
      <c r="H103" s="253"/>
      <c r="I103" s="16" t="s">
        <v>106</v>
      </c>
      <c r="J103" s="33">
        <f ca="1">(IF(B97&gt;1,(H97/(B97+2)+J102),H97/4+J102))</f>
        <v>15</v>
      </c>
    </row>
    <row r="104" spans="1:16" ht="15.75" customHeight="1" x14ac:dyDescent="0.35">
      <c r="A104" s="114" t="s">
        <v>143</v>
      </c>
      <c r="B104" s="114" t="s">
        <v>136</v>
      </c>
      <c r="C104" s="79">
        <f>C103*0.85</f>
        <v>26.349999999999998</v>
      </c>
      <c r="D104" s="21">
        <f ca="1">((100/H97)*C104)/100</f>
        <v>0.8783333333333333</v>
      </c>
      <c r="E104" s="253"/>
      <c r="F104" s="253"/>
      <c r="G104" s="253"/>
      <c r="H104" s="253"/>
      <c r="I104" s="16" t="s">
        <v>154</v>
      </c>
      <c r="J104" s="33">
        <f>(IF(B97&gt;1,(H97/(B97+2)+J103),0))</f>
        <v>0</v>
      </c>
    </row>
    <row r="105" spans="1:16" ht="15" customHeight="1" x14ac:dyDescent="0.35">
      <c r="A105" s="114" t="s">
        <v>141</v>
      </c>
      <c r="B105" s="114" t="s">
        <v>138</v>
      </c>
      <c r="C105" s="79">
        <f>C103*0.75</f>
        <v>23.25</v>
      </c>
      <c r="D105" s="21">
        <f ca="1">((100/(H97))*C105)/100</f>
        <v>0.77500000000000002</v>
      </c>
      <c r="E105" s="253"/>
      <c r="F105" s="253"/>
      <c r="G105" s="253"/>
      <c r="H105" s="253"/>
      <c r="I105" s="16" t="s">
        <v>149</v>
      </c>
      <c r="J105" s="33">
        <f>(IF(B97&gt;2,(H97/(B97+2)+J104),0))</f>
        <v>0</v>
      </c>
    </row>
    <row r="106" spans="1:16" ht="15.75" customHeight="1" x14ac:dyDescent="0.35">
      <c r="A106" s="114" t="s">
        <v>137</v>
      </c>
      <c r="B106" s="114" t="s">
        <v>137</v>
      </c>
      <c r="C106" s="81">
        <v>6</v>
      </c>
      <c r="D106" s="21">
        <f ca="1">((100/H97)*C106)/100</f>
        <v>0.2</v>
      </c>
      <c r="E106" s="253"/>
      <c r="F106" s="253"/>
      <c r="G106" s="253"/>
      <c r="H106" s="253"/>
      <c r="I106" s="16" t="s">
        <v>150</v>
      </c>
      <c r="J106" s="34">
        <f>(IF(B97&gt;3,(H97/(B97+2)+J105),0))</f>
        <v>0</v>
      </c>
    </row>
    <row r="107" spans="1:16" ht="15.75" customHeight="1" x14ac:dyDescent="0.35">
      <c r="A107" s="114" t="s">
        <v>144</v>
      </c>
      <c r="B107" s="114"/>
      <c r="C107" s="81">
        <v>0</v>
      </c>
      <c r="D107" s="21">
        <f ca="1">((100/H97)*C107)/100</f>
        <v>0</v>
      </c>
      <c r="E107" s="253"/>
      <c r="F107" s="253"/>
      <c r="G107" s="253"/>
      <c r="H107" s="253"/>
      <c r="I107" s="16" t="s">
        <v>151</v>
      </c>
      <c r="J107" s="33">
        <f>(IF(B97&gt;4,(H97/(B97+2)+J106),0))</f>
        <v>0</v>
      </c>
    </row>
    <row r="108" spans="1:16" ht="15.75" customHeight="1" x14ac:dyDescent="0.35">
      <c r="A108" s="114" t="s">
        <v>139</v>
      </c>
      <c r="B108" s="114" t="s">
        <v>139</v>
      </c>
      <c r="C108" s="81">
        <v>0</v>
      </c>
      <c r="D108" s="21">
        <f ca="1">((100/(H97))*C108)/100</f>
        <v>0</v>
      </c>
      <c r="E108" s="253"/>
      <c r="F108" s="253"/>
      <c r="G108" s="253"/>
      <c r="H108" s="253"/>
      <c r="I108" s="16" t="s">
        <v>155</v>
      </c>
      <c r="J108" s="33">
        <f ca="1">(IF(B97=1,(H97/(B97+3)+J103),IF(B97=0,(H97/4+J103),IF(B97&gt;1,0))))</f>
        <v>22.5</v>
      </c>
    </row>
    <row r="109" spans="1:16" ht="16" thickBot="1" x14ac:dyDescent="0.4">
      <c r="A109" s="114" t="s">
        <v>140</v>
      </c>
      <c r="B109" s="114"/>
      <c r="C109" s="81">
        <v>0</v>
      </c>
      <c r="D109" s="21">
        <f ca="1">((100/(H97))*C109)/100</f>
        <v>0</v>
      </c>
      <c r="E109" s="253"/>
      <c r="F109" s="253"/>
      <c r="G109" s="253"/>
      <c r="H109" s="253"/>
      <c r="I109" s="17" t="s">
        <v>107</v>
      </c>
      <c r="J109" s="35">
        <f ca="1">(IF(B97&gt;1.5,(H97/(B97+2)+J103+MAX(0,J104-J103)+MAX(0,J105-J104)+MAX(0,J106-J105)+MAX(0,J107-J106)+MAX(0,J108-J107)),IF(B97=1,(H97/(B97+3)+J108),IF(B97=0,H97/4+J108))))</f>
        <v>30</v>
      </c>
    </row>
    <row r="110" spans="1:16" x14ac:dyDescent="0.35">
      <c r="A110" s="93" t="s">
        <v>166</v>
      </c>
      <c r="B110" s="93"/>
      <c r="C110" s="93"/>
      <c r="D110" s="93"/>
      <c r="E110" s="93"/>
      <c r="F110" s="198" t="s">
        <v>171</v>
      </c>
      <c r="G110" s="198"/>
      <c r="H110" s="198"/>
    </row>
    <row r="111" spans="1:16" x14ac:dyDescent="0.35">
      <c r="A111" s="92" t="s">
        <v>169</v>
      </c>
      <c r="B111" s="92"/>
      <c r="C111" s="92"/>
      <c r="D111" s="92"/>
      <c r="E111" s="92"/>
      <c r="F111" s="238">
        <v>6000</v>
      </c>
      <c r="G111" s="238"/>
      <c r="H111" s="238"/>
      <c r="I111" s="73" t="s">
        <v>226</v>
      </c>
      <c r="J111" s="73" t="s">
        <v>227</v>
      </c>
      <c r="K111" s="73"/>
      <c r="L111" s="73"/>
      <c r="M111" s="73"/>
      <c r="N111" s="73"/>
      <c r="O111" s="73" t="s">
        <v>228</v>
      </c>
      <c r="P111" s="74">
        <v>44799</v>
      </c>
    </row>
    <row r="112" spans="1:16" x14ac:dyDescent="0.35">
      <c r="A112" s="92" t="s">
        <v>168</v>
      </c>
      <c r="B112" s="92"/>
      <c r="C112" s="92"/>
      <c r="D112" s="92"/>
      <c r="E112" s="92"/>
      <c r="F112" s="102">
        <v>9000</v>
      </c>
      <c r="G112" s="102"/>
      <c r="H112" s="102"/>
      <c r="I112" s="73" t="s">
        <v>229</v>
      </c>
    </row>
    <row r="113" spans="1:16" hidden="1" x14ac:dyDescent="0.35">
      <c r="A113" s="92" t="s">
        <v>170</v>
      </c>
      <c r="B113" s="92"/>
      <c r="C113" s="92"/>
      <c r="D113" s="92"/>
      <c r="E113" s="92"/>
      <c r="F113" s="102"/>
      <c r="G113" s="102"/>
      <c r="H113" s="102"/>
      <c r="I113" s="73"/>
    </row>
    <row r="114" spans="1:16" s="36" customFormat="1" hidden="1" x14ac:dyDescent="0.3">
      <c r="A114" s="92" t="s">
        <v>167</v>
      </c>
      <c r="B114" s="92"/>
      <c r="C114" s="92"/>
      <c r="D114" s="92"/>
      <c r="E114" s="92"/>
      <c r="F114" s="102"/>
      <c r="G114" s="102"/>
      <c r="H114" s="102"/>
      <c r="I114" s="75"/>
    </row>
    <row r="115" spans="1:16" s="36" customFormat="1" hidden="1" x14ac:dyDescent="0.3">
      <c r="A115" s="92" t="s">
        <v>98</v>
      </c>
      <c r="B115" s="92"/>
      <c r="C115" s="92"/>
      <c r="D115" s="92"/>
      <c r="E115" s="92"/>
      <c r="F115" s="102"/>
      <c r="G115" s="102"/>
      <c r="H115" s="102"/>
      <c r="I115" s="75"/>
    </row>
    <row r="116" spans="1:16" s="36" customFormat="1" x14ac:dyDescent="0.3">
      <c r="A116" s="92" t="s">
        <v>230</v>
      </c>
      <c r="B116" s="92"/>
      <c r="C116" s="92"/>
      <c r="D116" s="92"/>
      <c r="E116" s="92"/>
      <c r="F116" s="102">
        <v>250000</v>
      </c>
      <c r="G116" s="102"/>
      <c r="H116" s="102"/>
      <c r="I116" s="75" t="s">
        <v>231</v>
      </c>
    </row>
    <row r="117" spans="1:16" s="36" customFormat="1" hidden="1" x14ac:dyDescent="0.3">
      <c r="A117" s="92" t="s">
        <v>172</v>
      </c>
      <c r="B117" s="92"/>
      <c r="C117" s="92"/>
      <c r="D117" s="92"/>
      <c r="E117" s="92"/>
      <c r="F117" s="102"/>
      <c r="G117" s="102"/>
      <c r="H117" s="102"/>
      <c r="I117" s="75"/>
    </row>
    <row r="118" spans="1:16" s="36" customFormat="1" hidden="1" x14ac:dyDescent="0.3">
      <c r="A118" s="92" t="s">
        <v>99</v>
      </c>
      <c r="B118" s="92"/>
      <c r="C118" s="92"/>
      <c r="D118" s="92"/>
      <c r="E118" s="92"/>
      <c r="F118" s="102"/>
      <c r="G118" s="102"/>
      <c r="H118" s="102"/>
      <c r="I118" s="75"/>
    </row>
    <row r="119" spans="1:16" s="36" customFormat="1" hidden="1" x14ac:dyDescent="0.3">
      <c r="A119" s="92" t="s">
        <v>100</v>
      </c>
      <c r="B119" s="92"/>
      <c r="C119" s="92"/>
      <c r="D119" s="92"/>
      <c r="E119" s="92"/>
      <c r="F119" s="102"/>
      <c r="G119" s="102"/>
      <c r="H119" s="102"/>
      <c r="I119" s="75"/>
    </row>
    <row r="120" spans="1:16" s="36" customFormat="1" x14ac:dyDescent="0.3">
      <c r="A120" s="92" t="s">
        <v>101</v>
      </c>
      <c r="B120" s="92"/>
      <c r="C120" s="92"/>
      <c r="D120" s="92"/>
      <c r="E120" s="92"/>
      <c r="F120" s="102">
        <v>90000</v>
      </c>
      <c r="G120" s="102"/>
      <c r="H120" s="102"/>
      <c r="I120" s="75"/>
    </row>
    <row r="121" spans="1:16" s="36" customFormat="1" hidden="1" x14ac:dyDescent="0.3">
      <c r="A121" s="92" t="s">
        <v>102</v>
      </c>
      <c r="B121" s="92"/>
      <c r="C121" s="92"/>
      <c r="D121" s="92"/>
      <c r="E121" s="92"/>
      <c r="F121" s="102"/>
      <c r="G121" s="102"/>
      <c r="H121" s="102"/>
      <c r="I121" s="75"/>
    </row>
    <row r="122" spans="1:16" x14ac:dyDescent="0.35">
      <c r="A122" s="92" t="s">
        <v>53</v>
      </c>
      <c r="B122" s="92"/>
      <c r="C122" s="92"/>
      <c r="D122" s="92"/>
      <c r="E122" s="92"/>
      <c r="F122" s="102">
        <v>400000</v>
      </c>
      <c r="G122" s="102"/>
      <c r="H122" s="102"/>
      <c r="I122" s="73">
        <v>400000</v>
      </c>
    </row>
    <row r="123" spans="1:16" s="37" customFormat="1" x14ac:dyDescent="0.35">
      <c r="A123" s="130" t="s">
        <v>54</v>
      </c>
      <c r="B123" s="130"/>
      <c r="C123" s="130"/>
      <c r="D123" s="130"/>
      <c r="E123" s="130"/>
      <c r="F123" s="102">
        <f>F111*0.8</f>
        <v>4800</v>
      </c>
      <c r="G123" s="102"/>
      <c r="H123" s="102"/>
    </row>
    <row r="124" spans="1:16" s="38" customFormat="1" ht="15.75" customHeight="1" x14ac:dyDescent="0.35">
      <c r="A124" s="120" t="s">
        <v>78</v>
      </c>
      <c r="B124" s="120"/>
      <c r="C124" s="120"/>
      <c r="D124" s="120"/>
      <c r="E124" s="120"/>
      <c r="F124" s="120"/>
      <c r="G124" s="120"/>
      <c r="H124" s="120"/>
    </row>
    <row r="125" spans="1:16" s="38" customFormat="1" ht="15.75" customHeight="1" x14ac:dyDescent="0.35">
      <c r="A125" s="104" t="s">
        <v>55</v>
      </c>
      <c r="B125" s="104"/>
      <c r="C125" s="96" t="s">
        <v>81</v>
      </c>
      <c r="D125" s="96"/>
      <c r="E125" s="98" t="s">
        <v>56</v>
      </c>
      <c r="F125" s="98"/>
      <c r="G125" s="104" t="s">
        <v>57</v>
      </c>
      <c r="H125" s="104"/>
      <c r="O125" s="38" t="s">
        <v>218</v>
      </c>
    </row>
    <row r="126" spans="1:16" s="38" customFormat="1" ht="33.75" customHeight="1" x14ac:dyDescent="0.35">
      <c r="A126" s="38" t="s">
        <v>225</v>
      </c>
      <c r="B126" s="72" t="s">
        <v>193</v>
      </c>
      <c r="C126" s="85">
        <f>COUNT(D141:D147)</f>
        <v>7</v>
      </c>
      <c r="D126" s="86"/>
      <c r="E126" s="87">
        <f>SUM(D141:D147)</f>
        <v>2719.2877919999992</v>
      </c>
      <c r="F126" s="88"/>
      <c r="G126" s="87">
        <f>SUM(F141:F147)</f>
        <v>4350.8604672000001</v>
      </c>
      <c r="H126" s="88"/>
      <c r="O126" s="38" t="s">
        <v>219</v>
      </c>
      <c r="P126" s="38" t="s">
        <v>221</v>
      </c>
    </row>
    <row r="127" spans="1:16" s="38" customFormat="1" hidden="1" x14ac:dyDescent="0.35">
      <c r="A127" s="103"/>
      <c r="B127" s="103"/>
      <c r="C127" s="86"/>
      <c r="D127" s="86"/>
      <c r="E127" s="118"/>
      <c r="F127" s="118"/>
      <c r="G127" s="119"/>
      <c r="H127" s="119"/>
    </row>
    <row r="128" spans="1:16" s="38" customFormat="1" hidden="1" x14ac:dyDescent="0.35">
      <c r="A128" s="120" t="s">
        <v>159</v>
      </c>
      <c r="B128" s="120"/>
      <c r="C128" s="96"/>
      <c r="D128" s="96"/>
      <c r="E128" s="98"/>
      <c r="F128" s="98"/>
      <c r="G128" s="104"/>
      <c r="H128" s="104"/>
    </row>
    <row r="129" spans="1:16" s="38" customFormat="1" x14ac:dyDescent="0.35">
      <c r="A129" s="120" t="s">
        <v>73</v>
      </c>
      <c r="B129" s="120"/>
      <c r="C129" s="120"/>
      <c r="D129" s="120"/>
      <c r="E129" s="120"/>
      <c r="F129" s="120"/>
      <c r="G129" s="120"/>
      <c r="H129" s="120"/>
      <c r="O129" s="38">
        <v>5800</v>
      </c>
      <c r="P129" s="38">
        <v>6000</v>
      </c>
    </row>
    <row r="130" spans="1:16" s="38" customFormat="1" ht="15.75" customHeight="1" x14ac:dyDescent="0.35">
      <c r="A130" s="104" t="s">
        <v>55</v>
      </c>
      <c r="B130" s="104"/>
      <c r="C130" s="96" t="s">
        <v>81</v>
      </c>
      <c r="D130" s="96"/>
      <c r="E130" s="98" t="s">
        <v>56</v>
      </c>
      <c r="F130" s="98"/>
      <c r="G130" s="104" t="s">
        <v>57</v>
      </c>
      <c r="H130" s="104"/>
    </row>
    <row r="131" spans="1:16" s="38" customFormat="1" ht="30.75" customHeight="1" x14ac:dyDescent="0.35">
      <c r="A131" s="227" t="s">
        <v>225</v>
      </c>
      <c r="B131" s="64" t="s">
        <v>193</v>
      </c>
      <c r="C131" s="86">
        <f>COUNT(D155:D160)*25+COUNT(D162:D165,D167)*5</f>
        <v>175</v>
      </c>
      <c r="D131" s="86"/>
      <c r="E131" s="87">
        <f>SUM(D155:D160)*25+SUM(D162:D165,D167)*5</f>
        <v>91203.775649999981</v>
      </c>
      <c r="F131" s="87"/>
      <c r="G131" s="87">
        <f>SUM(F155:F160)*25+SUM(F162:F165,F167)*5</f>
        <v>141365.8522575</v>
      </c>
      <c r="H131" s="87"/>
    </row>
    <row r="132" spans="1:16" s="38" customFormat="1" ht="33" customHeight="1" x14ac:dyDescent="0.35">
      <c r="A132" s="228"/>
      <c r="B132" s="64" t="s">
        <v>194</v>
      </c>
      <c r="C132" s="86">
        <f>COUNT(D172:D179)*25+COUNT(D181:D182,D185:D188)*5</f>
        <v>230</v>
      </c>
      <c r="D132" s="86"/>
      <c r="E132" s="91">
        <f>SUM(D172:D179)*25+SUM(D181:D182,D185:D188)*5</f>
        <v>115397.34570000001</v>
      </c>
      <c r="F132" s="91"/>
      <c r="G132" s="91">
        <f>SUM(F172:F179)*25+SUM(F181:F182,F185:F188)*5</f>
        <v>178865.88583499999</v>
      </c>
      <c r="H132" s="91"/>
    </row>
    <row r="133" spans="1:16" s="38" customFormat="1" ht="30.75" customHeight="1" x14ac:dyDescent="0.35">
      <c r="A133" s="229"/>
      <c r="B133" s="64" t="s">
        <v>195</v>
      </c>
      <c r="C133" s="86">
        <f>COUNT(D193:D200)*25+COUNT(D202:D203,D206:D209)*5</f>
        <v>230</v>
      </c>
      <c r="D133" s="86"/>
      <c r="E133" s="91">
        <f>SUM(D193:D200)*25+SUM(D202:D203,D206:D209)*5</f>
        <v>115397.34570000001</v>
      </c>
      <c r="F133" s="91"/>
      <c r="G133" s="91">
        <f>SUM(F193:F200)*25+SUM(F202:F203,F206:F209)*5</f>
        <v>178865.88583499999</v>
      </c>
      <c r="H133" s="91"/>
    </row>
    <row r="134" spans="1:16" s="38" customFormat="1" x14ac:dyDescent="0.35">
      <c r="A134" s="120" t="s">
        <v>159</v>
      </c>
      <c r="B134" s="120"/>
      <c r="C134" s="96">
        <f>SUM(C131:D133)</f>
        <v>635</v>
      </c>
      <c r="D134" s="96"/>
      <c r="E134" s="97">
        <f>SUM(E131:F133)</f>
        <v>321998.46704999998</v>
      </c>
      <c r="F134" s="98"/>
      <c r="G134" s="104">
        <f>SUM(G131:H133)</f>
        <v>499097.62392749998</v>
      </c>
      <c r="H134" s="104"/>
    </row>
    <row r="135" spans="1:16" s="37" customFormat="1" x14ac:dyDescent="0.35">
      <c r="A135" s="135" t="s">
        <v>58</v>
      </c>
      <c r="B135" s="135"/>
      <c r="C135" s="135"/>
      <c r="D135" s="135"/>
      <c r="E135" s="135"/>
      <c r="F135" s="135"/>
      <c r="G135" s="135"/>
      <c r="H135" s="135"/>
    </row>
    <row r="136" spans="1:16" x14ac:dyDescent="0.35">
      <c r="A136" s="135" t="s">
        <v>59</v>
      </c>
      <c r="B136" s="135"/>
      <c r="C136" s="135"/>
      <c r="D136" s="135"/>
      <c r="E136" s="135"/>
      <c r="F136" s="135"/>
      <c r="G136" s="135"/>
      <c r="H136" s="135"/>
    </row>
    <row r="137" spans="1:16" ht="47.25" customHeight="1" x14ac:dyDescent="0.35">
      <c r="A137" s="94" t="s">
        <v>124</v>
      </c>
      <c r="B137" s="94" t="s">
        <v>123</v>
      </c>
      <c r="C137" s="94" t="s">
        <v>60</v>
      </c>
      <c r="D137" s="94" t="s">
        <v>61</v>
      </c>
      <c r="E137" s="223" t="s">
        <v>165</v>
      </c>
      <c r="F137" s="46" t="s">
        <v>157</v>
      </c>
      <c r="G137" s="121" t="s">
        <v>63</v>
      </c>
      <c r="H137" s="122"/>
    </row>
    <row r="138" spans="1:16" s="52" customFormat="1" x14ac:dyDescent="0.35">
      <c r="A138" s="95"/>
      <c r="B138" s="95"/>
      <c r="C138" s="95"/>
      <c r="D138" s="95"/>
      <c r="E138" s="224"/>
      <c r="F138" s="15">
        <v>0.6</v>
      </c>
      <c r="G138" s="123"/>
      <c r="H138" s="124"/>
    </row>
    <row r="139" spans="1:16" s="60" customFormat="1" x14ac:dyDescent="0.35">
      <c r="A139" s="99" t="s">
        <v>196</v>
      </c>
      <c r="B139" s="100"/>
      <c r="C139" s="100"/>
      <c r="D139" s="100"/>
      <c r="E139" s="100"/>
      <c r="F139" s="100"/>
      <c r="G139" s="100"/>
      <c r="H139" s="101"/>
      <c r="J139" s="39"/>
    </row>
    <row r="140" spans="1:16" s="52" customFormat="1" x14ac:dyDescent="0.35">
      <c r="A140" s="99" t="s">
        <v>214</v>
      </c>
      <c r="B140" s="100"/>
      <c r="C140" s="100"/>
      <c r="D140" s="100"/>
      <c r="E140" s="100"/>
      <c r="F140" s="100"/>
      <c r="G140" s="100"/>
      <c r="H140" s="101"/>
      <c r="J140" s="39"/>
    </row>
    <row r="141" spans="1:16" s="52" customFormat="1" x14ac:dyDescent="0.35">
      <c r="A141" s="89">
        <v>1</v>
      </c>
      <c r="B141" s="90"/>
      <c r="C141" s="45" t="s">
        <v>189</v>
      </c>
      <c r="D141" s="45">
        <f>(6.85*8.65+1.7*1.65)*10.764</f>
        <v>667.98692999999992</v>
      </c>
      <c r="E141" s="45">
        <v>0</v>
      </c>
      <c r="F141" s="45">
        <f>(D141+E141)*(($F$138)+1)</f>
        <v>1068.779088</v>
      </c>
      <c r="G141" s="89" t="str">
        <f>A140</f>
        <v>Ground Floor for Commercial &amp; Parking</v>
      </c>
      <c r="H141" s="90"/>
      <c r="I141" s="39"/>
      <c r="L141" s="226"/>
      <c r="M141" s="226"/>
      <c r="N141" s="39"/>
    </row>
    <row r="142" spans="1:16" s="52" customFormat="1" x14ac:dyDescent="0.35">
      <c r="A142" s="89">
        <f t="shared" ref="A142:A147" si="0">A141+1</f>
        <v>2</v>
      </c>
      <c r="B142" s="90"/>
      <c r="C142" s="59" t="s">
        <v>189</v>
      </c>
      <c r="D142" s="45">
        <f>(8.35*5.39)*10.764</f>
        <v>484.4499659999999</v>
      </c>
      <c r="E142" s="45">
        <v>0</v>
      </c>
      <c r="F142" s="45">
        <f t="shared" ref="F142:F144" si="1">(D142+E142)*(($F$138)+1)</f>
        <v>775.11994559999994</v>
      </c>
      <c r="G142" s="89" t="str">
        <f t="shared" ref="G142:G147" si="2">G141</f>
        <v>Ground Floor for Commercial &amp; Parking</v>
      </c>
      <c r="H142" s="90"/>
      <c r="I142" s="39"/>
      <c r="L142" s="226"/>
      <c r="M142" s="226"/>
      <c r="N142" s="39"/>
    </row>
    <row r="143" spans="1:16" s="52" customFormat="1" x14ac:dyDescent="0.35">
      <c r="A143" s="89">
        <f t="shared" si="0"/>
        <v>3</v>
      </c>
      <c r="B143" s="90"/>
      <c r="C143" s="59" t="s">
        <v>189</v>
      </c>
      <c r="D143" s="45">
        <f>(6.85*5.6)*10.764</f>
        <v>412.90703999999988</v>
      </c>
      <c r="E143" s="45">
        <v>0</v>
      </c>
      <c r="F143" s="45">
        <f t="shared" si="1"/>
        <v>660.65126399999986</v>
      </c>
      <c r="G143" s="89" t="str">
        <f t="shared" si="2"/>
        <v>Ground Floor for Commercial &amp; Parking</v>
      </c>
      <c r="H143" s="90"/>
      <c r="I143" s="39"/>
      <c r="L143" s="226"/>
      <c r="M143" s="226"/>
      <c r="N143" s="39"/>
    </row>
    <row r="144" spans="1:16" s="52" customFormat="1" x14ac:dyDescent="0.35">
      <c r="A144" s="89">
        <f t="shared" si="0"/>
        <v>4</v>
      </c>
      <c r="B144" s="90"/>
      <c r="C144" s="59" t="s">
        <v>189</v>
      </c>
      <c r="D144" s="45">
        <f>(5.8*7.1+1.05*1.83)*10.764</f>
        <v>463.944546</v>
      </c>
      <c r="E144" s="45">
        <v>0</v>
      </c>
      <c r="F144" s="45">
        <f t="shared" si="1"/>
        <v>742.31127360000005</v>
      </c>
      <c r="G144" s="89" t="str">
        <f t="shared" si="2"/>
        <v>Ground Floor for Commercial &amp; Parking</v>
      </c>
      <c r="H144" s="90"/>
      <c r="I144" s="39"/>
      <c r="L144" s="226"/>
      <c r="M144" s="226"/>
      <c r="N144" s="39"/>
    </row>
    <row r="145" spans="1:16" s="60" customFormat="1" x14ac:dyDescent="0.35">
      <c r="A145" s="89">
        <f t="shared" si="0"/>
        <v>5</v>
      </c>
      <c r="B145" s="90"/>
      <c r="C145" s="59" t="s">
        <v>189</v>
      </c>
      <c r="D145" s="59">
        <f>(5.55*3.85)*10.764</f>
        <v>229.99976999999998</v>
      </c>
      <c r="E145" s="59">
        <v>0</v>
      </c>
      <c r="F145" s="59">
        <f t="shared" ref="F145:F147" si="3">(D145+E145)*(($F$138)+1)</f>
        <v>367.99963200000002</v>
      </c>
      <c r="G145" s="89" t="str">
        <f t="shared" si="2"/>
        <v>Ground Floor for Commercial &amp; Parking</v>
      </c>
      <c r="H145" s="90"/>
      <c r="I145" s="39"/>
      <c r="L145" s="226"/>
      <c r="M145" s="226"/>
      <c r="N145" s="39"/>
    </row>
    <row r="146" spans="1:16" s="60" customFormat="1" x14ac:dyDescent="0.35">
      <c r="A146" s="89">
        <f t="shared" si="0"/>
        <v>6</v>
      </c>
      <c r="B146" s="90"/>
      <c r="C146" s="59" t="s">
        <v>189</v>
      </c>
      <c r="D146" s="59">
        <f>(5.55*3.85)*10.764</f>
        <v>229.99976999999998</v>
      </c>
      <c r="E146" s="59">
        <v>0</v>
      </c>
      <c r="F146" s="59">
        <f t="shared" si="3"/>
        <v>367.99963200000002</v>
      </c>
      <c r="G146" s="89" t="str">
        <f t="shared" si="2"/>
        <v>Ground Floor for Commercial &amp; Parking</v>
      </c>
      <c r="H146" s="90"/>
      <c r="I146" s="39"/>
      <c r="L146" s="226"/>
      <c r="M146" s="226"/>
      <c r="N146" s="39"/>
    </row>
    <row r="147" spans="1:16" s="60" customFormat="1" x14ac:dyDescent="0.35">
      <c r="A147" s="89">
        <f t="shared" si="0"/>
        <v>7</v>
      </c>
      <c r="B147" s="90"/>
      <c r="C147" s="59" t="s">
        <v>189</v>
      </c>
      <c r="D147" s="59">
        <f>(5.55*3.85)*10.764</f>
        <v>229.99976999999998</v>
      </c>
      <c r="E147" s="59">
        <v>0</v>
      </c>
      <c r="F147" s="59">
        <f t="shared" si="3"/>
        <v>367.99963200000002</v>
      </c>
      <c r="G147" s="89" t="str">
        <f t="shared" si="2"/>
        <v>Ground Floor for Commercial &amp; Parking</v>
      </c>
      <c r="H147" s="90"/>
      <c r="I147" s="39"/>
      <c r="L147" s="226"/>
      <c r="M147" s="226"/>
      <c r="N147" s="39"/>
    </row>
    <row r="148" spans="1:16" s="52" customFormat="1" x14ac:dyDescent="0.35">
      <c r="A148" s="89"/>
      <c r="B148" s="191"/>
      <c r="C148" s="191"/>
      <c r="D148" s="191"/>
      <c r="E148" s="191"/>
      <c r="F148" s="191"/>
      <c r="G148" s="191"/>
      <c r="H148" s="90"/>
      <c r="I148" s="39"/>
      <c r="N148" s="39"/>
    </row>
    <row r="149" spans="1:16" ht="47.25" customHeight="1" x14ac:dyDescent="0.35">
      <c r="A149" s="121" t="s">
        <v>125</v>
      </c>
      <c r="B149" s="121" t="s">
        <v>126</v>
      </c>
      <c r="C149" s="94" t="s">
        <v>60</v>
      </c>
      <c r="D149" s="94" t="s">
        <v>61</v>
      </c>
      <c r="E149" s="223" t="s">
        <v>62</v>
      </c>
      <c r="F149" s="46" t="s">
        <v>157</v>
      </c>
      <c r="G149" s="121" t="s">
        <v>63</v>
      </c>
      <c r="H149" s="122"/>
      <c r="I149" s="39"/>
    </row>
    <row r="150" spans="1:16" s="52" customFormat="1" x14ac:dyDescent="0.35">
      <c r="A150" s="123"/>
      <c r="B150" s="123"/>
      <c r="C150" s="95"/>
      <c r="D150" s="95"/>
      <c r="E150" s="224"/>
      <c r="F150" s="15">
        <v>0.55000000000000004</v>
      </c>
      <c r="G150" s="123"/>
      <c r="H150" s="124"/>
      <c r="I150" s="39"/>
    </row>
    <row r="151" spans="1:16" s="60" customFormat="1" ht="15" customHeight="1" x14ac:dyDescent="0.35">
      <c r="A151" s="125" t="s">
        <v>225</v>
      </c>
      <c r="B151" s="125"/>
      <c r="C151" s="125"/>
      <c r="D151" s="125"/>
      <c r="E151" s="125"/>
      <c r="F151" s="125"/>
      <c r="G151" s="125"/>
      <c r="H151" s="125"/>
      <c r="J151" s="39"/>
    </row>
    <row r="152" spans="1:16" s="80" customFormat="1" ht="15" customHeight="1" x14ac:dyDescent="0.35">
      <c r="A152" s="125" t="s">
        <v>196</v>
      </c>
      <c r="B152" s="125"/>
      <c r="C152" s="125"/>
      <c r="D152" s="125"/>
      <c r="E152" s="125"/>
      <c r="F152" s="125"/>
      <c r="G152" s="125"/>
      <c r="H152" s="125"/>
      <c r="J152" s="39"/>
    </row>
    <row r="153" spans="1:16" s="60" customFormat="1" ht="15" customHeight="1" x14ac:dyDescent="0.35">
      <c r="A153" s="125" t="s">
        <v>215</v>
      </c>
      <c r="B153" s="125"/>
      <c r="C153" s="125"/>
      <c r="D153" s="125"/>
      <c r="E153" s="125"/>
      <c r="F153" s="125"/>
      <c r="G153" s="125"/>
      <c r="H153" s="125"/>
      <c r="J153" s="39"/>
    </row>
    <row r="154" spans="1:16" s="60" customFormat="1" ht="15.75" customHeight="1" x14ac:dyDescent="0.35">
      <c r="A154" s="125" t="s">
        <v>190</v>
      </c>
      <c r="B154" s="125"/>
      <c r="C154" s="125"/>
      <c r="D154" s="125"/>
      <c r="E154" s="125"/>
      <c r="F154" s="125"/>
      <c r="G154" s="125"/>
      <c r="H154" s="125"/>
      <c r="I154" s="39"/>
      <c r="P154" s="40"/>
    </row>
    <row r="155" spans="1:16" s="60" customFormat="1" ht="15.75" customHeight="1" x14ac:dyDescent="0.35">
      <c r="A155" s="126">
        <v>1</v>
      </c>
      <c r="B155" s="126"/>
      <c r="C155" s="58">
        <v>1</v>
      </c>
      <c r="D155" s="62">
        <f>(32.66+3.05*0.75+5.6*0.75)*10.764</f>
        <v>421.38368999999989</v>
      </c>
      <c r="E155" s="62">
        <v>0</v>
      </c>
      <c r="F155" s="62">
        <f t="shared" ref="F155:F160" si="4">D155*(($F$150)+1)+(IF(E155&lt;101,E155,IF(E155&lt;201,E155/2,IF(E155&lt;=301,E155/3,E155/4))))</f>
        <v>653.14471949999984</v>
      </c>
      <c r="G155" s="126" t="str">
        <f>A154</f>
        <v>1st to 5th, 7th to 10th, 12th to 15th, 17th to 20th, 22nd to 25th, 27th to 30th Floor For Residential</v>
      </c>
      <c r="H155" s="126"/>
      <c r="I155" s="39">
        <f>(3.05*4+2.1*1.85+2.7*2.9+1.2*1.35+1.2*1.35+0.9*2.5+1.4*0.6)</f>
        <v>30.245000000000001</v>
      </c>
      <c r="K155" s="60">
        <v>101</v>
      </c>
      <c r="L155" s="60">
        <v>3001</v>
      </c>
      <c r="N155" s="60" t="str">
        <f>K155&amp;""&amp;",….,"&amp;""&amp;L155</f>
        <v>101,….,3001</v>
      </c>
    </row>
    <row r="156" spans="1:16" s="60" customFormat="1" ht="15.75" customHeight="1" x14ac:dyDescent="0.35">
      <c r="A156" s="126">
        <v>2</v>
      </c>
      <c r="B156" s="126"/>
      <c r="C156" s="58">
        <v>1</v>
      </c>
      <c r="D156" s="62">
        <f>(32.66+3.05*0.75+5.6*0.75)*10.764</f>
        <v>421.38368999999989</v>
      </c>
      <c r="E156" s="62">
        <v>0</v>
      </c>
      <c r="F156" s="62">
        <f t="shared" si="4"/>
        <v>653.14471949999984</v>
      </c>
      <c r="G156" s="126"/>
      <c r="H156" s="126"/>
      <c r="I156" s="39">
        <f>3400000/F156</f>
        <v>5205.5844569987385</v>
      </c>
      <c r="J156" s="60" t="s">
        <v>217</v>
      </c>
      <c r="K156" s="60">
        <v>102</v>
      </c>
      <c r="L156" s="60">
        <v>3002</v>
      </c>
      <c r="N156" s="60" t="str">
        <f t="shared" ref="N156:N160" si="5">K156&amp;""&amp;",….,"&amp;""&amp;L156</f>
        <v>102,….,3002</v>
      </c>
      <c r="O156" s="60">
        <f>2999000/F155</f>
        <v>4591.6317019232993</v>
      </c>
    </row>
    <row r="157" spans="1:16" s="60" customFormat="1" ht="15.75" customHeight="1" x14ac:dyDescent="0.35">
      <c r="A157" s="126">
        <v>3</v>
      </c>
      <c r="B157" s="126"/>
      <c r="C157" s="58">
        <v>2</v>
      </c>
      <c r="D157" s="62">
        <f>(45.55+2.75*0.75+5.6*0.75+1.95*0.75)*10.764</f>
        <v>573.45209999999997</v>
      </c>
      <c r="E157" s="62">
        <v>0</v>
      </c>
      <c r="F157" s="62">
        <f t="shared" si="4"/>
        <v>888.85075499999994</v>
      </c>
      <c r="G157" s="126"/>
      <c r="H157" s="126"/>
      <c r="I157" s="39">
        <f>4700000/F157</f>
        <v>5287.726846786557</v>
      </c>
      <c r="J157" s="60" t="s">
        <v>217</v>
      </c>
      <c r="K157" s="60">
        <v>103</v>
      </c>
      <c r="L157" s="60">
        <v>3003</v>
      </c>
      <c r="N157" s="60" t="str">
        <f t="shared" si="5"/>
        <v>103,….,3003</v>
      </c>
      <c r="O157" s="60">
        <f>4199000/F157</f>
        <v>4724.0776658844152</v>
      </c>
    </row>
    <row r="158" spans="1:16" s="60" customFormat="1" ht="15.75" customHeight="1" x14ac:dyDescent="0.35">
      <c r="A158" s="126">
        <v>4</v>
      </c>
      <c r="B158" s="126"/>
      <c r="C158" s="58">
        <v>2</v>
      </c>
      <c r="D158" s="62">
        <f>(45.55+2.75*0.75+5.6*0.75+1.95*0.75)*10.764</f>
        <v>573.45209999999997</v>
      </c>
      <c r="E158" s="62">
        <v>0</v>
      </c>
      <c r="F158" s="62">
        <f t="shared" si="4"/>
        <v>888.85075499999994</v>
      </c>
      <c r="G158" s="126"/>
      <c r="H158" s="126"/>
      <c r="I158" s="39"/>
      <c r="K158" s="60">
        <v>104</v>
      </c>
      <c r="L158" s="60">
        <v>3004</v>
      </c>
      <c r="N158" s="60" t="str">
        <f t="shared" si="5"/>
        <v>104,….,3004</v>
      </c>
    </row>
    <row r="159" spans="1:16" s="60" customFormat="1" ht="15.75" customHeight="1" x14ac:dyDescent="0.35">
      <c r="A159" s="126">
        <v>5</v>
      </c>
      <c r="B159" s="126"/>
      <c r="C159" s="58">
        <v>2</v>
      </c>
      <c r="D159" s="62">
        <f>(45.55+2.7*0.75+5.6*0.75+1.95*0.75)*10.764</f>
        <v>573.04844999999989</v>
      </c>
      <c r="E159" s="62">
        <v>0</v>
      </c>
      <c r="F159" s="62">
        <f t="shared" si="4"/>
        <v>888.22509749999983</v>
      </c>
      <c r="G159" s="126"/>
      <c r="H159" s="126"/>
      <c r="I159" s="39"/>
      <c r="K159" s="60">
        <v>105</v>
      </c>
      <c r="L159" s="60">
        <v>3005</v>
      </c>
      <c r="N159" s="60" t="str">
        <f t="shared" si="5"/>
        <v>105,….,3005</v>
      </c>
    </row>
    <row r="160" spans="1:16" s="60" customFormat="1" ht="15.75" customHeight="1" x14ac:dyDescent="0.35">
      <c r="A160" s="126">
        <v>6</v>
      </c>
      <c r="B160" s="126"/>
      <c r="C160" s="58">
        <v>2</v>
      </c>
      <c r="D160" s="62">
        <f>(45.55+2.7*0.75+5.6*0.75+1.95*0.75)*10.764</f>
        <v>573.04844999999989</v>
      </c>
      <c r="E160" s="62">
        <v>0</v>
      </c>
      <c r="F160" s="62">
        <f t="shared" si="4"/>
        <v>888.22509749999983</v>
      </c>
      <c r="G160" s="126"/>
      <c r="H160" s="126"/>
      <c r="I160" s="39"/>
      <c r="K160" s="60">
        <v>106</v>
      </c>
      <c r="L160" s="60">
        <v>3006</v>
      </c>
      <c r="N160" s="60" t="str">
        <f t="shared" si="5"/>
        <v>106,….,3006</v>
      </c>
    </row>
    <row r="161" spans="1:16" s="60" customFormat="1" ht="15.75" customHeight="1" x14ac:dyDescent="0.35">
      <c r="A161" s="99" t="s">
        <v>192</v>
      </c>
      <c r="B161" s="100"/>
      <c r="C161" s="100"/>
      <c r="D161" s="100"/>
      <c r="E161" s="100"/>
      <c r="F161" s="100"/>
      <c r="G161" s="100"/>
      <c r="H161" s="101"/>
      <c r="I161" s="39"/>
      <c r="P161" s="40"/>
    </row>
    <row r="162" spans="1:16" s="60" customFormat="1" ht="15.75" customHeight="1" x14ac:dyDescent="0.35">
      <c r="A162" s="89">
        <v>1</v>
      </c>
      <c r="B162" s="90"/>
      <c r="C162" s="58">
        <v>1</v>
      </c>
      <c r="D162" s="59">
        <f>(32.66+3.05*0.75+5.6*0.75)*10.764</f>
        <v>421.38368999999989</v>
      </c>
      <c r="E162" s="59">
        <v>0</v>
      </c>
      <c r="F162" s="59">
        <f>D162*(($F$150)+1)+(IF(E162&lt;101,E162,IF(E162&lt;201,E162/2,IF(E162&lt;=301,E162/3,E162/4))))</f>
        <v>653.14471949999984</v>
      </c>
      <c r="G162" s="212" t="str">
        <f>A161</f>
        <v>6th, 11th, 16th, 21st, 26th Floor For Residential (Part Refuge Area)</v>
      </c>
      <c r="H162" s="213"/>
      <c r="I162" s="39">
        <f>4000000/F162</f>
        <v>6124.2170082338098</v>
      </c>
      <c r="J162" s="60" t="s">
        <v>217</v>
      </c>
      <c r="K162" s="60">
        <v>601</v>
      </c>
      <c r="L162" s="60">
        <v>2601</v>
      </c>
      <c r="N162" s="60" t="str">
        <f>K162&amp;""&amp;",….,"&amp;""&amp;L162</f>
        <v>601,….,2601</v>
      </c>
      <c r="O162" s="60">
        <f>3800000/F162</f>
        <v>5818.0061578221193</v>
      </c>
      <c r="P162" s="60" t="s">
        <v>220</v>
      </c>
    </row>
    <row r="163" spans="1:16" s="60" customFormat="1" ht="15.75" customHeight="1" x14ac:dyDescent="0.35">
      <c r="A163" s="89">
        <v>2</v>
      </c>
      <c r="B163" s="90"/>
      <c r="C163" s="58">
        <v>1</v>
      </c>
      <c r="D163" s="59">
        <f>(32.66+3.05*0.75+5.6*0.75)*10.764</f>
        <v>421.38368999999989</v>
      </c>
      <c r="E163" s="59">
        <v>0</v>
      </c>
      <c r="F163" s="59">
        <f>D163*(($F$150)+1)+(IF(E163&lt;101,E163,IF(E163&lt;201,E163/2,IF(E163&lt;=301,E163/3,E163/4))))</f>
        <v>653.14471949999984</v>
      </c>
      <c r="G163" s="214"/>
      <c r="H163" s="215"/>
      <c r="I163" s="39"/>
      <c r="K163" s="60">
        <v>602</v>
      </c>
      <c r="L163" s="60">
        <v>2602</v>
      </c>
      <c r="N163" s="60" t="str">
        <f t="shared" ref="N163:N167" si="6">K163&amp;""&amp;",….,"&amp;""&amp;L163</f>
        <v>602,….,2602</v>
      </c>
      <c r="O163" s="60">
        <f>3900000/F163</f>
        <v>5971.111583027965</v>
      </c>
      <c r="P163" s="63" t="s">
        <v>220</v>
      </c>
    </row>
    <row r="164" spans="1:16" s="60" customFormat="1" ht="15.75" customHeight="1" x14ac:dyDescent="0.35">
      <c r="A164" s="89">
        <v>3</v>
      </c>
      <c r="B164" s="90"/>
      <c r="C164" s="58">
        <v>2</v>
      </c>
      <c r="D164" s="59">
        <f>(45.55+2.7*0.75+5.6*0.75+1.95*0.75)*10.764</f>
        <v>573.04844999999989</v>
      </c>
      <c r="E164" s="59">
        <v>0</v>
      </c>
      <c r="F164" s="59">
        <f>D164*(($F$150)+1)+(IF(E164&lt;101,E164,IF(E164&lt;201,E164/2,IF(E164&lt;=301,E164/3,E164/4))))</f>
        <v>888.22509749999983</v>
      </c>
      <c r="G164" s="214"/>
      <c r="H164" s="215"/>
      <c r="I164" s="39">
        <f>5400000/F164</f>
        <v>6079.5399895801766</v>
      </c>
      <c r="J164" s="60" t="s">
        <v>217</v>
      </c>
      <c r="K164" s="60">
        <v>603</v>
      </c>
      <c r="L164" s="60">
        <v>2603</v>
      </c>
      <c r="N164" s="60" t="str">
        <f t="shared" si="6"/>
        <v>603,….,2603</v>
      </c>
      <c r="O164" s="60">
        <f>5500000/F164</f>
        <v>6192.1240634612905</v>
      </c>
      <c r="P164" s="63" t="s">
        <v>220</v>
      </c>
    </row>
    <row r="165" spans="1:16" s="60" customFormat="1" ht="15.75" customHeight="1" x14ac:dyDescent="0.35">
      <c r="A165" s="89">
        <v>4</v>
      </c>
      <c r="B165" s="90"/>
      <c r="C165" s="58">
        <v>2</v>
      </c>
      <c r="D165" s="59">
        <f>(45.55+2.7*0.75+5.6*0.75+1.95*0.75)*10.764</f>
        <v>573.04844999999989</v>
      </c>
      <c r="E165" s="59">
        <v>0</v>
      </c>
      <c r="F165" s="59">
        <f>D165*(($F$150)+1)+(IF(E165&lt;101,E165,IF(E165&lt;201,E165/2,IF(E165&lt;=301,E165/3,E165/4))))</f>
        <v>888.22509749999983</v>
      </c>
      <c r="G165" s="214"/>
      <c r="H165" s="215"/>
      <c r="I165" s="39"/>
      <c r="K165" s="60">
        <v>604</v>
      </c>
      <c r="L165" s="60">
        <v>2604</v>
      </c>
      <c r="N165" s="60" t="str">
        <f t="shared" si="6"/>
        <v>604,….,2604</v>
      </c>
    </row>
    <row r="166" spans="1:16" s="60" customFormat="1" ht="15.75" customHeight="1" x14ac:dyDescent="0.35">
      <c r="A166" s="89">
        <v>5</v>
      </c>
      <c r="B166" s="90"/>
      <c r="C166" s="89" t="s">
        <v>191</v>
      </c>
      <c r="D166" s="191"/>
      <c r="E166" s="191"/>
      <c r="F166" s="90"/>
      <c r="G166" s="214"/>
      <c r="H166" s="215"/>
      <c r="I166" s="39"/>
      <c r="K166" s="60">
        <v>605</v>
      </c>
      <c r="L166" s="60">
        <v>2605</v>
      </c>
      <c r="N166" s="60" t="str">
        <f t="shared" si="6"/>
        <v>605,….,2605</v>
      </c>
    </row>
    <row r="167" spans="1:16" s="60" customFormat="1" ht="15.75" customHeight="1" x14ac:dyDescent="0.35">
      <c r="A167" s="89">
        <v>6</v>
      </c>
      <c r="B167" s="90"/>
      <c r="C167" s="58">
        <v>2</v>
      </c>
      <c r="D167" s="59">
        <f>(45.55+2.7*0.75+5.6*0.75+1.95*0.75)*10.764</f>
        <v>573.04844999999989</v>
      </c>
      <c r="E167" s="59">
        <v>0</v>
      </c>
      <c r="F167" s="59">
        <f>D167*(($F$150)+1)+(IF(E167&lt;101,E167,IF(E167&lt;201,E167/2,IF(E167&lt;=301,E167/3,E167/4))))</f>
        <v>888.22509749999983</v>
      </c>
      <c r="G167" s="216"/>
      <c r="H167" s="217"/>
      <c r="I167" s="39"/>
      <c r="K167" s="60">
        <v>606</v>
      </c>
      <c r="L167" s="60">
        <v>2606</v>
      </c>
      <c r="N167" s="60" t="str">
        <f t="shared" si="6"/>
        <v>606,….,2606</v>
      </c>
    </row>
    <row r="168" spans="1:16" s="60" customFormat="1" x14ac:dyDescent="0.35">
      <c r="A168" s="99" t="s">
        <v>197</v>
      </c>
      <c r="B168" s="100"/>
      <c r="C168" s="100"/>
      <c r="D168" s="100"/>
      <c r="E168" s="100"/>
      <c r="F168" s="100"/>
      <c r="G168" s="100"/>
      <c r="H168" s="101"/>
      <c r="J168" s="39"/>
    </row>
    <row r="169" spans="1:16" s="60" customFormat="1" ht="15" customHeight="1" x14ac:dyDescent="0.35">
      <c r="A169" s="99" t="s">
        <v>216</v>
      </c>
      <c r="B169" s="100"/>
      <c r="C169" s="100"/>
      <c r="D169" s="100"/>
      <c r="E169" s="100"/>
      <c r="F169" s="100"/>
      <c r="G169" s="100"/>
      <c r="H169" s="101"/>
      <c r="J169" s="39"/>
    </row>
    <row r="170" spans="1:16" s="63" customFormat="1" ht="15" customHeight="1" x14ac:dyDescent="0.35">
      <c r="A170" s="99" t="s">
        <v>215</v>
      </c>
      <c r="B170" s="100"/>
      <c r="C170" s="100"/>
      <c r="D170" s="100"/>
      <c r="E170" s="100"/>
      <c r="F170" s="100"/>
      <c r="G170" s="100"/>
      <c r="H170" s="101"/>
      <c r="J170" s="39"/>
    </row>
    <row r="171" spans="1:16" s="60" customFormat="1" ht="15.75" customHeight="1" x14ac:dyDescent="0.35">
      <c r="A171" s="99" t="s">
        <v>190</v>
      </c>
      <c r="B171" s="100"/>
      <c r="C171" s="100"/>
      <c r="D171" s="100"/>
      <c r="E171" s="100"/>
      <c r="F171" s="100"/>
      <c r="G171" s="100"/>
      <c r="H171" s="101"/>
      <c r="I171" s="39"/>
      <c r="P171" s="40"/>
    </row>
    <row r="172" spans="1:16" s="60" customFormat="1" ht="15.75" customHeight="1" x14ac:dyDescent="0.35">
      <c r="A172" s="89">
        <v>1</v>
      </c>
      <c r="B172" s="90"/>
      <c r="C172" s="58">
        <v>2</v>
      </c>
      <c r="D172" s="59">
        <f>(45.51+2.95*0.75+5.6*0.75+1.95*0.75)*10.764</f>
        <v>574.63613999999995</v>
      </c>
      <c r="E172" s="59">
        <v>0</v>
      </c>
      <c r="F172" s="59">
        <f t="shared" ref="F172:F179" si="7">D172*(($F$150)+1)+(IF(E172&lt;101,E172,IF(E172&lt;201,E172/2,IF(E172&lt;=301,E172/3,E172/4))))</f>
        <v>890.68601699999999</v>
      </c>
      <c r="G172" s="212" t="str">
        <f>A171</f>
        <v>1st to 5th, 7th to 10th, 12th to 15th, 17th to 20th, 22nd to 25th, 27th to 30th Floor For Residential</v>
      </c>
      <c r="H172" s="213"/>
      <c r="I172" s="39"/>
      <c r="K172" s="60">
        <v>101</v>
      </c>
      <c r="L172" s="60">
        <v>3001</v>
      </c>
      <c r="N172" s="60" t="str">
        <f>K172&amp;""&amp;",….,"&amp;""&amp;L172</f>
        <v>101,….,3001</v>
      </c>
    </row>
    <row r="173" spans="1:16" s="60" customFormat="1" ht="15.75" customHeight="1" x14ac:dyDescent="0.35">
      <c r="A173" s="89">
        <v>2</v>
      </c>
      <c r="B173" s="90"/>
      <c r="C173" s="58">
        <v>2</v>
      </c>
      <c r="D173" s="59">
        <f>(45.51+2.95*0.75+5.6*0.75+1.95*0.75)*10.764</f>
        <v>574.63613999999995</v>
      </c>
      <c r="E173" s="59">
        <v>0</v>
      </c>
      <c r="F173" s="59">
        <f t="shared" si="7"/>
        <v>890.68601699999999</v>
      </c>
      <c r="G173" s="214"/>
      <c r="H173" s="215"/>
      <c r="I173" s="39"/>
      <c r="K173" s="60">
        <v>102</v>
      </c>
      <c r="L173" s="60">
        <v>3002</v>
      </c>
      <c r="N173" s="60" t="str">
        <f t="shared" ref="N173:N177" si="8">K173&amp;""&amp;",….,"&amp;""&amp;L173</f>
        <v>102,….,3002</v>
      </c>
    </row>
    <row r="174" spans="1:16" s="60" customFormat="1" ht="15.75" customHeight="1" x14ac:dyDescent="0.35">
      <c r="A174" s="89">
        <v>3</v>
      </c>
      <c r="B174" s="90"/>
      <c r="C174" s="58">
        <v>1</v>
      </c>
      <c r="D174" s="59">
        <f>(32.66+3.15*0.75+5.6*0.75)*10.764</f>
        <v>422.19098999999994</v>
      </c>
      <c r="E174" s="59">
        <v>0</v>
      </c>
      <c r="F174" s="59">
        <f t="shared" si="7"/>
        <v>654.39603449999993</v>
      </c>
      <c r="G174" s="214"/>
      <c r="H174" s="215"/>
      <c r="I174" s="39"/>
      <c r="K174" s="60">
        <v>103</v>
      </c>
      <c r="L174" s="60">
        <v>3003</v>
      </c>
      <c r="N174" s="60" t="str">
        <f t="shared" si="8"/>
        <v>103,….,3003</v>
      </c>
    </row>
    <row r="175" spans="1:16" s="60" customFormat="1" ht="15.75" customHeight="1" x14ac:dyDescent="0.35">
      <c r="A175" s="89">
        <v>4</v>
      </c>
      <c r="B175" s="90"/>
      <c r="C175" s="58">
        <v>1</v>
      </c>
      <c r="D175" s="59">
        <f>(32.66+3.15*0.75+5.6*0.75)*10.764</f>
        <v>422.19098999999994</v>
      </c>
      <c r="E175" s="59">
        <v>0</v>
      </c>
      <c r="F175" s="59">
        <f t="shared" si="7"/>
        <v>654.39603449999993</v>
      </c>
      <c r="G175" s="214"/>
      <c r="H175" s="215"/>
      <c r="I175" s="39"/>
      <c r="K175" s="60">
        <v>104</v>
      </c>
      <c r="L175" s="60">
        <v>3004</v>
      </c>
      <c r="N175" s="60" t="str">
        <f t="shared" si="8"/>
        <v>104,….,3004</v>
      </c>
    </row>
    <row r="176" spans="1:16" s="60" customFormat="1" ht="15.75" customHeight="1" x14ac:dyDescent="0.35">
      <c r="A176" s="89">
        <v>5</v>
      </c>
      <c r="B176" s="90"/>
      <c r="C176" s="58">
        <v>2</v>
      </c>
      <c r="D176" s="59">
        <f>(45.51+2.95*0.75+5.6*0.75+1.95*0.75)*10.764</f>
        <v>574.63613999999995</v>
      </c>
      <c r="E176" s="59">
        <v>0</v>
      </c>
      <c r="F176" s="59">
        <f t="shared" si="7"/>
        <v>890.68601699999999</v>
      </c>
      <c r="G176" s="214"/>
      <c r="H176" s="215"/>
      <c r="I176" s="39"/>
      <c r="K176" s="60">
        <v>105</v>
      </c>
      <c r="L176" s="60">
        <v>3005</v>
      </c>
      <c r="N176" s="60" t="str">
        <f t="shared" si="8"/>
        <v>105,….,3005</v>
      </c>
    </row>
    <row r="177" spans="1:16" s="60" customFormat="1" ht="15.75" customHeight="1" x14ac:dyDescent="0.35">
      <c r="A177" s="89">
        <v>6</v>
      </c>
      <c r="B177" s="90"/>
      <c r="C177" s="58">
        <v>2</v>
      </c>
      <c r="D177" s="59">
        <f>(45.51+2.95*0.75+5.6*0.75+1.95*0.75)*10.764</f>
        <v>574.63613999999995</v>
      </c>
      <c r="E177" s="59">
        <v>0</v>
      </c>
      <c r="F177" s="59">
        <f t="shared" si="7"/>
        <v>890.68601699999999</v>
      </c>
      <c r="G177" s="214"/>
      <c r="H177" s="215"/>
      <c r="I177" s="39"/>
      <c r="K177" s="60">
        <v>106</v>
      </c>
      <c r="L177" s="60">
        <v>3006</v>
      </c>
      <c r="N177" s="60" t="str">
        <f t="shared" si="8"/>
        <v>106,….,3006</v>
      </c>
    </row>
    <row r="178" spans="1:16" s="60" customFormat="1" ht="15.75" customHeight="1" x14ac:dyDescent="0.35">
      <c r="A178" s="89">
        <v>7</v>
      </c>
      <c r="B178" s="90"/>
      <c r="C178" s="58">
        <v>1</v>
      </c>
      <c r="D178" s="59">
        <f>(32.66+3.15*0.75+5.6*0.75)*10.764</f>
        <v>422.19098999999994</v>
      </c>
      <c r="E178" s="59">
        <v>0</v>
      </c>
      <c r="F178" s="59">
        <f t="shared" si="7"/>
        <v>654.39603449999993</v>
      </c>
      <c r="G178" s="214"/>
      <c r="H178" s="215"/>
      <c r="I178" s="39"/>
      <c r="K178" s="60">
        <v>105</v>
      </c>
      <c r="L178" s="60">
        <v>3005</v>
      </c>
      <c r="N178" s="60" t="str">
        <f t="shared" ref="N178:N179" si="9">K178&amp;""&amp;",….,"&amp;""&amp;L178</f>
        <v>105,….,3005</v>
      </c>
    </row>
    <row r="179" spans="1:16" s="60" customFormat="1" ht="15.75" customHeight="1" x14ac:dyDescent="0.35">
      <c r="A179" s="89">
        <v>8</v>
      </c>
      <c r="B179" s="90"/>
      <c r="C179" s="58">
        <v>1</v>
      </c>
      <c r="D179" s="59">
        <f>(32.66+3.15*0.75+5.6*0.75)*10.764</f>
        <v>422.19098999999994</v>
      </c>
      <c r="E179" s="59">
        <v>0</v>
      </c>
      <c r="F179" s="59">
        <f t="shared" si="7"/>
        <v>654.39603449999993</v>
      </c>
      <c r="G179" s="216"/>
      <c r="H179" s="217"/>
      <c r="I179" s="39"/>
      <c r="K179" s="60">
        <v>106</v>
      </c>
      <c r="L179" s="60">
        <v>3006</v>
      </c>
      <c r="N179" s="60" t="str">
        <f t="shared" si="9"/>
        <v>106,….,3006</v>
      </c>
    </row>
    <row r="180" spans="1:16" s="60" customFormat="1" ht="15.75" customHeight="1" x14ac:dyDescent="0.35">
      <c r="A180" s="99" t="s">
        <v>192</v>
      </c>
      <c r="B180" s="100"/>
      <c r="C180" s="100"/>
      <c r="D180" s="100"/>
      <c r="E180" s="100"/>
      <c r="F180" s="100"/>
      <c r="G180" s="100"/>
      <c r="H180" s="101"/>
      <c r="I180" s="39"/>
      <c r="P180" s="40"/>
    </row>
    <row r="181" spans="1:16" s="60" customFormat="1" ht="15.75" customHeight="1" x14ac:dyDescent="0.35">
      <c r="A181" s="89">
        <v>1</v>
      </c>
      <c r="B181" s="90"/>
      <c r="C181" s="58">
        <v>2</v>
      </c>
      <c r="D181" s="59">
        <f>(45.51+2.95*0.75+5.6*0.75+1.95*0.75)*10.764</f>
        <v>574.63613999999995</v>
      </c>
      <c r="E181" s="59">
        <v>0</v>
      </c>
      <c r="F181" s="59">
        <f>D181*(($F$150)+1)+(IF(E181&lt;101,E181,IF(E181&lt;201,E181/2,IF(E181&lt;=301,E181/3,E181/4))))</f>
        <v>890.68601699999999</v>
      </c>
      <c r="G181" s="212" t="str">
        <f>A180</f>
        <v>6th, 11th, 16th, 21st, 26th Floor For Residential (Part Refuge Area)</v>
      </c>
      <c r="H181" s="213"/>
      <c r="I181" s="39"/>
      <c r="K181" s="60">
        <v>601</v>
      </c>
      <c r="L181" s="60">
        <v>2601</v>
      </c>
      <c r="N181" s="60" t="str">
        <f>K181&amp;""&amp;",….,"&amp;""&amp;L181</f>
        <v>601,….,2601</v>
      </c>
    </row>
    <row r="182" spans="1:16" s="60" customFormat="1" ht="15.75" customHeight="1" x14ac:dyDescent="0.35">
      <c r="A182" s="89">
        <v>2</v>
      </c>
      <c r="B182" s="90"/>
      <c r="C182" s="58">
        <v>2</v>
      </c>
      <c r="D182" s="59">
        <f>(45.51+2.95*0.75+5.6*0.75+1.95*0.75)*10.764</f>
        <v>574.63613999999995</v>
      </c>
      <c r="E182" s="59">
        <v>0</v>
      </c>
      <c r="F182" s="59">
        <f>D182*(($F$150)+1)+(IF(E182&lt;101,E182,IF(E182&lt;201,E182/2,IF(E182&lt;=301,E182/3,E182/4))))</f>
        <v>890.68601699999999</v>
      </c>
      <c r="G182" s="214"/>
      <c r="H182" s="215"/>
      <c r="I182" s="39"/>
      <c r="K182" s="60">
        <v>602</v>
      </c>
      <c r="L182" s="60">
        <v>2602</v>
      </c>
      <c r="N182" s="60" t="str">
        <f t="shared" ref="N182:N186" si="10">K182&amp;""&amp;",….,"&amp;""&amp;L182</f>
        <v>602,….,2602</v>
      </c>
    </row>
    <row r="183" spans="1:16" s="60" customFormat="1" ht="15.75" customHeight="1" x14ac:dyDescent="0.35">
      <c r="A183" s="89">
        <v>3</v>
      </c>
      <c r="B183" s="90"/>
      <c r="C183" s="230" t="s">
        <v>191</v>
      </c>
      <c r="D183" s="231"/>
      <c r="E183" s="231"/>
      <c r="F183" s="232"/>
      <c r="G183" s="214"/>
      <c r="H183" s="215"/>
      <c r="I183" s="39"/>
      <c r="K183" s="60">
        <v>603</v>
      </c>
      <c r="L183" s="60">
        <v>2603</v>
      </c>
      <c r="N183" s="60" t="str">
        <f t="shared" si="10"/>
        <v>603,….,2603</v>
      </c>
    </row>
    <row r="184" spans="1:16" s="60" customFormat="1" ht="15.75" customHeight="1" x14ac:dyDescent="0.35">
      <c r="A184" s="89">
        <v>4</v>
      </c>
      <c r="B184" s="90"/>
      <c r="C184" s="233"/>
      <c r="D184" s="234"/>
      <c r="E184" s="234"/>
      <c r="F184" s="235"/>
      <c r="G184" s="214"/>
      <c r="H184" s="215"/>
      <c r="I184" s="39"/>
      <c r="K184" s="60">
        <v>604</v>
      </c>
      <c r="L184" s="60">
        <v>2604</v>
      </c>
      <c r="N184" s="60" t="str">
        <f t="shared" si="10"/>
        <v>604,….,2604</v>
      </c>
    </row>
    <row r="185" spans="1:16" s="60" customFormat="1" ht="15.75" customHeight="1" x14ac:dyDescent="0.35">
      <c r="A185" s="89">
        <v>5</v>
      </c>
      <c r="B185" s="90"/>
      <c r="C185" s="58">
        <v>2</v>
      </c>
      <c r="D185" s="59">
        <f>(45.51+2.95*0.75+5.6*0.75+1.95*0.75)*10.764</f>
        <v>574.63613999999995</v>
      </c>
      <c r="E185" s="59">
        <v>0</v>
      </c>
      <c r="F185" s="59">
        <f>D185*(($F$150)+1)+(IF(E185&lt;101,E185,IF(E185&lt;201,E185/2,IF(E185&lt;=301,E185/3,E185/4))))</f>
        <v>890.68601699999999</v>
      </c>
      <c r="G185" s="214"/>
      <c r="H185" s="215"/>
      <c r="I185" s="39"/>
      <c r="K185" s="60">
        <v>605</v>
      </c>
      <c r="L185" s="60">
        <v>2605</v>
      </c>
      <c r="N185" s="60" t="str">
        <f t="shared" si="10"/>
        <v>605,….,2605</v>
      </c>
    </row>
    <row r="186" spans="1:16" s="60" customFormat="1" ht="15.75" customHeight="1" x14ac:dyDescent="0.35">
      <c r="A186" s="89">
        <v>6</v>
      </c>
      <c r="B186" s="90"/>
      <c r="C186" s="58">
        <v>2</v>
      </c>
      <c r="D186" s="59">
        <f>(45.51+2.95*0.75+5.6*0.75+1.95*0.75)*10.764</f>
        <v>574.63613999999995</v>
      </c>
      <c r="E186" s="59">
        <v>0</v>
      </c>
      <c r="F186" s="59">
        <f>D186*(($F$150)+1)+(IF(E186&lt;101,E186,IF(E186&lt;201,E186/2,IF(E186&lt;=301,E186/3,E186/4))))</f>
        <v>890.68601699999999</v>
      </c>
      <c r="G186" s="214"/>
      <c r="H186" s="215"/>
      <c r="I186" s="39"/>
      <c r="K186" s="60">
        <v>606</v>
      </c>
      <c r="L186" s="60">
        <v>2606</v>
      </c>
      <c r="N186" s="60" t="str">
        <f t="shared" si="10"/>
        <v>606,….,2606</v>
      </c>
    </row>
    <row r="187" spans="1:16" s="60" customFormat="1" ht="15.75" customHeight="1" x14ac:dyDescent="0.35">
      <c r="A187" s="89">
        <v>7</v>
      </c>
      <c r="B187" s="90"/>
      <c r="C187" s="58">
        <v>1</v>
      </c>
      <c r="D187" s="59">
        <f>(32.66+3.15*0.75+5.6*0.75)*10.764</f>
        <v>422.19098999999994</v>
      </c>
      <c r="E187" s="59">
        <v>0</v>
      </c>
      <c r="F187" s="59">
        <f>D187*(($F$150)+1)+(IF(E187&lt;101,E187,IF(E187&lt;201,E187/2,IF(E187&lt;=301,E187/3,E187/4))))</f>
        <v>654.39603449999993</v>
      </c>
      <c r="G187" s="214"/>
      <c r="H187" s="215"/>
      <c r="I187" s="39"/>
      <c r="K187" s="60">
        <v>605</v>
      </c>
      <c r="L187" s="60">
        <v>2605</v>
      </c>
      <c r="N187" s="60" t="str">
        <f t="shared" ref="N187:N188" si="11">K187&amp;""&amp;",….,"&amp;""&amp;L187</f>
        <v>605,….,2605</v>
      </c>
    </row>
    <row r="188" spans="1:16" s="60" customFormat="1" ht="15.75" customHeight="1" x14ac:dyDescent="0.35">
      <c r="A188" s="89">
        <v>8</v>
      </c>
      <c r="B188" s="90"/>
      <c r="C188" s="58">
        <v>1</v>
      </c>
      <c r="D188" s="59">
        <f>(32.66+3.15*0.75+5.6*0.75)*10.764</f>
        <v>422.19098999999994</v>
      </c>
      <c r="E188" s="59">
        <v>0</v>
      </c>
      <c r="F188" s="59">
        <f>D188*(($F$150)+1)+(IF(E188&lt;101,E188,IF(E188&lt;201,E188/2,IF(E188&lt;=301,E188/3,E188/4))))</f>
        <v>654.39603449999993</v>
      </c>
      <c r="G188" s="216"/>
      <c r="H188" s="217"/>
      <c r="I188" s="39"/>
      <c r="K188" s="60">
        <v>606</v>
      </c>
      <c r="L188" s="60">
        <v>2606</v>
      </c>
      <c r="N188" s="60" t="str">
        <f t="shared" si="11"/>
        <v>606,….,2606</v>
      </c>
    </row>
    <row r="189" spans="1:16" s="60" customFormat="1" x14ac:dyDescent="0.35">
      <c r="A189" s="99" t="s">
        <v>198</v>
      </c>
      <c r="B189" s="100"/>
      <c r="C189" s="100"/>
      <c r="D189" s="100"/>
      <c r="E189" s="100"/>
      <c r="F189" s="100"/>
      <c r="G189" s="100"/>
      <c r="H189" s="101"/>
      <c r="J189" s="39"/>
    </row>
    <row r="190" spans="1:16" s="60" customFormat="1" ht="15" customHeight="1" x14ac:dyDescent="0.35">
      <c r="A190" s="99" t="s">
        <v>216</v>
      </c>
      <c r="B190" s="100"/>
      <c r="C190" s="100"/>
      <c r="D190" s="100"/>
      <c r="E190" s="100"/>
      <c r="F190" s="100"/>
      <c r="G190" s="100"/>
      <c r="H190" s="101"/>
      <c r="J190" s="39"/>
    </row>
    <row r="191" spans="1:16" s="63" customFormat="1" ht="15" customHeight="1" x14ac:dyDescent="0.35">
      <c r="A191" s="99" t="s">
        <v>215</v>
      </c>
      <c r="B191" s="100"/>
      <c r="C191" s="100"/>
      <c r="D191" s="100"/>
      <c r="E191" s="100"/>
      <c r="F191" s="100"/>
      <c r="G191" s="100"/>
      <c r="H191" s="101"/>
      <c r="J191" s="39"/>
    </row>
    <row r="192" spans="1:16" s="60" customFormat="1" ht="15.75" customHeight="1" x14ac:dyDescent="0.35">
      <c r="A192" s="125" t="s">
        <v>190</v>
      </c>
      <c r="B192" s="125"/>
      <c r="C192" s="125"/>
      <c r="D192" s="125"/>
      <c r="E192" s="125"/>
      <c r="F192" s="125"/>
      <c r="G192" s="125"/>
      <c r="H192" s="125"/>
      <c r="I192" s="39"/>
      <c r="P192" s="40"/>
    </row>
    <row r="193" spans="1:16" s="60" customFormat="1" ht="15.75" customHeight="1" x14ac:dyDescent="0.35">
      <c r="A193" s="126">
        <v>1</v>
      </c>
      <c r="B193" s="126"/>
      <c r="C193" s="58">
        <v>2</v>
      </c>
      <c r="D193" s="62">
        <f>(45.51+2.95*0.75+5.6*0.75+1.95*0.75)*10.764</f>
        <v>574.63613999999995</v>
      </c>
      <c r="E193" s="62">
        <v>0</v>
      </c>
      <c r="F193" s="62">
        <f t="shared" ref="F193:F200" si="12">D193*(($F$150)+1)+(IF(E193&lt;101,E193,IF(E193&lt;201,E193/2,IF(E193&lt;=301,E193/3,E193/4))))</f>
        <v>890.68601699999999</v>
      </c>
      <c r="G193" s="126" t="str">
        <f>A192</f>
        <v>1st to 5th, 7th to 10th, 12th to 15th, 17th to 20th, 22nd to 25th, 27th to 30th Floor For Residential</v>
      </c>
      <c r="H193" s="126"/>
      <c r="I193" s="39"/>
      <c r="K193" s="60">
        <v>101</v>
      </c>
      <c r="L193" s="60">
        <v>3001</v>
      </c>
      <c r="N193" s="60" t="str">
        <f>K193&amp;""&amp;",….,"&amp;""&amp;L193</f>
        <v>101,….,3001</v>
      </c>
    </row>
    <row r="194" spans="1:16" s="60" customFormat="1" ht="15.75" customHeight="1" x14ac:dyDescent="0.35">
      <c r="A194" s="126">
        <v>2</v>
      </c>
      <c r="B194" s="126"/>
      <c r="C194" s="58">
        <v>2</v>
      </c>
      <c r="D194" s="62">
        <f>(45.51+2.95*0.75+5.6*0.75+1.95*0.75)*10.764</f>
        <v>574.63613999999995</v>
      </c>
      <c r="E194" s="62">
        <v>0</v>
      </c>
      <c r="F194" s="62">
        <f t="shared" si="12"/>
        <v>890.68601699999999</v>
      </c>
      <c r="G194" s="126"/>
      <c r="H194" s="126"/>
      <c r="I194" s="39"/>
      <c r="K194" s="60">
        <v>102</v>
      </c>
      <c r="L194" s="60">
        <v>3002</v>
      </c>
      <c r="N194" s="60" t="str">
        <f t="shared" ref="N194:N200" si="13">K194&amp;""&amp;",….,"&amp;""&amp;L194</f>
        <v>102,….,3002</v>
      </c>
    </row>
    <row r="195" spans="1:16" s="60" customFormat="1" ht="15.75" customHeight="1" x14ac:dyDescent="0.35">
      <c r="A195" s="126">
        <v>3</v>
      </c>
      <c r="B195" s="126"/>
      <c r="C195" s="58">
        <v>1</v>
      </c>
      <c r="D195" s="62">
        <f>(32.66+3.15*0.75+5.6*0.75)*10.764</f>
        <v>422.19098999999994</v>
      </c>
      <c r="E195" s="62">
        <v>0</v>
      </c>
      <c r="F195" s="62">
        <f t="shared" si="12"/>
        <v>654.39603449999993</v>
      </c>
      <c r="G195" s="126"/>
      <c r="H195" s="126"/>
      <c r="I195" s="39"/>
      <c r="K195" s="60">
        <v>103</v>
      </c>
      <c r="L195" s="60">
        <v>3003</v>
      </c>
      <c r="N195" s="60" t="str">
        <f t="shared" si="13"/>
        <v>103,….,3003</v>
      </c>
    </row>
    <row r="196" spans="1:16" s="60" customFormat="1" ht="15.75" customHeight="1" x14ac:dyDescent="0.35">
      <c r="A196" s="126">
        <v>4</v>
      </c>
      <c r="B196" s="126"/>
      <c r="C196" s="58">
        <v>1</v>
      </c>
      <c r="D196" s="62">
        <f>(32.66+3.15*0.75+5.6*0.75)*10.764</f>
        <v>422.19098999999994</v>
      </c>
      <c r="E196" s="62">
        <v>0</v>
      </c>
      <c r="F196" s="62">
        <f t="shared" si="12"/>
        <v>654.39603449999993</v>
      </c>
      <c r="G196" s="126"/>
      <c r="H196" s="126"/>
      <c r="I196" s="39"/>
      <c r="K196" s="60">
        <v>104</v>
      </c>
      <c r="L196" s="60">
        <v>3004</v>
      </c>
      <c r="N196" s="60" t="str">
        <f t="shared" si="13"/>
        <v>104,….,3004</v>
      </c>
    </row>
    <row r="197" spans="1:16" s="60" customFormat="1" ht="15.75" customHeight="1" x14ac:dyDescent="0.35">
      <c r="A197" s="126">
        <v>5</v>
      </c>
      <c r="B197" s="126"/>
      <c r="C197" s="58">
        <v>2</v>
      </c>
      <c r="D197" s="62">
        <f>(45.51+2.95*0.75+5.6*0.75+1.95*0.75)*10.764</f>
        <v>574.63613999999995</v>
      </c>
      <c r="E197" s="62">
        <v>0</v>
      </c>
      <c r="F197" s="62">
        <f t="shared" si="12"/>
        <v>890.68601699999999</v>
      </c>
      <c r="G197" s="126"/>
      <c r="H197" s="126"/>
      <c r="I197" s="39"/>
      <c r="K197" s="60">
        <v>105</v>
      </c>
      <c r="L197" s="60">
        <v>3005</v>
      </c>
      <c r="N197" s="60" t="str">
        <f t="shared" si="13"/>
        <v>105,….,3005</v>
      </c>
    </row>
    <row r="198" spans="1:16" s="60" customFormat="1" ht="15.75" customHeight="1" x14ac:dyDescent="0.35">
      <c r="A198" s="126">
        <v>6</v>
      </c>
      <c r="B198" s="126"/>
      <c r="C198" s="58">
        <v>2</v>
      </c>
      <c r="D198" s="62">
        <f>(45.51+2.95*0.75+5.6*0.75+1.95*0.75)*10.764</f>
        <v>574.63613999999995</v>
      </c>
      <c r="E198" s="62">
        <v>0</v>
      </c>
      <c r="F198" s="62">
        <f t="shared" si="12"/>
        <v>890.68601699999999</v>
      </c>
      <c r="G198" s="126"/>
      <c r="H198" s="126"/>
      <c r="I198" s="39"/>
      <c r="K198" s="60">
        <v>106</v>
      </c>
      <c r="L198" s="60">
        <v>3006</v>
      </c>
      <c r="N198" s="60" t="str">
        <f t="shared" si="13"/>
        <v>106,….,3006</v>
      </c>
    </row>
    <row r="199" spans="1:16" s="60" customFormat="1" ht="15.75" customHeight="1" x14ac:dyDescent="0.35">
      <c r="A199" s="126">
        <v>7</v>
      </c>
      <c r="B199" s="126"/>
      <c r="C199" s="58">
        <v>1</v>
      </c>
      <c r="D199" s="62">
        <f>(32.66+3.15*0.75+5.6*0.75)*10.764</f>
        <v>422.19098999999994</v>
      </c>
      <c r="E199" s="62">
        <v>0</v>
      </c>
      <c r="F199" s="62">
        <f t="shared" si="12"/>
        <v>654.39603449999993</v>
      </c>
      <c r="G199" s="126"/>
      <c r="H199" s="126"/>
      <c r="I199" s="39"/>
      <c r="K199" s="60">
        <v>105</v>
      </c>
      <c r="L199" s="60">
        <v>3005</v>
      </c>
      <c r="N199" s="60" t="str">
        <f t="shared" si="13"/>
        <v>105,….,3005</v>
      </c>
    </row>
    <row r="200" spans="1:16" s="60" customFormat="1" ht="15.75" customHeight="1" x14ac:dyDescent="0.35">
      <c r="A200" s="126">
        <v>8</v>
      </c>
      <c r="B200" s="126"/>
      <c r="C200" s="58">
        <v>1</v>
      </c>
      <c r="D200" s="62">
        <f>(32.66+3.15*0.75+5.6*0.75)*10.764</f>
        <v>422.19098999999994</v>
      </c>
      <c r="E200" s="62">
        <v>0</v>
      </c>
      <c r="F200" s="62">
        <f t="shared" si="12"/>
        <v>654.39603449999993</v>
      </c>
      <c r="G200" s="126"/>
      <c r="H200" s="126"/>
      <c r="I200" s="39"/>
      <c r="K200" s="60">
        <v>106</v>
      </c>
      <c r="L200" s="60">
        <v>3006</v>
      </c>
      <c r="N200" s="60" t="str">
        <f t="shared" si="13"/>
        <v>106,….,3006</v>
      </c>
    </row>
    <row r="201" spans="1:16" s="60" customFormat="1" ht="15.75" customHeight="1" x14ac:dyDescent="0.35">
      <c r="A201" s="99" t="s">
        <v>192</v>
      </c>
      <c r="B201" s="100"/>
      <c r="C201" s="100"/>
      <c r="D201" s="100"/>
      <c r="E201" s="100"/>
      <c r="F201" s="100"/>
      <c r="G201" s="100"/>
      <c r="H201" s="101"/>
      <c r="I201" s="39"/>
      <c r="P201" s="40"/>
    </row>
    <row r="202" spans="1:16" s="60" customFormat="1" ht="15.75" customHeight="1" x14ac:dyDescent="0.35">
      <c r="A202" s="115">
        <v>1</v>
      </c>
      <c r="B202" s="116"/>
      <c r="C202" s="69">
        <v>2</v>
      </c>
      <c r="D202" s="70">
        <f>(45.51+2.95*0.75+5.6*0.75+1.95*0.75)*10.764</f>
        <v>574.63613999999995</v>
      </c>
      <c r="E202" s="70">
        <v>0</v>
      </c>
      <c r="F202" s="70">
        <f>D202*(($F$150)+1)+(IF(E202&lt;101,E202,IF(E202&lt;201,E202/2,IF(E202&lt;=301,E202/3,E202/4))))</f>
        <v>890.68601699999999</v>
      </c>
      <c r="G202" s="241" t="str">
        <f>A201</f>
        <v>6th, 11th, 16th, 21st, 26th Floor For Residential (Part Refuge Area)</v>
      </c>
      <c r="H202" s="242"/>
      <c r="I202" s="39"/>
      <c r="K202" s="60">
        <v>601</v>
      </c>
      <c r="L202" s="60">
        <v>2601</v>
      </c>
      <c r="N202" s="60" t="str">
        <f>K202&amp;""&amp;",….,"&amp;""&amp;L202</f>
        <v>601,….,2601</v>
      </c>
    </row>
    <row r="203" spans="1:16" s="60" customFormat="1" ht="15.75" customHeight="1" x14ac:dyDescent="0.35">
      <c r="A203" s="115">
        <v>2</v>
      </c>
      <c r="B203" s="116"/>
      <c r="C203" s="69">
        <v>2</v>
      </c>
      <c r="D203" s="70">
        <f>(45.51+2.95*0.75+5.6*0.75+1.95*0.75)*10.764</f>
        <v>574.63613999999995</v>
      </c>
      <c r="E203" s="70">
        <v>0</v>
      </c>
      <c r="F203" s="70">
        <f>D203*(($F$150)+1)+(IF(E203&lt;101,E203,IF(E203&lt;201,E203/2,IF(E203&lt;=301,E203/3,E203/4))))</f>
        <v>890.68601699999999</v>
      </c>
      <c r="G203" s="243"/>
      <c r="H203" s="244"/>
      <c r="I203" s="39"/>
      <c r="K203" s="60">
        <v>602</v>
      </c>
      <c r="L203" s="60">
        <v>2602</v>
      </c>
      <c r="N203" s="60" t="str">
        <f t="shared" ref="N203:N209" si="14">K203&amp;""&amp;",….,"&amp;""&amp;L203</f>
        <v>602,….,2602</v>
      </c>
    </row>
    <row r="204" spans="1:16" s="60" customFormat="1" ht="15.75" customHeight="1" x14ac:dyDescent="0.35">
      <c r="A204" s="115">
        <v>3</v>
      </c>
      <c r="B204" s="116"/>
      <c r="C204" s="247" t="s">
        <v>191</v>
      </c>
      <c r="D204" s="248"/>
      <c r="E204" s="248"/>
      <c r="F204" s="249"/>
      <c r="G204" s="243"/>
      <c r="H204" s="244"/>
      <c r="I204" s="39"/>
      <c r="K204" s="60">
        <v>603</v>
      </c>
      <c r="L204" s="60">
        <v>2603</v>
      </c>
      <c r="N204" s="60" t="str">
        <f t="shared" si="14"/>
        <v>603,….,2603</v>
      </c>
    </row>
    <row r="205" spans="1:16" s="60" customFormat="1" ht="15.75" customHeight="1" x14ac:dyDescent="0.35">
      <c r="A205" s="115">
        <v>4</v>
      </c>
      <c r="B205" s="116"/>
      <c r="C205" s="250"/>
      <c r="D205" s="251"/>
      <c r="E205" s="251"/>
      <c r="F205" s="252"/>
      <c r="G205" s="243"/>
      <c r="H205" s="244"/>
      <c r="I205" s="39"/>
      <c r="K205" s="60">
        <v>604</v>
      </c>
      <c r="L205" s="60">
        <v>2604</v>
      </c>
      <c r="N205" s="60" t="str">
        <f t="shared" si="14"/>
        <v>604,….,2604</v>
      </c>
    </row>
    <row r="206" spans="1:16" s="60" customFormat="1" ht="15.75" customHeight="1" x14ac:dyDescent="0.35">
      <c r="A206" s="115">
        <v>5</v>
      </c>
      <c r="B206" s="116"/>
      <c r="C206" s="69">
        <v>2</v>
      </c>
      <c r="D206" s="70">
        <f>(45.51+2.95*0.75+5.6*0.75+1.95*0.75)*10.764</f>
        <v>574.63613999999995</v>
      </c>
      <c r="E206" s="70">
        <v>0</v>
      </c>
      <c r="F206" s="70">
        <f>D206*(($F$150)+1)+(IF(E206&lt;101,E206,IF(E206&lt;201,E206/2,IF(E206&lt;=301,E206/3,E206/4))))</f>
        <v>890.68601699999999</v>
      </c>
      <c r="G206" s="243"/>
      <c r="H206" s="244"/>
      <c r="I206" s="39"/>
      <c r="K206" s="60">
        <v>605</v>
      </c>
      <c r="L206" s="60">
        <v>2605</v>
      </c>
      <c r="N206" s="60" t="str">
        <f t="shared" si="14"/>
        <v>605,….,2605</v>
      </c>
    </row>
    <row r="207" spans="1:16" s="60" customFormat="1" ht="15.75" customHeight="1" x14ac:dyDescent="0.35">
      <c r="A207" s="115">
        <v>6</v>
      </c>
      <c r="B207" s="116"/>
      <c r="C207" s="69">
        <v>2</v>
      </c>
      <c r="D207" s="70">
        <f>(45.51+2.95*0.75+5.6*0.75+1.95*0.75)*10.764</f>
        <v>574.63613999999995</v>
      </c>
      <c r="E207" s="70">
        <v>0</v>
      </c>
      <c r="F207" s="70">
        <f>D207*(($F$150)+1)+(IF(E207&lt;101,E207,IF(E207&lt;201,E207/2,IF(E207&lt;=301,E207/3,E207/4))))</f>
        <v>890.68601699999999</v>
      </c>
      <c r="G207" s="243"/>
      <c r="H207" s="244"/>
      <c r="I207" s="39"/>
      <c r="K207" s="60">
        <v>606</v>
      </c>
      <c r="L207" s="60">
        <v>2606</v>
      </c>
      <c r="N207" s="60" t="str">
        <f t="shared" si="14"/>
        <v>606,….,2606</v>
      </c>
    </row>
    <row r="208" spans="1:16" s="60" customFormat="1" ht="15.75" customHeight="1" x14ac:dyDescent="0.35">
      <c r="A208" s="115">
        <v>7</v>
      </c>
      <c r="B208" s="116"/>
      <c r="C208" s="69">
        <v>1</v>
      </c>
      <c r="D208" s="70">
        <f>(32.66+3.15*0.75+5.6*0.75)*10.764</f>
        <v>422.19098999999994</v>
      </c>
      <c r="E208" s="70">
        <v>0</v>
      </c>
      <c r="F208" s="70">
        <f>D208*(($F$150)+1)+(IF(E208&lt;101,E208,IF(E208&lt;201,E208/2,IF(E208&lt;=301,E208/3,E208/4))))</f>
        <v>654.39603449999993</v>
      </c>
      <c r="G208" s="243"/>
      <c r="H208" s="244"/>
      <c r="I208" s="39"/>
      <c r="K208" s="60">
        <v>605</v>
      </c>
      <c r="L208" s="60">
        <v>2605</v>
      </c>
      <c r="N208" s="60" t="str">
        <f t="shared" si="14"/>
        <v>605,….,2605</v>
      </c>
    </row>
    <row r="209" spans="1:16" s="60" customFormat="1" ht="15.75" customHeight="1" x14ac:dyDescent="0.35">
      <c r="A209" s="115">
        <v>8</v>
      </c>
      <c r="B209" s="116"/>
      <c r="C209" s="69">
        <v>1</v>
      </c>
      <c r="D209" s="70">
        <f>(32.66+3.15*0.75+5.6*0.75)*10.764</f>
        <v>422.19098999999994</v>
      </c>
      <c r="E209" s="70">
        <v>0</v>
      </c>
      <c r="F209" s="70">
        <f>D209*(($F$150)+1)+(IF(E209&lt;101,E209,IF(E209&lt;201,E209/2,IF(E209&lt;=301,E209/3,E209/4))))</f>
        <v>654.39603449999993</v>
      </c>
      <c r="G209" s="245"/>
      <c r="H209" s="246"/>
      <c r="I209" s="39"/>
      <c r="K209" s="60">
        <v>606</v>
      </c>
      <c r="L209" s="60">
        <v>2606</v>
      </c>
      <c r="N209" s="60" t="str">
        <f t="shared" si="14"/>
        <v>606,….,2606</v>
      </c>
    </row>
    <row r="210" spans="1:16" s="52" customFormat="1" hidden="1" x14ac:dyDescent="0.35">
      <c r="A210" s="183" t="s">
        <v>122</v>
      </c>
      <c r="B210" s="183"/>
      <c r="C210" s="183"/>
      <c r="D210" s="183"/>
      <c r="E210" s="183"/>
      <c r="F210" s="183"/>
      <c r="G210" s="183"/>
      <c r="H210" s="183"/>
      <c r="I210" s="39"/>
      <c r="K210" s="60"/>
      <c r="L210" s="226"/>
      <c r="M210" s="226"/>
    </row>
    <row r="211" spans="1:16" s="52" customFormat="1" hidden="1" x14ac:dyDescent="0.35">
      <c r="A211" s="117">
        <f>LEFT(A210,SUM(LEN(A210)-LEN(SUBSTITUTE(A210,{"0","1","2","3","4","5","6","7","8","9"},""))))*100+1</f>
        <v>201</v>
      </c>
      <c r="B211" s="117"/>
      <c r="C211" s="69"/>
      <c r="D211" s="70"/>
      <c r="E211" s="70">
        <v>0</v>
      </c>
      <c r="F211" s="70">
        <f t="shared" ref="F211:F212" si="15">D211*(($F$150)+1)+(IF(E211&lt;101,E211,IF(E211&lt;201,E211/2,IF(E211&lt;=301,E211/3,E211/4))))</f>
        <v>0</v>
      </c>
      <c r="G211" s="117" t="str">
        <f>A210</f>
        <v>2nd Floor</v>
      </c>
      <c r="H211" s="117"/>
      <c r="I211" s="39"/>
      <c r="N211" s="39"/>
    </row>
    <row r="212" spans="1:16" s="52" customFormat="1" hidden="1" x14ac:dyDescent="0.35">
      <c r="A212" s="117">
        <f>A211+1</f>
        <v>202</v>
      </c>
      <c r="B212" s="117"/>
      <c r="C212" s="69"/>
      <c r="D212" s="70"/>
      <c r="E212" s="70">
        <v>0</v>
      </c>
      <c r="F212" s="70">
        <f t="shared" si="15"/>
        <v>0</v>
      </c>
      <c r="G212" s="117" t="str">
        <f>G211</f>
        <v>2nd Floor</v>
      </c>
      <c r="H212" s="117"/>
      <c r="I212" s="39"/>
      <c r="K212" s="52">
        <f>(3.05*4+2.1*1.85+2.76*2.9+1.2*1.35+1.35*1.2+1.35*0.6+2.4*0.9+3.05*0.75+5.6*0.75)</f>
        <v>36.786500000000004</v>
      </c>
      <c r="N212" s="39"/>
    </row>
    <row r="213" spans="1:16" s="52" customFormat="1" hidden="1" x14ac:dyDescent="0.35">
      <c r="A213" s="117">
        <f>A212+1</f>
        <v>203</v>
      </c>
      <c r="B213" s="117"/>
      <c r="C213" s="69"/>
      <c r="D213" s="70"/>
      <c r="E213" s="70">
        <v>0</v>
      </c>
      <c r="F213" s="70">
        <f>D213*(($F$150)+1)+(IF(E213&lt;101,E213,IF(E213&lt;201,E213/2,IF(E213&lt;=301,E213/3,E213/4))))</f>
        <v>0</v>
      </c>
      <c r="G213" s="117" t="str">
        <f>G212</f>
        <v>2nd Floor</v>
      </c>
      <c r="H213" s="117"/>
      <c r="I213" s="39"/>
      <c r="N213" s="39"/>
    </row>
    <row r="214" spans="1:16" s="52" customFormat="1" hidden="1" x14ac:dyDescent="0.35">
      <c r="A214" s="117">
        <f>A213+1</f>
        <v>204</v>
      </c>
      <c r="B214" s="117"/>
      <c r="C214" s="69"/>
      <c r="D214" s="70"/>
      <c r="E214" s="70">
        <v>0</v>
      </c>
      <c r="F214" s="70">
        <f>D214*(($F$150)+1)+(IF(E214&lt;101,E214,IF(E214&lt;201,E214/2,IF(E214&lt;=301,E214/3,E214/4))))</f>
        <v>0</v>
      </c>
      <c r="G214" s="117" t="str">
        <f>G213</f>
        <v>2nd Floor</v>
      </c>
      <c r="H214" s="117"/>
      <c r="I214" s="39"/>
      <c r="N214" s="39"/>
    </row>
    <row r="215" spans="1:16" s="52" customFormat="1" hidden="1" x14ac:dyDescent="0.35">
      <c r="A215" s="117">
        <f>A214+1</f>
        <v>205</v>
      </c>
      <c r="B215" s="117"/>
      <c r="C215" s="69"/>
      <c r="D215" s="70"/>
      <c r="E215" s="70">
        <v>0</v>
      </c>
      <c r="F215" s="70">
        <f>D215*(($F$150)+1)+(IF(E215&lt;101,E215,IF(E215&lt;201,E215/2,IF(E215&lt;=301,E215/3,E215/4))))</f>
        <v>0</v>
      </c>
      <c r="G215" s="117" t="str">
        <f>G214</f>
        <v>2nd Floor</v>
      </c>
      <c r="H215" s="117"/>
      <c r="I215" s="39"/>
      <c r="N215" s="39"/>
    </row>
    <row r="216" spans="1:16" s="52" customFormat="1" ht="15.75" hidden="1" customHeight="1" x14ac:dyDescent="0.35">
      <c r="A216" s="188" t="s">
        <v>158</v>
      </c>
      <c r="B216" s="189"/>
      <c r="C216" s="189"/>
      <c r="D216" s="189"/>
      <c r="E216" s="189"/>
      <c r="F216" s="189"/>
      <c r="G216" s="189"/>
      <c r="H216" s="190"/>
      <c r="I216" s="39"/>
      <c r="P216" s="40"/>
    </row>
    <row r="217" spans="1:16" s="52" customFormat="1" hidden="1" x14ac:dyDescent="0.35">
      <c r="A217" s="115" t="str">
        <f ca="1">(SUMPRODUCT(MID(0&amp;(LEFT(A216,SUM(LEN(A216)-LEN(SUBSTITUTE(A216,{"0","1","2"},""))))), LARGE(INDEX(ISNUMBER(--MID((LEFT(A216,SUM(LEN(A216)-LEN(SUBSTITUTE(A216,{"0","1","2"},""))))), ROW(INDIRECT("1:"&amp;LEN((LEFT(A216,SUM(LEN(A216)-LEN(SUBSTITUTE(A216,{"0","1","2"},"")))))))), 1)) * ROW(INDIRECT("1:"&amp;LEN((LEFT(A216,SUM(LEN(A216)-LEN(SUBSTITUTE(A216,{"0","1","2"},"")))))))), 0), ROW(INDIRECT("1:"&amp;LEN((LEFT(A216,SUM(LEN(A216)-LEN(SUBSTITUTE(A216,{"0","1","2"},"")))))))))+1, 1) * 10^ROW(INDIRECT("1:"&amp;LEN((LEFT(A216,SUM(LEN(A216)-LEN(SUBSTITUTE(A216,{"0","1","2"},""))))))))/10))*100+1&amp;""&amp;" ,.., "&amp;""&amp;(SUMPRODUCT(MID(0&amp;(--TRIM(RIGHT(SUBSTITUTE(LEFT(A216,_xlfn.AGGREGATE(16,6,FIND({0,1,2,3,4,5,6,7,8,9},A216,ROW(INDIRECT("1:"&amp;LEN(A216)))),1))," ",REPT(" ",LEN(A216))),LEN(A216)))), LARGE(INDEX(ISNUMBER(--MID((--TRIM(RIGHT(SUBSTITUTE(LEFT(A216,_xlfn.AGGREGATE(16,6,FIND({0,1,2,3,4,5,6,7,8,9},A216,ROW(INDIRECT("1:"&amp;LEN(A216)))),1))," ",REPT(" ",LEN(A216))),LEN(A216)))), ROW(INDIRECT("1:"&amp;LEN((--TRIM(RIGHT(SUBSTITUTE(LEFT(A216,_xlfn.AGGREGATE(16,6,FIND({0,1,2,3,4,5,6,7,8,9},A216,ROW(INDIRECT("1:"&amp;LEN(A216)))),1))," ",REPT(" ",LEN(A216))),LEN(A216))))))), 1)) * ROW(INDIRECT("1:"&amp;LEN((--TRIM(RIGHT(SUBSTITUTE(LEFT(A216,_xlfn.AGGREGATE(16,6,FIND({0,1,2,3,4,5,6,7,8,9},A216,ROW(INDIRECT("1:"&amp;LEN(A216)))),1))," ",REPT(" ",LEN(A216))),LEN(A216))))))), 0), ROW(INDIRECT("1:"&amp;LEN((--TRIM(RIGHT(SUBSTITUTE(LEFT(A216,_xlfn.AGGREGATE(16,6,FIND({0,1,2,3,4,5,6,7,8,9},A216,ROW(INDIRECT("1:"&amp;LEN(A216)))),1))," ",REPT(" ",LEN(A216))),LEN(A216))))))))+1, 1) * 10^ROW(INDIRECT("1:"&amp;LEN((--TRIM(RIGHT(SUBSTITUTE(LEFT(A216,_xlfn.AGGREGATE(16,6,FIND({0,1,2,3,4,5,6,7,8,9},A216,ROW(INDIRECT("1:"&amp;LEN(A216)))),1))," ",REPT(" ",LEN(A216))),LEN(A216)))))))/10))*100+1</f>
        <v>301 ,.., 1501</v>
      </c>
      <c r="B217" s="116"/>
      <c r="C217" s="69"/>
      <c r="D217" s="70"/>
      <c r="E217" s="70">
        <v>0</v>
      </c>
      <c r="F217" s="70">
        <f t="shared" ref="F217:F222" si="16">D217*(($F$150)+1)+(IF(E217&lt;101,E217,IF(E217&lt;201,E217/2,IF(E217&lt;=301,E217/3,E217/4))))</f>
        <v>0</v>
      </c>
      <c r="G217" s="115" t="str">
        <f>A216</f>
        <v>3rd, 5th, 7th, 9th, 11th, 13th, 15th Floor</v>
      </c>
      <c r="H217" s="116"/>
      <c r="I217" s="39"/>
    </row>
    <row r="218" spans="1:16" s="52" customFormat="1" hidden="1" x14ac:dyDescent="0.35">
      <c r="A218" s="115" t="str">
        <f ca="1">(SUMPRODUCT(MID(0&amp;(LEFT(A217,SUM(LEN(A217)-LEN(SUBSTITUTE(A217,{"0","1","2"},""))))), LARGE(INDEX(ISNUMBER(--MID((LEFT(A217,SUM(LEN(A217)-LEN(SUBSTITUTE(A217,{"0","1","2"},""))))), ROW(INDIRECT("1:"&amp;LEN((LEFT(A217,SUM(LEN(A217)-LEN(SUBSTITUTE(A217,{"0","1","2"},"")))))))), 1)) * ROW(INDIRECT("1:"&amp;LEN((LEFT(A217,SUM(LEN(A217)-LEN(SUBSTITUTE(A217,{"0","1","2"},"")))))))), 0), ROW(INDIRECT("1:"&amp;LEN((LEFT(A217,SUM(LEN(A217)-LEN(SUBSTITUTE(A217,{"0","1","2"},"")))))))))+1, 1) * 10^ROW(INDIRECT("1:"&amp;LEN((LEFT(A217,SUM(LEN(A217)-LEN(SUBSTITUTE(A217,{"0","1","2"},""))))))))/10))*1+1&amp;""&amp;" ,.., "&amp;""&amp;(SUMPRODUCT(MID(0&amp;(--TRIM(RIGHT(SUBSTITUTE(LEFT(A217,_xlfn.AGGREGATE(16,6,FIND({0,1,2,3,4,5,6,7,8,9},A217,ROW(INDIRECT("1:"&amp;LEN(A217)))),1))," ",REPT(" ",LEN(A217))),LEN(A217)))), LARGE(INDEX(ISNUMBER(--MID((--TRIM(RIGHT(SUBSTITUTE(LEFT(A217,_xlfn.AGGREGATE(16,6,FIND({0,1,2,3,4,5,6,7,8,9},A217,ROW(INDIRECT("1:"&amp;LEN(A217)))),1))," ",REPT(" ",LEN(A217))),LEN(A217)))), ROW(INDIRECT("1:"&amp;LEN((--TRIM(RIGHT(SUBSTITUTE(LEFT(A217,_xlfn.AGGREGATE(16,6,FIND({0,1,2,3,4,5,6,7,8,9},A217,ROW(INDIRECT("1:"&amp;LEN(A217)))),1))," ",REPT(" ",LEN(A217))),LEN(A217))))))), 1)) * ROW(INDIRECT("1:"&amp;LEN((--TRIM(RIGHT(SUBSTITUTE(LEFT(A217,_xlfn.AGGREGATE(16,6,FIND({0,1,2,3,4,5,6,7,8,9},A217,ROW(INDIRECT("1:"&amp;LEN(A217)))),1))," ",REPT(" ",LEN(A217))),LEN(A217))))))), 0), ROW(INDIRECT("1:"&amp;LEN((--TRIM(RIGHT(SUBSTITUTE(LEFT(A217,_xlfn.AGGREGATE(16,6,FIND({0,1,2,3,4,5,6,7,8,9},A217,ROW(INDIRECT("1:"&amp;LEN(A217)))),1))," ",REPT(" ",LEN(A217))),LEN(A217))))))))+1, 1) * 10^ROW(INDIRECT("1:"&amp;LEN((--TRIM(RIGHT(SUBSTITUTE(LEFT(A217,_xlfn.AGGREGATE(16,6,FIND({0,1,2,3,4,5,6,7,8,9},A217,ROW(INDIRECT("1:"&amp;LEN(A217)))),1))," ",REPT(" ",LEN(A217))),LEN(A217)))))))/10))*1+1</f>
        <v>302 ,.., 1502</v>
      </c>
      <c r="B218" s="116"/>
      <c r="C218" s="69"/>
      <c r="D218" s="70"/>
      <c r="E218" s="70">
        <v>0</v>
      </c>
      <c r="F218" s="70">
        <f t="shared" si="16"/>
        <v>0</v>
      </c>
      <c r="G218" s="115" t="str">
        <f>G217</f>
        <v>3rd, 5th, 7th, 9th, 11th, 13th, 15th Floor</v>
      </c>
      <c r="H218" s="116"/>
      <c r="I218" s="39"/>
    </row>
    <row r="219" spans="1:16" s="52" customFormat="1" ht="15.75" hidden="1" customHeight="1" x14ac:dyDescent="0.35">
      <c r="A219" s="115" t="str">
        <f ca="1">(SUMPRODUCT(MID(0&amp;(LEFT(A218,SUM(LEN(A218)-LEN(SUBSTITUTE(A218,{"0","1","2"},""))))), LARGE(INDEX(ISNUMBER(--MID((LEFT(A218,SUM(LEN(A218)-LEN(SUBSTITUTE(A218,{"0","1","2"},""))))), ROW(INDIRECT("1:"&amp;LEN((LEFT(A218,SUM(LEN(A218)-LEN(SUBSTITUTE(A218,{"0","1","2"},"")))))))), 1)) * ROW(INDIRECT("1:"&amp;LEN((LEFT(A218,SUM(LEN(A218)-LEN(SUBSTITUTE(A218,{"0","1","2"},"")))))))), 0), ROW(INDIRECT("1:"&amp;LEN((LEFT(A218,SUM(LEN(A218)-LEN(SUBSTITUTE(A218,{"0","1","2"},"")))))))))+1, 1) * 10^ROW(INDIRECT("1:"&amp;LEN((LEFT(A218,SUM(LEN(A218)-LEN(SUBSTITUTE(A218,{"0","1","2"},""))))))))/10))*1+1&amp;""&amp;" ,.., "&amp;""&amp;(SUMPRODUCT(MID(0&amp;(--TRIM(RIGHT(SUBSTITUTE(LEFT(A218,_xlfn.AGGREGATE(16,6,FIND({0,1,2,3,4,5,6,7,8,9},A218,ROW(INDIRECT("1:"&amp;LEN(A218)))),1))," ",REPT(" ",LEN(A218))),LEN(A218)))), LARGE(INDEX(ISNUMBER(--MID((--TRIM(RIGHT(SUBSTITUTE(LEFT(A218,_xlfn.AGGREGATE(16,6,FIND({0,1,2,3,4,5,6,7,8,9},A218,ROW(INDIRECT("1:"&amp;LEN(A218)))),1))," ",REPT(" ",LEN(A218))),LEN(A218)))), ROW(INDIRECT("1:"&amp;LEN((--TRIM(RIGHT(SUBSTITUTE(LEFT(A218,_xlfn.AGGREGATE(16,6,FIND({0,1,2,3,4,5,6,7,8,9},A218,ROW(INDIRECT("1:"&amp;LEN(A218)))),1))," ",REPT(" ",LEN(A218))),LEN(A218))))))), 1)) * ROW(INDIRECT("1:"&amp;LEN((--TRIM(RIGHT(SUBSTITUTE(LEFT(A218,_xlfn.AGGREGATE(16,6,FIND({0,1,2,3,4,5,6,7,8,9},A218,ROW(INDIRECT("1:"&amp;LEN(A218)))),1))," ",REPT(" ",LEN(A218))),LEN(A218))))))), 0), ROW(INDIRECT("1:"&amp;LEN((--TRIM(RIGHT(SUBSTITUTE(LEFT(A218,_xlfn.AGGREGATE(16,6,FIND({0,1,2,3,4,5,6,7,8,9},A218,ROW(INDIRECT("1:"&amp;LEN(A218)))),1))," ",REPT(" ",LEN(A218))),LEN(A218))))))))+1, 1) * 10^ROW(INDIRECT("1:"&amp;LEN((--TRIM(RIGHT(SUBSTITUTE(LEFT(A218,_xlfn.AGGREGATE(16,6,FIND({0,1,2,3,4,5,6,7,8,9},A218,ROW(INDIRECT("1:"&amp;LEN(A218)))),1))," ",REPT(" ",LEN(A218))),LEN(A218)))))))/10))*1+1</f>
        <v>303 ,.., 1503</v>
      </c>
      <c r="B219" s="116"/>
      <c r="C219" s="69"/>
      <c r="D219" s="70"/>
      <c r="E219" s="70">
        <v>0</v>
      </c>
      <c r="F219" s="70">
        <f t="shared" si="16"/>
        <v>0</v>
      </c>
      <c r="G219" s="115" t="str">
        <f>G218</f>
        <v>3rd, 5th, 7th, 9th, 11th, 13th, 15th Floor</v>
      </c>
      <c r="H219" s="116"/>
      <c r="I219" s="39"/>
    </row>
    <row r="220" spans="1:16" s="52" customFormat="1" ht="15.75" hidden="1" customHeight="1" x14ac:dyDescent="0.35">
      <c r="A220" s="115" t="str">
        <f ca="1">(SUMPRODUCT(MID(0&amp;(LEFT(A219,SUM(LEN(A219)-LEN(SUBSTITUTE(A219,{"0","1","2"},""))))), LARGE(INDEX(ISNUMBER(--MID((LEFT(A219,SUM(LEN(A219)-LEN(SUBSTITUTE(A219,{"0","1","2"},""))))), ROW(INDIRECT("1:"&amp;LEN((LEFT(A219,SUM(LEN(A219)-LEN(SUBSTITUTE(A219,{"0","1","2"},"")))))))), 1)) * ROW(INDIRECT("1:"&amp;LEN((LEFT(A219,SUM(LEN(A219)-LEN(SUBSTITUTE(A219,{"0","1","2"},"")))))))), 0), ROW(INDIRECT("1:"&amp;LEN((LEFT(A219,SUM(LEN(A219)-LEN(SUBSTITUTE(A219,{"0","1","2"},"")))))))))+1, 1) * 10^ROW(INDIRECT("1:"&amp;LEN((LEFT(A219,SUM(LEN(A219)-LEN(SUBSTITUTE(A219,{"0","1","2"},""))))))))/10))*1+1&amp;""&amp;" ,.., "&amp;""&amp;(SUMPRODUCT(MID(0&amp;(--TRIM(RIGHT(SUBSTITUTE(LEFT(A219,_xlfn.AGGREGATE(16,6,FIND({0,1,2,3,4,5,6,7,8,9},A219,ROW(INDIRECT("1:"&amp;LEN(A219)))),1))," ",REPT(" ",LEN(A219))),LEN(A219)))), LARGE(INDEX(ISNUMBER(--MID((--TRIM(RIGHT(SUBSTITUTE(LEFT(A219,_xlfn.AGGREGATE(16,6,FIND({0,1,2,3,4,5,6,7,8,9},A219,ROW(INDIRECT("1:"&amp;LEN(A219)))),1))," ",REPT(" ",LEN(A219))),LEN(A219)))), ROW(INDIRECT("1:"&amp;LEN((--TRIM(RIGHT(SUBSTITUTE(LEFT(A219,_xlfn.AGGREGATE(16,6,FIND({0,1,2,3,4,5,6,7,8,9},A219,ROW(INDIRECT("1:"&amp;LEN(A219)))),1))," ",REPT(" ",LEN(A219))),LEN(A219))))))), 1)) * ROW(INDIRECT("1:"&amp;LEN((--TRIM(RIGHT(SUBSTITUTE(LEFT(A219,_xlfn.AGGREGATE(16,6,FIND({0,1,2,3,4,5,6,7,8,9},A219,ROW(INDIRECT("1:"&amp;LEN(A219)))),1))," ",REPT(" ",LEN(A219))),LEN(A219))))))), 0), ROW(INDIRECT("1:"&amp;LEN((--TRIM(RIGHT(SUBSTITUTE(LEFT(A219,_xlfn.AGGREGATE(16,6,FIND({0,1,2,3,4,5,6,7,8,9},A219,ROW(INDIRECT("1:"&amp;LEN(A219)))),1))," ",REPT(" ",LEN(A219))),LEN(A219))))))))+1, 1) * 10^ROW(INDIRECT("1:"&amp;LEN((--TRIM(RIGHT(SUBSTITUTE(LEFT(A219,_xlfn.AGGREGATE(16,6,FIND({0,1,2,3,4,5,6,7,8,9},A219,ROW(INDIRECT("1:"&amp;LEN(A219)))),1))," ",REPT(" ",LEN(A219))),LEN(A219)))))))/10))*1+1</f>
        <v>304 ,.., 1504</v>
      </c>
      <c r="B220" s="116"/>
      <c r="C220" s="69"/>
      <c r="D220" s="70"/>
      <c r="E220" s="70">
        <v>0</v>
      </c>
      <c r="F220" s="70">
        <f t="shared" si="16"/>
        <v>0</v>
      </c>
      <c r="G220" s="115" t="str">
        <f>G219</f>
        <v>3rd, 5th, 7th, 9th, 11th, 13th, 15th Floor</v>
      </c>
      <c r="H220" s="116"/>
      <c r="I220" s="39"/>
    </row>
    <row r="221" spans="1:16" s="52" customFormat="1" ht="15.75" hidden="1" customHeight="1" x14ac:dyDescent="0.35">
      <c r="A221" s="115" t="str">
        <f ca="1">(SUMPRODUCT(MID(0&amp;(LEFT(A220,SUM(LEN(A220)-LEN(SUBSTITUTE(A220,{"0","1","2"},""))))), LARGE(INDEX(ISNUMBER(--MID((LEFT(A220,SUM(LEN(A220)-LEN(SUBSTITUTE(A220,{"0","1","2"},""))))), ROW(INDIRECT("1:"&amp;LEN((LEFT(A220,SUM(LEN(A220)-LEN(SUBSTITUTE(A220,{"0","1","2"},"")))))))), 1)) * ROW(INDIRECT("1:"&amp;LEN((LEFT(A220,SUM(LEN(A220)-LEN(SUBSTITUTE(A220,{"0","1","2"},"")))))))), 0), ROW(INDIRECT("1:"&amp;LEN((LEFT(A220,SUM(LEN(A220)-LEN(SUBSTITUTE(A220,{"0","1","2"},"")))))))))+1, 1) * 10^ROW(INDIRECT("1:"&amp;LEN((LEFT(A220,SUM(LEN(A220)-LEN(SUBSTITUTE(A220,{"0","1","2"},""))))))))/10))*1+1&amp;""&amp;" ,.., "&amp;""&amp;(SUMPRODUCT(MID(0&amp;(--TRIM(RIGHT(SUBSTITUTE(LEFT(A220,_xlfn.AGGREGATE(16,6,FIND({0,1,2,3,4,5,6,7,8,9},A220,ROW(INDIRECT("1:"&amp;LEN(A220)))),1))," ",REPT(" ",LEN(A220))),LEN(A220)))), LARGE(INDEX(ISNUMBER(--MID((--TRIM(RIGHT(SUBSTITUTE(LEFT(A220,_xlfn.AGGREGATE(16,6,FIND({0,1,2,3,4,5,6,7,8,9},A220,ROW(INDIRECT("1:"&amp;LEN(A220)))),1))," ",REPT(" ",LEN(A220))),LEN(A220)))), ROW(INDIRECT("1:"&amp;LEN((--TRIM(RIGHT(SUBSTITUTE(LEFT(A220,_xlfn.AGGREGATE(16,6,FIND({0,1,2,3,4,5,6,7,8,9},A220,ROW(INDIRECT("1:"&amp;LEN(A220)))),1))," ",REPT(" ",LEN(A220))),LEN(A220))))))), 1)) * ROW(INDIRECT("1:"&amp;LEN((--TRIM(RIGHT(SUBSTITUTE(LEFT(A220,_xlfn.AGGREGATE(16,6,FIND({0,1,2,3,4,5,6,7,8,9},A220,ROW(INDIRECT("1:"&amp;LEN(A220)))),1))," ",REPT(" ",LEN(A220))),LEN(A220))))))), 0), ROW(INDIRECT("1:"&amp;LEN((--TRIM(RIGHT(SUBSTITUTE(LEFT(A220,_xlfn.AGGREGATE(16,6,FIND({0,1,2,3,4,5,6,7,8,9},A220,ROW(INDIRECT("1:"&amp;LEN(A220)))),1))," ",REPT(" ",LEN(A220))),LEN(A220))))))))+1, 1) * 10^ROW(INDIRECT("1:"&amp;LEN((--TRIM(RIGHT(SUBSTITUTE(LEFT(A220,_xlfn.AGGREGATE(16,6,FIND({0,1,2,3,4,5,6,7,8,9},A220,ROW(INDIRECT("1:"&amp;LEN(A220)))),1))," ",REPT(" ",LEN(A220))),LEN(A220)))))))/10))*1+1</f>
        <v>305 ,.., 1505</v>
      </c>
      <c r="B221" s="116"/>
      <c r="C221" s="69"/>
      <c r="D221" s="70"/>
      <c r="E221" s="70">
        <v>0</v>
      </c>
      <c r="F221" s="70">
        <f t="shared" si="16"/>
        <v>0</v>
      </c>
      <c r="G221" s="115" t="str">
        <f>G220</f>
        <v>3rd, 5th, 7th, 9th, 11th, 13th, 15th Floor</v>
      </c>
      <c r="H221" s="116"/>
      <c r="I221" s="39"/>
    </row>
    <row r="222" spans="1:16" s="60" customFormat="1" ht="15.75" hidden="1" customHeight="1" x14ac:dyDescent="0.35">
      <c r="A222" s="115" t="str">
        <f ca="1">(SUMPRODUCT(MID(0&amp;(LEFT(A221,SUM(LEN(A221)-LEN(SUBSTITUTE(A221,{"0","1","2"},""))))), LARGE(INDEX(ISNUMBER(--MID((LEFT(A221,SUM(LEN(A221)-LEN(SUBSTITUTE(A221,{"0","1","2"},""))))), ROW(INDIRECT("1:"&amp;LEN((LEFT(A221,SUM(LEN(A221)-LEN(SUBSTITUTE(A221,{"0","1","2"},"")))))))), 1)) * ROW(INDIRECT("1:"&amp;LEN((LEFT(A221,SUM(LEN(A221)-LEN(SUBSTITUTE(A221,{"0","1","2"},"")))))))), 0), ROW(INDIRECT("1:"&amp;LEN((LEFT(A221,SUM(LEN(A221)-LEN(SUBSTITUTE(A221,{"0","1","2"},"")))))))))+1, 1) * 10^ROW(INDIRECT("1:"&amp;LEN((LEFT(A221,SUM(LEN(A221)-LEN(SUBSTITUTE(A221,{"0","1","2"},""))))))))/10))*1+1&amp;""&amp;" ,.., "&amp;""&amp;(SUMPRODUCT(MID(0&amp;(--TRIM(RIGHT(SUBSTITUTE(LEFT(A221,_xlfn.AGGREGATE(16,6,FIND({0,1,2,3,4,5,6,7,8,9},A221,ROW(INDIRECT("1:"&amp;LEN(A221)))),1))," ",REPT(" ",LEN(A221))),LEN(A221)))), LARGE(INDEX(ISNUMBER(--MID((--TRIM(RIGHT(SUBSTITUTE(LEFT(A221,_xlfn.AGGREGATE(16,6,FIND({0,1,2,3,4,5,6,7,8,9},A221,ROW(INDIRECT("1:"&amp;LEN(A221)))),1))," ",REPT(" ",LEN(A221))),LEN(A221)))), ROW(INDIRECT("1:"&amp;LEN((--TRIM(RIGHT(SUBSTITUTE(LEFT(A221,_xlfn.AGGREGATE(16,6,FIND({0,1,2,3,4,5,6,7,8,9},A221,ROW(INDIRECT("1:"&amp;LEN(A221)))),1))," ",REPT(" ",LEN(A221))),LEN(A221))))))), 1)) * ROW(INDIRECT("1:"&amp;LEN((--TRIM(RIGHT(SUBSTITUTE(LEFT(A221,_xlfn.AGGREGATE(16,6,FIND({0,1,2,3,4,5,6,7,8,9},A221,ROW(INDIRECT("1:"&amp;LEN(A221)))),1))," ",REPT(" ",LEN(A221))),LEN(A221))))))), 0), ROW(INDIRECT("1:"&amp;LEN((--TRIM(RIGHT(SUBSTITUTE(LEFT(A221,_xlfn.AGGREGATE(16,6,FIND({0,1,2,3,4,5,6,7,8,9},A221,ROW(INDIRECT("1:"&amp;LEN(A221)))),1))," ",REPT(" ",LEN(A221))),LEN(A221))))))))+1, 1) * 10^ROW(INDIRECT("1:"&amp;LEN((--TRIM(RIGHT(SUBSTITUTE(LEFT(A221,_xlfn.AGGREGATE(16,6,FIND({0,1,2,3,4,5,6,7,8,9},A221,ROW(INDIRECT("1:"&amp;LEN(A221)))),1))," ",REPT(" ",LEN(A221))),LEN(A221)))))))/10))*1+1</f>
        <v>306 ,.., 1506</v>
      </c>
      <c r="B222" s="116"/>
      <c r="C222" s="69"/>
      <c r="D222" s="70"/>
      <c r="E222" s="70">
        <v>0</v>
      </c>
      <c r="F222" s="70">
        <f t="shared" si="16"/>
        <v>0</v>
      </c>
      <c r="G222" s="115" t="str">
        <f>G221</f>
        <v>3rd, 5th, 7th, 9th, 11th, 13th, 15th Floor</v>
      </c>
      <c r="H222" s="116"/>
      <c r="I222" s="39"/>
    </row>
    <row r="223" spans="1:16" s="52" customFormat="1" hidden="1" x14ac:dyDescent="0.35">
      <c r="A223" s="188" t="s">
        <v>152</v>
      </c>
      <c r="B223" s="189"/>
      <c r="C223" s="189"/>
      <c r="D223" s="189"/>
      <c r="E223" s="189"/>
      <c r="F223" s="189"/>
      <c r="G223" s="189"/>
      <c r="H223" s="190"/>
      <c r="I223" s="39"/>
      <c r="P223" s="40"/>
    </row>
    <row r="224" spans="1:16" s="52" customFormat="1" hidden="1" x14ac:dyDescent="0.35">
      <c r="A224" s="115" t="str">
        <f ca="1">(SUMPRODUCT(MID(0&amp;(LEFT(A223,SUM(LEN(A223)-LEN(SUBSTITUTE(A223,{"0","1","2"},""))))), LARGE(INDEX(ISNUMBER(--MID((LEFT(A223,SUM(LEN(A223)-LEN(SUBSTITUTE(A223,{"0","1","2"},""))))), ROW(INDIRECT("1:"&amp;LEN((LEFT(A223,SUM(LEN(A223)-LEN(SUBSTITUTE(A223,{"0","1","2"},"")))))))), 1)) * ROW(INDIRECT("1:"&amp;LEN((LEFT(A223,SUM(LEN(A223)-LEN(SUBSTITUTE(A223,{"0","1","2"},"")))))))), 0), ROW(INDIRECT("1:"&amp;LEN((LEFT(A223,SUM(LEN(A223)-LEN(SUBSTITUTE(A223,{"0","1","2"},"")))))))))+1, 1) * 10^ROW(INDIRECT("1:"&amp;LEN((LEFT(A223,SUM(LEN(A223)-LEN(SUBSTITUTE(A223,{"0","1","2"},""))))))))/10))*100+1&amp;""&amp;" to "&amp;""&amp;(SUMPRODUCT(MID(0&amp;(--TRIM(RIGHT(SUBSTITUTE(LEFT(A223,_xlfn.AGGREGATE(16,6,FIND({0,1,2,3,4,5,6,7,8,9},A223,ROW(INDIRECT("1:"&amp;LEN(A223)))),1))," ",REPT(" ",LEN(A223))),LEN(A223)))), LARGE(INDEX(ISNUMBER(--MID((--TRIM(RIGHT(SUBSTITUTE(LEFT(A223,_xlfn.AGGREGATE(16,6,FIND({0,1,2,3,4,5,6,7,8,9},A223,ROW(INDIRECT("1:"&amp;LEN(A223)))),1))," ",REPT(" ",LEN(A223))),LEN(A223)))), ROW(INDIRECT("1:"&amp;LEN((--TRIM(RIGHT(SUBSTITUTE(LEFT(A223,_xlfn.AGGREGATE(16,6,FIND({0,1,2,3,4,5,6,7,8,9},A223,ROW(INDIRECT("1:"&amp;LEN(A223)))),1))," ",REPT(" ",LEN(A223))),LEN(A223))))))), 1)) * ROW(INDIRECT("1:"&amp;LEN((--TRIM(RIGHT(SUBSTITUTE(LEFT(A223,_xlfn.AGGREGATE(16,6,FIND({0,1,2,3,4,5,6,7,8,9},A223,ROW(INDIRECT("1:"&amp;LEN(A223)))),1))," ",REPT(" ",LEN(A223))),LEN(A223))))))), 0), ROW(INDIRECT("1:"&amp;LEN((--TRIM(RIGHT(SUBSTITUTE(LEFT(A223,_xlfn.AGGREGATE(16,6,FIND({0,1,2,3,4,5,6,7,8,9},A223,ROW(INDIRECT("1:"&amp;LEN(A223)))),1))," ",REPT(" ",LEN(A223))),LEN(A223))))))))+1, 1) * 10^ROW(INDIRECT("1:"&amp;LEN((--TRIM(RIGHT(SUBSTITUTE(LEFT(A223,_xlfn.AGGREGATE(16,6,FIND({0,1,2,3,4,5,6,7,8,9},A223,ROW(INDIRECT("1:"&amp;LEN(A223)))),1))," ",REPT(" ",LEN(A223))),LEN(A223)))))))/10))*100+1</f>
        <v>201 to 501</v>
      </c>
      <c r="B224" s="116"/>
      <c r="C224" s="69"/>
      <c r="D224" s="70"/>
      <c r="E224" s="70">
        <v>0</v>
      </c>
      <c r="F224" s="70">
        <f>D224*(($F$150)+1)+(IF(E224&lt;101,E224,IF(E224&lt;201,E224/2,IF(E224&lt;=301,E224/3,E224/4))))</f>
        <v>0</v>
      </c>
      <c r="G224" s="115" t="str">
        <f>A223</f>
        <v>2nd to 5th Floor</v>
      </c>
      <c r="H224" s="116"/>
      <c r="I224" s="39"/>
    </row>
    <row r="225" spans="1:16" s="52" customFormat="1" hidden="1" x14ac:dyDescent="0.35">
      <c r="A225" s="115" t="str">
        <f ca="1">(SUMPRODUCT(MID(0&amp;(LEFT(A224,SUM(LEN(A224)-LEN(SUBSTITUTE(A224,{"0","1","2"},""))))), LARGE(INDEX(ISNUMBER(--MID((LEFT(A224,SUM(LEN(A224)-LEN(SUBSTITUTE(A224,{"0","1","2"},""))))), ROW(INDIRECT("1:"&amp;LEN((LEFT(A224,SUM(LEN(A224)-LEN(SUBSTITUTE(A224,{"0","1","2"},"")))))))), 1)) * ROW(INDIRECT("1:"&amp;LEN((LEFT(A224,SUM(LEN(A224)-LEN(SUBSTITUTE(A224,{"0","1","2"},"")))))))), 0), ROW(INDIRECT("1:"&amp;LEN((LEFT(A224,SUM(LEN(A224)-LEN(SUBSTITUTE(A224,{"0","1","2"},"")))))))))+1, 1) * 10^ROW(INDIRECT("1:"&amp;LEN((LEFT(A224,SUM(LEN(A224)-LEN(SUBSTITUTE(A224,{"0","1","2"},""))))))))/10))*1+1&amp;""&amp;" to "&amp;""&amp;(SUMPRODUCT(MID(0&amp;(--TRIM(RIGHT(SUBSTITUTE(LEFT(A224,_xlfn.AGGREGATE(16,6,FIND({0,1,2,3,4,5,6,7,8,9},A224,ROW(INDIRECT("1:"&amp;LEN(A224)))),1))," ",REPT(" ",LEN(A224))),LEN(A224)))), LARGE(INDEX(ISNUMBER(--MID((--TRIM(RIGHT(SUBSTITUTE(LEFT(A224,_xlfn.AGGREGATE(16,6,FIND({0,1,2,3,4,5,6,7,8,9},A224,ROW(INDIRECT("1:"&amp;LEN(A224)))),1))," ",REPT(" ",LEN(A224))),LEN(A224)))), ROW(INDIRECT("1:"&amp;LEN((--TRIM(RIGHT(SUBSTITUTE(LEFT(A224,_xlfn.AGGREGATE(16,6,FIND({0,1,2,3,4,5,6,7,8,9},A224,ROW(INDIRECT("1:"&amp;LEN(A224)))),1))," ",REPT(" ",LEN(A224))),LEN(A224))))))), 1)) * ROW(INDIRECT("1:"&amp;LEN((--TRIM(RIGHT(SUBSTITUTE(LEFT(A224,_xlfn.AGGREGATE(16,6,FIND({0,1,2,3,4,5,6,7,8,9},A224,ROW(INDIRECT("1:"&amp;LEN(A224)))),1))," ",REPT(" ",LEN(A224))),LEN(A224))))))), 0), ROW(INDIRECT("1:"&amp;LEN((--TRIM(RIGHT(SUBSTITUTE(LEFT(A224,_xlfn.AGGREGATE(16,6,FIND({0,1,2,3,4,5,6,7,8,9},A224,ROW(INDIRECT("1:"&amp;LEN(A224)))),1))," ",REPT(" ",LEN(A224))),LEN(A224))))))))+1, 1) * 10^ROW(INDIRECT("1:"&amp;LEN((--TRIM(RIGHT(SUBSTITUTE(LEFT(A224,_xlfn.AGGREGATE(16,6,FIND({0,1,2,3,4,5,6,7,8,9},A224,ROW(INDIRECT("1:"&amp;LEN(A224)))),1))," ",REPT(" ",LEN(A224))),LEN(A224)))))))/10))*1+1</f>
        <v>202 to 502</v>
      </c>
      <c r="B225" s="116"/>
      <c r="C225" s="69"/>
      <c r="D225" s="70"/>
      <c r="E225" s="70">
        <v>0</v>
      </c>
      <c r="F225" s="70">
        <f>D225*(($F$150)+1)+(IF(E225&lt;101,E225,IF(E225&lt;201,E225/2,IF(E225&lt;=301,E225/3,E225/4))))</f>
        <v>0</v>
      </c>
      <c r="G225" s="115" t="str">
        <f>G224</f>
        <v>2nd to 5th Floor</v>
      </c>
      <c r="H225" s="116"/>
      <c r="I225" s="39"/>
    </row>
    <row r="226" spans="1:16" s="52" customFormat="1" hidden="1" x14ac:dyDescent="0.35">
      <c r="A226" s="115" t="str">
        <f ca="1">(SUMPRODUCT(MID(0&amp;(LEFT(A225,SUM(LEN(A225)-LEN(SUBSTITUTE(A225,{"0","1","2"},""))))), LARGE(INDEX(ISNUMBER(--MID((LEFT(A225,SUM(LEN(A225)-LEN(SUBSTITUTE(A225,{"0","1","2"},""))))), ROW(INDIRECT("1:"&amp;LEN((LEFT(A225,SUM(LEN(A225)-LEN(SUBSTITUTE(A225,{"0","1","2"},"")))))))), 1)) * ROW(INDIRECT("1:"&amp;LEN((LEFT(A225,SUM(LEN(A225)-LEN(SUBSTITUTE(A225,{"0","1","2"},"")))))))), 0), ROW(INDIRECT("1:"&amp;LEN((LEFT(A225,SUM(LEN(A225)-LEN(SUBSTITUTE(A225,{"0","1","2"},"")))))))))+1, 1) * 10^ROW(INDIRECT("1:"&amp;LEN((LEFT(A225,SUM(LEN(A225)-LEN(SUBSTITUTE(A225,{"0","1","2"},""))))))))/10))*1+1&amp;""&amp;" to "&amp;""&amp;(SUMPRODUCT(MID(0&amp;(--TRIM(RIGHT(SUBSTITUTE(LEFT(A225,_xlfn.AGGREGATE(16,6,FIND({0,1,2,3,4,5,6,7,8,9},A225,ROW(INDIRECT("1:"&amp;LEN(A225)))),1))," ",REPT(" ",LEN(A225))),LEN(A225)))), LARGE(INDEX(ISNUMBER(--MID((--TRIM(RIGHT(SUBSTITUTE(LEFT(A225,_xlfn.AGGREGATE(16,6,FIND({0,1,2,3,4,5,6,7,8,9},A225,ROW(INDIRECT("1:"&amp;LEN(A225)))),1))," ",REPT(" ",LEN(A225))),LEN(A225)))), ROW(INDIRECT("1:"&amp;LEN((--TRIM(RIGHT(SUBSTITUTE(LEFT(A225,_xlfn.AGGREGATE(16,6,FIND({0,1,2,3,4,5,6,7,8,9},A225,ROW(INDIRECT("1:"&amp;LEN(A225)))),1))," ",REPT(" ",LEN(A225))),LEN(A225))))))), 1)) * ROW(INDIRECT("1:"&amp;LEN((--TRIM(RIGHT(SUBSTITUTE(LEFT(A225,_xlfn.AGGREGATE(16,6,FIND({0,1,2,3,4,5,6,7,8,9},A225,ROW(INDIRECT("1:"&amp;LEN(A225)))),1))," ",REPT(" ",LEN(A225))),LEN(A225))))))), 0), ROW(INDIRECT("1:"&amp;LEN((--TRIM(RIGHT(SUBSTITUTE(LEFT(A225,_xlfn.AGGREGATE(16,6,FIND({0,1,2,3,4,5,6,7,8,9},A225,ROW(INDIRECT("1:"&amp;LEN(A225)))),1))," ",REPT(" ",LEN(A225))),LEN(A225))))))))+1, 1) * 10^ROW(INDIRECT("1:"&amp;LEN((--TRIM(RIGHT(SUBSTITUTE(LEFT(A225,_xlfn.AGGREGATE(16,6,FIND({0,1,2,3,4,5,6,7,8,9},A225,ROW(INDIRECT("1:"&amp;LEN(A225)))),1))," ",REPT(" ",LEN(A225))),LEN(A225)))))))/10))*1+1</f>
        <v>203 to 503</v>
      </c>
      <c r="B226" s="116"/>
      <c r="C226" s="69"/>
      <c r="D226" s="70"/>
      <c r="E226" s="70">
        <v>0</v>
      </c>
      <c r="F226" s="70">
        <f>D226*(($F$150)+1)+(IF(E226&lt;101,E226,IF(E226&lt;201,E226/2,IF(E226&lt;=301,E226/3,E226/4))))</f>
        <v>0</v>
      </c>
      <c r="G226" s="115" t="str">
        <f>G225</f>
        <v>2nd to 5th Floor</v>
      </c>
      <c r="H226" s="116"/>
      <c r="I226" s="39"/>
    </row>
    <row r="227" spans="1:16" s="52" customFormat="1" hidden="1" x14ac:dyDescent="0.35">
      <c r="A227" s="115" t="str">
        <f ca="1">(SUMPRODUCT(MID(0&amp;(LEFT(A226,SUM(LEN(A226)-LEN(SUBSTITUTE(A226,{"0","1","2"},""))))), LARGE(INDEX(ISNUMBER(--MID((LEFT(A226,SUM(LEN(A226)-LEN(SUBSTITUTE(A226,{"0","1","2"},""))))), ROW(INDIRECT("1:"&amp;LEN((LEFT(A226,SUM(LEN(A226)-LEN(SUBSTITUTE(A226,{"0","1","2"},"")))))))), 1)) * ROW(INDIRECT("1:"&amp;LEN((LEFT(A226,SUM(LEN(A226)-LEN(SUBSTITUTE(A226,{"0","1","2"},"")))))))), 0), ROW(INDIRECT("1:"&amp;LEN((LEFT(A226,SUM(LEN(A226)-LEN(SUBSTITUTE(A226,{"0","1","2"},"")))))))))+1, 1) * 10^ROW(INDIRECT("1:"&amp;LEN((LEFT(A226,SUM(LEN(A226)-LEN(SUBSTITUTE(A226,{"0","1","2"},""))))))))/10))*1+1&amp;""&amp;" to "&amp;""&amp;(SUMPRODUCT(MID(0&amp;(--TRIM(RIGHT(SUBSTITUTE(LEFT(A226,_xlfn.AGGREGATE(16,6,FIND({0,1,2,3,4,5,6,7,8,9},A226,ROW(INDIRECT("1:"&amp;LEN(A226)))),1))," ",REPT(" ",LEN(A226))),LEN(A226)))), LARGE(INDEX(ISNUMBER(--MID((--TRIM(RIGHT(SUBSTITUTE(LEFT(A226,_xlfn.AGGREGATE(16,6,FIND({0,1,2,3,4,5,6,7,8,9},A226,ROW(INDIRECT("1:"&amp;LEN(A226)))),1))," ",REPT(" ",LEN(A226))),LEN(A226)))), ROW(INDIRECT("1:"&amp;LEN((--TRIM(RIGHT(SUBSTITUTE(LEFT(A226,_xlfn.AGGREGATE(16,6,FIND({0,1,2,3,4,5,6,7,8,9},A226,ROW(INDIRECT("1:"&amp;LEN(A226)))),1))," ",REPT(" ",LEN(A226))),LEN(A226))))))), 1)) * ROW(INDIRECT("1:"&amp;LEN((--TRIM(RIGHT(SUBSTITUTE(LEFT(A226,_xlfn.AGGREGATE(16,6,FIND({0,1,2,3,4,5,6,7,8,9},A226,ROW(INDIRECT("1:"&amp;LEN(A226)))),1))," ",REPT(" ",LEN(A226))),LEN(A226))))))), 0), ROW(INDIRECT("1:"&amp;LEN((--TRIM(RIGHT(SUBSTITUTE(LEFT(A226,_xlfn.AGGREGATE(16,6,FIND({0,1,2,3,4,5,6,7,8,9},A226,ROW(INDIRECT("1:"&amp;LEN(A226)))),1))," ",REPT(" ",LEN(A226))),LEN(A226))))))))+1, 1) * 10^ROW(INDIRECT("1:"&amp;LEN((--TRIM(RIGHT(SUBSTITUTE(LEFT(A226,_xlfn.AGGREGATE(16,6,FIND({0,1,2,3,4,5,6,7,8,9},A226,ROW(INDIRECT("1:"&amp;LEN(A226)))),1))," ",REPT(" ",LEN(A226))),LEN(A226)))))))/10))*1+1</f>
        <v>204 to 504</v>
      </c>
      <c r="B227" s="116"/>
      <c r="C227" s="69"/>
      <c r="D227" s="70"/>
      <c r="E227" s="70">
        <v>0</v>
      </c>
      <c r="F227" s="70">
        <f>D227*(($F$150)+1)+(IF(E227&lt;101,E227,IF(E227&lt;201,E227/2,IF(E227&lt;=301,E227/3,E227/4))))</f>
        <v>0</v>
      </c>
      <c r="G227" s="115" t="str">
        <f>G226</f>
        <v>2nd to 5th Floor</v>
      </c>
      <c r="H227" s="116"/>
      <c r="I227" s="39"/>
    </row>
    <row r="228" spans="1:16" s="52" customFormat="1" hidden="1" x14ac:dyDescent="0.35">
      <c r="A228" s="115" t="str">
        <f ca="1">(SUMPRODUCT(MID(0&amp;(LEFT(A227,SUM(LEN(A227)-LEN(SUBSTITUTE(A227,{"0","1","2"},""))))), LARGE(INDEX(ISNUMBER(--MID((LEFT(A227,SUM(LEN(A227)-LEN(SUBSTITUTE(A227,{"0","1","2"},""))))), ROW(INDIRECT("1:"&amp;LEN((LEFT(A227,SUM(LEN(A227)-LEN(SUBSTITUTE(A227,{"0","1","2"},"")))))))), 1)) * ROW(INDIRECT("1:"&amp;LEN((LEFT(A227,SUM(LEN(A227)-LEN(SUBSTITUTE(A227,{"0","1","2"},"")))))))), 0), ROW(INDIRECT("1:"&amp;LEN((LEFT(A227,SUM(LEN(A227)-LEN(SUBSTITUTE(A227,{"0","1","2"},"")))))))))+1, 1) * 10^ROW(INDIRECT("1:"&amp;LEN((LEFT(A227,SUM(LEN(A227)-LEN(SUBSTITUTE(A227,{"0","1","2"},""))))))))/10))*1+1&amp;""&amp;" to "&amp;""&amp;(SUMPRODUCT(MID(0&amp;(--TRIM(RIGHT(SUBSTITUTE(LEFT(A227,_xlfn.AGGREGATE(16,6,FIND({0,1,2,3,4,5,6,7,8,9},A227,ROW(INDIRECT("1:"&amp;LEN(A227)))),1))," ",REPT(" ",LEN(A227))),LEN(A227)))), LARGE(INDEX(ISNUMBER(--MID((--TRIM(RIGHT(SUBSTITUTE(LEFT(A227,_xlfn.AGGREGATE(16,6,FIND({0,1,2,3,4,5,6,7,8,9},A227,ROW(INDIRECT("1:"&amp;LEN(A227)))),1))," ",REPT(" ",LEN(A227))),LEN(A227)))), ROW(INDIRECT("1:"&amp;LEN((--TRIM(RIGHT(SUBSTITUTE(LEFT(A227,_xlfn.AGGREGATE(16,6,FIND({0,1,2,3,4,5,6,7,8,9},A227,ROW(INDIRECT("1:"&amp;LEN(A227)))),1))," ",REPT(" ",LEN(A227))),LEN(A227))))))), 1)) * ROW(INDIRECT("1:"&amp;LEN((--TRIM(RIGHT(SUBSTITUTE(LEFT(A227,_xlfn.AGGREGATE(16,6,FIND({0,1,2,3,4,5,6,7,8,9},A227,ROW(INDIRECT("1:"&amp;LEN(A227)))),1))," ",REPT(" ",LEN(A227))),LEN(A227))))))), 0), ROW(INDIRECT("1:"&amp;LEN((--TRIM(RIGHT(SUBSTITUTE(LEFT(A227,_xlfn.AGGREGATE(16,6,FIND({0,1,2,3,4,5,6,7,8,9},A227,ROW(INDIRECT("1:"&amp;LEN(A227)))),1))," ",REPT(" ",LEN(A227))),LEN(A227))))))))+1, 1) * 10^ROW(INDIRECT("1:"&amp;LEN((--TRIM(RIGHT(SUBSTITUTE(LEFT(A227,_xlfn.AGGREGATE(16,6,FIND({0,1,2,3,4,5,6,7,8,9},A227,ROW(INDIRECT("1:"&amp;LEN(A227)))),1))," ",REPT(" ",LEN(A227))),LEN(A227)))))))/10))*1+1</f>
        <v>205 to 505</v>
      </c>
      <c r="B228" s="116"/>
      <c r="C228" s="69"/>
      <c r="D228" s="70"/>
      <c r="E228" s="70">
        <v>0</v>
      </c>
      <c r="F228" s="70">
        <f>D228*(($F$150)+1)+(IF(E228&lt;101,E228,IF(E228&lt;201,E228/2,IF(E228&lt;=301,E228/3,E228/4))))</f>
        <v>0</v>
      </c>
      <c r="G228" s="115" t="str">
        <f>G227</f>
        <v>2nd to 5th Floor</v>
      </c>
      <c r="H228" s="116"/>
      <c r="I228" s="39"/>
    </row>
    <row r="229" spans="1:16" s="52" customFormat="1" hidden="1" x14ac:dyDescent="0.35">
      <c r="A229" s="188" t="s">
        <v>153</v>
      </c>
      <c r="B229" s="189"/>
      <c r="C229" s="189"/>
      <c r="D229" s="189"/>
      <c r="E229" s="189"/>
      <c r="F229" s="189"/>
      <c r="G229" s="189"/>
      <c r="H229" s="190"/>
      <c r="I229" s="39"/>
      <c r="P229" s="40"/>
    </row>
    <row r="230" spans="1:16" s="52" customFormat="1" hidden="1" x14ac:dyDescent="0.35">
      <c r="A230" s="115" t="str">
        <f ca="1">(SUMPRODUCT(MID(0&amp;(LEFT(A229,SUM(LEN(A229)-LEN(SUBSTITUTE(A229,{"0","1","2"},""))))), LARGE(INDEX(ISNUMBER(--MID((LEFT(A229,SUM(LEN(A229)-LEN(SUBSTITUTE(A229,{"0","1","2"},""))))), ROW(INDIRECT("1:"&amp;LEN((LEFT(A229,SUM(LEN(A229)-LEN(SUBSTITUTE(A229,{"0","1","2"},"")))))))), 1)) * ROW(INDIRECT("1:"&amp;LEN((LEFT(A229,SUM(LEN(A229)-LEN(SUBSTITUTE(A229,{"0","1","2"},"")))))))), 0), ROW(INDIRECT("1:"&amp;LEN((LEFT(A229,SUM(LEN(A229)-LEN(SUBSTITUTE(A229,{"0","1","2"},"")))))))))+1, 1) * 10^ROW(INDIRECT("1:"&amp;LEN((LEFT(A229,SUM(LEN(A229)-LEN(SUBSTITUTE(A229,{"0","1","2"},""))))))))/10))*100+1&amp;""&amp;" &amp; "&amp;""&amp;(SUMPRODUCT(MID(0&amp;(--TRIM(RIGHT(SUBSTITUTE(LEFT(A229,_xlfn.AGGREGATE(16,6,FIND({0,1,2,3,4,5,6,7,8,9},A229,ROW(INDIRECT("1:"&amp;LEN(A229)))),1))," ",REPT(" ",LEN(A229))),LEN(A229)))), LARGE(INDEX(ISNUMBER(--MID((--TRIM(RIGHT(SUBSTITUTE(LEFT(A229,_xlfn.AGGREGATE(16,6,FIND({0,1,2,3,4,5,6,7,8,9},A229,ROW(INDIRECT("1:"&amp;LEN(A229)))),1))," ",REPT(" ",LEN(A229))),LEN(A229)))), ROW(INDIRECT("1:"&amp;LEN((--TRIM(RIGHT(SUBSTITUTE(LEFT(A229,_xlfn.AGGREGATE(16,6,FIND({0,1,2,3,4,5,6,7,8,9},A229,ROW(INDIRECT("1:"&amp;LEN(A229)))),1))," ",REPT(" ",LEN(A229))),LEN(A229))))))), 1)) * ROW(INDIRECT("1:"&amp;LEN((--TRIM(RIGHT(SUBSTITUTE(LEFT(A229,_xlfn.AGGREGATE(16,6,FIND({0,1,2,3,4,5,6,7,8,9},A229,ROW(INDIRECT("1:"&amp;LEN(A229)))),1))," ",REPT(" ",LEN(A229))),LEN(A229))))))), 0), ROW(INDIRECT("1:"&amp;LEN((--TRIM(RIGHT(SUBSTITUTE(LEFT(A229,_xlfn.AGGREGATE(16,6,FIND({0,1,2,3,4,5,6,7,8,9},A229,ROW(INDIRECT("1:"&amp;LEN(A229)))),1))," ",REPT(" ",LEN(A229))),LEN(A229))))))))+1, 1) * 10^ROW(INDIRECT("1:"&amp;LEN((--TRIM(RIGHT(SUBSTITUTE(LEFT(A229,_xlfn.AGGREGATE(16,6,FIND({0,1,2,3,4,5,6,7,8,9},A229,ROW(INDIRECT("1:"&amp;LEN(A229)))),1))," ",REPT(" ",LEN(A229))),LEN(A229)))))))/10))*100+1</f>
        <v>201 &amp; 501</v>
      </c>
      <c r="B230" s="116"/>
      <c r="C230" s="69"/>
      <c r="D230" s="70"/>
      <c r="E230" s="70">
        <v>0</v>
      </c>
      <c r="F230" s="70">
        <f>D230*(($F$150)+1)+(IF(E230&lt;101,E230,IF(E230&lt;201,E230/2,IF(E230&lt;=301,E230/3,E230/4))))</f>
        <v>0</v>
      </c>
      <c r="G230" s="115" t="str">
        <f>A229</f>
        <v>2nd &amp; 5th Floor</v>
      </c>
      <c r="H230" s="116"/>
      <c r="I230" s="39"/>
    </row>
    <row r="231" spans="1:16" s="52" customFormat="1" hidden="1" x14ac:dyDescent="0.35">
      <c r="A231" s="115" t="str">
        <f ca="1">(SUMPRODUCT(MID(0&amp;(LEFT(A230,SUM(LEN(A230)-LEN(SUBSTITUTE(A230,{"0","1","2"},""))))), LARGE(INDEX(ISNUMBER(--MID((LEFT(A230,SUM(LEN(A230)-LEN(SUBSTITUTE(A230,{"0","1","2"},""))))), ROW(INDIRECT("1:"&amp;LEN((LEFT(A230,SUM(LEN(A230)-LEN(SUBSTITUTE(A230,{"0","1","2"},"")))))))), 1)) * ROW(INDIRECT("1:"&amp;LEN((LEFT(A230,SUM(LEN(A230)-LEN(SUBSTITUTE(A230,{"0","1","2"},"")))))))), 0), ROW(INDIRECT("1:"&amp;LEN((LEFT(A230,SUM(LEN(A230)-LEN(SUBSTITUTE(A230,{"0","1","2"},"")))))))))+1, 1) * 10^ROW(INDIRECT("1:"&amp;LEN((LEFT(A230,SUM(LEN(A230)-LEN(SUBSTITUTE(A230,{"0","1","2"},""))))))))/10))*1+1&amp;""&amp;" &amp; "&amp;""&amp;(SUMPRODUCT(MID(0&amp;(--TRIM(RIGHT(SUBSTITUTE(LEFT(A230,_xlfn.AGGREGATE(16,6,FIND({0,1,2,3,4,5,6,7,8,9},A230,ROW(INDIRECT("1:"&amp;LEN(A230)))),1))," ",REPT(" ",LEN(A230))),LEN(A230)))), LARGE(INDEX(ISNUMBER(--MID((--TRIM(RIGHT(SUBSTITUTE(LEFT(A230,_xlfn.AGGREGATE(16,6,FIND({0,1,2,3,4,5,6,7,8,9},A230,ROW(INDIRECT("1:"&amp;LEN(A230)))),1))," ",REPT(" ",LEN(A230))),LEN(A230)))), ROW(INDIRECT("1:"&amp;LEN((--TRIM(RIGHT(SUBSTITUTE(LEFT(A230,_xlfn.AGGREGATE(16,6,FIND({0,1,2,3,4,5,6,7,8,9},A230,ROW(INDIRECT("1:"&amp;LEN(A230)))),1))," ",REPT(" ",LEN(A230))),LEN(A230))))))), 1)) * ROW(INDIRECT("1:"&amp;LEN((--TRIM(RIGHT(SUBSTITUTE(LEFT(A230,_xlfn.AGGREGATE(16,6,FIND({0,1,2,3,4,5,6,7,8,9},A230,ROW(INDIRECT("1:"&amp;LEN(A230)))),1))," ",REPT(" ",LEN(A230))),LEN(A230))))))), 0), ROW(INDIRECT("1:"&amp;LEN((--TRIM(RIGHT(SUBSTITUTE(LEFT(A230,_xlfn.AGGREGATE(16,6,FIND({0,1,2,3,4,5,6,7,8,9},A230,ROW(INDIRECT("1:"&amp;LEN(A230)))),1))," ",REPT(" ",LEN(A230))),LEN(A230))))))))+1, 1) * 10^ROW(INDIRECT("1:"&amp;LEN((--TRIM(RIGHT(SUBSTITUTE(LEFT(A230,_xlfn.AGGREGATE(16,6,FIND({0,1,2,3,4,5,6,7,8,9},A230,ROW(INDIRECT("1:"&amp;LEN(A230)))),1))," ",REPT(" ",LEN(A230))),LEN(A230)))))))/10))*1+1</f>
        <v>202 &amp; 502</v>
      </c>
      <c r="B231" s="116"/>
      <c r="C231" s="69"/>
      <c r="D231" s="70"/>
      <c r="E231" s="70">
        <v>0</v>
      </c>
      <c r="F231" s="70">
        <f>D231*(($F$150)+1)+(IF(E231&lt;101,E231,IF(E231&lt;201,E231/2,IF(E231&lt;=301,E231/3,E231/4))))</f>
        <v>0</v>
      </c>
      <c r="G231" s="115" t="str">
        <f t="shared" ref="G231:G234" si="17">G230</f>
        <v>2nd &amp; 5th Floor</v>
      </c>
      <c r="H231" s="116"/>
      <c r="I231" s="39"/>
    </row>
    <row r="232" spans="1:16" s="52" customFormat="1" hidden="1" x14ac:dyDescent="0.35">
      <c r="A232" s="115" t="str">
        <f ca="1">(SUMPRODUCT(MID(0&amp;(LEFT(A231,SUM(LEN(A231)-LEN(SUBSTITUTE(A231,{"0","1","2"},""))))), LARGE(INDEX(ISNUMBER(--MID((LEFT(A231,SUM(LEN(A231)-LEN(SUBSTITUTE(A231,{"0","1","2"},""))))), ROW(INDIRECT("1:"&amp;LEN((LEFT(A231,SUM(LEN(A231)-LEN(SUBSTITUTE(A231,{"0","1","2"},"")))))))), 1)) * ROW(INDIRECT("1:"&amp;LEN((LEFT(A231,SUM(LEN(A231)-LEN(SUBSTITUTE(A231,{"0","1","2"},"")))))))), 0), ROW(INDIRECT("1:"&amp;LEN((LEFT(A231,SUM(LEN(A231)-LEN(SUBSTITUTE(A231,{"0","1","2"},"")))))))))+1, 1) * 10^ROW(INDIRECT("1:"&amp;LEN((LEFT(A231,SUM(LEN(A231)-LEN(SUBSTITUTE(A231,{"0","1","2"},""))))))))/10))*1+1&amp;""&amp;" &amp; "&amp;""&amp;(SUMPRODUCT(MID(0&amp;(--TRIM(RIGHT(SUBSTITUTE(LEFT(A231,_xlfn.AGGREGATE(16,6,FIND({0,1,2,3,4,5,6,7,8,9},A231,ROW(INDIRECT("1:"&amp;LEN(A231)))),1))," ",REPT(" ",LEN(A231))),LEN(A231)))), LARGE(INDEX(ISNUMBER(--MID((--TRIM(RIGHT(SUBSTITUTE(LEFT(A231,_xlfn.AGGREGATE(16,6,FIND({0,1,2,3,4,5,6,7,8,9},A231,ROW(INDIRECT("1:"&amp;LEN(A231)))),1))," ",REPT(" ",LEN(A231))),LEN(A231)))), ROW(INDIRECT("1:"&amp;LEN((--TRIM(RIGHT(SUBSTITUTE(LEFT(A231,_xlfn.AGGREGATE(16,6,FIND({0,1,2,3,4,5,6,7,8,9},A231,ROW(INDIRECT("1:"&amp;LEN(A231)))),1))," ",REPT(" ",LEN(A231))),LEN(A231))))))), 1)) * ROW(INDIRECT("1:"&amp;LEN((--TRIM(RIGHT(SUBSTITUTE(LEFT(A231,_xlfn.AGGREGATE(16,6,FIND({0,1,2,3,4,5,6,7,8,9},A231,ROW(INDIRECT("1:"&amp;LEN(A231)))),1))," ",REPT(" ",LEN(A231))),LEN(A231))))))), 0), ROW(INDIRECT("1:"&amp;LEN((--TRIM(RIGHT(SUBSTITUTE(LEFT(A231,_xlfn.AGGREGATE(16,6,FIND({0,1,2,3,4,5,6,7,8,9},A231,ROW(INDIRECT("1:"&amp;LEN(A231)))),1))," ",REPT(" ",LEN(A231))),LEN(A231))))))))+1, 1) * 10^ROW(INDIRECT("1:"&amp;LEN((--TRIM(RIGHT(SUBSTITUTE(LEFT(A231,_xlfn.AGGREGATE(16,6,FIND({0,1,2,3,4,5,6,7,8,9},A231,ROW(INDIRECT("1:"&amp;LEN(A231)))),1))," ",REPT(" ",LEN(A231))),LEN(A231)))))))/10))*1+1</f>
        <v>203 &amp; 503</v>
      </c>
      <c r="B232" s="116"/>
      <c r="C232" s="69"/>
      <c r="D232" s="70"/>
      <c r="E232" s="70">
        <v>0</v>
      </c>
      <c r="F232" s="70">
        <f>D232*(($F$150)+1)+(IF(E232&lt;101,E232,IF(E232&lt;201,E232/2,IF(E232&lt;=301,E232/3,E232/4))))</f>
        <v>0</v>
      </c>
      <c r="G232" s="115" t="str">
        <f t="shared" si="17"/>
        <v>2nd &amp; 5th Floor</v>
      </c>
      <c r="H232" s="116"/>
      <c r="I232" s="39"/>
    </row>
    <row r="233" spans="1:16" s="52" customFormat="1" hidden="1" x14ac:dyDescent="0.35">
      <c r="A233" s="115" t="str">
        <f ca="1">(SUMPRODUCT(MID(0&amp;(LEFT(A232,SUM(LEN(A232)-LEN(SUBSTITUTE(A232,{"0","1","2"},""))))), LARGE(INDEX(ISNUMBER(--MID((LEFT(A232,SUM(LEN(A232)-LEN(SUBSTITUTE(A232,{"0","1","2"},""))))), ROW(INDIRECT("1:"&amp;LEN((LEFT(A232,SUM(LEN(A232)-LEN(SUBSTITUTE(A232,{"0","1","2"},"")))))))), 1)) * ROW(INDIRECT("1:"&amp;LEN((LEFT(A232,SUM(LEN(A232)-LEN(SUBSTITUTE(A232,{"0","1","2"},"")))))))), 0), ROW(INDIRECT("1:"&amp;LEN((LEFT(A232,SUM(LEN(A232)-LEN(SUBSTITUTE(A232,{"0","1","2"},"")))))))))+1, 1) * 10^ROW(INDIRECT("1:"&amp;LEN((LEFT(A232,SUM(LEN(A232)-LEN(SUBSTITUTE(A232,{"0","1","2"},""))))))))/10))*1+1&amp;""&amp;" &amp; "&amp;""&amp;(SUMPRODUCT(MID(0&amp;(--TRIM(RIGHT(SUBSTITUTE(LEFT(A232,_xlfn.AGGREGATE(16,6,FIND({0,1,2,3,4,5,6,7,8,9},A232,ROW(INDIRECT("1:"&amp;LEN(A232)))),1))," ",REPT(" ",LEN(A232))),LEN(A232)))), LARGE(INDEX(ISNUMBER(--MID((--TRIM(RIGHT(SUBSTITUTE(LEFT(A232,_xlfn.AGGREGATE(16,6,FIND({0,1,2,3,4,5,6,7,8,9},A232,ROW(INDIRECT("1:"&amp;LEN(A232)))),1))," ",REPT(" ",LEN(A232))),LEN(A232)))), ROW(INDIRECT("1:"&amp;LEN((--TRIM(RIGHT(SUBSTITUTE(LEFT(A232,_xlfn.AGGREGATE(16,6,FIND({0,1,2,3,4,5,6,7,8,9},A232,ROW(INDIRECT("1:"&amp;LEN(A232)))),1))," ",REPT(" ",LEN(A232))),LEN(A232))))))), 1)) * ROW(INDIRECT("1:"&amp;LEN((--TRIM(RIGHT(SUBSTITUTE(LEFT(A232,_xlfn.AGGREGATE(16,6,FIND({0,1,2,3,4,5,6,7,8,9},A232,ROW(INDIRECT("1:"&amp;LEN(A232)))),1))," ",REPT(" ",LEN(A232))),LEN(A232))))))), 0), ROW(INDIRECT("1:"&amp;LEN((--TRIM(RIGHT(SUBSTITUTE(LEFT(A232,_xlfn.AGGREGATE(16,6,FIND({0,1,2,3,4,5,6,7,8,9},A232,ROW(INDIRECT("1:"&amp;LEN(A232)))),1))," ",REPT(" ",LEN(A232))),LEN(A232))))))))+1, 1) * 10^ROW(INDIRECT("1:"&amp;LEN((--TRIM(RIGHT(SUBSTITUTE(LEFT(A232,_xlfn.AGGREGATE(16,6,FIND({0,1,2,3,4,5,6,7,8,9},A232,ROW(INDIRECT("1:"&amp;LEN(A232)))),1))," ",REPT(" ",LEN(A232))),LEN(A232)))))))/10))*1+1</f>
        <v>204 &amp; 504</v>
      </c>
      <c r="B233" s="116"/>
      <c r="C233" s="69"/>
      <c r="D233" s="70"/>
      <c r="E233" s="70">
        <v>0</v>
      </c>
      <c r="F233" s="70">
        <f>D233*(($F$150)+1)+(IF(E233&lt;101,E233,IF(E233&lt;201,E233/2,IF(E233&lt;=301,E233/3,E233/4))))</f>
        <v>0</v>
      </c>
      <c r="G233" s="115" t="str">
        <f t="shared" si="17"/>
        <v>2nd &amp; 5th Floor</v>
      </c>
      <c r="H233" s="116"/>
      <c r="I233" s="39"/>
    </row>
    <row r="234" spans="1:16" s="52" customFormat="1" hidden="1" x14ac:dyDescent="0.35">
      <c r="A234" s="115" t="str">
        <f ca="1">(SUMPRODUCT(MID(0&amp;(LEFT(A233,SUM(LEN(A233)-LEN(SUBSTITUTE(A233,{"0","1","2"},""))))), LARGE(INDEX(ISNUMBER(--MID((LEFT(A233,SUM(LEN(A233)-LEN(SUBSTITUTE(A233,{"0","1","2"},""))))), ROW(INDIRECT("1:"&amp;LEN((LEFT(A233,SUM(LEN(A233)-LEN(SUBSTITUTE(A233,{"0","1","2"},"")))))))), 1)) * ROW(INDIRECT("1:"&amp;LEN((LEFT(A233,SUM(LEN(A233)-LEN(SUBSTITUTE(A233,{"0","1","2"},"")))))))), 0), ROW(INDIRECT("1:"&amp;LEN((LEFT(A233,SUM(LEN(A233)-LEN(SUBSTITUTE(A233,{"0","1","2"},"")))))))))+1, 1) * 10^ROW(INDIRECT("1:"&amp;LEN((LEFT(A233,SUM(LEN(A233)-LEN(SUBSTITUTE(A233,{"0","1","2"},""))))))))/10))*1+1&amp;""&amp;" &amp; "&amp;""&amp;(SUMPRODUCT(MID(0&amp;(--TRIM(RIGHT(SUBSTITUTE(LEFT(A233,_xlfn.AGGREGATE(16,6,FIND({0,1,2,3,4,5,6,7,8,9},A233,ROW(INDIRECT("1:"&amp;LEN(A233)))),1))," ",REPT(" ",LEN(A233))),LEN(A233)))), LARGE(INDEX(ISNUMBER(--MID((--TRIM(RIGHT(SUBSTITUTE(LEFT(A233,_xlfn.AGGREGATE(16,6,FIND({0,1,2,3,4,5,6,7,8,9},A233,ROW(INDIRECT("1:"&amp;LEN(A233)))),1))," ",REPT(" ",LEN(A233))),LEN(A233)))), ROW(INDIRECT("1:"&amp;LEN((--TRIM(RIGHT(SUBSTITUTE(LEFT(A233,_xlfn.AGGREGATE(16,6,FIND({0,1,2,3,4,5,6,7,8,9},A233,ROW(INDIRECT("1:"&amp;LEN(A233)))),1))," ",REPT(" ",LEN(A233))),LEN(A233))))))), 1)) * ROW(INDIRECT("1:"&amp;LEN((--TRIM(RIGHT(SUBSTITUTE(LEFT(A233,_xlfn.AGGREGATE(16,6,FIND({0,1,2,3,4,5,6,7,8,9},A233,ROW(INDIRECT("1:"&amp;LEN(A233)))),1))," ",REPT(" ",LEN(A233))),LEN(A233))))))), 0), ROW(INDIRECT("1:"&amp;LEN((--TRIM(RIGHT(SUBSTITUTE(LEFT(A233,_xlfn.AGGREGATE(16,6,FIND({0,1,2,3,4,5,6,7,8,9},A233,ROW(INDIRECT("1:"&amp;LEN(A233)))),1))," ",REPT(" ",LEN(A233))),LEN(A233))))))))+1, 1) * 10^ROW(INDIRECT("1:"&amp;LEN((--TRIM(RIGHT(SUBSTITUTE(LEFT(A233,_xlfn.AGGREGATE(16,6,FIND({0,1,2,3,4,5,6,7,8,9},A233,ROW(INDIRECT("1:"&amp;LEN(A233)))),1))," ",REPT(" ",LEN(A233))),LEN(A233)))))))/10))*1+1</f>
        <v>205 &amp; 505</v>
      </c>
      <c r="B234" s="116"/>
      <c r="C234" s="69"/>
      <c r="D234" s="70"/>
      <c r="E234" s="70">
        <v>0</v>
      </c>
      <c r="F234" s="70">
        <f>D234*(($F$150)+1)+(IF(E234&lt;101,E234,IF(E234&lt;201,E234/2,IF(E234&lt;=301,E234/3,E234/4))))</f>
        <v>0</v>
      </c>
      <c r="G234" s="115" t="str">
        <f t="shared" si="17"/>
        <v>2nd &amp; 5th Floor</v>
      </c>
      <c r="H234" s="116"/>
      <c r="I234" s="39"/>
    </row>
    <row r="235" spans="1:16" s="60" customFormat="1" hidden="1" x14ac:dyDescent="0.35">
      <c r="A235" s="188" t="s">
        <v>121</v>
      </c>
      <c r="B235" s="189"/>
      <c r="C235" s="189"/>
      <c r="D235" s="189"/>
      <c r="E235" s="189"/>
      <c r="F235" s="189"/>
      <c r="G235" s="189"/>
      <c r="H235" s="190"/>
      <c r="J235" s="39"/>
    </row>
    <row r="236" spans="1:16" s="60" customFormat="1" hidden="1" x14ac:dyDescent="0.35">
      <c r="A236" s="115">
        <v>1</v>
      </c>
      <c r="B236" s="116"/>
      <c r="C236" s="69"/>
      <c r="D236" s="70"/>
      <c r="E236" s="70">
        <v>0</v>
      </c>
      <c r="F236" s="70">
        <f>D236*(($F$150)+1)+(IF(E236&lt;101,E236,IF(E236&lt;201,E236/2,IF(E236&lt;=301,E236/3,E236/4))))</f>
        <v>0</v>
      </c>
      <c r="G236" s="115" t="str">
        <f>A235</f>
        <v>Ground Floor</v>
      </c>
      <c r="H236" s="116"/>
      <c r="I236" s="39"/>
      <c r="L236" s="226"/>
      <c r="M236" s="226"/>
      <c r="N236" s="39"/>
    </row>
    <row r="237" spans="1:16" s="60" customFormat="1" hidden="1" x14ac:dyDescent="0.35">
      <c r="A237" s="115">
        <f t="shared" ref="A237:A239" si="18">A236+1</f>
        <v>2</v>
      </c>
      <c r="B237" s="116"/>
      <c r="C237" s="69"/>
      <c r="D237" s="70"/>
      <c r="E237" s="70">
        <v>0</v>
      </c>
      <c r="F237" s="70">
        <f>D237*(($F$150)+1)+(IF(E237&lt;101,E237,IF(E237&lt;201,E237/2,IF(E237&lt;=301,E237/3,E237/4))))</f>
        <v>0</v>
      </c>
      <c r="G237" s="115" t="str">
        <f t="shared" ref="G237:G239" si="19">G236</f>
        <v>Ground Floor</v>
      </c>
      <c r="H237" s="116"/>
      <c r="I237" s="39"/>
      <c r="L237" s="226"/>
      <c r="M237" s="226"/>
      <c r="N237" s="39"/>
    </row>
    <row r="238" spans="1:16" s="60" customFormat="1" hidden="1" x14ac:dyDescent="0.35">
      <c r="A238" s="115">
        <f t="shared" si="18"/>
        <v>3</v>
      </c>
      <c r="B238" s="116"/>
      <c r="C238" s="69"/>
      <c r="D238" s="70"/>
      <c r="E238" s="70">
        <v>0</v>
      </c>
      <c r="F238" s="70">
        <f>D238*(($F$150)+1)+(IF(E238&lt;101,E238,IF(E238&lt;201,E238/2,IF(E238&lt;=301,E238/3,E238/4))))</f>
        <v>0</v>
      </c>
      <c r="G238" s="115" t="str">
        <f t="shared" si="19"/>
        <v>Ground Floor</v>
      </c>
      <c r="H238" s="116"/>
      <c r="I238" s="39"/>
      <c r="L238" s="226"/>
      <c r="M238" s="226"/>
      <c r="N238" s="39"/>
    </row>
    <row r="239" spans="1:16" s="60" customFormat="1" hidden="1" x14ac:dyDescent="0.35">
      <c r="A239" s="115">
        <f t="shared" si="18"/>
        <v>4</v>
      </c>
      <c r="B239" s="116"/>
      <c r="C239" s="69"/>
      <c r="D239" s="70"/>
      <c r="E239" s="70">
        <v>0</v>
      </c>
      <c r="F239" s="70">
        <f>D239*(($F$150)+1)+(IF(E239&lt;101,E239,IF(E239&lt;201,E239/2,IF(E239&lt;=301,E239/3,E239/4))))</f>
        <v>0</v>
      </c>
      <c r="G239" s="115" t="str">
        <f t="shared" si="19"/>
        <v>Ground Floor</v>
      </c>
      <c r="H239" s="116"/>
      <c r="I239" s="39"/>
      <c r="L239" s="226"/>
      <c r="M239" s="226"/>
      <c r="N239" s="39"/>
    </row>
    <row r="240" spans="1:16" s="38" customFormat="1" x14ac:dyDescent="0.35">
      <c r="A240" s="187" t="s">
        <v>71</v>
      </c>
      <c r="B240" s="187"/>
      <c r="C240" s="187"/>
      <c r="D240" s="187"/>
      <c r="E240" s="187"/>
      <c r="F240" s="187"/>
      <c r="G240" s="187"/>
      <c r="H240" s="187"/>
    </row>
    <row r="241" spans="1:8" s="38" customFormat="1" x14ac:dyDescent="0.35">
      <c r="A241" s="71" t="s">
        <v>162</v>
      </c>
      <c r="B241" s="184" t="s">
        <v>240</v>
      </c>
      <c r="C241" s="185"/>
      <c r="D241" s="185"/>
      <c r="E241" s="185"/>
      <c r="F241" s="185"/>
      <c r="G241" s="185"/>
      <c r="H241" s="186"/>
    </row>
    <row r="242" spans="1:8" s="38" customFormat="1" x14ac:dyDescent="0.35">
      <c r="A242" s="71" t="s">
        <v>162</v>
      </c>
      <c r="B242" s="184" t="str">
        <f>(IF(F149="Saleable area Loading :","We have considered Saleable area of Flats as per our Calculation.","We considered Saleable area of Flat as per Builder area Sheet."))</f>
        <v>We have considered Saleable area of Flats as per our Calculation.</v>
      </c>
      <c r="C242" s="185"/>
      <c r="D242" s="185"/>
      <c r="E242" s="185"/>
      <c r="F242" s="185"/>
      <c r="G242" s="185"/>
      <c r="H242" s="186"/>
    </row>
    <row r="243" spans="1:8" s="38" customFormat="1" x14ac:dyDescent="0.35">
      <c r="A243" s="71" t="s">
        <v>162</v>
      </c>
      <c r="B243" s="184" t="str">
        <f>(IF(F137="Saleable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43" s="185"/>
      <c r="D243" s="185"/>
      <c r="E243" s="185"/>
      <c r="F243" s="185"/>
      <c r="G243" s="185"/>
      <c r="H243" s="186"/>
    </row>
    <row r="244" spans="1:8" s="38" customFormat="1" x14ac:dyDescent="0.35">
      <c r="A244" s="49" t="s">
        <v>162</v>
      </c>
      <c r="B244" s="105" t="s">
        <v>129</v>
      </c>
      <c r="C244" s="106"/>
      <c r="D244" s="106"/>
      <c r="E244" s="106"/>
      <c r="F244" s="106"/>
      <c r="G244" s="106"/>
      <c r="H244" s="107"/>
    </row>
    <row r="245" spans="1:8" s="38" customFormat="1" x14ac:dyDescent="0.35">
      <c r="A245" s="49" t="s">
        <v>162</v>
      </c>
      <c r="B245" s="105" t="s">
        <v>202</v>
      </c>
      <c r="C245" s="106"/>
      <c r="D245" s="106"/>
      <c r="E245" s="106"/>
      <c r="F245" s="106"/>
      <c r="G245" s="106"/>
      <c r="H245" s="107"/>
    </row>
    <row r="246" spans="1:8" s="38" customFormat="1" x14ac:dyDescent="0.35">
      <c r="A246" s="49" t="s">
        <v>162</v>
      </c>
      <c r="B246" s="105" t="s">
        <v>161</v>
      </c>
      <c r="C246" s="106"/>
      <c r="D246" s="106"/>
      <c r="E246" s="106"/>
      <c r="F246" s="106"/>
      <c r="G246" s="106"/>
      <c r="H246" s="107"/>
    </row>
    <row r="247" spans="1:8" s="38" customFormat="1" x14ac:dyDescent="0.35">
      <c r="A247" s="49" t="s">
        <v>162</v>
      </c>
      <c r="B247" s="105" t="s">
        <v>130</v>
      </c>
      <c r="C247" s="106"/>
      <c r="D247" s="106"/>
      <c r="E247" s="106"/>
      <c r="F247" s="106"/>
      <c r="G247" s="106"/>
      <c r="H247" s="107"/>
    </row>
    <row r="248" spans="1:8" s="38" customFormat="1" ht="34.5" customHeight="1" x14ac:dyDescent="0.35">
      <c r="A248" s="49" t="s">
        <v>162</v>
      </c>
      <c r="B248" s="105" t="s">
        <v>163</v>
      </c>
      <c r="C248" s="106"/>
      <c r="D248" s="106"/>
      <c r="E248" s="106"/>
      <c r="F248" s="106"/>
      <c r="G248" s="106"/>
      <c r="H248" s="107"/>
    </row>
    <row r="249" spans="1:8" s="38" customFormat="1" x14ac:dyDescent="0.35">
      <c r="A249" s="49" t="s">
        <v>162</v>
      </c>
      <c r="B249" s="105" t="s">
        <v>131</v>
      </c>
      <c r="C249" s="106"/>
      <c r="D249" s="106"/>
      <c r="E249" s="106"/>
      <c r="F249" s="106"/>
      <c r="G249" s="106"/>
      <c r="H249" s="107"/>
    </row>
    <row r="250" spans="1:8" s="38" customFormat="1" ht="65.25" customHeight="1" x14ac:dyDescent="0.35">
      <c r="A250" s="64" t="s">
        <v>162</v>
      </c>
      <c r="B250" s="187" t="s">
        <v>223</v>
      </c>
      <c r="C250" s="187"/>
      <c r="D250" s="187"/>
      <c r="E250" s="187"/>
      <c r="F250" s="187" t="s">
        <v>224</v>
      </c>
      <c r="G250" s="187"/>
      <c r="H250" s="187"/>
    </row>
    <row r="251" spans="1:8" x14ac:dyDescent="0.35">
      <c r="A251" s="154" t="s">
        <v>64</v>
      </c>
      <c r="B251" s="154"/>
      <c r="C251" s="154"/>
      <c r="D251" s="154"/>
      <c r="E251" s="154"/>
      <c r="F251" s="154"/>
      <c r="G251" s="154"/>
      <c r="H251" s="154"/>
    </row>
    <row r="252" spans="1:8" x14ac:dyDescent="0.35">
      <c r="A252" s="92" t="s">
        <v>65</v>
      </c>
      <c r="B252" s="92"/>
      <c r="C252" s="92"/>
      <c r="D252" s="92"/>
      <c r="E252" s="92"/>
      <c r="F252" s="92"/>
      <c r="G252" s="92"/>
      <c r="H252" s="92"/>
    </row>
    <row r="253" spans="1:8" ht="15.75" customHeight="1" x14ac:dyDescent="0.35">
      <c r="A253" s="237" t="s">
        <v>66</v>
      </c>
      <c r="B253" s="237"/>
      <c r="C253" s="237"/>
      <c r="D253" s="237"/>
      <c r="E253" s="237"/>
      <c r="F253" s="237"/>
      <c r="G253" s="237"/>
      <c r="H253" s="237"/>
    </row>
    <row r="254" spans="1:8" x14ac:dyDescent="0.35">
      <c r="A254" s="92" t="s">
        <v>67</v>
      </c>
      <c r="B254" s="92"/>
      <c r="C254" s="92"/>
      <c r="D254" s="92"/>
      <c r="E254" s="92"/>
      <c r="F254" s="92"/>
      <c r="G254" s="92"/>
      <c r="H254" s="92"/>
    </row>
    <row r="255" spans="1:8" x14ac:dyDescent="0.35">
      <c r="A255" s="92" t="s">
        <v>68</v>
      </c>
      <c r="B255" s="92"/>
      <c r="C255" s="92"/>
      <c r="D255" s="92"/>
      <c r="E255" s="92"/>
      <c r="F255" s="92"/>
      <c r="G255" s="92"/>
      <c r="H255" s="92"/>
    </row>
    <row r="256" spans="1:8" x14ac:dyDescent="0.35">
      <c r="A256" s="92" t="s">
        <v>132</v>
      </c>
      <c r="B256" s="92"/>
      <c r="C256" s="92"/>
      <c r="D256" s="92"/>
      <c r="E256" s="92"/>
      <c r="F256" s="92"/>
      <c r="G256" s="92"/>
      <c r="H256" s="92"/>
    </row>
    <row r="257" spans="1:8" x14ac:dyDescent="0.35">
      <c r="A257" s="143" t="s">
        <v>133</v>
      </c>
      <c r="B257" s="143"/>
      <c r="C257" s="143"/>
      <c r="D257" s="143"/>
      <c r="E257" s="143"/>
      <c r="F257" s="143"/>
      <c r="G257" s="143"/>
      <c r="H257" s="143"/>
    </row>
    <row r="258" spans="1:8" x14ac:dyDescent="0.35">
      <c r="A258" s="182" t="s">
        <v>80</v>
      </c>
      <c r="B258" s="182"/>
      <c r="C258" s="182" t="s">
        <v>239</v>
      </c>
      <c r="D258" s="182"/>
      <c r="E258" s="182" t="s">
        <v>108</v>
      </c>
      <c r="F258" s="182"/>
      <c r="G258" s="182" t="s">
        <v>241</v>
      </c>
      <c r="H258" s="182"/>
    </row>
    <row r="259" spans="1:8" x14ac:dyDescent="0.35">
      <c r="A259" s="181" t="s">
        <v>82</v>
      </c>
      <c r="B259" s="181"/>
      <c r="C259" s="181"/>
      <c r="D259" s="181"/>
      <c r="E259" s="181"/>
      <c r="F259" s="181"/>
      <c r="G259" s="181"/>
      <c r="H259" s="181"/>
    </row>
    <row r="260" spans="1:8" x14ac:dyDescent="0.35">
      <c r="A260" s="181"/>
      <c r="B260" s="181"/>
      <c r="C260" s="181"/>
      <c r="D260" s="181"/>
      <c r="E260" s="181"/>
      <c r="F260" s="181"/>
      <c r="G260" s="181"/>
      <c r="H260" s="181"/>
    </row>
    <row r="261" spans="1:8" x14ac:dyDescent="0.35">
      <c r="A261" s="181"/>
      <c r="B261" s="181"/>
      <c r="C261" s="181"/>
      <c r="D261" s="181"/>
      <c r="E261" s="181"/>
      <c r="F261" s="181"/>
      <c r="G261" s="181"/>
      <c r="H261" s="181"/>
    </row>
    <row r="262" spans="1:8" x14ac:dyDescent="0.35">
      <c r="A262" s="181"/>
      <c r="B262" s="181"/>
      <c r="C262" s="181"/>
      <c r="D262" s="181"/>
      <c r="E262" s="181"/>
      <c r="F262" s="181"/>
      <c r="G262" s="181"/>
      <c r="H262" s="181"/>
    </row>
    <row r="263" spans="1:8" x14ac:dyDescent="0.35">
      <c r="A263" s="41" t="s">
        <v>69</v>
      </c>
      <c r="B263" s="42"/>
      <c r="C263" s="42"/>
      <c r="D263" s="41" t="str">
        <f>E8</f>
        <v>Raunak City Sector VI</v>
      </c>
      <c r="F263" s="42"/>
      <c r="G263" s="42"/>
      <c r="H263" s="42"/>
    </row>
    <row r="264" spans="1:8" x14ac:dyDescent="0.35">
      <c r="A264" s="42"/>
      <c r="B264" s="42"/>
      <c r="C264" s="42"/>
      <c r="D264" s="42"/>
      <c r="E264" s="42"/>
      <c r="F264" s="42"/>
      <c r="G264" s="42"/>
      <c r="H264" s="42"/>
    </row>
    <row r="265" spans="1:8" x14ac:dyDescent="0.35">
      <c r="A265" s="42"/>
      <c r="B265" s="42"/>
      <c r="C265" s="42"/>
      <c r="D265" s="42"/>
      <c r="E265" s="42"/>
      <c r="F265" s="42"/>
      <c r="G265" s="42"/>
      <c r="H265" s="42"/>
    </row>
    <row r="266" spans="1:8" ht="15" customHeight="1" x14ac:dyDescent="0.35"/>
    <row r="309" spans="1:1" x14ac:dyDescent="0.35">
      <c r="A309" s="44" t="s">
        <v>70</v>
      </c>
    </row>
  </sheetData>
  <mergeCells count="451">
    <mergeCell ref="D60:H60"/>
    <mergeCell ref="A58:C60"/>
    <mergeCell ref="C96:H96"/>
    <mergeCell ref="A98:B98"/>
    <mergeCell ref="C98:H98"/>
    <mergeCell ref="A99:B99"/>
    <mergeCell ref="E99:F99"/>
    <mergeCell ref="G99:H99"/>
    <mergeCell ref="A100:B100"/>
    <mergeCell ref="E100:F109"/>
    <mergeCell ref="G100:H109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D58:H58"/>
    <mergeCell ref="A96:B96"/>
    <mergeCell ref="A79:B79"/>
    <mergeCell ref="A65:C65"/>
    <mergeCell ref="B250:E250"/>
    <mergeCell ref="F250:H250"/>
    <mergeCell ref="A152:H152"/>
    <mergeCell ref="A201:H201"/>
    <mergeCell ref="A202:B202"/>
    <mergeCell ref="G202:H209"/>
    <mergeCell ref="A203:B203"/>
    <mergeCell ref="A204:B204"/>
    <mergeCell ref="C204:F205"/>
    <mergeCell ref="A205:B205"/>
    <mergeCell ref="A206:B206"/>
    <mergeCell ref="A207:B207"/>
    <mergeCell ref="A167:B167"/>
    <mergeCell ref="C166:F166"/>
    <mergeCell ref="A168:H168"/>
    <mergeCell ref="A171:H171"/>
    <mergeCell ref="A184:B184"/>
    <mergeCell ref="A185:B185"/>
    <mergeCell ref="A172:B172"/>
    <mergeCell ref="A173:B173"/>
    <mergeCell ref="A174:B174"/>
    <mergeCell ref="A175:B175"/>
    <mergeCell ref="A176:B176"/>
    <mergeCell ref="A177:B177"/>
    <mergeCell ref="L236:M236"/>
    <mergeCell ref="A237:B237"/>
    <mergeCell ref="G237:H237"/>
    <mergeCell ref="L237:M237"/>
    <mergeCell ref="A238:B238"/>
    <mergeCell ref="G238:H238"/>
    <mergeCell ref="L238:M238"/>
    <mergeCell ref="A239:B239"/>
    <mergeCell ref="G239:H239"/>
    <mergeCell ref="L239:M239"/>
    <mergeCell ref="G236:H236"/>
    <mergeCell ref="L210:M210"/>
    <mergeCell ref="G215:H215"/>
    <mergeCell ref="G221:H221"/>
    <mergeCell ref="G220:H220"/>
    <mergeCell ref="G224:H224"/>
    <mergeCell ref="A198:B198"/>
    <mergeCell ref="A169:H169"/>
    <mergeCell ref="A178:B178"/>
    <mergeCell ref="A179:B179"/>
    <mergeCell ref="A195:B195"/>
    <mergeCell ref="A196:B196"/>
    <mergeCell ref="A197:B197"/>
    <mergeCell ref="A200:B200"/>
    <mergeCell ref="A223:H223"/>
    <mergeCell ref="A216:H216"/>
    <mergeCell ref="A170:H170"/>
    <mergeCell ref="A191:H191"/>
    <mergeCell ref="A217:B217"/>
    <mergeCell ref="E41:H41"/>
    <mergeCell ref="A41:D41"/>
    <mergeCell ref="A256:H256"/>
    <mergeCell ref="A253:H253"/>
    <mergeCell ref="G227:H227"/>
    <mergeCell ref="A211:B211"/>
    <mergeCell ref="A130:B130"/>
    <mergeCell ref="D149:D150"/>
    <mergeCell ref="E149:E150"/>
    <mergeCell ref="G149:H150"/>
    <mergeCell ref="A92:B92"/>
    <mergeCell ref="A77:B77"/>
    <mergeCell ref="F111:H111"/>
    <mergeCell ref="G126:H126"/>
    <mergeCell ref="A95:B95"/>
    <mergeCell ref="A48:B48"/>
    <mergeCell ref="C48:E48"/>
    <mergeCell ref="G48:H48"/>
    <mergeCell ref="A208:B208"/>
    <mergeCell ref="A199:B199"/>
    <mergeCell ref="A180:H180"/>
    <mergeCell ref="A181:B181"/>
    <mergeCell ref="G162:H167"/>
    <mergeCell ref="G222:H222"/>
    <mergeCell ref="G71:H71"/>
    <mergeCell ref="C70:H70"/>
    <mergeCell ref="A73:B73"/>
    <mergeCell ref="A75:B75"/>
    <mergeCell ref="E71:F71"/>
    <mergeCell ref="A64:C64"/>
    <mergeCell ref="D64:H64"/>
    <mergeCell ref="A67:C67"/>
    <mergeCell ref="D67:H67"/>
    <mergeCell ref="A160:B160"/>
    <mergeCell ref="A222:B222"/>
    <mergeCell ref="A187:B187"/>
    <mergeCell ref="A188:B188"/>
    <mergeCell ref="C183:F184"/>
    <mergeCell ref="G181:H188"/>
    <mergeCell ref="A182:B182"/>
    <mergeCell ref="A183:B183"/>
    <mergeCell ref="A72:B72"/>
    <mergeCell ref="A90:B90"/>
    <mergeCell ref="F121:H121"/>
    <mergeCell ref="F119:H119"/>
    <mergeCell ref="G125:H125"/>
    <mergeCell ref="A120:E120"/>
    <mergeCell ref="A151:H151"/>
    <mergeCell ref="A159:B159"/>
    <mergeCell ref="B149:B150"/>
    <mergeCell ref="G155:H160"/>
    <mergeCell ref="A166:B166"/>
    <mergeCell ref="A84:B84"/>
    <mergeCell ref="C84:H84"/>
    <mergeCell ref="L145:M145"/>
    <mergeCell ref="A146:B146"/>
    <mergeCell ref="G146:H146"/>
    <mergeCell ref="L146:M146"/>
    <mergeCell ref="A147:B147"/>
    <mergeCell ref="G147:H147"/>
    <mergeCell ref="L147:M147"/>
    <mergeCell ref="A131:A133"/>
    <mergeCell ref="L144:M144"/>
    <mergeCell ref="L143:M143"/>
    <mergeCell ref="L142:M142"/>
    <mergeCell ref="L141:M141"/>
    <mergeCell ref="C131:D131"/>
    <mergeCell ref="E131:F131"/>
    <mergeCell ref="G131:H131"/>
    <mergeCell ref="A145:B145"/>
    <mergeCell ref="G145:H145"/>
    <mergeCell ref="G130:H130"/>
    <mergeCell ref="E133:F133"/>
    <mergeCell ref="C125:D125"/>
    <mergeCell ref="B137:B138"/>
    <mergeCell ref="A85:B85"/>
    <mergeCell ref="A117:E117"/>
    <mergeCell ref="A119:E119"/>
    <mergeCell ref="F113:H113"/>
    <mergeCell ref="A118:E118"/>
    <mergeCell ref="A89:B89"/>
    <mergeCell ref="A124:H124"/>
    <mergeCell ref="A122:E122"/>
    <mergeCell ref="F122:H122"/>
    <mergeCell ref="A123:E123"/>
    <mergeCell ref="F123:H123"/>
    <mergeCell ref="F118:H118"/>
    <mergeCell ref="G172:H179"/>
    <mergeCell ref="A215:B215"/>
    <mergeCell ref="A212:B212"/>
    <mergeCell ref="A213:B213"/>
    <mergeCell ref="A224:B224"/>
    <mergeCell ref="C52:E52"/>
    <mergeCell ref="F117:H117"/>
    <mergeCell ref="A111:E111"/>
    <mergeCell ref="A82:B82"/>
    <mergeCell ref="C82:H82"/>
    <mergeCell ref="A140:H140"/>
    <mergeCell ref="E137:E138"/>
    <mergeCell ref="A135:H135"/>
    <mergeCell ref="G213:H213"/>
    <mergeCell ref="G144:H144"/>
    <mergeCell ref="A156:B156"/>
    <mergeCell ref="A157:B157"/>
    <mergeCell ref="A158:B158"/>
    <mergeCell ref="A163:B163"/>
    <mergeCell ref="A164:B164"/>
    <mergeCell ref="A165:B165"/>
    <mergeCell ref="A116:E116"/>
    <mergeCell ref="F116:H116"/>
    <mergeCell ref="A49:B49"/>
    <mergeCell ref="A54:H54"/>
    <mergeCell ref="A55:C55"/>
    <mergeCell ref="A56:C56"/>
    <mergeCell ref="D56:H56"/>
    <mergeCell ref="G52:H52"/>
    <mergeCell ref="D59:H59"/>
    <mergeCell ref="A52:B53"/>
    <mergeCell ref="C53:H53"/>
    <mergeCell ref="C51:H51"/>
    <mergeCell ref="G50:H50"/>
    <mergeCell ref="A136:H136"/>
    <mergeCell ref="A134:B134"/>
    <mergeCell ref="A148:H148"/>
    <mergeCell ref="A149:A150"/>
    <mergeCell ref="D65:H65"/>
    <mergeCell ref="A66:C66"/>
    <mergeCell ref="D66:H66"/>
    <mergeCell ref="A86:B86"/>
    <mergeCell ref="E86:F95"/>
    <mergeCell ref="F110:H110"/>
    <mergeCell ref="F115:H115"/>
    <mergeCell ref="E85:F85"/>
    <mergeCell ref="G86:H95"/>
    <mergeCell ref="A91:B91"/>
    <mergeCell ref="A93:B93"/>
    <mergeCell ref="A94:B94"/>
    <mergeCell ref="A115:E115"/>
    <mergeCell ref="F114:H114"/>
    <mergeCell ref="G85:H85"/>
    <mergeCell ref="E125:F125"/>
    <mergeCell ref="G141:H141"/>
    <mergeCell ref="G142:H142"/>
    <mergeCell ref="A129:H129"/>
    <mergeCell ref="A125:B125"/>
    <mergeCell ref="B247:H247"/>
    <mergeCell ref="B243:H243"/>
    <mergeCell ref="A232:B232"/>
    <mergeCell ref="G232:H232"/>
    <mergeCell ref="G231:H231"/>
    <mergeCell ref="A229:H229"/>
    <mergeCell ref="A230:B230"/>
    <mergeCell ref="A231:B231"/>
    <mergeCell ref="A234:B234"/>
    <mergeCell ref="A235:H235"/>
    <mergeCell ref="A236:B236"/>
    <mergeCell ref="G234:H234"/>
    <mergeCell ref="A233:B233"/>
    <mergeCell ref="G233:H233"/>
    <mergeCell ref="A161:H161"/>
    <mergeCell ref="A162:B162"/>
    <mergeCell ref="A154:H154"/>
    <mergeCell ref="A155:B155"/>
    <mergeCell ref="C149:C150"/>
    <mergeCell ref="A144:B144"/>
    <mergeCell ref="A259:H262"/>
    <mergeCell ref="A258:B258"/>
    <mergeCell ref="E258:F258"/>
    <mergeCell ref="C258:D258"/>
    <mergeCell ref="G258:H258"/>
    <mergeCell ref="A210:H210"/>
    <mergeCell ref="A219:B219"/>
    <mergeCell ref="A254:H254"/>
    <mergeCell ref="A257:H257"/>
    <mergeCell ref="A255:H255"/>
    <mergeCell ref="A220:B220"/>
    <mergeCell ref="B241:H241"/>
    <mergeCell ref="B242:H242"/>
    <mergeCell ref="B244:H244"/>
    <mergeCell ref="B245:H245"/>
    <mergeCell ref="G230:H230"/>
    <mergeCell ref="G228:H228"/>
    <mergeCell ref="A240:H240"/>
    <mergeCell ref="A252:H252"/>
    <mergeCell ref="B249:H249"/>
    <mergeCell ref="A251:H251"/>
    <mergeCell ref="A44:D44"/>
    <mergeCell ref="A45:D45"/>
    <mergeCell ref="A46:H46"/>
    <mergeCell ref="D57:H57"/>
    <mergeCell ref="A57:C57"/>
    <mergeCell ref="G49:H49"/>
    <mergeCell ref="A50:B51"/>
    <mergeCell ref="A78:B78"/>
    <mergeCell ref="A71:B71"/>
    <mergeCell ref="A74:B74"/>
    <mergeCell ref="A70:B70"/>
    <mergeCell ref="A68:B68"/>
    <mergeCell ref="C68:H68"/>
    <mergeCell ref="A76:B76"/>
    <mergeCell ref="A63:C63"/>
    <mergeCell ref="D63:H63"/>
    <mergeCell ref="A62:C62"/>
    <mergeCell ref="E72:F81"/>
    <mergeCell ref="G72:H81"/>
    <mergeCell ref="A80:B80"/>
    <mergeCell ref="A81:B81"/>
    <mergeCell ref="D62:H62"/>
    <mergeCell ref="C50:E50"/>
    <mergeCell ref="C49:E4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0:D10"/>
    <mergeCell ref="E10:H10"/>
    <mergeCell ref="A15:B15"/>
    <mergeCell ref="A12:D12"/>
    <mergeCell ref="E12:H12"/>
    <mergeCell ref="A13:D13"/>
    <mergeCell ref="A21:D22"/>
    <mergeCell ref="E21:H22"/>
    <mergeCell ref="E13:H13"/>
    <mergeCell ref="A14:B14"/>
    <mergeCell ref="C14:H14"/>
    <mergeCell ref="C15:H15"/>
    <mergeCell ref="A16:B16"/>
    <mergeCell ref="C16:H16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61:C61"/>
    <mergeCell ref="D61:H61"/>
    <mergeCell ref="A42:D42"/>
    <mergeCell ref="E42:H42"/>
    <mergeCell ref="E43:H43"/>
    <mergeCell ref="E44:H44"/>
    <mergeCell ref="E45:H45"/>
    <mergeCell ref="A43:D43"/>
    <mergeCell ref="F35:H35"/>
    <mergeCell ref="A37:B37"/>
    <mergeCell ref="E37:F37"/>
    <mergeCell ref="C37:D37"/>
    <mergeCell ref="G37:H37"/>
    <mergeCell ref="A38:B38"/>
    <mergeCell ref="C38:H38"/>
    <mergeCell ref="D55:H55"/>
    <mergeCell ref="G226:H226"/>
    <mergeCell ref="G219:H219"/>
    <mergeCell ref="G217:H217"/>
    <mergeCell ref="A221:B221"/>
    <mergeCell ref="G212:H212"/>
    <mergeCell ref="A209:B209"/>
    <mergeCell ref="A186:B186"/>
    <mergeCell ref="A189:H189"/>
    <mergeCell ref="A190:H190"/>
    <mergeCell ref="A192:H192"/>
    <mergeCell ref="A193:B193"/>
    <mergeCell ref="G193:H200"/>
    <mergeCell ref="A194:B194"/>
    <mergeCell ref="A225:B225"/>
    <mergeCell ref="A226:B226"/>
    <mergeCell ref="A214:B214"/>
    <mergeCell ref="G225:H225"/>
    <mergeCell ref="A218:B218"/>
    <mergeCell ref="B248:H248"/>
    <mergeCell ref="A47:B47"/>
    <mergeCell ref="C47:H47"/>
    <mergeCell ref="B246:H246"/>
    <mergeCell ref="A87:B87"/>
    <mergeCell ref="A88:B88"/>
    <mergeCell ref="F112:H112"/>
    <mergeCell ref="A112:E112"/>
    <mergeCell ref="G218:H218"/>
    <mergeCell ref="G214:H214"/>
    <mergeCell ref="G211:H211"/>
    <mergeCell ref="D137:D138"/>
    <mergeCell ref="A114:E114"/>
    <mergeCell ref="A141:B141"/>
    <mergeCell ref="A121:E121"/>
    <mergeCell ref="G134:H134"/>
    <mergeCell ref="C127:D127"/>
    <mergeCell ref="E127:F127"/>
    <mergeCell ref="G127:H127"/>
    <mergeCell ref="A128:B128"/>
    <mergeCell ref="A227:B227"/>
    <mergeCell ref="A228:B228"/>
    <mergeCell ref="G137:H138"/>
    <mergeCell ref="A153:H153"/>
    <mergeCell ref="C126:D126"/>
    <mergeCell ref="E126:F126"/>
    <mergeCell ref="A143:B143"/>
    <mergeCell ref="C133:D133"/>
    <mergeCell ref="G133:H133"/>
    <mergeCell ref="A113:E113"/>
    <mergeCell ref="A110:E110"/>
    <mergeCell ref="C137:C138"/>
    <mergeCell ref="A137:A138"/>
    <mergeCell ref="C134:D134"/>
    <mergeCell ref="E134:F134"/>
    <mergeCell ref="A139:H139"/>
    <mergeCell ref="F120:H120"/>
    <mergeCell ref="A127:B127"/>
    <mergeCell ref="A142:B142"/>
    <mergeCell ref="C128:D128"/>
    <mergeCell ref="E128:F128"/>
    <mergeCell ref="G128:H128"/>
    <mergeCell ref="C132:D132"/>
    <mergeCell ref="E132:F132"/>
    <mergeCell ref="G132:H132"/>
    <mergeCell ref="C130:D130"/>
    <mergeCell ref="E130:F130"/>
    <mergeCell ref="G143:H143"/>
  </mergeCells>
  <hyperlinks>
    <hyperlink ref="C38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scale="94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7" max="7" man="1"/>
    <brk id="262" max="16383" man="1"/>
    <brk id="308" max="16383" man="1"/>
    <brk id="352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254" t="s">
        <v>109</v>
      </c>
      <c r="C3" s="254"/>
      <c r="D3" s="254"/>
      <c r="E3" s="254"/>
      <c r="F3" s="254"/>
      <c r="G3" s="254"/>
      <c r="H3" s="254"/>
    </row>
    <row r="4" spans="1:9" x14ac:dyDescent="0.35">
      <c r="A4" s="3"/>
      <c r="B4" s="4" t="s">
        <v>110</v>
      </c>
      <c r="C4" s="4" t="s">
        <v>111</v>
      </c>
      <c r="D4" s="4" t="s">
        <v>72</v>
      </c>
      <c r="E4" s="4" t="s">
        <v>112</v>
      </c>
      <c r="F4" s="4" t="s">
        <v>118</v>
      </c>
      <c r="G4" s="4" t="s">
        <v>119</v>
      </c>
      <c r="H4" s="4" t="s">
        <v>113</v>
      </c>
    </row>
    <row r="5" spans="1:9" ht="15" customHeight="1" x14ac:dyDescent="0.35">
      <c r="A5" s="3"/>
      <c r="B5" s="6" t="s">
        <v>114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114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114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114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114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115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115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116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117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2025-06-10T11:13:46Z</cp:lastPrinted>
  <dcterms:created xsi:type="dcterms:W3CDTF">2019-07-16T09:29:46Z</dcterms:created>
  <dcterms:modified xsi:type="dcterms:W3CDTF">2025-09-13T09:20:14Z</dcterms:modified>
</cp:coreProperties>
</file>