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G139" i="1" l="1"/>
  <c r="D429" i="1"/>
  <c r="J429" i="1" s="1"/>
  <c r="D428" i="1"/>
  <c r="J428" i="1" s="1"/>
  <c r="D427" i="1"/>
  <c r="D426" i="1"/>
  <c r="J426" i="1" s="1"/>
  <c r="D425" i="1"/>
  <c r="J425" i="1" s="1"/>
  <c r="D424" i="1"/>
  <c r="J424" i="1" s="1"/>
  <c r="D423" i="1"/>
  <c r="J423" i="1" s="1"/>
  <c r="D422" i="1"/>
  <c r="J422" i="1" s="1"/>
  <c r="D421" i="1"/>
  <c r="J421" i="1" s="1"/>
  <c r="D411" i="1"/>
  <c r="J411" i="1" s="1"/>
  <c r="J427" i="1"/>
  <c r="G421" i="1"/>
  <c r="J420" i="1"/>
  <c r="J419" i="1"/>
  <c r="D418" i="1"/>
  <c r="J418" i="1" s="1"/>
  <c r="D417" i="1"/>
  <c r="J417" i="1" s="1"/>
  <c r="D416" i="1"/>
  <c r="J416" i="1" s="1"/>
  <c r="D415" i="1"/>
  <c r="J415" i="1" s="1"/>
  <c r="D414" i="1"/>
  <c r="J414" i="1" s="1"/>
  <c r="D413" i="1"/>
  <c r="J413" i="1" s="1"/>
  <c r="D412" i="1"/>
  <c r="J412" i="1" s="1"/>
  <c r="G411" i="1"/>
  <c r="J410" i="1"/>
  <c r="D402" i="1"/>
  <c r="J402" i="1" s="1"/>
  <c r="D401" i="1"/>
  <c r="J401" i="1" s="1"/>
  <c r="D409" i="1"/>
  <c r="J409" i="1" s="1"/>
  <c r="D408" i="1"/>
  <c r="J408" i="1" s="1"/>
  <c r="D407" i="1"/>
  <c r="J407" i="1" s="1"/>
  <c r="D406" i="1"/>
  <c r="J406" i="1" s="1"/>
  <c r="D405" i="1"/>
  <c r="J405" i="1" s="1"/>
  <c r="D404" i="1"/>
  <c r="J404" i="1" s="1"/>
  <c r="D403" i="1"/>
  <c r="J403" i="1" s="1"/>
  <c r="G401" i="1"/>
  <c r="J400" i="1"/>
  <c r="D397" i="1"/>
  <c r="J397" i="1" s="1"/>
  <c r="D399" i="1"/>
  <c r="J399" i="1" s="1"/>
  <c r="D398" i="1"/>
  <c r="J398" i="1" s="1"/>
  <c r="D396" i="1"/>
  <c r="J396" i="1" s="1"/>
  <c r="D395" i="1"/>
  <c r="J395" i="1" s="1"/>
  <c r="D394" i="1"/>
  <c r="J394" i="1" s="1"/>
  <c r="D393" i="1"/>
  <c r="J393" i="1" s="1"/>
  <c r="D392" i="1"/>
  <c r="J392" i="1" s="1"/>
  <c r="G391" i="1"/>
  <c r="D391" i="1"/>
  <c r="J391" i="1" s="1"/>
  <c r="J390" i="1"/>
  <c r="D386" i="1"/>
  <c r="J386" i="1" s="1"/>
  <c r="D389" i="1"/>
  <c r="J389" i="1" s="1"/>
  <c r="D388" i="1"/>
  <c r="J388" i="1" s="1"/>
  <c r="D387" i="1"/>
  <c r="J387" i="1" s="1"/>
  <c r="D385" i="1"/>
  <c r="J385" i="1" s="1"/>
  <c r="D384" i="1"/>
  <c r="J384" i="1" s="1"/>
  <c r="D383" i="1"/>
  <c r="J383" i="1" s="1"/>
  <c r="D382" i="1"/>
  <c r="J382" i="1" s="1"/>
  <c r="G381" i="1"/>
  <c r="D381" i="1"/>
  <c r="J381" i="1" s="1"/>
  <c r="J380" i="1"/>
  <c r="D379" i="1"/>
  <c r="J379" i="1" s="1"/>
  <c r="D378" i="1"/>
  <c r="D377" i="1"/>
  <c r="D376" i="1"/>
  <c r="J376" i="1" s="1"/>
  <c r="D375" i="1"/>
  <c r="J375" i="1" s="1"/>
  <c r="D374" i="1"/>
  <c r="J374" i="1" s="1"/>
  <c r="D373" i="1"/>
  <c r="J373" i="1" s="1"/>
  <c r="D372" i="1"/>
  <c r="J372" i="1" s="1"/>
  <c r="D371" i="1"/>
  <c r="J371" i="1" s="1"/>
  <c r="J378" i="1"/>
  <c r="J377" i="1"/>
  <c r="G371" i="1"/>
  <c r="J370" i="1"/>
  <c r="D369" i="1"/>
  <c r="D367" i="1"/>
  <c r="D365" i="1"/>
  <c r="D359" i="1"/>
  <c r="D357" i="1"/>
  <c r="D356" i="1"/>
  <c r="D355" i="1"/>
  <c r="D349" i="1" l="1"/>
  <c r="D347" i="1"/>
  <c r="D345" i="1"/>
  <c r="C16" i="1" l="1"/>
  <c r="I200" i="1" l="1"/>
  <c r="I193" i="1"/>
  <c r="I266" i="1"/>
  <c r="I206" i="1"/>
  <c r="G361" i="1"/>
  <c r="G351" i="1"/>
  <c r="G341" i="1"/>
  <c r="G325" i="1"/>
  <c r="G311" i="1"/>
  <c r="G302" i="1"/>
  <c r="G293" i="1"/>
  <c r="G284" i="1"/>
  <c r="G275" i="1"/>
  <c r="G266" i="1"/>
  <c r="G257" i="1"/>
  <c r="G248" i="1"/>
  <c r="G243" i="1"/>
  <c r="G232" i="1"/>
  <c r="G220" i="1"/>
  <c r="G213" i="1"/>
  <c r="G206" i="1"/>
  <c r="G199" i="1"/>
  <c r="G192" i="1"/>
  <c r="G189" i="1"/>
  <c r="G175" i="1"/>
  <c r="G166" i="1"/>
  <c r="G156" i="1"/>
  <c r="G148" i="1"/>
  <c r="J191" i="1"/>
  <c r="J198" i="1"/>
  <c r="J205" i="1"/>
  <c r="J212" i="1"/>
  <c r="J213" i="1"/>
  <c r="J219" i="1"/>
  <c r="J231" i="1"/>
  <c r="J241" i="1"/>
  <c r="J242" i="1"/>
  <c r="J247" i="1"/>
  <c r="J256" i="1"/>
  <c r="J265" i="1"/>
  <c r="J274" i="1"/>
  <c r="J283" i="1"/>
  <c r="J285" i="1"/>
  <c r="J292" i="1"/>
  <c r="J301" i="1"/>
  <c r="J310" i="1"/>
  <c r="J324" i="1"/>
  <c r="J337" i="1"/>
  <c r="J338" i="1"/>
  <c r="J339" i="1"/>
  <c r="J340" i="1"/>
  <c r="J347" i="1"/>
  <c r="J350" i="1"/>
  <c r="J355" i="1"/>
  <c r="J357" i="1"/>
  <c r="J360" i="1"/>
  <c r="J367" i="1"/>
  <c r="D366" i="1"/>
  <c r="J366" i="1" s="1"/>
  <c r="J365" i="1"/>
  <c r="D364" i="1"/>
  <c r="J364" i="1" s="1"/>
  <c r="D363" i="1"/>
  <c r="J363" i="1" s="1"/>
  <c r="D362" i="1"/>
  <c r="J362" i="1" s="1"/>
  <c r="D361" i="1"/>
  <c r="J361" i="1" s="1"/>
  <c r="J356" i="1"/>
  <c r="D354" i="1"/>
  <c r="J354" i="1" s="1"/>
  <c r="D353" i="1"/>
  <c r="J353" i="1" s="1"/>
  <c r="D352" i="1"/>
  <c r="J352" i="1" s="1"/>
  <c r="D351" i="1"/>
  <c r="J351" i="1" s="1"/>
  <c r="D346" i="1"/>
  <c r="J346" i="1" s="1"/>
  <c r="J345" i="1"/>
  <c r="D344" i="1"/>
  <c r="J344" i="1" s="1"/>
  <c r="D343" i="1"/>
  <c r="J343" i="1" s="1"/>
  <c r="D342" i="1"/>
  <c r="J342" i="1" s="1"/>
  <c r="D341" i="1"/>
  <c r="I341" i="1"/>
  <c r="I314" i="1"/>
  <c r="D309" i="1"/>
  <c r="J309" i="1" s="1"/>
  <c r="D308" i="1"/>
  <c r="J308" i="1" s="1"/>
  <c r="D307" i="1"/>
  <c r="J307" i="1" s="1"/>
  <c r="D306" i="1"/>
  <c r="J306" i="1" s="1"/>
  <c r="D305" i="1"/>
  <c r="J305" i="1" s="1"/>
  <c r="D304" i="1"/>
  <c r="J304" i="1" s="1"/>
  <c r="D303" i="1"/>
  <c r="J303" i="1" s="1"/>
  <c r="D302" i="1"/>
  <c r="J302" i="1" s="1"/>
  <c r="N303" i="1"/>
  <c r="A303" i="1" s="1"/>
  <c r="N304" i="1"/>
  <c r="A304" i="1" s="1"/>
  <c r="N305" i="1"/>
  <c r="A305" i="1" s="1"/>
  <c r="N306" i="1"/>
  <c r="A306" i="1" s="1"/>
  <c r="N307" i="1"/>
  <c r="A307" i="1" s="1"/>
  <c r="N308" i="1"/>
  <c r="A308" i="1" s="1"/>
  <c r="N309" i="1"/>
  <c r="A309" i="1" s="1"/>
  <c r="N302" i="1"/>
  <c r="A302" i="1" s="1"/>
  <c r="D300" i="1"/>
  <c r="J300" i="1" s="1"/>
  <c r="D299" i="1"/>
  <c r="J299" i="1" s="1"/>
  <c r="D298" i="1"/>
  <c r="J298" i="1" s="1"/>
  <c r="D297" i="1"/>
  <c r="J297" i="1" s="1"/>
  <c r="D291" i="1"/>
  <c r="J291" i="1" s="1"/>
  <c r="D290" i="1"/>
  <c r="J290" i="1" s="1"/>
  <c r="D289" i="1"/>
  <c r="J289" i="1" s="1"/>
  <c r="D288" i="1"/>
  <c r="J288" i="1" s="1"/>
  <c r="D282" i="1"/>
  <c r="J282" i="1" s="1"/>
  <c r="D281" i="1"/>
  <c r="J281" i="1" s="1"/>
  <c r="D280" i="1"/>
  <c r="J280" i="1" s="1"/>
  <c r="D279" i="1"/>
  <c r="J279" i="1" s="1"/>
  <c r="D272" i="1"/>
  <c r="J272" i="1" s="1"/>
  <c r="D271" i="1"/>
  <c r="J271" i="1" s="1"/>
  <c r="D270" i="1"/>
  <c r="J270" i="1" s="1"/>
  <c r="I270" i="1"/>
  <c r="D263" i="1"/>
  <c r="J263" i="1" s="1"/>
  <c r="D262" i="1"/>
  <c r="J262" i="1" s="1"/>
  <c r="D261" i="1"/>
  <c r="J261" i="1" s="1"/>
  <c r="I261" i="1"/>
  <c r="I288" i="1"/>
  <c r="D260" i="1"/>
  <c r="J260" i="1" s="1"/>
  <c r="D259" i="1"/>
  <c r="J259" i="1" s="1"/>
  <c r="D258" i="1"/>
  <c r="J258" i="1" s="1"/>
  <c r="D257" i="1"/>
  <c r="J257" i="1" s="1"/>
  <c r="D273" i="1"/>
  <c r="J273" i="1" s="1"/>
  <c r="D269" i="1"/>
  <c r="J269" i="1" s="1"/>
  <c r="D268" i="1"/>
  <c r="J268" i="1" s="1"/>
  <c r="D267" i="1"/>
  <c r="J267" i="1" s="1"/>
  <c r="D266" i="1"/>
  <c r="J266" i="1" s="1"/>
  <c r="D278" i="1"/>
  <c r="J278" i="1" s="1"/>
  <c r="D277" i="1"/>
  <c r="J277" i="1" s="1"/>
  <c r="D276" i="1"/>
  <c r="J276" i="1" s="1"/>
  <c r="D275" i="1"/>
  <c r="J275" i="1" s="1"/>
  <c r="D287" i="1"/>
  <c r="J287" i="1" s="1"/>
  <c r="D286" i="1"/>
  <c r="J286" i="1" s="1"/>
  <c r="D284" i="1"/>
  <c r="J284" i="1" s="1"/>
  <c r="N276" i="1"/>
  <c r="A276" i="1" s="1"/>
  <c r="N277" i="1"/>
  <c r="A277" i="1" s="1"/>
  <c r="N278" i="1"/>
  <c r="A278" i="1" s="1"/>
  <c r="N279" i="1"/>
  <c r="A279" i="1" s="1"/>
  <c r="N280" i="1"/>
  <c r="A280" i="1" s="1"/>
  <c r="N281" i="1"/>
  <c r="A281" i="1" s="1"/>
  <c r="N282" i="1"/>
  <c r="A282" i="1" s="1"/>
  <c r="N275" i="1"/>
  <c r="A275" i="1" s="1"/>
  <c r="D254" i="1"/>
  <c r="J254" i="1" s="1"/>
  <c r="D253" i="1"/>
  <c r="J253" i="1" s="1"/>
  <c r="D252" i="1"/>
  <c r="J252" i="1" s="1"/>
  <c r="D251" i="1"/>
  <c r="J251" i="1" s="1"/>
  <c r="D250" i="1"/>
  <c r="J250" i="1" s="1"/>
  <c r="D249" i="1"/>
  <c r="J249" i="1" s="1"/>
  <c r="D248" i="1"/>
  <c r="J248" i="1" s="1"/>
  <c r="N249" i="1"/>
  <c r="A249" i="1" s="1"/>
  <c r="N250" i="1"/>
  <c r="A250" i="1" s="1"/>
  <c r="N251" i="1"/>
  <c r="A251" i="1" s="1"/>
  <c r="N252" i="1"/>
  <c r="A252" i="1" s="1"/>
  <c r="N253" i="1"/>
  <c r="A253" i="1" s="1"/>
  <c r="N254" i="1"/>
  <c r="A254" i="1" s="1"/>
  <c r="N255" i="1"/>
  <c r="A255" i="1" s="1"/>
  <c r="N248" i="1"/>
  <c r="A248" i="1" s="1"/>
  <c r="D245" i="1"/>
  <c r="J245" i="1" s="1"/>
  <c r="D244" i="1"/>
  <c r="J244" i="1" s="1"/>
  <c r="D243" i="1"/>
  <c r="I243" i="1"/>
  <c r="D184" i="1"/>
  <c r="D183" i="1"/>
  <c r="E173" i="1"/>
  <c r="E172" i="1"/>
  <c r="E171" i="1"/>
  <c r="E170" i="1"/>
  <c r="E168" i="1"/>
  <c r="E169" i="1"/>
  <c r="E167" i="1"/>
  <c r="E166" i="1"/>
  <c r="E154" i="1"/>
  <c r="E153" i="1"/>
  <c r="E152" i="1"/>
  <c r="E151" i="1"/>
  <c r="E150" i="1"/>
  <c r="E149" i="1"/>
  <c r="E148" i="1"/>
  <c r="D148" i="1"/>
  <c r="M221" i="1"/>
  <c r="A221" i="1" s="1"/>
  <c r="M222" i="1"/>
  <c r="A222" i="1" s="1"/>
  <c r="M223" i="1"/>
  <c r="A223" i="1" s="1"/>
  <c r="M224" i="1"/>
  <c r="A224" i="1" s="1"/>
  <c r="M225" i="1"/>
  <c r="A225" i="1" s="1"/>
  <c r="M226" i="1"/>
  <c r="A226" i="1" s="1"/>
  <c r="M227" i="1"/>
  <c r="A227" i="1" s="1"/>
  <c r="M228" i="1"/>
  <c r="A228" i="1" s="1"/>
  <c r="M229" i="1"/>
  <c r="A229" i="1" s="1"/>
  <c r="M230" i="1"/>
  <c r="A230" i="1" s="1"/>
  <c r="M220" i="1"/>
  <c r="A220" i="1" s="1"/>
  <c r="D214" i="1"/>
  <c r="J214" i="1" s="1"/>
  <c r="N207" i="1"/>
  <c r="A207" i="1" s="1"/>
  <c r="N208" i="1"/>
  <c r="A208" i="1" s="1"/>
  <c r="N209" i="1"/>
  <c r="A209" i="1" s="1"/>
  <c r="N210" i="1"/>
  <c r="A210" i="1" s="1"/>
  <c r="N211" i="1"/>
  <c r="A211" i="1" s="1"/>
  <c r="N206" i="1"/>
  <c r="A206" i="1" s="1"/>
  <c r="I199" i="1"/>
  <c r="E133" i="1" l="1"/>
  <c r="F148" i="1"/>
  <c r="J341" i="1"/>
  <c r="C133" i="1"/>
  <c r="J243" i="1"/>
  <c r="K302" i="1"/>
  <c r="K200" i="1"/>
  <c r="K193" i="1"/>
  <c r="K257" i="1"/>
  <c r="K192" i="1"/>
  <c r="I192" i="1"/>
  <c r="I280" i="1"/>
  <c r="D163" i="1"/>
  <c r="F163" i="1" l="1"/>
  <c r="G131" i="1" s="1"/>
  <c r="E131" i="1"/>
  <c r="C131" i="1"/>
  <c r="J369" i="1"/>
  <c r="D368" i="1"/>
  <c r="J368" i="1" s="1"/>
  <c r="J359" i="1"/>
  <c r="D358" i="1"/>
  <c r="J358" i="1" s="1"/>
  <c r="J349" i="1"/>
  <c r="D348" i="1"/>
  <c r="D336" i="1"/>
  <c r="F336" i="1" s="1"/>
  <c r="J336" i="1" s="1"/>
  <c r="D335" i="1"/>
  <c r="F335" i="1" s="1"/>
  <c r="J335" i="1" s="1"/>
  <c r="D334" i="1"/>
  <c r="F334" i="1" s="1"/>
  <c r="J334" i="1" s="1"/>
  <c r="D333" i="1"/>
  <c r="F333" i="1" s="1"/>
  <c r="J333" i="1" s="1"/>
  <c r="D332" i="1"/>
  <c r="F332" i="1" s="1"/>
  <c r="J332" i="1" s="1"/>
  <c r="D331" i="1"/>
  <c r="F331" i="1" s="1"/>
  <c r="J331" i="1" s="1"/>
  <c r="D330" i="1"/>
  <c r="F330" i="1" s="1"/>
  <c r="J330" i="1" s="1"/>
  <c r="D329" i="1"/>
  <c r="F329" i="1" s="1"/>
  <c r="J329" i="1" s="1"/>
  <c r="D328" i="1"/>
  <c r="F328" i="1" s="1"/>
  <c r="J328" i="1" s="1"/>
  <c r="D327" i="1"/>
  <c r="F327" i="1" s="1"/>
  <c r="J327" i="1" s="1"/>
  <c r="D326" i="1"/>
  <c r="F326" i="1" s="1"/>
  <c r="J326" i="1" s="1"/>
  <c r="D325" i="1"/>
  <c r="F325" i="1" s="1"/>
  <c r="J325" i="1" s="1"/>
  <c r="D323" i="1"/>
  <c r="F323" i="1" s="1"/>
  <c r="J323" i="1" s="1"/>
  <c r="D322" i="1"/>
  <c r="F322" i="1" s="1"/>
  <c r="J322" i="1" s="1"/>
  <c r="D321" i="1"/>
  <c r="F321" i="1" s="1"/>
  <c r="J321" i="1" s="1"/>
  <c r="D320" i="1"/>
  <c r="F320" i="1" s="1"/>
  <c r="J320" i="1" s="1"/>
  <c r="D319" i="1"/>
  <c r="F319" i="1" s="1"/>
  <c r="J319" i="1" s="1"/>
  <c r="D318" i="1"/>
  <c r="F318" i="1" s="1"/>
  <c r="J318" i="1" s="1"/>
  <c r="D317" i="1"/>
  <c r="F317" i="1" s="1"/>
  <c r="J317" i="1" s="1"/>
  <c r="D316" i="1"/>
  <c r="F316" i="1" s="1"/>
  <c r="J316" i="1" s="1"/>
  <c r="D315" i="1"/>
  <c r="F315" i="1" s="1"/>
  <c r="J315" i="1" s="1"/>
  <c r="D314" i="1"/>
  <c r="F314" i="1" s="1"/>
  <c r="J314" i="1" s="1"/>
  <c r="D313" i="1"/>
  <c r="F313" i="1" s="1"/>
  <c r="J313" i="1" s="1"/>
  <c r="D312" i="1"/>
  <c r="F312" i="1" s="1"/>
  <c r="J312" i="1" s="1"/>
  <c r="D311" i="1"/>
  <c r="F311" i="1" s="1"/>
  <c r="A336" i="1"/>
  <c r="A337" i="1" s="1"/>
  <c r="A332" i="1"/>
  <c r="A333" i="1" s="1"/>
  <c r="A334" i="1" s="1"/>
  <c r="A326" i="1"/>
  <c r="A327" i="1" s="1"/>
  <c r="A328" i="1" s="1"/>
  <c r="A329" i="1" s="1"/>
  <c r="A330" i="1" s="1"/>
  <c r="A312" i="1"/>
  <c r="A313" i="1" s="1"/>
  <c r="A314" i="1" s="1"/>
  <c r="A315" i="1" s="1"/>
  <c r="A316" i="1" s="1"/>
  <c r="A322" i="1"/>
  <c r="A323" i="1" s="1"/>
  <c r="A318" i="1"/>
  <c r="A319" i="1" s="1"/>
  <c r="A320" i="1" s="1"/>
  <c r="A298" i="1"/>
  <c r="A299" i="1" s="1"/>
  <c r="A300" i="1" s="1"/>
  <c r="D296" i="1"/>
  <c r="J296" i="1" s="1"/>
  <c r="D295" i="1"/>
  <c r="J295" i="1" s="1"/>
  <c r="D294" i="1"/>
  <c r="J294" i="1" s="1"/>
  <c r="A294" i="1"/>
  <c r="A295" i="1" s="1"/>
  <c r="A296" i="1" s="1"/>
  <c r="D293" i="1"/>
  <c r="J293" i="1" s="1"/>
  <c r="A289" i="1"/>
  <c r="A290" i="1" s="1"/>
  <c r="A291" i="1" s="1"/>
  <c r="A285" i="1"/>
  <c r="A286" i="1" s="1"/>
  <c r="A287" i="1" s="1"/>
  <c r="A271" i="1"/>
  <c r="A272" i="1" s="1"/>
  <c r="A273" i="1" s="1"/>
  <c r="A267" i="1"/>
  <c r="A268" i="1" s="1"/>
  <c r="A269" i="1" s="1"/>
  <c r="D264" i="1"/>
  <c r="J264" i="1" s="1"/>
  <c r="A262" i="1"/>
  <c r="A263" i="1" s="1"/>
  <c r="A264" i="1" s="1"/>
  <c r="A258" i="1"/>
  <c r="A259" i="1" s="1"/>
  <c r="A260" i="1" s="1"/>
  <c r="E250" i="1"/>
  <c r="E249" i="1"/>
  <c r="E248" i="1"/>
  <c r="D255" i="1"/>
  <c r="J255" i="1" s="1"/>
  <c r="D246" i="1"/>
  <c r="A244" i="1"/>
  <c r="A245" i="1" s="1"/>
  <c r="A246" i="1" s="1"/>
  <c r="F184" i="1"/>
  <c r="F183" i="1"/>
  <c r="D182" i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F182" i="1"/>
  <c r="A176" i="1"/>
  <c r="A177" i="1" s="1"/>
  <c r="A178" i="1" s="1"/>
  <c r="A179" i="1" s="1"/>
  <c r="A180" i="1" s="1"/>
  <c r="A181" i="1" s="1"/>
  <c r="A182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I169" i="1"/>
  <c r="A167" i="1"/>
  <c r="A168" i="1" s="1"/>
  <c r="A169" i="1" s="1"/>
  <c r="A170" i="1" s="1"/>
  <c r="A171" i="1" s="1"/>
  <c r="A172" i="1" s="1"/>
  <c r="A173" i="1" s="1"/>
  <c r="D240" i="1"/>
  <c r="F240" i="1" s="1"/>
  <c r="J240" i="1" s="1"/>
  <c r="D239" i="1"/>
  <c r="F239" i="1" s="1"/>
  <c r="J239" i="1" s="1"/>
  <c r="D238" i="1"/>
  <c r="F238" i="1" s="1"/>
  <c r="J238" i="1" s="1"/>
  <c r="D237" i="1"/>
  <c r="F237" i="1" s="1"/>
  <c r="J237" i="1" s="1"/>
  <c r="D236" i="1"/>
  <c r="F236" i="1" s="1"/>
  <c r="J236" i="1" s="1"/>
  <c r="D235" i="1"/>
  <c r="F235" i="1" s="1"/>
  <c r="J235" i="1" s="1"/>
  <c r="D234" i="1"/>
  <c r="F234" i="1" s="1"/>
  <c r="J234" i="1" s="1"/>
  <c r="D233" i="1"/>
  <c r="F233" i="1" s="1"/>
  <c r="J233" i="1" s="1"/>
  <c r="A233" i="1"/>
  <c r="A234" i="1" s="1"/>
  <c r="A235" i="1" s="1"/>
  <c r="D232" i="1"/>
  <c r="F232" i="1" s="1"/>
  <c r="J232" i="1" s="1"/>
  <c r="D230" i="1"/>
  <c r="F230" i="1" s="1"/>
  <c r="J230" i="1" s="1"/>
  <c r="D229" i="1"/>
  <c r="F229" i="1" s="1"/>
  <c r="J229" i="1" s="1"/>
  <c r="D228" i="1"/>
  <c r="F228" i="1" s="1"/>
  <c r="J228" i="1" s="1"/>
  <c r="D227" i="1"/>
  <c r="F227" i="1" s="1"/>
  <c r="J227" i="1" s="1"/>
  <c r="D226" i="1"/>
  <c r="F226" i="1" s="1"/>
  <c r="J226" i="1" s="1"/>
  <c r="D225" i="1"/>
  <c r="F225" i="1" s="1"/>
  <c r="J225" i="1" s="1"/>
  <c r="D224" i="1"/>
  <c r="F224" i="1" s="1"/>
  <c r="J224" i="1" s="1"/>
  <c r="D223" i="1"/>
  <c r="F223" i="1" s="1"/>
  <c r="J223" i="1" s="1"/>
  <c r="D222" i="1"/>
  <c r="F222" i="1" s="1"/>
  <c r="J222" i="1" s="1"/>
  <c r="D221" i="1"/>
  <c r="F221" i="1" s="1"/>
  <c r="J221" i="1" s="1"/>
  <c r="D220" i="1"/>
  <c r="F220" i="1" s="1"/>
  <c r="D218" i="1"/>
  <c r="J218" i="1" s="1"/>
  <c r="D217" i="1"/>
  <c r="J217" i="1" s="1"/>
  <c r="D216" i="1"/>
  <c r="J216" i="1" s="1"/>
  <c r="D215" i="1"/>
  <c r="J215" i="1" s="1"/>
  <c r="A214" i="1"/>
  <c r="A215" i="1" s="1"/>
  <c r="A216" i="1" s="1"/>
  <c r="A217" i="1" s="1"/>
  <c r="A218" i="1" s="1"/>
  <c r="D207" i="1"/>
  <c r="J207" i="1" s="1"/>
  <c r="D206" i="1"/>
  <c r="J206" i="1" s="1"/>
  <c r="D199" i="1"/>
  <c r="J199" i="1" s="1"/>
  <c r="D211" i="1"/>
  <c r="J211" i="1" s="1"/>
  <c r="D210" i="1"/>
  <c r="J210" i="1" s="1"/>
  <c r="D209" i="1"/>
  <c r="J209" i="1" s="1"/>
  <c r="D208" i="1"/>
  <c r="J208" i="1" s="1"/>
  <c r="D204" i="1"/>
  <c r="J204" i="1" s="1"/>
  <c r="D200" i="1"/>
  <c r="J200" i="1" s="1"/>
  <c r="D203" i="1"/>
  <c r="J203" i="1" s="1"/>
  <c r="D202" i="1"/>
  <c r="J202" i="1" s="1"/>
  <c r="D201" i="1"/>
  <c r="J201" i="1" s="1"/>
  <c r="A200" i="1"/>
  <c r="A201" i="1" s="1"/>
  <c r="A202" i="1" s="1"/>
  <c r="A203" i="1" s="1"/>
  <c r="A204" i="1" s="1"/>
  <c r="E197" i="1"/>
  <c r="D197" i="1"/>
  <c r="J197" i="1" s="1"/>
  <c r="D196" i="1"/>
  <c r="J196" i="1" s="1"/>
  <c r="D195" i="1"/>
  <c r="J195" i="1" s="1"/>
  <c r="D194" i="1"/>
  <c r="J194" i="1" s="1"/>
  <c r="E193" i="1"/>
  <c r="D193" i="1"/>
  <c r="J193" i="1" s="1"/>
  <c r="E192" i="1"/>
  <c r="D192" i="1"/>
  <c r="J192" i="1" s="1"/>
  <c r="D190" i="1"/>
  <c r="J190" i="1" s="1"/>
  <c r="D189" i="1"/>
  <c r="I189" i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A157" i="1"/>
  <c r="A158" i="1" s="1"/>
  <c r="A159" i="1" s="1"/>
  <c r="A160" i="1" s="1"/>
  <c r="A161" i="1" s="1"/>
  <c r="A162" i="1" s="1"/>
  <c r="D154" i="1"/>
  <c r="F154" i="1" s="1"/>
  <c r="D153" i="1"/>
  <c r="F153" i="1" s="1"/>
  <c r="D152" i="1"/>
  <c r="F152" i="1" s="1"/>
  <c r="D151" i="1"/>
  <c r="D150" i="1"/>
  <c r="D149" i="1"/>
  <c r="I148" i="1"/>
  <c r="G133" i="1" l="1"/>
  <c r="C139" i="1"/>
  <c r="E139" i="1"/>
  <c r="F166" i="1"/>
  <c r="G132" i="1" s="1"/>
  <c r="E132" i="1"/>
  <c r="C132" i="1"/>
  <c r="J220" i="1"/>
  <c r="G137" i="1"/>
  <c r="J246" i="1"/>
  <c r="C138" i="1"/>
  <c r="E138" i="1"/>
  <c r="G138" i="1"/>
  <c r="J311" i="1"/>
  <c r="E137" i="1"/>
  <c r="J189" i="1"/>
  <c r="C137" i="1"/>
  <c r="J348" i="1"/>
  <c r="E130" i="1"/>
  <c r="C130" i="1"/>
  <c r="A237" i="1"/>
  <c r="A238" i="1" s="1"/>
  <c r="A239" i="1" s="1"/>
  <c r="A240" i="1" s="1"/>
  <c r="C134" i="1" l="1"/>
  <c r="E134" i="1"/>
  <c r="C140" i="1"/>
  <c r="C141" i="1" s="1"/>
  <c r="G140" i="1"/>
  <c r="E140" i="1"/>
  <c r="E31" i="1"/>
  <c r="E141" i="1" l="1"/>
  <c r="A190" i="1"/>
  <c r="F127" i="1" l="1"/>
  <c r="F149" i="1" l="1"/>
  <c r="F150" i="1"/>
  <c r="F151" i="1"/>
  <c r="G130" i="1" l="1"/>
  <c r="G134" i="1" s="1"/>
  <c r="G141" i="1" s="1"/>
  <c r="B43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54" i="1"/>
  <c r="A193" i="1"/>
  <c r="A194" i="1" s="1"/>
  <c r="A195" i="1" s="1"/>
  <c r="A196" i="1" s="1"/>
  <c r="A197" i="1" s="1"/>
  <c r="A149" i="1"/>
  <c r="A150" i="1" s="1"/>
  <c r="A151" i="1" s="1"/>
  <c r="A152" i="1" s="1"/>
  <c r="A153" i="1" s="1"/>
  <c r="A154" i="1" s="1"/>
  <c r="J111" i="1"/>
  <c r="J110" i="1"/>
  <c r="J109" i="1"/>
  <c r="J108" i="1"/>
  <c r="C100" i="1"/>
  <c r="J97" i="1"/>
  <c r="J96" i="1"/>
  <c r="J95" i="1"/>
  <c r="J94" i="1"/>
  <c r="C86" i="1"/>
  <c r="J83" i="1"/>
  <c r="J82" i="1"/>
  <c r="J81" i="1"/>
  <c r="J80" i="1"/>
  <c r="C72" i="1"/>
  <c r="D59" i="1"/>
  <c r="E44" i="1"/>
  <c r="E45" i="1" s="1"/>
  <c r="E28" i="1"/>
  <c r="E26" i="1"/>
  <c r="E7" i="1"/>
  <c r="E3" i="1"/>
  <c r="H101" i="1"/>
  <c r="H87" i="1"/>
  <c r="H73" i="1"/>
  <c r="D66" i="1" l="1"/>
  <c r="D97" i="1"/>
  <c r="D98" i="1"/>
  <c r="D99" i="1"/>
  <c r="D93" i="1"/>
  <c r="D94" i="1"/>
  <c r="D95" i="1"/>
  <c r="D96" i="1"/>
  <c r="J86" i="1"/>
  <c r="J88" i="1" s="1"/>
  <c r="D85" i="1"/>
  <c r="D83" i="1"/>
  <c r="D82" i="1"/>
  <c r="D81" i="1"/>
  <c r="D79" i="1"/>
  <c r="J72" i="1"/>
  <c r="D84" i="1"/>
  <c r="D80" i="1"/>
  <c r="J76" i="1"/>
  <c r="J77" i="1"/>
  <c r="C76" i="1" s="1"/>
  <c r="J75" i="1"/>
  <c r="J78" i="1"/>
  <c r="J79" i="1" s="1"/>
  <c r="J84" i="1" s="1"/>
  <c r="J85" i="1" s="1"/>
  <c r="C77" i="1" s="1"/>
  <c r="J100" i="1"/>
  <c r="J102" i="1" s="1"/>
  <c r="J104" i="1"/>
  <c r="D113" i="1"/>
  <c r="D111" i="1"/>
  <c r="D109" i="1"/>
  <c r="D107" i="1"/>
  <c r="J105" i="1"/>
  <c r="C104" i="1" s="1"/>
  <c r="J103" i="1"/>
  <c r="J106" i="1"/>
  <c r="J107" i="1" s="1"/>
  <c r="J112" i="1" s="1"/>
  <c r="J113" i="1" s="1"/>
  <c r="C105" i="1" s="1"/>
  <c r="D112" i="1"/>
  <c r="D110" i="1"/>
  <c r="D108" i="1"/>
  <c r="J92" i="1"/>
  <c r="J93" i="1" s="1"/>
  <c r="J98" i="1" s="1"/>
  <c r="J99" i="1" s="1"/>
  <c r="C91" i="1" s="1"/>
  <c r="J90" i="1"/>
  <c r="J91" i="1"/>
  <c r="C90" i="1" s="1"/>
  <c r="J89" i="1"/>
  <c r="D106" i="1" l="1"/>
  <c r="D104" i="1"/>
  <c r="D92" i="1"/>
  <c r="D78" i="1"/>
  <c r="J74" i="1"/>
  <c r="E76" i="1"/>
  <c r="D77" i="1"/>
  <c r="G76" i="1"/>
  <c r="D76" i="1"/>
  <c r="E90" i="1"/>
  <c r="D91" i="1"/>
  <c r="G90" i="1"/>
  <c r="D90" i="1"/>
  <c r="J87" i="1" s="1"/>
  <c r="E104" i="1"/>
  <c r="D105" i="1"/>
  <c r="G104" i="1"/>
  <c r="D70" i="1" s="1"/>
  <c r="D71" i="1" l="1"/>
  <c r="I73" i="1"/>
  <c r="J73" i="1"/>
  <c r="I101" i="1"/>
  <c r="J101" i="1"/>
  <c r="I87" i="1"/>
  <c r="F71" i="1"/>
  <c r="I74" i="1" l="1"/>
  <c r="I72" i="1" s="1"/>
  <c r="I102" i="1"/>
  <c r="I100" i="1" s="1"/>
  <c r="C102" i="1" s="1"/>
  <c r="I88" i="1"/>
  <c r="I86" i="1" s="1"/>
  <c r="C88" i="1" s="1"/>
</calcChain>
</file>

<file path=xl/sharedStrings.xml><?xml version="1.0" encoding="utf-8"?>
<sst xmlns="http://schemas.openxmlformats.org/spreadsheetml/2006/main" count="653" uniqueCount="273">
  <si>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</si>
  <si>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</si>
  <si>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</si>
  <si>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</si>
  <si>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</si>
  <si>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</si>
  <si>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</si>
  <si>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</si>
  <si>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</si>
  <si>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</si>
  <si>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</si>
  <si>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</si>
  <si>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</si>
  <si>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</si>
  <si>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</si>
  <si>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</si>
  <si>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</si>
  <si>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</si>
  <si>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</si>
  <si>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</si>
  <si>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</si>
  <si>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</si>
  <si>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</si>
  <si>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</si>
  <si>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</si>
  <si>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</si>
  <si>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</si>
  <si>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</si>
  <si>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</si>
  <si>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</si>
  <si>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</si>
  <si>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</si>
  <si>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</si>
  <si>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</si>
  <si>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</si>
  <si>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</si>
  <si>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</si>
  <si>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</si>
  <si>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</si>
  <si>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</si>
  <si>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</si>
  <si>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</si>
  <si>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</si>
  <si>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</si>
  <si>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</si>
  <si>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</si>
  <si>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</si>
  <si>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</si>
  <si>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</si>
  <si>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</si>
  <si>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</si>
  <si>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</si>
  <si>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</si>
  <si>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</si>
  <si>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</si>
  <si>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</si>
  <si>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</si>
  <si>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</si>
  <si>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</si>
  <si>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</si>
  <si>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</si>
  <si>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</si>
  <si>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</si>
  <si>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</si>
  <si>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</si>
  <si>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</si>
  <si>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</si>
  <si>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</si>
  <si>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</si>
  <si>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</si>
  <si>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</si>
  <si>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</si>
  <si>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</si>
  <si>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</si>
  <si>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</si>
  <si>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</si>
  <si>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</si>
  <si>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</si>
  <si>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</si>
  <si>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</si>
  <si>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</si>
  <si>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</si>
  <si>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</si>
  <si>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</si>
  <si>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</si>
  <si>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</si>
  <si>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</si>
  <si>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</si>
  <si>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</si>
  <si>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</si>
  <si>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</si>
  <si>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</si>
  <si>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</si>
  <si>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</si>
  <si>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</si>
  <si>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</si>
  <si>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</si>
  <si>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</si>
  <si>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</si>
  <si>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</si>
  <si>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</si>
  <si>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</si>
  <si>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</si>
  <si>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</si>
  <si>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</si>
  <si>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</si>
  <si>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</si>
  <si>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</si>
  <si>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</si>
  <si>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</si>
  <si>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</si>
  <si>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</si>
  <si>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</si>
  <si>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</si>
  <si>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</si>
  <si>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</si>
  <si>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</si>
  <si>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</si>
  <si>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</si>
  <si>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</si>
  <si>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</si>
  <si>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</si>
  <si>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</si>
  <si>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</si>
  <si>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</si>
  <si>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</si>
  <si>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</si>
  <si>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</si>
  <si>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</si>
  <si>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</si>
  <si>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</si>
  <si>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</si>
  <si>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</si>
  <si>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</si>
  <si>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</si>
  <si>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</si>
  <si>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</si>
  <si>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</si>
  <si>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</si>
  <si>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</si>
  <si>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</si>
  <si>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</si>
  <si>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</si>
  <si>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</si>
  <si>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</si>
  <si>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</si>
  <si>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</si>
  <si>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</si>
  <si>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</si>
  <si>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</si>
  <si>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</si>
  <si>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</si>
  <si>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</si>
  <si>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</si>
  <si>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</si>
  <si>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</si>
  <si>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</si>
  <si>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</si>
  <si>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</si>
  <si>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</si>
  <si>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</si>
  <si>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</si>
  <si>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</si>
  <si>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</si>
  <si>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</si>
  <si>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</si>
  <si>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</si>
  <si>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</si>
  <si>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</si>
  <si>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 xml:space="preserve">1. Vitrified tiles flooring 2. Granite Kitchen Platform 3. Decorative
Enternace etc.
</t>
  </si>
  <si>
    <t>Axis Goregaon</t>
  </si>
  <si>
    <t xml:space="preserve">Navnath Bhatkar
</t>
  </si>
  <si>
    <t>Trimurti Construction</t>
  </si>
  <si>
    <t>Redevelopement of Sagar Prakash Hsg Co­op Soc</t>
  </si>
  <si>
    <t>Name of the Project on RERA</t>
  </si>
  <si>
    <t>Sagar Prakash Hsg Co­op Soc</t>
  </si>
  <si>
    <t>P99000021177</t>
  </si>
  <si>
    <t>Survey No</t>
  </si>
  <si>
    <t>Achole</t>
  </si>
  <si>
    <t>Palghar</t>
  </si>
  <si>
    <t>Vasai</t>
  </si>
  <si>
    <t>Ambawadi</t>
  </si>
  <si>
    <t>Nalasopara East</t>
  </si>
  <si>
    <t>1.1KM from Nalasopara Railway Station</t>
  </si>
  <si>
    <t>Chandresh Shraddha Apt</t>
  </si>
  <si>
    <t>Buildings/ Sainath Nagar</t>
  </si>
  <si>
    <t>https://goo.gl/maps/XABBCdfteR4ub1k98</t>
  </si>
  <si>
    <t>VVCMC/TP/Amend/VP/6035/329/2022-23</t>
  </si>
  <si>
    <t>VVCMC/TP/RDP/VP-6035/329/2022-23</t>
  </si>
  <si>
    <t>A Wing</t>
  </si>
  <si>
    <t>Shop</t>
  </si>
  <si>
    <t>Ground Floor For Commercial, Driver Room &amp; Parking</t>
  </si>
  <si>
    <t>1st Floor For Commercial</t>
  </si>
  <si>
    <t>1st Floor For Residential</t>
  </si>
  <si>
    <t>2BHK</t>
  </si>
  <si>
    <t>3rd Floor</t>
  </si>
  <si>
    <t>4th to 7th &amp; 9th to 10th Floor</t>
  </si>
  <si>
    <t>8th Floor (Part Refuge Area)</t>
  </si>
  <si>
    <t>Refuge Area</t>
  </si>
  <si>
    <t>11th &amp; 12th Floor</t>
  </si>
  <si>
    <t>1RK</t>
  </si>
  <si>
    <t>13th Floor (Part Refuge Area)</t>
  </si>
  <si>
    <t>B Wing</t>
  </si>
  <si>
    <t>Ground Floor For Commercial, Society Office &amp; Parking</t>
  </si>
  <si>
    <t>Unit 2</t>
  </si>
  <si>
    <t>Unit 3</t>
  </si>
  <si>
    <t xml:space="preserve"> </t>
  </si>
  <si>
    <t>2nd &amp; 3rd Floor</t>
  </si>
  <si>
    <t>4th Floor</t>
  </si>
  <si>
    <t>5th Floor</t>
  </si>
  <si>
    <t>6th &amp; 7th Floor</t>
  </si>
  <si>
    <t>9th Floor</t>
  </si>
  <si>
    <t>10th &amp; 11th Floor</t>
  </si>
  <si>
    <t>12th Floor</t>
  </si>
  <si>
    <t>C Wing</t>
  </si>
  <si>
    <t>Ground Floor For Parking</t>
  </si>
  <si>
    <t>1BHK</t>
  </si>
  <si>
    <t>Wing A = St + Gr + 1st to 13th Floor</t>
  </si>
  <si>
    <t>Wing B = St + Gr + 1st to 13th Floor</t>
  </si>
  <si>
    <t>Wing C = St + Gr + 1st to 13th Floor</t>
  </si>
  <si>
    <t>Unit 1</t>
  </si>
  <si>
    <t>We considered Gross carpet area = Net carpet + Enclose balcony + A.P Area + E.F Area.</t>
  </si>
  <si>
    <t>Approved Plans, CC, Sale Plans, Builder Saleable Area</t>
  </si>
  <si>
    <t>Wing A, B &amp; C</t>
  </si>
  <si>
    <t>On RERA A to D Wings Are mention</t>
  </si>
  <si>
    <t>Babul Pada Road</t>
  </si>
  <si>
    <t>188, H. No. 4 &amp; 5, Existing Building Name - Sagar Prakash Hsg Co­op Soc</t>
  </si>
  <si>
    <t>Chandresh Shraddha Apartment</t>
  </si>
  <si>
    <t>Road/ Aashish Niwas</t>
  </si>
  <si>
    <t>3 Wings</t>
  </si>
  <si>
    <t>(Vasai Virar City Municipal Corporation) VVCMC</t>
  </si>
  <si>
    <t>We considered Saleable area of Flat as per Builder area Sheet.</t>
  </si>
  <si>
    <t>Layout Plan :</t>
  </si>
  <si>
    <t>13th Floor (Part Terrace Area)</t>
  </si>
  <si>
    <t>Attached Otla area</t>
  </si>
  <si>
    <t>Wing A</t>
  </si>
  <si>
    <t>Wing B</t>
  </si>
  <si>
    <t>Commercial Unit</t>
  </si>
  <si>
    <t>Wing C</t>
  </si>
  <si>
    <t>Recommended rate of the Shop Per Sq. Ft. (For Ground Floor)</t>
  </si>
  <si>
    <t>Recommended rate of the Shop/Commercial Unit Per Sq. Ft. (For 1st Floor)</t>
  </si>
  <si>
    <t>rate sheet</t>
  </si>
  <si>
    <t>market</t>
  </si>
  <si>
    <t>flat</t>
  </si>
  <si>
    <r>
      <t xml:space="preserve">Shop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</si>
  <si>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</si>
  <si>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 xml:space="preserve">Builder Saleable Area </t>
  </si>
  <si>
    <t>Name / No of the Existing Building</t>
  </si>
  <si>
    <t>Grand Total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</si>
  <si>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</si>
  <si>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Approved Floor plan No.
Building No. 1 Wing C  </t>
  </si>
  <si>
    <t>VVCMC/TP/Amend/VP/6035/59/2023-24</t>
  </si>
  <si>
    <t>1.5BHK</t>
  </si>
  <si>
    <t>6th Floor</t>
  </si>
  <si>
    <t>7th &amp; 9th Floor</t>
  </si>
  <si>
    <t>10th, 11th &amp; 12th Floor</t>
  </si>
  <si>
    <t>8th &amp; 13th Floor (Part Refuge Area)</t>
  </si>
  <si>
    <t>Flats - 309, Shops - 30, Commercial Unit - 3</t>
  </si>
  <si>
    <t>Wing A = St + Gr + 1st to 13th Floor
Wing B = St + Gr + 1st to 13th Floor
Wing C = St + Gr + 1st to 13th Floor</t>
  </si>
  <si>
    <t>Wing C = St/Gr + 1st to 13th Floor</t>
  </si>
  <si>
    <t xml:space="preserve">Wing A, B = St + Gr + 1st to 13th Floor
</t>
  </si>
  <si>
    <t>4800 to 4950</t>
  </si>
  <si>
    <t>nikhil</t>
  </si>
  <si>
    <t>Latitude &amp; Longitude</t>
  </si>
  <si>
    <t>19.4201743,72.8274692</t>
  </si>
  <si>
    <t>Mr.Navin Mishra  9373434762</t>
  </si>
  <si>
    <t>Mr. Suraj Singh 9373434762</t>
  </si>
  <si>
    <t>On site we met Sales person: 9373434762.</t>
  </si>
  <si>
    <t xml:space="preserve">We have updated revised plans of Building No.1 Wing C (on 13/09/2023).
</t>
  </si>
  <si>
    <t>All work Completed, Waiting for OC</t>
  </si>
  <si>
    <t>Wing A =All work Completed. Provide OC
Wing B &amp; C = Construction work is in process at the time of Visit.</t>
  </si>
  <si>
    <t>As per RERA - Wing A = Completed 
                         Wing B &amp; C = 31/03/2026</t>
  </si>
  <si>
    <t xml:space="preserve">Pooja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</si>
</sst>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05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0" xfId="0" applyFont="1" applyBorder="1" applyProtection="1"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9" xfId="1" applyFont="1" applyBorder="1"/>
    <xf numFmtId="0" fontId="16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29" xfId="0" applyFont="1" applyFill="1" applyBorder="1"/>
    <xf numFmtId="0" fontId="23" fillId="0" borderId="30" xfId="0" applyFont="1" applyBorder="1"/>
    <xf numFmtId="0" fontId="23" fillId="0" borderId="1" xfId="0" applyFont="1" applyBorder="1"/>
    <xf numFmtId="0" fontId="23" fillId="0" borderId="4" xfId="0" applyFont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11" fillId="0" borderId="1" xfId="1" applyFont="1" applyBorder="1" applyAlignment="1" applyProtection="1">
      <alignment horizontal="center" vertical="top"/>
      <protection locked="0"/>
    </xf>
    <xf numFmtId="0" fontId="9" fillId="0" borderId="0" xfId="1" applyFont="1"/>
    <xf numFmtId="0" fontId="6" fillId="2" borderId="0" xfId="1" applyFont="1" applyFill="1"/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9" fontId="11" fillId="0" borderId="6" xfId="8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" fontId="6" fillId="2" borderId="0" xfId="1" applyNumberFormat="1" applyFont="1" applyFill="1" applyAlignment="1">
      <alignment horizontal="center" vertical="center"/>
    </xf>
    <xf numFmtId="1" fontId="12" fillId="0" borderId="2" xfId="1" applyNumberFormat="1" applyFont="1" applyBorder="1" applyAlignment="1" applyProtection="1">
      <alignment horizontal="center" vertical="top" wrapText="1"/>
      <protection locked="0"/>
    </xf>
    <xf numFmtId="9" fontId="12" fillId="0" borderId="15" xfId="8" applyFont="1" applyFill="1" applyBorder="1" applyAlignment="1" applyProtection="1">
      <alignment horizontal="center" vertical="top" wrapText="1"/>
      <protection locked="0"/>
    </xf>
    <xf numFmtId="1" fontId="11" fillId="0" borderId="0" xfId="1" applyNumberFormat="1" applyFont="1" applyAlignment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top" wrapText="1"/>
      <protection locked="0"/>
    </xf>
    <xf numFmtId="1" fontId="25" fillId="0" borderId="2" xfId="1" applyNumberFormat="1" applyFont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4" fontId="6" fillId="2" borderId="0" xfId="1" applyNumberFormat="1" applyFont="1" applyFill="1"/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1" fontId="7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7" xfId="1" applyNumberFormat="1" applyFont="1" applyBorder="1" applyAlignment="1" applyProtection="1">
      <alignment horizontal="center" vertical="center" wrapText="1"/>
      <protection locked="0"/>
    </xf>
    <xf numFmtId="1" fontId="11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16" xfId="1" applyNumberFormat="1" applyFont="1" applyBorder="1" applyAlignment="1" applyProtection="1">
      <alignment horizontal="center" vertical="center" wrapText="1"/>
      <protection locked="0"/>
    </xf>
    <xf numFmtId="1" fontId="11" fillId="0" borderId="17" xfId="1" applyNumberFormat="1" applyFont="1" applyBorder="1" applyAlignment="1" applyProtection="1">
      <alignment horizontal="center" vertical="center" wrapText="1"/>
      <protection locked="0"/>
    </xf>
    <xf numFmtId="1" fontId="11" fillId="0" borderId="24" xfId="1" applyNumberFormat="1" applyFont="1" applyBorder="1" applyAlignment="1" applyProtection="1">
      <alignment horizontal="center" vertical="center" wrapText="1"/>
      <protection locked="0"/>
    </xf>
    <xf numFmtId="1" fontId="11" fillId="0" borderId="25" xfId="1" applyNumberFormat="1" applyFont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Border="1" applyAlignment="1" applyProtection="1">
      <alignment horizontal="center" vertical="center" wrapText="1"/>
      <protection locked="0"/>
    </xf>
    <xf numFmtId="1" fontId="11" fillId="0" borderId="19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11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6" xfId="1" applyNumberFormat="1" applyFont="1" applyBorder="1" applyAlignment="1" applyProtection="1">
      <alignment horizontal="center" vertical="top" wrapText="1"/>
      <protection locked="0"/>
    </xf>
    <xf numFmtId="1" fontId="12" fillId="0" borderId="17" xfId="1" applyNumberFormat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0" fontId="11" fillId="0" borderId="6" xfId="1" applyFont="1" applyBorder="1" applyAlignment="1" applyProtection="1">
      <alignment horizontal="center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14" fontId="5" fillId="0" borderId="7" xfId="1" applyNumberFormat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1" fontId="7" fillId="0" borderId="20" xfId="0" applyNumberFormat="1" applyFont="1" applyBorder="1" applyAlignment="1" applyProtection="1">
      <alignment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2" xfId="1" applyNumberFormat="1" applyFont="1" applyBorder="1" applyAlignment="1" applyProtection="1">
      <alignment horizontal="center" vertical="top" wrapText="1"/>
      <protection locked="0"/>
    </xf>
    <xf numFmtId="1" fontId="12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1" fontId="25" fillId="0" borderId="2" xfId="1" applyNumberFormat="1" applyFont="1" applyBorder="1" applyAlignment="1" applyProtection="1">
      <alignment horizontal="center" vertical="top" wrapText="1"/>
      <protection locked="0"/>
    </xf>
    <xf numFmtId="1" fontId="25" fillId="0" borderId="15" xfId="1" applyNumberFormat="1" applyFont="1" applyBorder="1" applyAlignment="1" applyProtection="1">
      <alignment horizontal="center" vertical="top" wrapText="1"/>
      <protection locked="0"/>
    </xf>
    <xf numFmtId="1" fontId="12" fillId="0" borderId="18" xfId="1" applyNumberFormat="1" applyFont="1" applyBorder="1" applyAlignment="1" applyProtection="1">
      <alignment horizontal="center" vertical="top" wrapText="1"/>
      <protection locked="0"/>
    </xf>
    <xf numFmtId="1" fontId="12" fillId="0" borderId="19" xfId="1" applyNumberFormat="1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9" fontId="11" fillId="0" borderId="16" xfId="8" applyFont="1" applyFill="1" applyBorder="1" applyAlignment="1" applyProtection="1">
      <alignment horizontal="center" vertical="center" wrapText="1"/>
      <protection locked="0"/>
    </xf>
    <xf numFmtId="9" fontId="11" fillId="0" borderId="17" xfId="8" applyFont="1" applyFill="1" applyBorder="1" applyAlignment="1" applyProtection="1">
      <alignment horizontal="center" vertical="center" wrapText="1"/>
      <protection locked="0"/>
    </xf>
    <xf numFmtId="9" fontId="11" fillId="0" borderId="24" xfId="8" applyFont="1" applyFill="1" applyBorder="1" applyAlignment="1" applyProtection="1">
      <alignment horizontal="center" vertical="center" wrapText="1"/>
      <protection locked="0"/>
    </xf>
    <xf numFmtId="9" fontId="11" fillId="0" borderId="25" xfId="8" applyFont="1" applyFill="1" applyBorder="1" applyAlignment="1" applyProtection="1">
      <alignment horizontal="center" vertical="center" wrapText="1"/>
      <protection locked="0"/>
    </xf>
    <xf numFmtId="9" fontId="11" fillId="0" borderId="27" xfId="8" applyFont="1" applyFill="1" applyBorder="1" applyAlignment="1" applyProtection="1">
      <alignment horizontal="center" vertical="center" wrapText="1"/>
      <protection locked="0"/>
    </xf>
    <xf numFmtId="9" fontId="11" fillId="0" borderId="28" xfId="8" applyFont="1" applyFill="1" applyBorder="1" applyAlignment="1" applyProtection="1">
      <alignment horizontal="center" vertical="center" wrapText="1"/>
      <protection locked="0"/>
    </xf>
    <xf numFmtId="9" fontId="11" fillId="0" borderId="26" xfId="8" applyFont="1" applyFill="1" applyBorder="1" applyAlignment="1" applyProtection="1">
      <alignment horizontal="center" vertical="center" wrapText="1"/>
      <protection locked="0"/>
    </xf>
    <xf numFmtId="9" fontId="11" fillId="0" borderId="9" xfId="8" applyFont="1" applyFill="1" applyBorder="1" applyAlignment="1" applyProtection="1">
      <alignment horizontal="center" vertical="center" wrapText="1"/>
      <protection locked="0"/>
    </xf>
    <xf numFmtId="9" fontId="11" fillId="0" borderId="11" xfId="8" applyFont="1" applyFill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7" fillId="0" borderId="15" xfId="1" applyFont="1" applyBorder="1" applyAlignment="1" applyProtection="1">
      <alignment horizontal="left" vertical="top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15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1" xfId="5" applyFont="1" applyBorder="1" applyAlignment="1">
      <alignment horizontal="left"/>
    </xf>
    <xf numFmtId="0" fontId="9" fillId="0" borderId="1" xfId="1" applyFont="1" applyBorder="1" applyAlignment="1" applyProtection="1">
      <alignment horizontal="left"/>
      <protection locked="0"/>
    </xf>
    <xf numFmtId="0" fontId="22" fillId="2" borderId="14" xfId="0" applyFont="1" applyFill="1" applyBorder="1"/>
    <xf numFmtId="0" fontId="23" fillId="0" borderId="8" xfId="0" applyFont="1" applyBorder="1"/>
    <xf numFmtId="9" fontId="11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6" Type="http://schemas.openxmlformats.org/officeDocument/2006/relationships/image" Target="../media/image33.png"/><Relationship Id="rId5" Type="http://schemas.openxmlformats.org/officeDocument/2006/relationships/image" Target="../media/image32.png"/><Relationship Id="rId4" Type="http://schemas.openxmlformats.org/officeDocument/2006/relationships/image" Target="../media/image3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498</xdr:row>
      <xdr:rowOff>0</xdr:rowOff>
    </xdr:from>
    <xdr:to>
      <xdr:col>7</xdr:col>
      <xdr:colOff>112440</xdr:colOff>
      <xdr:row>525</xdr:row>
      <xdr:rowOff>190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" y="90868500"/>
          <a:ext cx="5560740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6</xdr:col>
      <xdr:colOff>219075</xdr:colOff>
      <xdr:row>521</xdr:row>
      <xdr:rowOff>171450</xdr:rowOff>
    </xdr:from>
    <xdr:to>
      <xdr:col>6</xdr:col>
      <xdr:colOff>219075</xdr:colOff>
      <xdr:row>524</xdr:row>
      <xdr:rowOff>19050</xdr:rowOff>
    </xdr:to>
    <xdr:cxnSp macro="">
      <xdr:nvCxnSpPr>
        <xdr:cNvPr id="17" name="Straight Arrow Connector 16"/>
        <xdr:cNvCxnSpPr/>
      </xdr:nvCxnSpPr>
      <xdr:spPr>
        <a:xfrm flipV="1">
          <a:off x="5495925" y="95640525"/>
          <a:ext cx="0" cy="4476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520</xdr:row>
      <xdr:rowOff>38100</xdr:rowOff>
    </xdr:from>
    <xdr:to>
      <xdr:col>8</xdr:col>
      <xdr:colOff>104775</xdr:colOff>
      <xdr:row>523</xdr:row>
      <xdr:rowOff>180975</xdr:rowOff>
    </xdr:to>
    <xdr:sp macro="" textlink="">
      <xdr:nvSpPr>
        <xdr:cNvPr id="18" name="Rectangle 17"/>
        <xdr:cNvSpPr/>
      </xdr:nvSpPr>
      <xdr:spPr>
        <a:xfrm>
          <a:off x="5324475" y="95307150"/>
          <a:ext cx="1781175" cy="742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002060"/>
              </a:solidFill>
            </a:rPr>
            <a:t>N</a:t>
          </a:r>
        </a:p>
      </xdr:txBody>
    </xdr:sp>
    <xdr:clientData/>
  </xdr:twoCellAnchor>
  <xdr:twoCellAnchor>
    <xdr:from>
      <xdr:col>4</xdr:col>
      <xdr:colOff>523875</xdr:colOff>
      <xdr:row>505</xdr:row>
      <xdr:rowOff>47625</xdr:rowOff>
    </xdr:from>
    <xdr:to>
      <xdr:col>6</xdr:col>
      <xdr:colOff>628650</xdr:colOff>
      <xdr:row>508</xdr:row>
      <xdr:rowOff>190500</xdr:rowOff>
    </xdr:to>
    <xdr:sp macro="" textlink="">
      <xdr:nvSpPr>
        <xdr:cNvPr id="19" name="Rectangle 18"/>
        <xdr:cNvSpPr/>
      </xdr:nvSpPr>
      <xdr:spPr>
        <a:xfrm>
          <a:off x="4124325" y="90506550"/>
          <a:ext cx="1781175" cy="742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ln>
                <a:noFill/>
              </a:ln>
              <a:solidFill>
                <a:srgbClr val="C00000"/>
              </a:solidFill>
            </a:rPr>
            <a:t>C Wing </a:t>
          </a:r>
        </a:p>
      </xdr:txBody>
    </xdr:sp>
    <xdr:clientData/>
  </xdr:twoCellAnchor>
  <xdr:twoCellAnchor>
    <xdr:from>
      <xdr:col>3</xdr:col>
      <xdr:colOff>990600</xdr:colOff>
      <xdr:row>510</xdr:row>
      <xdr:rowOff>19050</xdr:rowOff>
    </xdr:from>
    <xdr:to>
      <xdr:col>6</xdr:col>
      <xdr:colOff>85725</xdr:colOff>
      <xdr:row>513</xdr:row>
      <xdr:rowOff>161925</xdr:rowOff>
    </xdr:to>
    <xdr:sp macro="" textlink="">
      <xdr:nvSpPr>
        <xdr:cNvPr id="20" name="Rectangle 19"/>
        <xdr:cNvSpPr/>
      </xdr:nvSpPr>
      <xdr:spPr>
        <a:xfrm>
          <a:off x="3581400" y="91478100"/>
          <a:ext cx="1781175" cy="742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ln>
                <a:noFill/>
              </a:ln>
              <a:solidFill>
                <a:srgbClr val="C00000"/>
              </a:solidFill>
            </a:rPr>
            <a:t>B Wing </a:t>
          </a:r>
        </a:p>
      </xdr:txBody>
    </xdr:sp>
    <xdr:clientData/>
  </xdr:twoCellAnchor>
  <xdr:twoCellAnchor>
    <xdr:from>
      <xdr:col>2</xdr:col>
      <xdr:colOff>723900</xdr:colOff>
      <xdr:row>512</xdr:row>
      <xdr:rowOff>76200</xdr:rowOff>
    </xdr:from>
    <xdr:to>
      <xdr:col>4</xdr:col>
      <xdr:colOff>581025</xdr:colOff>
      <xdr:row>516</xdr:row>
      <xdr:rowOff>19050</xdr:rowOff>
    </xdr:to>
    <xdr:sp macro="" textlink="">
      <xdr:nvSpPr>
        <xdr:cNvPr id="21" name="Rectangle 20"/>
        <xdr:cNvSpPr/>
      </xdr:nvSpPr>
      <xdr:spPr>
        <a:xfrm>
          <a:off x="2400300" y="93745050"/>
          <a:ext cx="1781175" cy="742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ln>
                <a:noFill/>
              </a:ln>
              <a:solidFill>
                <a:srgbClr val="C00000"/>
              </a:solidFill>
            </a:rPr>
            <a:t>A Wing </a:t>
          </a:r>
        </a:p>
      </xdr:txBody>
    </xdr:sp>
    <xdr:clientData/>
  </xdr:twoCellAnchor>
  <xdr:twoCellAnchor editAs="oneCell">
    <xdr:from>
      <xdr:col>1</xdr:col>
      <xdr:colOff>9525</xdr:colOff>
      <xdr:row>536</xdr:row>
      <xdr:rowOff>0</xdr:rowOff>
    </xdr:from>
    <xdr:to>
      <xdr:col>7</xdr:col>
      <xdr:colOff>176</xdr:colOff>
      <xdr:row>554</xdr:row>
      <xdr:rowOff>416</xdr:rowOff>
    </xdr:to>
    <xdr:pic>
      <xdr:nvPicPr>
        <xdr:cNvPr id="22" name="Picture 21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5" y="99669600"/>
          <a:ext cx="528406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9525</xdr:colOff>
      <xdr:row>554</xdr:row>
      <xdr:rowOff>166509</xdr:rowOff>
    </xdr:from>
    <xdr:to>
      <xdr:col>7</xdr:col>
      <xdr:colOff>176</xdr:colOff>
      <xdr:row>572</xdr:row>
      <xdr:rowOff>166058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8675" y="103436559"/>
          <a:ext cx="528406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347869</xdr:colOff>
      <xdr:row>561</xdr:row>
      <xdr:rowOff>89807</xdr:rowOff>
    </xdr:from>
    <xdr:to>
      <xdr:col>5</xdr:col>
      <xdr:colOff>20589</xdr:colOff>
      <xdr:row>567</xdr:row>
      <xdr:rowOff>132844</xdr:rowOff>
    </xdr:to>
    <xdr:sp macro="" textlink="">
      <xdr:nvSpPr>
        <xdr:cNvPr id="24" name="Rectangle 23"/>
        <xdr:cNvSpPr/>
      </xdr:nvSpPr>
      <xdr:spPr>
        <a:xfrm rot="20664468">
          <a:off x="2938669" y="102950282"/>
          <a:ext cx="1520570" cy="124318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10</xdr:col>
      <xdr:colOff>460400</xdr:colOff>
      <xdr:row>457</xdr:row>
      <xdr:rowOff>47625</xdr:rowOff>
    </xdr:from>
    <xdr:to>
      <xdr:col>12</xdr:col>
      <xdr:colOff>66675</xdr:colOff>
      <xdr:row>459</xdr:row>
      <xdr:rowOff>21716</xdr:rowOff>
    </xdr:to>
    <xdr:sp macro="" textlink="">
      <xdr:nvSpPr>
        <xdr:cNvPr id="44" name="Rectangle 43"/>
        <xdr:cNvSpPr/>
      </xdr:nvSpPr>
      <xdr:spPr>
        <a:xfrm>
          <a:off x="8909075" y="95078550"/>
          <a:ext cx="1063600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8</xdr:col>
      <xdr:colOff>660235</xdr:colOff>
      <xdr:row>461</xdr:row>
      <xdr:rowOff>70304</xdr:rowOff>
    </xdr:from>
    <xdr:to>
      <xdr:col>9</xdr:col>
      <xdr:colOff>171450</xdr:colOff>
      <xdr:row>462</xdr:row>
      <xdr:rowOff>184950</xdr:rowOff>
    </xdr:to>
    <xdr:sp macro="" textlink="">
      <xdr:nvSpPr>
        <xdr:cNvPr id="46" name="Rectangle 45"/>
        <xdr:cNvSpPr/>
      </xdr:nvSpPr>
      <xdr:spPr>
        <a:xfrm>
          <a:off x="7505535" y="94958354"/>
          <a:ext cx="730415" cy="31149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 </a:t>
          </a:r>
        </a:p>
      </xdr:txBody>
    </xdr:sp>
    <xdr:clientData/>
  </xdr:twoCellAnchor>
  <xdr:twoCellAnchor>
    <xdr:from>
      <xdr:col>9</xdr:col>
      <xdr:colOff>474518</xdr:colOff>
      <xdr:row>454</xdr:row>
      <xdr:rowOff>177511</xdr:rowOff>
    </xdr:from>
    <xdr:to>
      <xdr:col>18</xdr:col>
      <xdr:colOff>338380</xdr:colOff>
      <xdr:row>489</xdr:row>
      <xdr:rowOff>82261</xdr:rowOff>
    </xdr:to>
    <xdr:grpSp>
      <xdr:nvGrpSpPr>
        <xdr:cNvPr id="4" name="Group 3"/>
        <xdr:cNvGrpSpPr/>
      </xdr:nvGrpSpPr>
      <xdr:grpSpPr>
        <a:xfrm>
          <a:off x="8539018" y="93693961"/>
          <a:ext cx="6677412" cy="6788150"/>
          <a:chOff x="76200" y="95164275"/>
          <a:chExt cx="6373766" cy="6896100"/>
        </a:xfrm>
      </xdr:grpSpPr>
      <xdr:grpSp>
        <xdr:nvGrpSpPr>
          <xdr:cNvPr id="3" name="Group 2"/>
          <xdr:cNvGrpSpPr/>
        </xdr:nvGrpSpPr>
        <xdr:grpSpPr>
          <a:xfrm>
            <a:off x="76200" y="95192850"/>
            <a:ext cx="6373766" cy="6867525"/>
            <a:chOff x="76200" y="95192850"/>
            <a:chExt cx="6373766" cy="6867525"/>
          </a:xfrm>
        </xdr:grpSpPr>
        <xdr:pic>
          <xdr:nvPicPr>
            <xdr:cNvPr id="45" name="Picture 44" descr="https://vsjcllp.vsjadon.com/upload/insp-220878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857751" y="100145850"/>
              <a:ext cx="1434398" cy="19145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 descr="https://vsjcllp.vsjadon.com/upload/insp-220878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95450" y="98021774"/>
              <a:ext cx="1525541" cy="20361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Picture 48" descr="https://vsjcllp.vsjadon.com/upload/insp-220878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8375" y="95192850"/>
              <a:ext cx="2055258" cy="27432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0" name="Picture 49" descr="https://vsjcllp.vsjadon.com/upload/insp-220878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6200" y="98021774"/>
              <a:ext cx="1525541" cy="20361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" name="Picture 50" descr="https://vsjcllp.vsjadon.com/upload/insp-220878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0" y="95192850"/>
              <a:ext cx="2055258" cy="27432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" name="Picture 51" descr="https://vsjcllp.vsjadon.com/upload/insp-220878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14701" y="100145850"/>
              <a:ext cx="1434398" cy="19145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3" name="Picture 52" descr="https://vsjcllp.vsjadon.com/upload/insp-220878-87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91025" y="95192850"/>
              <a:ext cx="2055258" cy="27432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5" name="Picture 54" descr="https://vsjcllp.vsjadon.com/upload/insp-220878-94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81176" y="100145850"/>
              <a:ext cx="1434398" cy="19145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55" descr="https://vsjcllp.vsjadon.com/upload/insp-220878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24425" y="98021774"/>
              <a:ext cx="1525541" cy="20361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" name="Picture 65" descr="https://vsjcllp.vsjadon.com/upload/insp-220878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7651" y="100145850"/>
              <a:ext cx="1434398" cy="19145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" name="Picture 66" descr="https://vsjcllp.vsjadon.com/upload/insp-220878-928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14700" y="98021774"/>
              <a:ext cx="1525541" cy="20361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8" name="Rectangle 67"/>
          <xdr:cNvSpPr/>
        </xdr:nvSpPr>
        <xdr:spPr>
          <a:xfrm>
            <a:off x="1209675" y="95164275"/>
            <a:ext cx="942975" cy="34278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1">
                <a:solidFill>
                  <a:sysClr val="windowText" lastClr="000000"/>
                </a:solidFill>
              </a:rPr>
              <a:t>A Wing </a:t>
            </a:r>
          </a:p>
        </xdr:txBody>
      </xdr:sp>
      <xdr:sp macro="" textlink="">
        <xdr:nvSpPr>
          <xdr:cNvPr id="69" name="Rectangle 68"/>
          <xdr:cNvSpPr/>
        </xdr:nvSpPr>
        <xdr:spPr>
          <a:xfrm>
            <a:off x="2952750" y="95164275"/>
            <a:ext cx="942975" cy="34278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1">
                <a:solidFill>
                  <a:sysClr val="windowText" lastClr="000000"/>
                </a:solidFill>
              </a:rPr>
              <a:t> B Wing </a:t>
            </a:r>
          </a:p>
        </xdr:txBody>
      </xdr:sp>
      <xdr:sp macro="" textlink="">
        <xdr:nvSpPr>
          <xdr:cNvPr id="70" name="Rectangle 69"/>
          <xdr:cNvSpPr/>
        </xdr:nvSpPr>
        <xdr:spPr>
          <a:xfrm>
            <a:off x="5324475" y="95173800"/>
            <a:ext cx="942975" cy="34278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600" b="1">
                <a:solidFill>
                  <a:sysClr val="windowText" lastClr="000000"/>
                </a:solidFill>
              </a:rPr>
              <a:t>C Wing </a:t>
            </a:r>
          </a:p>
        </xdr:txBody>
      </xdr:sp>
    </xdr:grpSp>
    <xdr:clientData/>
  </xdr:twoCellAnchor>
  <xdr:twoCellAnchor>
    <xdr:from>
      <xdr:col>1</xdr:col>
      <xdr:colOff>390525</xdr:colOff>
      <xdr:row>485</xdr:row>
      <xdr:rowOff>85725</xdr:rowOff>
    </xdr:from>
    <xdr:to>
      <xdr:col>2</xdr:col>
      <xdr:colOff>822773</xdr:colOff>
      <xdr:row>487</xdr:row>
      <xdr:rowOff>59816</xdr:rowOff>
    </xdr:to>
    <xdr:sp macro="" textlink="">
      <xdr:nvSpPr>
        <xdr:cNvPr id="79" name="Rectangle 78"/>
        <xdr:cNvSpPr/>
      </xdr:nvSpPr>
      <xdr:spPr>
        <a:xfrm>
          <a:off x="1152525" y="101098350"/>
          <a:ext cx="1232348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chemeClr val="bg1"/>
              </a:solidFill>
            </a:rPr>
            <a:t>A Wing </a:t>
          </a:r>
        </a:p>
      </xdr:txBody>
    </xdr:sp>
    <xdr:clientData/>
  </xdr:twoCellAnchor>
  <xdr:twoCellAnchor>
    <xdr:from>
      <xdr:col>0</xdr:col>
      <xdr:colOff>101600</xdr:colOff>
      <xdr:row>454</xdr:row>
      <xdr:rowOff>165100</xdr:rowOff>
    </xdr:from>
    <xdr:to>
      <xdr:col>7</xdr:col>
      <xdr:colOff>712513</xdr:colOff>
      <xdr:row>490</xdr:row>
      <xdr:rowOff>122996</xdr:rowOff>
    </xdr:to>
    <xdr:grpSp>
      <xdr:nvGrpSpPr>
        <xdr:cNvPr id="2" name="Group 1"/>
        <xdr:cNvGrpSpPr/>
      </xdr:nvGrpSpPr>
      <xdr:grpSpPr>
        <a:xfrm>
          <a:off x="101600" y="93681550"/>
          <a:ext cx="6586263" cy="7038146"/>
          <a:chOff x="101600" y="93681550"/>
          <a:chExt cx="6586263" cy="7038146"/>
        </a:xfrm>
      </xdr:grpSpPr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5461" y="9866769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1" y="9651662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6677" y="9651662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2888" y="9651662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757" y="93681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4174" y="9866769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2887" y="9866769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9866769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50466" y="9651662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3592" y="93681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0427" y="93681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4" name="Rectangle 63"/>
          <xdr:cNvSpPr/>
        </xdr:nvSpPr>
        <xdr:spPr>
          <a:xfrm>
            <a:off x="3119242" y="95859600"/>
            <a:ext cx="730415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 </a:t>
            </a:r>
          </a:p>
        </xdr:txBody>
      </xdr:sp>
      <xdr:sp macro="" textlink="">
        <xdr:nvSpPr>
          <xdr:cNvPr id="65" name="Rectangle 64"/>
          <xdr:cNvSpPr/>
        </xdr:nvSpPr>
        <xdr:spPr>
          <a:xfrm>
            <a:off x="5280677" y="95554800"/>
            <a:ext cx="730415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 </a:t>
            </a:r>
          </a:p>
        </xdr:txBody>
      </xdr:sp>
      <xdr:sp macro="" textlink="">
        <xdr:nvSpPr>
          <xdr:cNvPr id="80" name="Rectangle 79"/>
          <xdr:cNvSpPr/>
        </xdr:nvSpPr>
        <xdr:spPr>
          <a:xfrm>
            <a:off x="703807" y="95535750"/>
            <a:ext cx="730415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18566</xdr:rowOff>
    </xdr:from>
    <xdr:to>
      <xdr:col>5</xdr:col>
      <xdr:colOff>294344</xdr:colOff>
      <xdr:row>32</xdr:row>
      <xdr:rowOff>20066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87272"/>
          <a:ext cx="576281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446744</xdr:colOff>
      <xdr:row>15</xdr:row>
      <xdr:rowOff>0</xdr:rowOff>
    </xdr:from>
    <xdr:to>
      <xdr:col>12</xdr:col>
      <xdr:colOff>516969</xdr:colOff>
      <xdr:row>32</xdr:row>
      <xdr:rowOff>1500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97920" y="2868706"/>
          <a:ext cx="576281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32</xdr:row>
      <xdr:rowOff>172466</xdr:rowOff>
    </xdr:from>
    <xdr:to>
      <xdr:col>5</xdr:col>
      <xdr:colOff>294344</xdr:colOff>
      <xdr:row>49</xdr:row>
      <xdr:rowOff>173966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279672"/>
          <a:ext cx="576281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2875</xdr:colOff>
      <xdr:row>50</xdr:row>
      <xdr:rowOff>135866</xdr:rowOff>
    </xdr:from>
    <xdr:to>
      <xdr:col>5</xdr:col>
      <xdr:colOff>297219</xdr:colOff>
      <xdr:row>67</xdr:row>
      <xdr:rowOff>137366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581" y="9672072"/>
          <a:ext cx="576281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446744</xdr:colOff>
      <xdr:row>50</xdr:row>
      <xdr:rowOff>135866</xdr:rowOff>
    </xdr:from>
    <xdr:to>
      <xdr:col>12</xdr:col>
      <xdr:colOff>516969</xdr:colOff>
      <xdr:row>67</xdr:row>
      <xdr:rowOff>137366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97920" y="9672072"/>
          <a:ext cx="576281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446744</xdr:colOff>
      <xdr:row>32</xdr:row>
      <xdr:rowOff>166059</xdr:rowOff>
    </xdr:from>
    <xdr:to>
      <xdr:col>12</xdr:col>
      <xdr:colOff>516969</xdr:colOff>
      <xdr:row>49</xdr:row>
      <xdr:rowOff>167559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97920" y="6273265"/>
          <a:ext cx="576281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ABBCdfteR4ub1k9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35"/>
  <sheetViews>
    <sheetView tabSelected="1" view="pageBreakPreview" zoomScaleNormal="100" zoomScaleSheetLayoutView="100" workbookViewId="0">
      <selection activeCell="E10" sqref="E10:H10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2.453125" style="37" customWidth="1"/>
    <col min="9" max="9" width="17.453125" style="18" customWidth="1"/>
    <col min="10" max="10" width="11.453125" style="18" customWidth="1"/>
    <col min="11" max="11" width="11.2695312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11" ht="46.5" customHeight="1" x14ac:dyDescent="0.35">
      <c r="A1" s="162" t="s">
        <v>249</v>
      </c>
      <c r="B1" s="162"/>
      <c r="C1" s="162"/>
      <c r="D1" s="162"/>
      <c r="E1" s="162"/>
      <c r="F1" s="162"/>
      <c r="G1" s="162"/>
      <c r="H1" s="162"/>
    </row>
    <row r="2" spans="1:11" ht="16.5" customHeight="1" x14ac:dyDescent="0.35">
      <c r="A2" s="163" t="s">
        <v>0</v>
      </c>
      <c r="B2" s="163"/>
      <c r="C2" s="163"/>
      <c r="D2" s="163"/>
      <c r="E2" s="163"/>
      <c r="F2" s="163"/>
      <c r="G2" s="163"/>
      <c r="H2" s="163"/>
    </row>
    <row r="3" spans="1:11" x14ac:dyDescent="0.35">
      <c r="A3" s="147" t="s">
        <v>1</v>
      </c>
      <c r="B3" s="147"/>
      <c r="C3" s="147"/>
      <c r="D3" s="147"/>
      <c r="E3" s="147" t="str">
        <f ca="1">TEXT(TODAY(),"DD/MM/YYYY")</f>
        <v>13/09/2025</v>
      </c>
      <c r="F3" s="147"/>
      <c r="G3" s="147"/>
      <c r="H3" s="147"/>
    </row>
    <row r="4" spans="1:11" ht="15" customHeight="1" x14ac:dyDescent="0.35">
      <c r="A4" s="147" t="s">
        <v>2</v>
      </c>
      <c r="B4" s="147"/>
      <c r="C4" s="147"/>
      <c r="D4" s="147"/>
      <c r="E4" s="147" t="s">
        <v>170</v>
      </c>
      <c r="F4" s="147"/>
      <c r="G4" s="147"/>
      <c r="H4" s="147"/>
    </row>
    <row r="5" spans="1:11" x14ac:dyDescent="0.35">
      <c r="A5" s="147" t="s">
        <v>3</v>
      </c>
      <c r="B5" s="147"/>
      <c r="C5" s="147"/>
      <c r="D5" s="147"/>
      <c r="E5" s="164">
        <v>45905</v>
      </c>
      <c r="F5" s="147"/>
      <c r="G5" s="147"/>
      <c r="H5" s="147"/>
    </row>
    <row r="6" spans="1:11" ht="16.5" customHeight="1" x14ac:dyDescent="0.35">
      <c r="A6" s="147" t="s">
        <v>4</v>
      </c>
      <c r="B6" s="147"/>
      <c r="C6" s="147"/>
      <c r="D6" s="147"/>
      <c r="E6" s="147" t="s">
        <v>172</v>
      </c>
      <c r="F6" s="147"/>
      <c r="G6" s="147"/>
      <c r="H6" s="147"/>
    </row>
    <row r="7" spans="1:11" ht="15" customHeight="1" x14ac:dyDescent="0.35">
      <c r="A7" s="147" t="s">
        <v>5</v>
      </c>
      <c r="B7" s="147"/>
      <c r="C7" s="147"/>
      <c r="D7" s="147"/>
      <c r="E7" s="147" t="str">
        <f>E6</f>
        <v>Trimurti Construction</v>
      </c>
      <c r="F7" s="147"/>
      <c r="G7" s="147"/>
      <c r="H7" s="147"/>
    </row>
    <row r="8" spans="1:11" x14ac:dyDescent="0.35">
      <c r="A8" s="147" t="s">
        <v>6</v>
      </c>
      <c r="B8" s="147"/>
      <c r="C8" s="147"/>
      <c r="D8" s="147"/>
      <c r="E8" s="158" t="s">
        <v>175</v>
      </c>
      <c r="F8" s="158"/>
      <c r="G8" s="158"/>
      <c r="H8" s="158"/>
    </row>
    <row r="9" spans="1:11" x14ac:dyDescent="0.35">
      <c r="A9" s="147" t="s">
        <v>174</v>
      </c>
      <c r="B9" s="147"/>
      <c r="C9" s="147"/>
      <c r="D9" s="147"/>
      <c r="E9" s="158" t="s">
        <v>173</v>
      </c>
      <c r="F9" s="158"/>
      <c r="G9" s="158"/>
      <c r="H9" s="158"/>
    </row>
    <row r="10" spans="1:11" x14ac:dyDescent="0.35">
      <c r="A10" s="147" t="s">
        <v>167</v>
      </c>
      <c r="B10" s="147"/>
      <c r="C10" s="147"/>
      <c r="D10" s="147"/>
      <c r="E10" s="147" t="s">
        <v>265</v>
      </c>
      <c r="F10" s="147"/>
      <c r="G10" s="147"/>
      <c r="H10" s="147"/>
    </row>
    <row r="11" spans="1:11" x14ac:dyDescent="0.35">
      <c r="A11" s="147" t="s">
        <v>168</v>
      </c>
      <c r="B11" s="147"/>
      <c r="C11" s="147"/>
      <c r="D11" s="147"/>
      <c r="E11" s="147" t="s">
        <v>266</v>
      </c>
      <c r="F11" s="147"/>
      <c r="G11" s="147"/>
      <c r="H11" s="147"/>
    </row>
    <row r="12" spans="1:11" x14ac:dyDescent="0.35">
      <c r="A12" s="147" t="s">
        <v>7</v>
      </c>
      <c r="B12" s="147"/>
      <c r="C12" s="147"/>
      <c r="D12" s="147"/>
      <c r="E12" s="147" t="s">
        <v>223</v>
      </c>
      <c r="F12" s="147"/>
      <c r="G12" s="147"/>
      <c r="H12" s="147"/>
      <c r="I12" s="53" t="s">
        <v>224</v>
      </c>
      <c r="J12" s="53"/>
      <c r="K12" s="53"/>
    </row>
    <row r="13" spans="1:11" x14ac:dyDescent="0.35">
      <c r="A13" s="147" t="s">
        <v>247</v>
      </c>
      <c r="B13" s="147"/>
      <c r="C13" s="147"/>
      <c r="D13" s="147"/>
      <c r="E13" s="147" t="s">
        <v>175</v>
      </c>
      <c r="F13" s="147"/>
      <c r="G13" s="147"/>
      <c r="H13" s="147"/>
      <c r="I13" s="53"/>
      <c r="J13" s="53"/>
      <c r="K13" s="53"/>
    </row>
    <row r="14" spans="1:11" ht="32.25" customHeight="1" x14ac:dyDescent="0.35">
      <c r="A14" s="98" t="s">
        <v>8</v>
      </c>
      <c r="B14" s="98"/>
      <c r="C14" s="98"/>
      <c r="D14" s="98"/>
      <c r="E14" s="165" t="s">
        <v>222</v>
      </c>
      <c r="F14" s="165"/>
      <c r="G14" s="165"/>
      <c r="H14" s="165"/>
    </row>
    <row r="15" spans="1:11" x14ac:dyDescent="0.35">
      <c r="A15" s="98" t="s">
        <v>9</v>
      </c>
      <c r="B15" s="98"/>
      <c r="C15" s="98"/>
      <c r="D15" s="98"/>
      <c r="E15" s="165" t="s">
        <v>176</v>
      </c>
      <c r="F15" s="147"/>
      <c r="G15" s="147"/>
      <c r="H15" s="147"/>
    </row>
    <row r="16" spans="1:11" ht="66" customHeight="1" x14ac:dyDescent="0.35">
      <c r="A16" s="140" t="s">
        <v>10</v>
      </c>
      <c r="B16" s="140"/>
      <c r="C16" s="140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Redevelopement of Sagar Prakash Hsg Co­op Soc, Survey No.188, H. No. 4 &amp; 5, Existing Building Name - Sagar Prakash Hsg Co­op Soc, near Chandresh Shraddha Apartment, Babul Pada Road, Ambawadi, Achole, Nalasopara East, Vasai, Palghar - 401209.</v>
      </c>
      <c r="D16" s="140"/>
      <c r="E16" s="140"/>
      <c r="F16" s="140"/>
      <c r="G16" s="140"/>
      <c r="H16" s="140"/>
    </row>
    <row r="17" spans="1:8" x14ac:dyDescent="0.35">
      <c r="A17" s="165" t="s">
        <v>177</v>
      </c>
      <c r="B17" s="165"/>
      <c r="C17" s="165" t="s">
        <v>226</v>
      </c>
      <c r="D17" s="165"/>
      <c r="E17" s="165"/>
      <c r="F17" s="165"/>
      <c r="G17" s="165"/>
      <c r="H17" s="165"/>
    </row>
    <row r="18" spans="1:8" ht="15.75" customHeight="1" x14ac:dyDescent="0.35">
      <c r="A18" s="165" t="s">
        <v>166</v>
      </c>
      <c r="B18" s="165"/>
      <c r="C18" s="165" t="s">
        <v>181</v>
      </c>
      <c r="D18" s="165"/>
      <c r="E18" s="165"/>
      <c r="F18" s="165"/>
      <c r="G18" s="165"/>
      <c r="H18" s="165"/>
    </row>
    <row r="19" spans="1:8" ht="15.75" customHeight="1" x14ac:dyDescent="0.35">
      <c r="A19" s="140" t="s">
        <v>11</v>
      </c>
      <c r="B19" s="140"/>
      <c r="C19" s="147" t="s">
        <v>225</v>
      </c>
      <c r="D19" s="147"/>
      <c r="E19" s="140" t="s">
        <v>75</v>
      </c>
      <c r="F19" s="140"/>
      <c r="G19" s="165" t="s">
        <v>178</v>
      </c>
      <c r="H19" s="165"/>
    </row>
    <row r="20" spans="1:8" x14ac:dyDescent="0.35">
      <c r="A20" s="98" t="s">
        <v>13</v>
      </c>
      <c r="B20" s="98"/>
      <c r="C20" s="165" t="s">
        <v>182</v>
      </c>
      <c r="D20" s="165"/>
      <c r="E20" s="140" t="s">
        <v>12</v>
      </c>
      <c r="F20" s="140"/>
      <c r="G20" s="166" t="s">
        <v>179</v>
      </c>
      <c r="H20" s="166"/>
    </row>
    <row r="21" spans="1:8" x14ac:dyDescent="0.35">
      <c r="A21" s="98" t="s">
        <v>76</v>
      </c>
      <c r="B21" s="98"/>
      <c r="C21" s="165" t="s">
        <v>180</v>
      </c>
      <c r="D21" s="165"/>
      <c r="E21" s="140" t="s">
        <v>14</v>
      </c>
      <c r="F21" s="140"/>
      <c r="G21" s="165">
        <v>401209</v>
      </c>
      <c r="H21" s="165"/>
    </row>
    <row r="22" spans="1:8" ht="32.25" customHeight="1" x14ac:dyDescent="0.35">
      <c r="A22" s="98" t="s">
        <v>126</v>
      </c>
      <c r="B22" s="98"/>
      <c r="C22" s="165" t="s">
        <v>227</v>
      </c>
      <c r="D22" s="165"/>
      <c r="E22" s="140" t="s">
        <v>15</v>
      </c>
      <c r="F22" s="140"/>
      <c r="G22" s="165" t="s">
        <v>183</v>
      </c>
      <c r="H22" s="165"/>
    </row>
    <row r="23" spans="1:8" ht="15" customHeight="1" x14ac:dyDescent="0.35">
      <c r="A23" s="140" t="s">
        <v>79</v>
      </c>
      <c r="B23" s="140"/>
      <c r="C23" s="140"/>
      <c r="D23" s="140"/>
      <c r="E23" s="147" t="s">
        <v>16</v>
      </c>
      <c r="F23" s="147"/>
      <c r="G23" s="147"/>
      <c r="H23" s="147"/>
    </row>
    <row r="24" spans="1:8" ht="18.75" customHeight="1" x14ac:dyDescent="0.35">
      <c r="A24" s="140"/>
      <c r="B24" s="140"/>
      <c r="C24" s="140"/>
      <c r="D24" s="140"/>
      <c r="E24" s="147"/>
      <c r="F24" s="147"/>
      <c r="G24" s="147"/>
      <c r="H24" s="147"/>
    </row>
    <row r="25" spans="1:8" ht="15" customHeight="1" x14ac:dyDescent="0.35">
      <c r="A25" s="140" t="s">
        <v>17</v>
      </c>
      <c r="B25" s="140"/>
      <c r="C25" s="140"/>
      <c r="D25" s="140"/>
      <c r="E25" s="165" t="s">
        <v>18</v>
      </c>
      <c r="F25" s="165"/>
      <c r="G25" s="165"/>
      <c r="H25" s="165"/>
    </row>
    <row r="26" spans="1:8" ht="15" customHeight="1" x14ac:dyDescent="0.35">
      <c r="A26" s="98" t="s">
        <v>19</v>
      </c>
      <c r="B26" s="98"/>
      <c r="C26" s="98"/>
      <c r="D26" s="98"/>
      <c r="E26" s="165" t="str">
        <f>IF(AND(G20="Mumbai"),"Upper Class","Middle Class")</f>
        <v>Middle Class</v>
      </c>
      <c r="F26" s="165"/>
      <c r="G26" s="165"/>
      <c r="H26" s="165"/>
    </row>
    <row r="27" spans="1:8" x14ac:dyDescent="0.35">
      <c r="A27" s="98" t="s">
        <v>20</v>
      </c>
      <c r="B27" s="98"/>
      <c r="C27" s="98"/>
      <c r="D27" s="98"/>
      <c r="E27" s="165" t="s">
        <v>21</v>
      </c>
      <c r="F27" s="165"/>
      <c r="G27" s="165"/>
      <c r="H27" s="165"/>
    </row>
    <row r="28" spans="1:8" ht="15.75" customHeight="1" x14ac:dyDescent="0.35">
      <c r="A28" s="98" t="s">
        <v>22</v>
      </c>
      <c r="B28" s="98"/>
      <c r="C28" s="98"/>
      <c r="D28" s="98"/>
      <c r="E28" s="165" t="str">
        <f>IF(AND(G20="Mumbai"),"Developed","Developing")</f>
        <v>Developing</v>
      </c>
      <c r="F28" s="165"/>
      <c r="G28" s="165"/>
      <c r="H28" s="165"/>
    </row>
    <row r="29" spans="1:8" x14ac:dyDescent="0.35">
      <c r="A29" s="98" t="s">
        <v>23</v>
      </c>
      <c r="B29" s="98"/>
      <c r="C29" s="98"/>
      <c r="D29" s="98"/>
      <c r="E29" s="165" t="s">
        <v>24</v>
      </c>
      <c r="F29" s="165"/>
      <c r="G29" s="165"/>
      <c r="H29" s="165"/>
    </row>
    <row r="30" spans="1:8" ht="15.75" customHeight="1" x14ac:dyDescent="0.35">
      <c r="A30" s="98" t="s">
        <v>84</v>
      </c>
      <c r="B30" s="98"/>
      <c r="C30" s="98"/>
      <c r="D30" s="98"/>
      <c r="E30" s="165" t="s">
        <v>85</v>
      </c>
      <c r="F30" s="165"/>
      <c r="G30" s="165"/>
      <c r="H30" s="165"/>
    </row>
    <row r="31" spans="1:8" ht="15" customHeight="1" x14ac:dyDescent="0.35">
      <c r="A31" s="98" t="s">
        <v>33</v>
      </c>
      <c r="B31" s="98"/>
      <c r="C31" s="98"/>
      <c r="D31" s="98"/>
      <c r="E31" s="165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31" s="165"/>
      <c r="G31" s="165"/>
      <c r="H31" s="165"/>
    </row>
    <row r="32" spans="1:8" ht="15.75" customHeight="1" x14ac:dyDescent="0.35">
      <c r="A32" s="98" t="s">
        <v>96</v>
      </c>
      <c r="B32" s="98"/>
      <c r="C32" s="98"/>
      <c r="D32" s="98"/>
      <c r="E32" s="165" t="s">
        <v>34</v>
      </c>
      <c r="F32" s="165"/>
      <c r="G32" s="165"/>
      <c r="H32" s="165"/>
    </row>
    <row r="33" spans="1:8" s="19" customFormat="1" x14ac:dyDescent="0.35">
      <c r="A33" s="170" t="s">
        <v>97</v>
      </c>
      <c r="B33" s="170"/>
      <c r="C33" s="169" t="s">
        <v>29</v>
      </c>
      <c r="D33" s="169"/>
      <c r="E33" s="169"/>
      <c r="F33" s="169" t="s">
        <v>31</v>
      </c>
      <c r="G33" s="169"/>
      <c r="H33" s="169"/>
    </row>
    <row r="34" spans="1:8" s="19" customFormat="1" x14ac:dyDescent="0.35">
      <c r="A34" s="167" t="s">
        <v>25</v>
      </c>
      <c r="B34" s="167" t="s">
        <v>30</v>
      </c>
      <c r="C34" s="168" t="s">
        <v>30</v>
      </c>
      <c r="D34" s="168"/>
      <c r="E34" s="168"/>
      <c r="F34" s="168" t="s">
        <v>184</v>
      </c>
      <c r="G34" s="168"/>
      <c r="H34" s="168"/>
    </row>
    <row r="35" spans="1:8" x14ac:dyDescent="0.35">
      <c r="A35" s="167" t="s">
        <v>26</v>
      </c>
      <c r="B35" s="167" t="s">
        <v>30</v>
      </c>
      <c r="C35" s="168" t="s">
        <v>30</v>
      </c>
      <c r="D35" s="168"/>
      <c r="E35" s="168"/>
      <c r="F35" s="168" t="s">
        <v>228</v>
      </c>
      <c r="G35" s="168"/>
      <c r="H35" s="168"/>
    </row>
    <row r="36" spans="1:8" s="19" customFormat="1" x14ac:dyDescent="0.35">
      <c r="A36" s="167" t="s">
        <v>28</v>
      </c>
      <c r="B36" s="167" t="s">
        <v>30</v>
      </c>
      <c r="C36" s="168" t="s">
        <v>30</v>
      </c>
      <c r="D36" s="168"/>
      <c r="E36" s="168"/>
      <c r="F36" s="168" t="s">
        <v>185</v>
      </c>
      <c r="G36" s="168"/>
      <c r="H36" s="168"/>
    </row>
    <row r="37" spans="1:8" x14ac:dyDescent="0.35">
      <c r="A37" s="167" t="s">
        <v>27</v>
      </c>
      <c r="B37" s="167" t="s">
        <v>30</v>
      </c>
      <c r="C37" s="168" t="s">
        <v>30</v>
      </c>
      <c r="D37" s="168"/>
      <c r="E37" s="168"/>
      <c r="F37" s="168" t="s">
        <v>225</v>
      </c>
      <c r="G37" s="168"/>
      <c r="H37" s="168"/>
    </row>
    <row r="38" spans="1:8" x14ac:dyDescent="0.35">
      <c r="A38" s="98" t="s">
        <v>32</v>
      </c>
      <c r="B38" s="98"/>
      <c r="C38" s="98"/>
      <c r="D38" s="98"/>
      <c r="E38" s="98"/>
      <c r="F38" s="98"/>
      <c r="G38" s="98"/>
      <c r="H38" s="98"/>
    </row>
    <row r="39" spans="1:8" ht="15.75" customHeight="1" x14ac:dyDescent="0.35">
      <c r="A39" s="172" t="s">
        <v>263</v>
      </c>
      <c r="B39" s="172"/>
      <c r="C39" s="201" t="s">
        <v>264</v>
      </c>
      <c r="D39" s="201"/>
      <c r="E39" s="201"/>
      <c r="F39" s="201"/>
      <c r="G39" s="201"/>
      <c r="H39" s="201"/>
    </row>
    <row r="40" spans="1:8" x14ac:dyDescent="0.35">
      <c r="A40" s="172" t="s">
        <v>165</v>
      </c>
      <c r="B40" s="172"/>
      <c r="C40" s="173" t="s">
        <v>186</v>
      </c>
      <c r="D40" s="165"/>
      <c r="E40" s="165"/>
      <c r="F40" s="165"/>
      <c r="G40" s="165"/>
      <c r="H40" s="165"/>
    </row>
    <row r="41" spans="1:8" x14ac:dyDescent="0.35">
      <c r="A41" s="139" t="s">
        <v>35</v>
      </c>
      <c r="B41" s="139"/>
      <c r="C41" s="139"/>
      <c r="D41" s="139"/>
      <c r="E41" s="139"/>
      <c r="F41" s="139"/>
      <c r="G41" s="139"/>
      <c r="H41" s="139"/>
    </row>
    <row r="42" spans="1:8" x14ac:dyDescent="0.35">
      <c r="A42" s="98" t="s">
        <v>36</v>
      </c>
      <c r="B42" s="98"/>
      <c r="C42" s="98"/>
      <c r="D42" s="98"/>
      <c r="E42" s="171">
        <v>4832.66</v>
      </c>
      <c r="F42" s="171"/>
      <c r="G42" s="171"/>
      <c r="H42" s="171"/>
    </row>
    <row r="43" spans="1:8" x14ac:dyDescent="0.35">
      <c r="A43" s="98" t="s">
        <v>37</v>
      </c>
      <c r="B43" s="98"/>
      <c r="C43" s="98"/>
      <c r="D43" s="98"/>
      <c r="E43" s="97">
        <v>1.1000000000000001</v>
      </c>
      <c r="F43" s="97"/>
      <c r="G43" s="97"/>
      <c r="H43" s="97"/>
    </row>
    <row r="44" spans="1:8" x14ac:dyDescent="0.35">
      <c r="A44" s="98" t="s">
        <v>38</v>
      </c>
      <c r="B44" s="98"/>
      <c r="C44" s="98"/>
      <c r="D44" s="98"/>
      <c r="E44" s="97">
        <f>E46/E42-E43</f>
        <v>0.69303116710052026</v>
      </c>
      <c r="F44" s="97"/>
      <c r="G44" s="97"/>
      <c r="H44" s="97"/>
    </row>
    <row r="45" spans="1:8" x14ac:dyDescent="0.35">
      <c r="A45" s="98" t="s">
        <v>39</v>
      </c>
      <c r="B45" s="98"/>
      <c r="C45" s="98"/>
      <c r="D45" s="98"/>
      <c r="E45" s="97">
        <f>E43+E44</f>
        <v>1.7930311671005204</v>
      </c>
      <c r="F45" s="97"/>
      <c r="G45" s="97"/>
      <c r="H45" s="97"/>
    </row>
    <row r="46" spans="1:8" x14ac:dyDescent="0.35">
      <c r="A46" s="98" t="s">
        <v>95</v>
      </c>
      <c r="B46" s="98"/>
      <c r="C46" s="98"/>
      <c r="D46" s="98"/>
      <c r="E46" s="187">
        <v>8665.11</v>
      </c>
      <c r="F46" s="187"/>
      <c r="G46" s="187"/>
      <c r="H46" s="187"/>
    </row>
    <row r="47" spans="1:8" x14ac:dyDescent="0.35">
      <c r="A47" s="147" t="s">
        <v>40</v>
      </c>
      <c r="B47" s="147"/>
      <c r="C47" s="147"/>
      <c r="D47" s="147"/>
      <c r="E47" s="147" t="s">
        <v>229</v>
      </c>
      <c r="F47" s="147"/>
      <c r="G47" s="147"/>
      <c r="H47" s="147"/>
    </row>
    <row r="48" spans="1:8" x14ac:dyDescent="0.35">
      <c r="A48" s="139" t="s">
        <v>41</v>
      </c>
      <c r="B48" s="139"/>
      <c r="C48" s="139"/>
      <c r="D48" s="139"/>
      <c r="E48" s="139"/>
      <c r="F48" s="139"/>
      <c r="G48" s="139"/>
      <c r="H48" s="139"/>
    </row>
    <row r="49" spans="1:9" ht="33.75" customHeight="1" x14ac:dyDescent="0.35">
      <c r="A49" s="115" t="s">
        <v>155</v>
      </c>
      <c r="B49" s="116"/>
      <c r="C49" s="197" t="s">
        <v>230</v>
      </c>
      <c r="D49" s="198"/>
      <c r="E49" s="198"/>
      <c r="F49" s="198"/>
      <c r="G49" s="198"/>
      <c r="H49" s="199"/>
    </row>
    <row r="50" spans="1:9" ht="30.75" customHeight="1" x14ac:dyDescent="0.35">
      <c r="A50" s="115" t="s">
        <v>42</v>
      </c>
      <c r="B50" s="116"/>
      <c r="C50" s="115" t="s">
        <v>187</v>
      </c>
      <c r="D50" s="117"/>
      <c r="E50" s="116"/>
      <c r="F50" s="17" t="s">
        <v>43</v>
      </c>
      <c r="G50" s="118">
        <v>44803</v>
      </c>
      <c r="H50" s="116"/>
    </row>
    <row r="51" spans="1:9" ht="30.75" customHeight="1" x14ac:dyDescent="0.35">
      <c r="A51" s="115" t="s">
        <v>44</v>
      </c>
      <c r="B51" s="116"/>
      <c r="C51" s="115" t="s">
        <v>187</v>
      </c>
      <c r="D51" s="117"/>
      <c r="E51" s="116"/>
      <c r="F51" s="17" t="s">
        <v>43</v>
      </c>
      <c r="G51" s="118">
        <v>44803</v>
      </c>
      <c r="H51" s="116"/>
    </row>
    <row r="52" spans="1:9" s="20" customFormat="1" ht="30.75" customHeight="1" x14ac:dyDescent="0.35">
      <c r="A52" s="153" t="s">
        <v>159</v>
      </c>
      <c r="B52" s="154"/>
      <c r="C52" s="115" t="s">
        <v>188</v>
      </c>
      <c r="D52" s="117"/>
      <c r="E52" s="116"/>
      <c r="F52" s="17" t="s">
        <v>43</v>
      </c>
      <c r="G52" s="118">
        <v>44803</v>
      </c>
      <c r="H52" s="116"/>
    </row>
    <row r="53" spans="1:9" s="20" customFormat="1" x14ac:dyDescent="0.35">
      <c r="A53" s="155"/>
      <c r="B53" s="156"/>
      <c r="C53" s="115" t="s">
        <v>260</v>
      </c>
      <c r="D53" s="117"/>
      <c r="E53" s="117"/>
      <c r="F53" s="117"/>
      <c r="G53" s="117"/>
      <c r="H53" s="116"/>
    </row>
    <row r="54" spans="1:9" ht="30.75" customHeight="1" x14ac:dyDescent="0.35">
      <c r="A54" s="115" t="s">
        <v>250</v>
      </c>
      <c r="B54" s="116"/>
      <c r="C54" s="115" t="s">
        <v>251</v>
      </c>
      <c r="D54" s="117"/>
      <c r="E54" s="116"/>
      <c r="F54" s="17" t="s">
        <v>43</v>
      </c>
      <c r="G54" s="118">
        <v>45120</v>
      </c>
      <c r="H54" s="116"/>
    </row>
    <row r="55" spans="1:9" s="20" customFormat="1" ht="30.75" customHeight="1" x14ac:dyDescent="0.35">
      <c r="A55" s="153" t="s">
        <v>159</v>
      </c>
      <c r="B55" s="154"/>
      <c r="C55" s="115" t="s">
        <v>251</v>
      </c>
      <c r="D55" s="117"/>
      <c r="E55" s="116"/>
      <c r="F55" s="17" t="s">
        <v>43</v>
      </c>
      <c r="G55" s="118">
        <v>45120</v>
      </c>
      <c r="H55" s="116"/>
    </row>
    <row r="56" spans="1:9" s="20" customFormat="1" x14ac:dyDescent="0.35">
      <c r="A56" s="155"/>
      <c r="B56" s="156"/>
      <c r="C56" s="115" t="s">
        <v>259</v>
      </c>
      <c r="D56" s="117"/>
      <c r="E56" s="117"/>
      <c r="F56" s="117"/>
      <c r="G56" s="117"/>
      <c r="H56" s="116"/>
    </row>
    <row r="57" spans="1:9" x14ac:dyDescent="0.35">
      <c r="A57" s="174" t="s">
        <v>45</v>
      </c>
      <c r="B57" s="175"/>
      <c r="C57" s="174" t="s">
        <v>109</v>
      </c>
      <c r="D57" s="176"/>
      <c r="E57" s="175"/>
      <c r="F57" s="39" t="s">
        <v>43</v>
      </c>
      <c r="G57" s="189" t="s">
        <v>30</v>
      </c>
      <c r="H57" s="190"/>
    </row>
    <row r="58" spans="1:9" x14ac:dyDescent="0.35">
      <c r="A58" s="146" t="s">
        <v>47</v>
      </c>
      <c r="B58" s="146"/>
      <c r="C58" s="146"/>
      <c r="D58" s="146"/>
      <c r="E58" s="146"/>
      <c r="F58" s="146"/>
      <c r="G58" s="146"/>
      <c r="H58" s="146"/>
    </row>
    <row r="59" spans="1:9" x14ac:dyDescent="0.35">
      <c r="A59" s="140" t="s">
        <v>94</v>
      </c>
      <c r="B59" s="140"/>
      <c r="C59" s="140"/>
      <c r="D59" s="98">
        <f>E46</f>
        <v>8665.11</v>
      </c>
      <c r="E59" s="98"/>
      <c r="F59" s="98"/>
      <c r="G59" s="98"/>
      <c r="H59" s="98"/>
    </row>
    <row r="60" spans="1:9" x14ac:dyDescent="0.35">
      <c r="A60" s="165" t="s">
        <v>48</v>
      </c>
      <c r="B60" s="147"/>
      <c r="C60" s="147"/>
      <c r="D60" s="147" t="s">
        <v>257</v>
      </c>
      <c r="E60" s="147"/>
      <c r="F60" s="147"/>
      <c r="G60" s="147"/>
      <c r="H60" s="147"/>
      <c r="I60" s="21"/>
    </row>
    <row r="61" spans="1:9" ht="48.75" customHeight="1" x14ac:dyDescent="0.35">
      <c r="A61" s="150" t="s">
        <v>49</v>
      </c>
      <c r="B61" s="151"/>
      <c r="C61" s="152"/>
      <c r="D61" s="148" t="s">
        <v>258</v>
      </c>
      <c r="E61" s="149"/>
      <c r="F61" s="149"/>
      <c r="G61" s="149"/>
      <c r="H61" s="149"/>
    </row>
    <row r="62" spans="1:9" ht="15.75" customHeight="1" x14ac:dyDescent="0.35">
      <c r="A62" s="165" t="s">
        <v>92</v>
      </c>
      <c r="B62" s="165"/>
      <c r="C62" s="165"/>
      <c r="D62" s="147" t="s">
        <v>217</v>
      </c>
      <c r="E62" s="147"/>
      <c r="F62" s="147"/>
      <c r="G62" s="147"/>
      <c r="H62" s="147"/>
    </row>
    <row r="63" spans="1:9" ht="15.75" customHeight="1" x14ac:dyDescent="0.35">
      <c r="A63" s="165"/>
      <c r="B63" s="165"/>
      <c r="C63" s="165"/>
      <c r="D63" s="147" t="s">
        <v>218</v>
      </c>
      <c r="E63" s="147"/>
      <c r="F63" s="147"/>
      <c r="G63" s="147"/>
      <c r="H63" s="147"/>
    </row>
    <row r="64" spans="1:9" ht="15.75" customHeight="1" x14ac:dyDescent="0.35">
      <c r="A64" s="165"/>
      <c r="B64" s="165"/>
      <c r="C64" s="165"/>
      <c r="D64" s="147" t="s">
        <v>219</v>
      </c>
      <c r="E64" s="147"/>
      <c r="F64" s="147"/>
      <c r="G64" s="147"/>
      <c r="H64" s="147"/>
    </row>
    <row r="65" spans="1:14" ht="36.75" customHeight="1" x14ac:dyDescent="0.35">
      <c r="A65" s="98" t="s">
        <v>46</v>
      </c>
      <c r="B65" s="98"/>
      <c r="C65" s="98"/>
      <c r="D65" s="165" t="s">
        <v>271</v>
      </c>
      <c r="E65" s="165"/>
      <c r="F65" s="165"/>
      <c r="G65" s="165"/>
      <c r="H65" s="165"/>
      <c r="J65" s="22"/>
      <c r="K65" s="21"/>
      <c r="N65" s="21"/>
    </row>
    <row r="66" spans="1:14" ht="15.75" customHeight="1" x14ac:dyDescent="0.35">
      <c r="A66" s="98" t="s">
        <v>90</v>
      </c>
      <c r="B66" s="98"/>
      <c r="C66" s="98"/>
      <c r="D66" s="186" t="str">
        <f>(IF(G57="NA","60 Years After Completion",IF(G57&lt;&gt;"NA",""&amp;60-ROUNDDOWN((E3-G57)/360,0)&amp;" Years"," ")))</f>
        <v>60 Years After Completion</v>
      </c>
      <c r="E66" s="186"/>
      <c r="F66" s="186"/>
      <c r="G66" s="186"/>
      <c r="H66" s="186"/>
      <c r="N66" s="21"/>
    </row>
    <row r="67" spans="1:14" ht="15.75" customHeight="1" x14ac:dyDescent="0.35">
      <c r="A67" s="98" t="s">
        <v>91</v>
      </c>
      <c r="B67" s="98"/>
      <c r="C67" s="98"/>
      <c r="D67" s="140" t="s">
        <v>24</v>
      </c>
      <c r="E67" s="140"/>
      <c r="F67" s="140"/>
      <c r="G67" s="140"/>
      <c r="H67" s="140"/>
      <c r="J67" s="23"/>
      <c r="K67" s="23"/>
    </row>
    <row r="68" spans="1:14" ht="30" hidden="1" customHeight="1" x14ac:dyDescent="0.35">
      <c r="A68" s="98" t="s">
        <v>77</v>
      </c>
      <c r="B68" s="98"/>
      <c r="C68" s="98"/>
      <c r="D68" s="161" t="s">
        <v>169</v>
      </c>
      <c r="E68" s="161"/>
      <c r="F68" s="161"/>
      <c r="G68" s="161"/>
      <c r="H68" s="161"/>
    </row>
    <row r="69" spans="1:14" x14ac:dyDescent="0.35">
      <c r="A69" s="140" t="s">
        <v>152</v>
      </c>
      <c r="B69" s="140"/>
      <c r="C69" s="140"/>
      <c r="D69" s="140" t="s">
        <v>30</v>
      </c>
      <c r="E69" s="140"/>
      <c r="F69" s="140"/>
      <c r="G69" s="140"/>
      <c r="H69" s="140"/>
      <c r="I69" s="24"/>
      <c r="J69" s="24"/>
      <c r="K69" s="24"/>
      <c r="L69" s="24"/>
      <c r="M69" s="24"/>
      <c r="N69" s="24"/>
    </row>
    <row r="70" spans="1:14" ht="15.75" customHeight="1" x14ac:dyDescent="0.35">
      <c r="A70" s="98" t="s">
        <v>89</v>
      </c>
      <c r="B70" s="98"/>
      <c r="C70" s="98"/>
      <c r="D70" s="165" t="str">
        <f ca="1">(IF(G104&gt;95%,"Nothing",IF(G104&gt;0%,"Cement, Aggregate, Steel, etc",IF(G104=0%,"Work not yet Started"))))</f>
        <v>Cement, Aggregate, Steel, etc</v>
      </c>
      <c r="E70" s="165"/>
      <c r="F70" s="165"/>
      <c r="G70" s="165"/>
      <c r="H70" s="165"/>
      <c r="J70" s="23"/>
    </row>
    <row r="71" spans="1:14" ht="33.75" customHeight="1" thickBot="1" x14ac:dyDescent="0.4">
      <c r="A71" s="188" t="s">
        <v>122</v>
      </c>
      <c r="B71" s="188"/>
      <c r="C71" s="188"/>
      <c r="D71" s="148" t="str">
        <f ca="1">(IF(D70="Nothing","Yes",IF(D70="Cement, Aggregate, Steel, etc","Under Construction",IF(D70="Work not yet Started","Work not yet Started"))))</f>
        <v>Under Construction</v>
      </c>
      <c r="E71" s="148"/>
      <c r="F71" s="148" t="str">
        <f ca="1">(IF(D70="Nothing","Yes",IF(D70="Cement, Aggregate, Steel, etc","Under Construction",IF(D70="Work not yet Started","Work not yet Started"))))</f>
        <v>Under Construction</v>
      </c>
      <c r="G71" s="148"/>
      <c r="H71" s="148"/>
      <c r="I71" s="18" t="s">
        <v>269</v>
      </c>
    </row>
    <row r="72" spans="1:14" ht="15.75" customHeight="1" x14ac:dyDescent="0.35">
      <c r="A72" s="105" t="s">
        <v>144</v>
      </c>
      <c r="B72" s="106"/>
      <c r="C72" s="107" t="str">
        <f>D62</f>
        <v>Wing A = St + Gr + 1st to 13th Floor</v>
      </c>
      <c r="D72" s="108"/>
      <c r="E72" s="108"/>
      <c r="F72" s="108"/>
      <c r="G72" s="108"/>
      <c r="H72" s="109"/>
      <c r="I72" s="41" t="str">
        <f ca="1">IF(D85=100%,"All work Completed. Possession granted to the Building.",IF(D84=100%,"All work Completed, Waiting for OC",I73&amp;""&amp;I74&amp;""&amp;J73&amp;""&amp;J72&amp;" "&amp;J74))</f>
        <v>All work Completed. Possession granted to the Building.</v>
      </c>
      <c r="J72" s="42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/>
      </c>
    </row>
    <row r="73" spans="1:14" x14ac:dyDescent="0.35">
      <c r="A73" s="15" t="s">
        <v>146</v>
      </c>
      <c r="B73" s="51">
        <v>0</v>
      </c>
      <c r="C73" s="51" t="s">
        <v>74</v>
      </c>
      <c r="D73" s="51">
        <v>1</v>
      </c>
      <c r="E73" s="51" t="s">
        <v>73</v>
      </c>
      <c r="F73" s="51">
        <v>0</v>
      </c>
      <c r="G73" s="51" t="s">
        <v>83</v>
      </c>
      <c r="H73" s="16">
        <f ca="1">--TRIM(RIGHT(SUBSTITUTE(LEFT(C72,_xlfn.AGGREGATE(16,6,FIND({0,1,2,3,4,5,6,7,8,9},C72,ROW(INDIRECT("1:"&amp;LEN(C72)))),1))," ",REPT(" ",LEN(C72))),LEN(C72)))</f>
        <v>13</v>
      </c>
      <c r="I73" s="43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Plaster, Flooring, Painting, Building common Amenities</v>
      </c>
      <c r="J73" s="44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x14ac:dyDescent="0.35">
      <c r="A74" s="157" t="s">
        <v>93</v>
      </c>
      <c r="B74" s="158"/>
      <c r="C74" s="159" t="str">
        <f>I71</f>
        <v>All work Completed, Waiting for OC</v>
      </c>
      <c r="D74" s="159"/>
      <c r="E74" s="159"/>
      <c r="F74" s="159"/>
      <c r="G74" s="159"/>
      <c r="H74" s="160"/>
      <c r="I74" s="43" t="str">
        <f ca="1">IF(I73&lt;&gt;""," Completed","")</f>
        <v xml:space="preserve"> Completed</v>
      </c>
      <c r="J74" s="44" t="str">
        <f ca="1">IF(J72&lt;&gt;"","Completed","")</f>
        <v/>
      </c>
    </row>
    <row r="75" spans="1:14" ht="15.75" customHeight="1" x14ac:dyDescent="0.35">
      <c r="A75" s="103" t="s">
        <v>50</v>
      </c>
      <c r="B75" s="104"/>
      <c r="C75" s="54" t="s">
        <v>143</v>
      </c>
      <c r="D75" s="54" t="s">
        <v>86</v>
      </c>
      <c r="E75" s="104" t="s">
        <v>88</v>
      </c>
      <c r="F75" s="104"/>
      <c r="G75" s="104" t="s">
        <v>87</v>
      </c>
      <c r="H75" s="191"/>
      <c r="I75" s="13" t="s">
        <v>145</v>
      </c>
      <c r="J75" s="25">
        <f ca="1">H73*25%</f>
        <v>3.25</v>
      </c>
    </row>
    <row r="76" spans="1:14" x14ac:dyDescent="0.35">
      <c r="A76" s="103" t="s">
        <v>132</v>
      </c>
      <c r="B76" s="104"/>
      <c r="C76" s="54">
        <f ca="1">J77</f>
        <v>13</v>
      </c>
      <c r="D76" s="55">
        <f ca="1">((100/H73)*C76)/100</f>
        <v>1</v>
      </c>
      <c r="E76" s="177">
        <f ca="1">(((C77/H73*10)+(40/(D73+F73+H73)*C78)+(7.5/(H73)*C79)+(7.5/(H73)*C80)+(10/H73*C81)+(10/H73*C82)+(5/H73*C83)+(5/H73*C84)+(5/H73*C85))/100)</f>
        <v>1</v>
      </c>
      <c r="F76" s="178"/>
      <c r="G76" s="177">
        <f ca="1">((((C76/H73)*20)+((C77/H73)*25)+(30/(H73+F73+D73)*C78)+(5/H73*C79)+(5/H73*C80)+(5/H73*C81)+(5/H73*C82)+(0/H73*C83)+(0/H73*C84)+(5/H73*C85))/100)</f>
        <v>1</v>
      </c>
      <c r="H76" s="183"/>
      <c r="I76" s="13" t="s">
        <v>104</v>
      </c>
      <c r="J76" s="26">
        <f ca="1">H73*50%</f>
        <v>6.5</v>
      </c>
    </row>
    <row r="77" spans="1:14" x14ac:dyDescent="0.35">
      <c r="A77" s="103" t="s">
        <v>51</v>
      </c>
      <c r="B77" s="104"/>
      <c r="C77" s="54">
        <f ca="1">J85</f>
        <v>13</v>
      </c>
      <c r="D77" s="55">
        <f ca="1">((100/H73)*C77)/100</f>
        <v>1</v>
      </c>
      <c r="E77" s="179"/>
      <c r="F77" s="180"/>
      <c r="G77" s="179"/>
      <c r="H77" s="184"/>
      <c r="I77" s="13" t="s">
        <v>105</v>
      </c>
      <c r="J77" s="26">
        <f ca="1">H73</f>
        <v>13</v>
      </c>
    </row>
    <row r="78" spans="1:14" ht="15.75" customHeight="1" x14ac:dyDescent="0.35">
      <c r="A78" s="103" t="s">
        <v>133</v>
      </c>
      <c r="B78" s="104"/>
      <c r="C78" s="54">
        <v>14</v>
      </c>
      <c r="D78" s="55">
        <f ca="1">((100/(D73+F73+H73))*C78)/100</f>
        <v>1</v>
      </c>
      <c r="E78" s="179"/>
      <c r="F78" s="180"/>
      <c r="G78" s="179"/>
      <c r="H78" s="184"/>
      <c r="I78" s="13" t="s">
        <v>106</v>
      </c>
      <c r="J78" s="27">
        <f ca="1">(IF(B73&gt;1,(H73/(B73+2)),H73/4))</f>
        <v>3.25</v>
      </c>
    </row>
    <row r="79" spans="1:14" ht="15.75" customHeight="1" x14ac:dyDescent="0.35">
      <c r="A79" s="103" t="s">
        <v>140</v>
      </c>
      <c r="B79" s="104" t="s">
        <v>134</v>
      </c>
      <c r="C79" s="54">
        <v>13</v>
      </c>
      <c r="D79" s="55">
        <f ca="1">((100/H73)*C79)/100</f>
        <v>1</v>
      </c>
      <c r="E79" s="179"/>
      <c r="F79" s="180"/>
      <c r="G79" s="179"/>
      <c r="H79" s="184"/>
      <c r="I79" s="13" t="s">
        <v>107</v>
      </c>
      <c r="J79" s="27">
        <f ca="1">(IF(B73&gt;1,(H73/(B73+2)+J78),H73/4+J78))</f>
        <v>6.5</v>
      </c>
    </row>
    <row r="80" spans="1:14" ht="15.75" customHeight="1" x14ac:dyDescent="0.35">
      <c r="A80" s="103" t="s">
        <v>141</v>
      </c>
      <c r="B80" s="104" t="s">
        <v>134</v>
      </c>
      <c r="C80" s="54">
        <v>13</v>
      </c>
      <c r="D80" s="55">
        <f ca="1">((100/H73)*C80)/100</f>
        <v>1</v>
      </c>
      <c r="E80" s="179"/>
      <c r="F80" s="180"/>
      <c r="G80" s="179"/>
      <c r="H80" s="184"/>
      <c r="I80" s="13" t="s">
        <v>150</v>
      </c>
      <c r="J80" s="27">
        <f>(IF(B73&gt;1,(H73/(B73+2)+J79),0))</f>
        <v>0</v>
      </c>
    </row>
    <row r="81" spans="1:10" ht="15" customHeight="1" x14ac:dyDescent="0.35">
      <c r="A81" s="103" t="s">
        <v>139</v>
      </c>
      <c r="B81" s="104" t="s">
        <v>136</v>
      </c>
      <c r="C81" s="54">
        <v>13</v>
      </c>
      <c r="D81" s="55">
        <f ca="1">((100/(H73))*C81)/100</f>
        <v>1</v>
      </c>
      <c r="E81" s="179"/>
      <c r="F81" s="180"/>
      <c r="G81" s="179"/>
      <c r="H81" s="184"/>
      <c r="I81" s="13" t="s">
        <v>147</v>
      </c>
      <c r="J81" s="27">
        <f>(IF(B73&gt;2,(H73/(B73+2)+J80),0))</f>
        <v>0</v>
      </c>
    </row>
    <row r="82" spans="1:10" ht="15.75" customHeight="1" x14ac:dyDescent="0.35">
      <c r="A82" s="103" t="s">
        <v>135</v>
      </c>
      <c r="B82" s="104" t="s">
        <v>135</v>
      </c>
      <c r="C82" s="54">
        <v>13</v>
      </c>
      <c r="D82" s="55">
        <f ca="1">((100/H73)*C82)/100</f>
        <v>1</v>
      </c>
      <c r="E82" s="179"/>
      <c r="F82" s="180"/>
      <c r="G82" s="179"/>
      <c r="H82" s="184"/>
      <c r="I82" s="13" t="s">
        <v>148</v>
      </c>
      <c r="J82" s="28">
        <f>(IF(B73&gt;3,(H73/(B73+2)+J81),0))</f>
        <v>0</v>
      </c>
    </row>
    <row r="83" spans="1:10" ht="15.75" customHeight="1" x14ac:dyDescent="0.35">
      <c r="A83" s="103" t="s">
        <v>142</v>
      </c>
      <c r="B83" s="104"/>
      <c r="C83" s="54">
        <v>13</v>
      </c>
      <c r="D83" s="55">
        <f ca="1">((100/H73)*C83)/100</f>
        <v>1</v>
      </c>
      <c r="E83" s="179"/>
      <c r="F83" s="180"/>
      <c r="G83" s="179"/>
      <c r="H83" s="184"/>
      <c r="I83" s="13" t="s">
        <v>149</v>
      </c>
      <c r="J83" s="27">
        <f>(IF(B73&gt;4,(H73/(B73+2)+J82),0))</f>
        <v>0</v>
      </c>
    </row>
    <row r="84" spans="1:10" ht="15.75" customHeight="1" x14ac:dyDescent="0.35">
      <c r="A84" s="103" t="s">
        <v>137</v>
      </c>
      <c r="B84" s="104" t="s">
        <v>137</v>
      </c>
      <c r="C84" s="54">
        <v>13</v>
      </c>
      <c r="D84" s="55">
        <f ca="1">((100/(H73))*C84)/100</f>
        <v>1</v>
      </c>
      <c r="E84" s="179"/>
      <c r="F84" s="180"/>
      <c r="G84" s="179"/>
      <c r="H84" s="184"/>
      <c r="I84" s="13" t="s">
        <v>151</v>
      </c>
      <c r="J84" s="27">
        <f ca="1">(IF(B73=1,(H73/(B73+3)+J79),IF(B73=0,(H73/4+J79),IF(B73&gt;1,0))))</f>
        <v>9.75</v>
      </c>
    </row>
    <row r="85" spans="1:10" ht="16" thickBot="1" x14ac:dyDescent="0.4">
      <c r="A85" s="113" t="s">
        <v>138</v>
      </c>
      <c r="B85" s="114"/>
      <c r="C85" s="56">
        <v>13</v>
      </c>
      <c r="D85" s="57">
        <f ca="1">((100/(H73))*C85)/100</f>
        <v>1</v>
      </c>
      <c r="E85" s="181"/>
      <c r="F85" s="182"/>
      <c r="G85" s="181"/>
      <c r="H85" s="185"/>
      <c r="I85" s="14" t="s">
        <v>108</v>
      </c>
      <c r="J85" s="29">
        <f ca="1">(IF(B73&gt;1.5,(H73/(B73+2)+J79+MAX(0,J80-J79)+MAX(0,J81-J80)+MAX(0,J82-J81)+MAX(0,J83-J82)+MAX(0,J84-J83)),IF(B73=1,(H73/(B73+3)+J84),IF(B73=0,H73/4+J84))))</f>
        <v>13</v>
      </c>
    </row>
    <row r="86" spans="1:10" ht="15.75" customHeight="1" x14ac:dyDescent="0.35">
      <c r="A86" s="105" t="s">
        <v>144</v>
      </c>
      <c r="B86" s="106"/>
      <c r="C86" s="107" t="str">
        <f>D63</f>
        <v>Wing B = St + Gr + 1st to 13th Floor</v>
      </c>
      <c r="D86" s="108"/>
      <c r="E86" s="108"/>
      <c r="F86" s="108"/>
      <c r="G86" s="108"/>
      <c r="H86" s="109"/>
      <c r="I86" s="41" t="str">
        <f ca="1">IF(D99=100%,"All work Completed. Possession granted to the Building.",IF(D98=100%,"All work Completed, Waiting for OC",I87&amp;""&amp;I88&amp;""&amp;J87&amp;""&amp;J86&amp;" "&amp;J88))</f>
        <v>Excavation, Plinth, RCC Slab, Brickwork, Internal Plaster, External Plaster, Flooring, Painting Completed, Finishing upto 6 Floor Completed</v>
      </c>
      <c r="J86" s="42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>, Finishing upto 6 Floor</v>
      </c>
    </row>
    <row r="87" spans="1:10" x14ac:dyDescent="0.35">
      <c r="A87" s="15" t="s">
        <v>146</v>
      </c>
      <c r="B87" s="51">
        <v>0</v>
      </c>
      <c r="C87" s="51" t="s">
        <v>74</v>
      </c>
      <c r="D87" s="51">
        <v>1</v>
      </c>
      <c r="E87" s="51" t="s">
        <v>73</v>
      </c>
      <c r="F87" s="51">
        <v>0</v>
      </c>
      <c r="G87" s="51" t="s">
        <v>83</v>
      </c>
      <c r="H87" s="16">
        <f ca="1">--TRIM(RIGHT(SUBSTITUTE(LEFT(C86,_xlfn.AGGREGATE(16,6,FIND({0,1,2,3,4,5,6,7,8,9},C86,ROW(INDIRECT("1:"&amp;LEN(C86)))),1))," ",REPT(" ",LEN(C86))),LEN(C86)))</f>
        <v>13</v>
      </c>
      <c r="I87" s="43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Plinth, RCC Slab, Brickwork, Internal Plaster, External Plaster, Flooring, Painting</v>
      </c>
      <c r="J87" s="44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0" ht="33.5" customHeight="1" x14ac:dyDescent="0.35">
      <c r="A88" s="157" t="s">
        <v>93</v>
      </c>
      <c r="B88" s="158"/>
      <c r="C88" s="159" t="str">
        <f ca="1">(IF($G$57="NA",I86,"All work Completed. OC Received."))</f>
        <v>Excavation, Plinth, RCC Slab, Brickwork, Internal Plaster, External Plaster, Flooring, Painting Completed, Finishing upto 6 Floor Completed</v>
      </c>
      <c r="D88" s="159"/>
      <c r="E88" s="159"/>
      <c r="F88" s="159"/>
      <c r="G88" s="159"/>
      <c r="H88" s="160"/>
      <c r="I88" s="43" t="str">
        <f ca="1">IF(I87&lt;&gt;""," Completed","")</f>
        <v xml:space="preserve"> Completed</v>
      </c>
      <c r="J88" s="44" t="str">
        <f ca="1">IF(J86&lt;&gt;"","Completed","")</f>
        <v>Completed</v>
      </c>
    </row>
    <row r="89" spans="1:10" ht="15.75" customHeight="1" x14ac:dyDescent="0.35">
      <c r="A89" s="103" t="s">
        <v>50</v>
      </c>
      <c r="B89" s="104"/>
      <c r="C89" s="54" t="s">
        <v>143</v>
      </c>
      <c r="D89" s="54" t="s">
        <v>86</v>
      </c>
      <c r="E89" s="104" t="s">
        <v>88</v>
      </c>
      <c r="F89" s="104"/>
      <c r="G89" s="104" t="s">
        <v>87</v>
      </c>
      <c r="H89" s="191"/>
      <c r="I89" s="13" t="s">
        <v>145</v>
      </c>
      <c r="J89" s="25">
        <f ca="1">H87*25%</f>
        <v>3.25</v>
      </c>
    </row>
    <row r="90" spans="1:10" x14ac:dyDescent="0.35">
      <c r="A90" s="104" t="s">
        <v>132</v>
      </c>
      <c r="B90" s="104"/>
      <c r="C90" s="73">
        <f ca="1">J91</f>
        <v>13</v>
      </c>
      <c r="D90" s="55">
        <f ca="1">((100/H87)*C90)/100</f>
        <v>1</v>
      </c>
      <c r="E90" s="204">
        <f ca="1">(((C91/H87*10)+(40/(D87+F87+H87)*C92)+(7.5/(H87)*C93)+(7.5/(H87)*C94)+(10/H87*C95)+(10/H87*C96)+(5/H87*C97)+(5/H87*C98)+(5/H87*C99))/100)</f>
        <v>0.92307692307692302</v>
      </c>
      <c r="F90" s="204"/>
      <c r="G90" s="204">
        <f ca="1">((((C90/H87)*20)+((C91/H87)*25)+(30/(H87+F87+D87)*C92)+(5/H87*C93)+(5/H87*C94)+(5/H87*C95)+(5/H87*C96)+(0/H87*C97)+(0/H87*C98)+(5/H87*C99))/100)</f>
        <v>0.95</v>
      </c>
      <c r="H90" s="204"/>
      <c r="I90" s="13" t="s">
        <v>104</v>
      </c>
      <c r="J90" s="26">
        <f ca="1">H87*50%</f>
        <v>6.5</v>
      </c>
    </row>
    <row r="91" spans="1:10" x14ac:dyDescent="0.35">
      <c r="A91" s="104" t="s">
        <v>51</v>
      </c>
      <c r="B91" s="104"/>
      <c r="C91" s="73">
        <f ca="1">J99</f>
        <v>13</v>
      </c>
      <c r="D91" s="55">
        <f ca="1">((100/H87)*C91)/100</f>
        <v>1</v>
      </c>
      <c r="E91" s="204"/>
      <c r="F91" s="204"/>
      <c r="G91" s="204"/>
      <c r="H91" s="204"/>
      <c r="I91" s="13" t="s">
        <v>105</v>
      </c>
      <c r="J91" s="26">
        <f ca="1">H87</f>
        <v>13</v>
      </c>
    </row>
    <row r="92" spans="1:10" ht="15.75" customHeight="1" x14ac:dyDescent="0.35">
      <c r="A92" s="104" t="s">
        <v>133</v>
      </c>
      <c r="B92" s="104"/>
      <c r="C92" s="73">
        <v>14</v>
      </c>
      <c r="D92" s="55">
        <f ca="1">((100/(D87+F87+H87))*C92)/100</f>
        <v>1</v>
      </c>
      <c r="E92" s="204"/>
      <c r="F92" s="204"/>
      <c r="G92" s="204"/>
      <c r="H92" s="204"/>
      <c r="I92" s="13" t="s">
        <v>106</v>
      </c>
      <c r="J92" s="27">
        <f ca="1">(IF(B87&gt;1,(H87/(B87+2)),H87/4))</f>
        <v>3.25</v>
      </c>
    </row>
    <row r="93" spans="1:10" ht="15.75" customHeight="1" x14ac:dyDescent="0.35">
      <c r="A93" s="104" t="s">
        <v>140</v>
      </c>
      <c r="B93" s="104" t="s">
        <v>134</v>
      </c>
      <c r="C93" s="73">
        <v>13</v>
      </c>
      <c r="D93" s="55">
        <f ca="1">((100/H87)*C93)/100</f>
        <v>1</v>
      </c>
      <c r="E93" s="204"/>
      <c r="F93" s="204"/>
      <c r="G93" s="204"/>
      <c r="H93" s="204"/>
      <c r="I93" s="13" t="s">
        <v>107</v>
      </c>
      <c r="J93" s="27">
        <f ca="1">(IF(B87&gt;1,(H87/(B87+2)+J92),H87/4+J92))</f>
        <v>6.5</v>
      </c>
    </row>
    <row r="94" spans="1:10" ht="15.75" customHeight="1" x14ac:dyDescent="0.35">
      <c r="A94" s="104" t="s">
        <v>141</v>
      </c>
      <c r="B94" s="104" t="s">
        <v>134</v>
      </c>
      <c r="C94" s="73">
        <v>13</v>
      </c>
      <c r="D94" s="55">
        <f ca="1">((100/H87)*C94)/100</f>
        <v>1</v>
      </c>
      <c r="E94" s="204"/>
      <c r="F94" s="204"/>
      <c r="G94" s="204"/>
      <c r="H94" s="204"/>
      <c r="I94" s="13" t="s">
        <v>150</v>
      </c>
      <c r="J94" s="27">
        <f>(IF(B87&gt;1,(H87/(B87+2)+J93),0))</f>
        <v>0</v>
      </c>
    </row>
    <row r="95" spans="1:10" ht="15" customHeight="1" x14ac:dyDescent="0.35">
      <c r="A95" s="104" t="s">
        <v>139</v>
      </c>
      <c r="B95" s="104" t="s">
        <v>136</v>
      </c>
      <c r="C95" s="73">
        <v>13</v>
      </c>
      <c r="D95" s="55">
        <f ca="1">((100/(H87))*C95)/100</f>
        <v>1</v>
      </c>
      <c r="E95" s="204"/>
      <c r="F95" s="204"/>
      <c r="G95" s="204"/>
      <c r="H95" s="204"/>
      <c r="I95" s="13" t="s">
        <v>147</v>
      </c>
      <c r="J95" s="27">
        <f>(IF(B87&gt;2,(H87/(B87+2)+J94),0))</f>
        <v>0</v>
      </c>
    </row>
    <row r="96" spans="1:10" ht="15.75" customHeight="1" x14ac:dyDescent="0.35">
      <c r="A96" s="104" t="s">
        <v>135</v>
      </c>
      <c r="B96" s="104" t="s">
        <v>135</v>
      </c>
      <c r="C96" s="73">
        <v>13</v>
      </c>
      <c r="D96" s="55">
        <f ca="1">((100/H87)*C96)/100</f>
        <v>1</v>
      </c>
      <c r="E96" s="204"/>
      <c r="F96" s="204"/>
      <c r="G96" s="204"/>
      <c r="H96" s="204"/>
      <c r="I96" s="13" t="s">
        <v>148</v>
      </c>
      <c r="J96" s="28">
        <f>(IF(B87&gt;3,(H87/(B87+2)+J95),0))</f>
        <v>0</v>
      </c>
    </row>
    <row r="97" spans="1:10" ht="15.75" customHeight="1" x14ac:dyDescent="0.35">
      <c r="A97" s="104" t="s">
        <v>142</v>
      </c>
      <c r="B97" s="104"/>
      <c r="C97" s="73">
        <v>13</v>
      </c>
      <c r="D97" s="55">
        <f ca="1">((100/H87)*C97)/100</f>
        <v>1</v>
      </c>
      <c r="E97" s="204"/>
      <c r="F97" s="204"/>
      <c r="G97" s="204"/>
      <c r="H97" s="204"/>
      <c r="I97" s="13" t="s">
        <v>149</v>
      </c>
      <c r="J97" s="27">
        <f>(IF(B87&gt;4,(H87/(B87+2)+J96),0))</f>
        <v>0</v>
      </c>
    </row>
    <row r="98" spans="1:10" ht="15.75" customHeight="1" x14ac:dyDescent="0.35">
      <c r="A98" s="104" t="s">
        <v>137</v>
      </c>
      <c r="B98" s="104" t="s">
        <v>137</v>
      </c>
      <c r="C98" s="73">
        <v>6</v>
      </c>
      <c r="D98" s="55">
        <f ca="1">((100/(H87))*C98)/100</f>
        <v>0.46153846153846151</v>
      </c>
      <c r="E98" s="204"/>
      <c r="F98" s="204"/>
      <c r="G98" s="204"/>
      <c r="H98" s="204"/>
      <c r="I98" s="13" t="s">
        <v>151</v>
      </c>
      <c r="J98" s="27">
        <f ca="1">(IF(B87=1,(H87/(B87+3)+J93),IF(B87=0,(H87/4+J93),IF(B87&gt;1,0))))</f>
        <v>9.75</v>
      </c>
    </row>
    <row r="99" spans="1:10" ht="16" thickBot="1" x14ac:dyDescent="0.4">
      <c r="A99" s="104" t="s">
        <v>138</v>
      </c>
      <c r="B99" s="104"/>
      <c r="C99" s="73">
        <v>0</v>
      </c>
      <c r="D99" s="55">
        <f ca="1">((100/(H87))*C99)/100</f>
        <v>0</v>
      </c>
      <c r="E99" s="204"/>
      <c r="F99" s="204"/>
      <c r="G99" s="204"/>
      <c r="H99" s="204"/>
      <c r="I99" s="14" t="s">
        <v>108</v>
      </c>
      <c r="J99" s="29">
        <f ca="1">(IF(B87&gt;1.5,(H87/(B87+2)+J93+MAX(0,J94-J93)+MAX(0,J95-J94)+MAX(0,J96-J95)+MAX(0,J97-J96)+MAX(0,J98-J97)),IF(B87=1,(H87/(B87+3)+J98),IF(B87=0,H87/4+J98))))</f>
        <v>13</v>
      </c>
    </row>
    <row r="100" spans="1:10" ht="15.75" customHeight="1" x14ac:dyDescent="0.35">
      <c r="A100" s="159" t="s">
        <v>144</v>
      </c>
      <c r="B100" s="159"/>
      <c r="C100" s="159" t="str">
        <f>D64</f>
        <v>Wing C = St + Gr + 1st to 13th Floor</v>
      </c>
      <c r="D100" s="159"/>
      <c r="E100" s="159"/>
      <c r="F100" s="159"/>
      <c r="G100" s="159"/>
      <c r="H100" s="159"/>
      <c r="I100" s="202" t="str">
        <f ca="1">IF(D113=100%,"All work Completed. Possession granted to the Building.",IF(D112=100%,"All work Completed, Waiting for OC",I101&amp;""&amp;I102&amp;""&amp;J101&amp;""&amp;J100&amp;" "&amp;J102))</f>
        <v>Excavation, Plinth, RCC Slab, Brickwork, Internal Plaster Completed, External Plaster upto 12 Floor, Flooring upto 4 Floor, Painting upto 4 Floor Completed</v>
      </c>
      <c r="J100" s="42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>, External Plaster upto 12 Floor, Flooring upto 4 Floor, Painting upto 4 Floor</v>
      </c>
    </row>
    <row r="101" spans="1:10" x14ac:dyDescent="0.35">
      <c r="A101" s="74" t="s">
        <v>146</v>
      </c>
      <c r="B101" s="74">
        <v>0</v>
      </c>
      <c r="C101" s="74" t="s">
        <v>74</v>
      </c>
      <c r="D101" s="74">
        <v>1</v>
      </c>
      <c r="E101" s="74" t="s">
        <v>73</v>
      </c>
      <c r="F101" s="74">
        <v>0</v>
      </c>
      <c r="G101" s="74" t="s">
        <v>83</v>
      </c>
      <c r="H101" s="74">
        <f ca="1">--TRIM(RIGHT(SUBSTITUTE(LEFT(C100,_xlfn.AGGREGATE(16,6,FIND({0,1,2,3,4,5,6,7,8,9},C100,ROW(INDIRECT("1:"&amp;LEN(C100)))),1))," ",REPT(" ",LEN(C100))),LEN(C100)))</f>
        <v>13</v>
      </c>
      <c r="I101" s="203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Plinth, RCC Slab, Brickwork, Internal Plaster</v>
      </c>
      <c r="J101" s="44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2" spans="1:10" ht="33" customHeight="1" x14ac:dyDescent="0.35">
      <c r="A102" s="158" t="s">
        <v>93</v>
      </c>
      <c r="B102" s="158"/>
      <c r="C102" s="159" t="str">
        <f ca="1">(IF($G$57="NA",I100,"All work Completed. OC Received."))</f>
        <v>Excavation, Plinth, RCC Slab, Brickwork, Internal Plaster Completed, External Plaster upto 12 Floor, Flooring upto 4 Floor, Painting upto 4 Floor Completed</v>
      </c>
      <c r="D102" s="159"/>
      <c r="E102" s="159"/>
      <c r="F102" s="159"/>
      <c r="G102" s="159"/>
      <c r="H102" s="159"/>
      <c r="I102" s="203" t="str">
        <f ca="1">IF(I101&lt;&gt;""," Completed","")</f>
        <v xml:space="preserve"> Completed</v>
      </c>
      <c r="J102" s="44" t="str">
        <f ca="1">IF(J100&lt;&gt;"","Completed","")</f>
        <v>Completed</v>
      </c>
    </row>
    <row r="103" spans="1:10" ht="15.75" customHeight="1" x14ac:dyDescent="0.35">
      <c r="A103" s="104" t="s">
        <v>50</v>
      </c>
      <c r="B103" s="104"/>
      <c r="C103" s="73" t="s">
        <v>143</v>
      </c>
      <c r="D103" s="73" t="s">
        <v>86</v>
      </c>
      <c r="E103" s="104" t="s">
        <v>88</v>
      </c>
      <c r="F103" s="104"/>
      <c r="G103" s="104" t="s">
        <v>87</v>
      </c>
      <c r="H103" s="104"/>
      <c r="I103" s="13" t="s">
        <v>145</v>
      </c>
      <c r="J103" s="25">
        <f ca="1">H101*25%</f>
        <v>3.25</v>
      </c>
    </row>
    <row r="104" spans="1:10" x14ac:dyDescent="0.35">
      <c r="A104" s="104" t="s">
        <v>132</v>
      </c>
      <c r="B104" s="104"/>
      <c r="C104" s="73">
        <f ca="1">J105</f>
        <v>13</v>
      </c>
      <c r="D104" s="55">
        <f ca="1">((100/H101)*C104)/100</f>
        <v>1</v>
      </c>
      <c r="E104" s="204">
        <f ca="1">(((C105/H101*10)+(40/(D101+F101+H101)*C106)+(7.5/(H101)*C107)+(7.5/(H101)*C108)+(10/H101*C109)+(10/H101*C110)+(5/H101*C111)+(5/H101*C112)+(5/H101*C113))/100)</f>
        <v>0.78846153846153844</v>
      </c>
      <c r="F104" s="204"/>
      <c r="G104" s="204">
        <f ca="1">((((C104/H101)*20)+((C105/H101)*25)+(30/(H101+F101+D101)*C106)+(5/H101*C107)+(5/H101*C108)+(5/H101*C109)+(5/H101*C110)+(0/H101*C111)+(0/H101*C112)+(5/H101*C113))/100)</f>
        <v>0.91153846153846141</v>
      </c>
      <c r="H104" s="204"/>
      <c r="I104" s="13" t="s">
        <v>104</v>
      </c>
      <c r="J104" s="26">
        <f ca="1">H101*50%</f>
        <v>6.5</v>
      </c>
    </row>
    <row r="105" spans="1:10" x14ac:dyDescent="0.35">
      <c r="A105" s="104" t="s">
        <v>51</v>
      </c>
      <c r="B105" s="104"/>
      <c r="C105" s="73">
        <f ca="1">J113</f>
        <v>13</v>
      </c>
      <c r="D105" s="55">
        <f ca="1">((100/H101)*C105)/100</f>
        <v>1</v>
      </c>
      <c r="E105" s="204"/>
      <c r="F105" s="204"/>
      <c r="G105" s="204"/>
      <c r="H105" s="204"/>
      <c r="I105" s="13" t="s">
        <v>105</v>
      </c>
      <c r="J105" s="26">
        <f ca="1">H101</f>
        <v>13</v>
      </c>
    </row>
    <row r="106" spans="1:10" ht="15.75" customHeight="1" x14ac:dyDescent="0.35">
      <c r="A106" s="104" t="s">
        <v>133</v>
      </c>
      <c r="B106" s="104"/>
      <c r="C106" s="73">
        <v>14</v>
      </c>
      <c r="D106" s="55">
        <f ca="1">((100/(D101+F101+H101))*C106)/100</f>
        <v>1</v>
      </c>
      <c r="E106" s="204"/>
      <c r="F106" s="204"/>
      <c r="G106" s="204"/>
      <c r="H106" s="204"/>
      <c r="I106" s="13" t="s">
        <v>106</v>
      </c>
      <c r="J106" s="27">
        <f ca="1">(IF(B101&gt;1,(H101/(B101+2)),H101/4))</f>
        <v>3.25</v>
      </c>
    </row>
    <row r="107" spans="1:10" ht="15.75" customHeight="1" x14ac:dyDescent="0.35">
      <c r="A107" s="104" t="s">
        <v>140</v>
      </c>
      <c r="B107" s="104" t="s">
        <v>134</v>
      </c>
      <c r="C107" s="73">
        <v>13</v>
      </c>
      <c r="D107" s="55">
        <f ca="1">((100/H101)*C107)/100</f>
        <v>1</v>
      </c>
      <c r="E107" s="204"/>
      <c r="F107" s="204"/>
      <c r="G107" s="204"/>
      <c r="H107" s="204"/>
      <c r="I107" s="13" t="s">
        <v>107</v>
      </c>
      <c r="J107" s="27">
        <f ca="1">(IF(B101&gt;1,(H101/(B101+2)+J106),H101/4+J106))</f>
        <v>6.5</v>
      </c>
    </row>
    <row r="108" spans="1:10" ht="15.75" customHeight="1" x14ac:dyDescent="0.35">
      <c r="A108" s="104" t="s">
        <v>141</v>
      </c>
      <c r="B108" s="104" t="s">
        <v>134</v>
      </c>
      <c r="C108" s="73">
        <v>13</v>
      </c>
      <c r="D108" s="55">
        <f ca="1">((100/H101)*C108)/100</f>
        <v>1</v>
      </c>
      <c r="E108" s="204"/>
      <c r="F108" s="204"/>
      <c r="G108" s="204"/>
      <c r="H108" s="204"/>
      <c r="I108" s="13" t="s">
        <v>150</v>
      </c>
      <c r="J108" s="27">
        <f>(IF(B101&gt;1,(H101/(B101+2)+J107),0))</f>
        <v>0</v>
      </c>
    </row>
    <row r="109" spans="1:10" ht="15" customHeight="1" x14ac:dyDescent="0.35">
      <c r="A109" s="104" t="s">
        <v>139</v>
      </c>
      <c r="B109" s="104" t="s">
        <v>136</v>
      </c>
      <c r="C109" s="73">
        <v>12</v>
      </c>
      <c r="D109" s="55">
        <f ca="1">((100/(H101))*C109)/100</f>
        <v>0.92307692307692302</v>
      </c>
      <c r="E109" s="204"/>
      <c r="F109" s="204"/>
      <c r="G109" s="204"/>
      <c r="H109" s="204"/>
      <c r="I109" s="13" t="s">
        <v>147</v>
      </c>
      <c r="J109" s="27">
        <f>(IF(B101&gt;2,(H101/(B101+2)+J108),0))</f>
        <v>0</v>
      </c>
    </row>
    <row r="110" spans="1:10" ht="15.75" customHeight="1" x14ac:dyDescent="0.35">
      <c r="A110" s="104" t="s">
        <v>135</v>
      </c>
      <c r="B110" s="104" t="s">
        <v>135</v>
      </c>
      <c r="C110" s="73">
        <v>4</v>
      </c>
      <c r="D110" s="55">
        <f ca="1">((100/H101)*C110)/100</f>
        <v>0.30769230769230771</v>
      </c>
      <c r="E110" s="204"/>
      <c r="F110" s="204"/>
      <c r="G110" s="204"/>
      <c r="H110" s="204"/>
      <c r="I110" s="13" t="s">
        <v>148</v>
      </c>
      <c r="J110" s="28">
        <f>(IF(B101&gt;3,(H101/(B101+2)+J109),0))</f>
        <v>0</v>
      </c>
    </row>
    <row r="111" spans="1:10" ht="15.75" customHeight="1" x14ac:dyDescent="0.35">
      <c r="A111" s="104" t="s">
        <v>142</v>
      </c>
      <c r="B111" s="104"/>
      <c r="C111" s="73">
        <v>4</v>
      </c>
      <c r="D111" s="55">
        <f ca="1">((100/H101)*C111)/100</f>
        <v>0.30769230769230771</v>
      </c>
      <c r="E111" s="204"/>
      <c r="F111" s="204"/>
      <c r="G111" s="204"/>
      <c r="H111" s="204"/>
      <c r="I111" s="13" t="s">
        <v>149</v>
      </c>
      <c r="J111" s="27">
        <f>(IF(B101&gt;4,(H101/(B101+2)+J110),0))</f>
        <v>0</v>
      </c>
    </row>
    <row r="112" spans="1:10" ht="15.75" customHeight="1" x14ac:dyDescent="0.35">
      <c r="A112" s="104" t="s">
        <v>137</v>
      </c>
      <c r="B112" s="104" t="s">
        <v>137</v>
      </c>
      <c r="C112" s="73">
        <v>0</v>
      </c>
      <c r="D112" s="55">
        <f ca="1">((100/(H101))*C112)/100</f>
        <v>0</v>
      </c>
      <c r="E112" s="204"/>
      <c r="F112" s="204"/>
      <c r="G112" s="204"/>
      <c r="H112" s="204"/>
      <c r="I112" s="13" t="s">
        <v>151</v>
      </c>
      <c r="J112" s="27">
        <f ca="1">(IF(B101=1,(H101/(B101+3)+J107),IF(B101=0,(H101/4+J107),IF(B101&gt;1,0))))</f>
        <v>9.75</v>
      </c>
    </row>
    <row r="113" spans="1:12" ht="16" thickBot="1" x14ac:dyDescent="0.4">
      <c r="A113" s="104" t="s">
        <v>138</v>
      </c>
      <c r="B113" s="104"/>
      <c r="C113" s="73">
        <v>0</v>
      </c>
      <c r="D113" s="55">
        <f ca="1">((100/(H101))*C113)/100</f>
        <v>0</v>
      </c>
      <c r="E113" s="204"/>
      <c r="F113" s="204"/>
      <c r="G113" s="204"/>
      <c r="H113" s="204"/>
      <c r="I113" s="14" t="s">
        <v>108</v>
      </c>
      <c r="J113" s="29">
        <f ca="1">(IF(B101&gt;1.5,(H101/(B101+2)+J107+MAX(0,J108-J107)+MAX(0,J109-J108)+MAX(0,J110-J109)+MAX(0,J111-J110)+MAX(0,J112-J111)),IF(B101=1,(H101/(B101+3)+J112),IF(B101=0,H101/4+J112))))</f>
        <v>13</v>
      </c>
    </row>
    <row r="114" spans="1:12" x14ac:dyDescent="0.35">
      <c r="A114" s="192" t="s">
        <v>160</v>
      </c>
      <c r="B114" s="192"/>
      <c r="C114" s="192"/>
      <c r="D114" s="192"/>
      <c r="E114" s="192"/>
      <c r="F114" s="131" t="s">
        <v>163</v>
      </c>
      <c r="G114" s="131"/>
      <c r="H114" s="131"/>
    </row>
    <row r="115" spans="1:12" x14ac:dyDescent="0.35">
      <c r="A115" s="98" t="s">
        <v>162</v>
      </c>
      <c r="B115" s="98"/>
      <c r="C115" s="98"/>
      <c r="D115" s="98"/>
      <c r="E115" s="98"/>
      <c r="F115" s="110">
        <v>4950</v>
      </c>
      <c r="G115" s="110"/>
      <c r="H115" s="110"/>
      <c r="J115" s="53" t="s">
        <v>261</v>
      </c>
      <c r="K115" s="71">
        <v>45182</v>
      </c>
      <c r="L115" s="53" t="s">
        <v>262</v>
      </c>
    </row>
    <row r="116" spans="1:12" x14ac:dyDescent="0.35">
      <c r="A116" s="98" t="s">
        <v>239</v>
      </c>
      <c r="B116" s="98"/>
      <c r="C116" s="98"/>
      <c r="D116" s="98"/>
      <c r="E116" s="98"/>
      <c r="F116" s="110">
        <v>8000</v>
      </c>
      <c r="G116" s="110"/>
      <c r="H116" s="110"/>
    </row>
    <row r="117" spans="1:12" ht="31.5" customHeight="1" x14ac:dyDescent="0.35">
      <c r="A117" s="140" t="s">
        <v>240</v>
      </c>
      <c r="B117" s="140"/>
      <c r="C117" s="140"/>
      <c r="D117" s="140"/>
      <c r="E117" s="140"/>
      <c r="F117" s="110">
        <v>7000</v>
      </c>
      <c r="G117" s="110"/>
      <c r="H117" s="110"/>
    </row>
    <row r="118" spans="1:12" s="30" customFormat="1" ht="16.5" hidden="1" customHeight="1" x14ac:dyDescent="0.3">
      <c r="A118" s="98" t="s">
        <v>161</v>
      </c>
      <c r="B118" s="98"/>
      <c r="C118" s="98"/>
      <c r="D118" s="98"/>
      <c r="E118" s="98"/>
      <c r="F118" s="110"/>
      <c r="G118" s="110"/>
      <c r="H118" s="110"/>
    </row>
    <row r="119" spans="1:12" s="30" customFormat="1" hidden="1" x14ac:dyDescent="0.3">
      <c r="A119" s="98" t="s">
        <v>98</v>
      </c>
      <c r="B119" s="98"/>
      <c r="C119" s="98"/>
      <c r="D119" s="98"/>
      <c r="E119" s="98"/>
      <c r="F119" s="110"/>
      <c r="G119" s="110"/>
      <c r="H119" s="110"/>
    </row>
    <row r="120" spans="1:12" s="30" customFormat="1" hidden="1" x14ac:dyDescent="0.3">
      <c r="A120" s="98" t="s">
        <v>99</v>
      </c>
      <c r="B120" s="98"/>
      <c r="C120" s="98"/>
      <c r="D120" s="98"/>
      <c r="E120" s="98"/>
      <c r="F120" s="110"/>
      <c r="G120" s="110"/>
      <c r="H120" s="110"/>
    </row>
    <row r="121" spans="1:12" s="30" customFormat="1" hidden="1" x14ac:dyDescent="0.3">
      <c r="A121" s="98" t="s">
        <v>164</v>
      </c>
      <c r="B121" s="98"/>
      <c r="C121" s="98"/>
      <c r="D121" s="98"/>
      <c r="E121" s="98"/>
      <c r="F121" s="110"/>
      <c r="G121" s="110"/>
      <c r="H121" s="110"/>
    </row>
    <row r="122" spans="1:12" s="30" customFormat="1" hidden="1" x14ac:dyDescent="0.3">
      <c r="A122" s="98" t="s">
        <v>100</v>
      </c>
      <c r="B122" s="98"/>
      <c r="C122" s="98"/>
      <c r="D122" s="98"/>
      <c r="E122" s="98"/>
      <c r="F122" s="110"/>
      <c r="G122" s="110"/>
      <c r="H122" s="110"/>
    </row>
    <row r="123" spans="1:12" s="30" customFormat="1" hidden="1" x14ac:dyDescent="0.3">
      <c r="A123" s="98" t="s">
        <v>101</v>
      </c>
      <c r="B123" s="98"/>
      <c r="C123" s="98"/>
      <c r="D123" s="98"/>
      <c r="E123" s="98"/>
      <c r="F123" s="110"/>
      <c r="G123" s="110"/>
      <c r="H123" s="110"/>
    </row>
    <row r="124" spans="1:12" s="30" customFormat="1" x14ac:dyDescent="0.3">
      <c r="A124" s="98" t="s">
        <v>102</v>
      </c>
      <c r="B124" s="98"/>
      <c r="C124" s="98"/>
      <c r="D124" s="98"/>
      <c r="E124" s="98"/>
      <c r="F124" s="110">
        <v>150000</v>
      </c>
      <c r="G124" s="110"/>
      <c r="H124" s="110"/>
    </row>
    <row r="125" spans="1:12" s="30" customFormat="1" hidden="1" x14ac:dyDescent="0.3">
      <c r="A125" s="98" t="s">
        <v>103</v>
      </c>
      <c r="B125" s="98"/>
      <c r="C125" s="98"/>
      <c r="D125" s="98"/>
      <c r="E125" s="98"/>
      <c r="F125" s="110"/>
      <c r="G125" s="110"/>
      <c r="H125" s="110"/>
    </row>
    <row r="126" spans="1:12" x14ac:dyDescent="0.35">
      <c r="A126" s="98" t="s">
        <v>52</v>
      </c>
      <c r="B126" s="98"/>
      <c r="C126" s="98"/>
      <c r="D126" s="98"/>
      <c r="E126" s="98"/>
      <c r="F126" s="110">
        <v>200000</v>
      </c>
      <c r="G126" s="110"/>
      <c r="H126" s="110"/>
    </row>
    <row r="127" spans="1:12" s="31" customFormat="1" x14ac:dyDescent="0.35">
      <c r="A127" s="139" t="s">
        <v>53</v>
      </c>
      <c r="B127" s="139"/>
      <c r="C127" s="139"/>
      <c r="D127" s="139"/>
      <c r="E127" s="139"/>
      <c r="F127" s="110">
        <f>F115*0.8</f>
        <v>3960</v>
      </c>
      <c r="G127" s="110"/>
      <c r="H127" s="110"/>
    </row>
    <row r="128" spans="1:12" s="32" customFormat="1" ht="15.75" customHeight="1" x14ac:dyDescent="0.35">
      <c r="A128" s="138" t="s">
        <v>78</v>
      </c>
      <c r="B128" s="138"/>
      <c r="C128" s="138"/>
      <c r="D128" s="138"/>
      <c r="E128" s="138"/>
      <c r="F128" s="138"/>
      <c r="G128" s="138"/>
      <c r="H128" s="138"/>
    </row>
    <row r="129" spans="1:10" s="32" customFormat="1" ht="15.75" customHeight="1" x14ac:dyDescent="0.35">
      <c r="A129" s="100" t="s">
        <v>54</v>
      </c>
      <c r="B129" s="100"/>
      <c r="C129" s="119" t="s">
        <v>81</v>
      </c>
      <c r="D129" s="119"/>
      <c r="E129" s="124" t="s">
        <v>55</v>
      </c>
      <c r="F129" s="124"/>
      <c r="G129" s="100" t="s">
        <v>56</v>
      </c>
      <c r="H129" s="100"/>
      <c r="J129" s="32" t="s">
        <v>241</v>
      </c>
    </row>
    <row r="130" spans="1:10" s="32" customFormat="1" x14ac:dyDescent="0.35">
      <c r="A130" s="193" t="s">
        <v>235</v>
      </c>
      <c r="B130" s="49" t="s">
        <v>190</v>
      </c>
      <c r="C130" s="123">
        <f>COUNT(D148:D154)+COUNT(D156:D162)</f>
        <v>14</v>
      </c>
      <c r="D130" s="80"/>
      <c r="E130" s="111">
        <f>SUM(D148:D154)+SUM(D156:D162)</f>
        <v>3020.0447159999994</v>
      </c>
      <c r="F130" s="112"/>
      <c r="G130" s="111">
        <f>SUM(F148:F154)+SUM(F156:F162)</f>
        <v>5366.7899297999993</v>
      </c>
      <c r="H130" s="112"/>
      <c r="J130" s="32" t="s">
        <v>242</v>
      </c>
    </row>
    <row r="131" spans="1:10" s="32" customFormat="1" ht="31" x14ac:dyDescent="0.35">
      <c r="A131" s="194"/>
      <c r="B131" s="49" t="s">
        <v>237</v>
      </c>
      <c r="C131" s="123">
        <f>COUNT(D163)</f>
        <v>1</v>
      </c>
      <c r="D131" s="80"/>
      <c r="E131" s="111">
        <f>SUM(D163)</f>
        <v>1377.8458199999998</v>
      </c>
      <c r="F131" s="112"/>
      <c r="G131" s="111">
        <f>SUM(F163)</f>
        <v>2135.6610209999999</v>
      </c>
      <c r="H131" s="112"/>
      <c r="I131" s="32" t="s">
        <v>243</v>
      </c>
      <c r="J131" s="32">
        <v>4600</v>
      </c>
    </row>
    <row r="132" spans="1:10" s="32" customFormat="1" x14ac:dyDescent="0.35">
      <c r="A132" s="193" t="s">
        <v>236</v>
      </c>
      <c r="B132" s="49" t="s">
        <v>190</v>
      </c>
      <c r="C132" s="123">
        <f>COUNT(D166:D173)+COUNT(D175:D182)</f>
        <v>16</v>
      </c>
      <c r="D132" s="80"/>
      <c r="E132" s="111">
        <f>SUM(D166:D173)+SUM(D175:D182)</f>
        <v>3480.8946120000001</v>
      </c>
      <c r="F132" s="112"/>
      <c r="G132" s="111">
        <f>SUM(F166:F173)+SUM(F175:F182)</f>
        <v>6179.5440486000007</v>
      </c>
      <c r="H132" s="112"/>
      <c r="J132" s="32">
        <v>5000</v>
      </c>
    </row>
    <row r="133" spans="1:10" s="32" customFormat="1" ht="31" x14ac:dyDescent="0.35">
      <c r="A133" s="194"/>
      <c r="B133" s="49" t="s">
        <v>237</v>
      </c>
      <c r="C133" s="123">
        <f>COUNT(D183:D184)</f>
        <v>2</v>
      </c>
      <c r="D133" s="80"/>
      <c r="E133" s="111">
        <f>SUM(D183:D184)</f>
        <v>1572.0391439999999</v>
      </c>
      <c r="F133" s="112"/>
      <c r="G133" s="111">
        <f>SUM(F183:F184)</f>
        <v>2436.6606732</v>
      </c>
      <c r="H133" s="112"/>
    </row>
    <row r="134" spans="1:10" s="32" customFormat="1" x14ac:dyDescent="0.35">
      <c r="A134" s="138" t="s">
        <v>154</v>
      </c>
      <c r="B134" s="138"/>
      <c r="C134" s="195">
        <f>SUM(C130:C133)</f>
        <v>33</v>
      </c>
      <c r="D134" s="119"/>
      <c r="E134" s="196">
        <f>SUM(E130:E133)</f>
        <v>9450.8242919999993</v>
      </c>
      <c r="F134" s="124"/>
      <c r="G134" s="100">
        <f>SUM(G130:G133)</f>
        <v>16118.6556726</v>
      </c>
      <c r="H134" s="100"/>
    </row>
    <row r="135" spans="1:10" s="32" customFormat="1" x14ac:dyDescent="0.35">
      <c r="A135" s="138" t="s">
        <v>72</v>
      </c>
      <c r="B135" s="138"/>
      <c r="C135" s="138"/>
      <c r="D135" s="138"/>
      <c r="E135" s="138"/>
      <c r="F135" s="138"/>
      <c r="G135" s="138"/>
      <c r="H135" s="138"/>
    </row>
    <row r="136" spans="1:10" s="32" customFormat="1" ht="15.75" customHeight="1" x14ac:dyDescent="0.35">
      <c r="A136" s="100" t="s">
        <v>54</v>
      </c>
      <c r="B136" s="100"/>
      <c r="C136" s="119" t="s">
        <v>81</v>
      </c>
      <c r="D136" s="119"/>
      <c r="E136" s="124" t="s">
        <v>55</v>
      </c>
      <c r="F136" s="124"/>
      <c r="G136" s="100" t="s">
        <v>56</v>
      </c>
      <c r="H136" s="100"/>
    </row>
    <row r="137" spans="1:10" s="32" customFormat="1" x14ac:dyDescent="0.35">
      <c r="A137" s="79" t="s">
        <v>235</v>
      </c>
      <c r="B137" s="79"/>
      <c r="C137" s="80">
        <f>COUNT(D189:D190)+COUNT(D192:D197)+COUNT(D199:D204)+COUNT(D206:D211)*6+COUNT(D214:D218)+COUNT(D220:D230)*2+COUNT(D232:D240)</f>
        <v>86</v>
      </c>
      <c r="D137" s="80"/>
      <c r="E137" s="81">
        <f>SUM(D189:D190)+SUM(D192:D197)+SUM(D199:D204)+SUM(D206:D211)*6+SUM(D214:D218)+SUM(D220:D230)*2+SUM(D232:D240)</f>
        <v>35578.486008</v>
      </c>
      <c r="F137" s="81"/>
      <c r="G137" s="81">
        <f>SUM(F189:F190)+SUM(F192:F197)+SUM(F199:F204)+SUM(F206:F211)*6+SUM(F214:F218)+SUM(F220:F230)*2+SUM(F232:F240)</f>
        <v>60054.304533499999</v>
      </c>
      <c r="H137" s="81"/>
    </row>
    <row r="138" spans="1:10" s="32" customFormat="1" x14ac:dyDescent="0.35">
      <c r="A138" s="79" t="s">
        <v>236</v>
      </c>
      <c r="B138" s="79"/>
      <c r="C138" s="80">
        <f>COUNT(D243:D246)+COUNT(D248:D255)*2+COUNT(D257:D264)+COUNT(D266:D273)+COUNT(D275:D282)*2+COUNT(D284,D286:D291)+COUNT(D293:D300)+COUNT(D302:D309)*2+COUNT(D311:D323)+COUNT(D325:D336)</f>
        <v>108</v>
      </c>
      <c r="D138" s="80"/>
      <c r="E138" s="81">
        <f>SUM(D243:D246)+SUM(D248:D255)*2+SUM(D257:D264)+SUM(D266:D273)+SUM(D275:D282)*2+SUM(D284,D286:D291)+SUM(D293:D300)+SUM(D302:D309)*2+SUM(D311:D323)+SUM(D325:D336)</f>
        <v>42191.812259999992</v>
      </c>
      <c r="F138" s="81"/>
      <c r="G138" s="81">
        <f>SUM(F243:F246)+SUM(F248:F255)*2+SUM(F257:F264)+SUM(F266:F273)+SUM(F275:F282)*2+SUM(F284,F286:F291)+SUM(F293:F300)+SUM(F302:F309)*2+SUM(F311:F323)+SUM(F325:F336)</f>
        <v>69928.982725099995</v>
      </c>
      <c r="H138" s="81"/>
    </row>
    <row r="139" spans="1:10" s="32" customFormat="1" x14ac:dyDescent="0.35">
      <c r="A139" s="79" t="s">
        <v>238</v>
      </c>
      <c r="B139" s="79"/>
      <c r="C139" s="123">
        <f>COUNT(D341:D349,D351:D359,D361:D369,D371:D379,D381:D389,D391:D399)+COUNT(D401:D409,D411:D418)*2+COUNT(D421:D429)*3</f>
        <v>115</v>
      </c>
      <c r="D139" s="80"/>
      <c r="E139" s="81">
        <f>SUM(D341:D349,D351:D359,D361:D369,D371:D379,D381:D389,D391:D399)+SUM(D401:D409,D411:D418)*2+SUM(D421:D429)*3</f>
        <v>45988.597980000006</v>
      </c>
      <c r="F139" s="81"/>
      <c r="G139" s="81">
        <f>SUM(F341:F349,F351:F359,F361:F369,F371:F379,F381:F389,F391:F399)+SUM(F401:F409,F411:F418)*2+SUM(F421:F429)*3</f>
        <v>69815</v>
      </c>
      <c r="H139" s="81"/>
    </row>
    <row r="140" spans="1:10" s="32" customFormat="1" ht="16" thickBot="1" x14ac:dyDescent="0.4">
      <c r="A140" s="120" t="s">
        <v>154</v>
      </c>
      <c r="B140" s="120"/>
      <c r="C140" s="145">
        <f>SUM(C137:C139)</f>
        <v>309</v>
      </c>
      <c r="D140" s="145"/>
      <c r="E140" s="121">
        <f>SUM(E137:E139)</f>
        <v>123758.89624799999</v>
      </c>
      <c r="F140" s="122"/>
      <c r="G140" s="135">
        <f>SUM(G137:G139)</f>
        <v>199798.2872586</v>
      </c>
      <c r="H140" s="135"/>
    </row>
    <row r="141" spans="1:10" s="32" customFormat="1" ht="16" thickBot="1" x14ac:dyDescent="0.4">
      <c r="A141" s="75" t="s">
        <v>248</v>
      </c>
      <c r="B141" s="76"/>
      <c r="C141" s="77">
        <f>C134+C140</f>
        <v>342</v>
      </c>
      <c r="D141" s="78"/>
      <c r="E141" s="77">
        <f>E134+E140</f>
        <v>133209.72053999998</v>
      </c>
      <c r="F141" s="78"/>
      <c r="G141" s="77">
        <f>G134+G140</f>
        <v>215916.9429312</v>
      </c>
      <c r="H141" s="78"/>
    </row>
    <row r="142" spans="1:10" s="31" customFormat="1" x14ac:dyDescent="0.35">
      <c r="A142" s="131" t="s">
        <v>57</v>
      </c>
      <c r="B142" s="131"/>
      <c r="C142" s="131"/>
      <c r="D142" s="131"/>
      <c r="E142" s="131"/>
      <c r="F142" s="131"/>
      <c r="G142" s="131"/>
      <c r="H142" s="131"/>
    </row>
    <row r="143" spans="1:10" x14ac:dyDescent="0.35">
      <c r="A143" s="169" t="s">
        <v>58</v>
      </c>
      <c r="B143" s="169"/>
      <c r="C143" s="169"/>
      <c r="D143" s="169"/>
      <c r="E143" s="169"/>
      <c r="F143" s="169"/>
      <c r="G143" s="169"/>
      <c r="H143" s="169"/>
    </row>
    <row r="144" spans="1:10" ht="47.25" customHeight="1" x14ac:dyDescent="0.35">
      <c r="A144" s="133" t="s">
        <v>244</v>
      </c>
      <c r="B144" s="133" t="s">
        <v>124</v>
      </c>
      <c r="C144" s="133" t="s">
        <v>59</v>
      </c>
      <c r="D144" s="133" t="s">
        <v>60</v>
      </c>
      <c r="E144" s="141" t="s">
        <v>234</v>
      </c>
      <c r="F144" s="62" t="s">
        <v>153</v>
      </c>
      <c r="G144" s="101" t="s">
        <v>62</v>
      </c>
      <c r="H144" s="102"/>
    </row>
    <row r="145" spans="1:14" s="34" customFormat="1" x14ac:dyDescent="0.35">
      <c r="A145" s="134"/>
      <c r="B145" s="134"/>
      <c r="C145" s="134"/>
      <c r="D145" s="134"/>
      <c r="E145" s="142"/>
      <c r="F145" s="63">
        <v>0.55000000000000004</v>
      </c>
      <c r="G145" s="143"/>
      <c r="H145" s="144"/>
    </row>
    <row r="146" spans="1:14" s="45" customFormat="1" x14ac:dyDescent="0.35">
      <c r="A146" s="94" t="s">
        <v>189</v>
      </c>
      <c r="B146" s="95"/>
      <c r="C146" s="95"/>
      <c r="D146" s="95"/>
      <c r="E146" s="95"/>
      <c r="F146" s="95"/>
      <c r="G146" s="95"/>
      <c r="H146" s="96"/>
      <c r="J146" s="33"/>
    </row>
    <row r="147" spans="1:14" s="34" customFormat="1" x14ac:dyDescent="0.35">
      <c r="A147" s="94" t="s">
        <v>191</v>
      </c>
      <c r="B147" s="95"/>
      <c r="C147" s="95"/>
      <c r="D147" s="95"/>
      <c r="E147" s="95"/>
      <c r="F147" s="95"/>
      <c r="G147" s="95"/>
      <c r="H147" s="96"/>
      <c r="J147" s="47">
        <v>10.763999999999999</v>
      </c>
    </row>
    <row r="148" spans="1:14" s="34" customFormat="1" x14ac:dyDescent="0.35">
      <c r="A148" s="83">
        <v>9</v>
      </c>
      <c r="B148" s="84"/>
      <c r="C148" s="58" t="s">
        <v>190</v>
      </c>
      <c r="D148" s="59">
        <f>(18.66)*10.764</f>
        <v>200.85623999999999</v>
      </c>
      <c r="E148" s="58">
        <f>(3.05*2)*10.764</f>
        <v>65.660399999999996</v>
      </c>
      <c r="F148" s="58">
        <f>(D148+E148)*(($F$145)+1)</f>
        <v>413.10079200000001</v>
      </c>
      <c r="G148" s="86" t="str">
        <f>A147</f>
        <v>Ground Floor For Commercial, Driver Room &amp; Parking</v>
      </c>
      <c r="H148" s="87"/>
      <c r="I148" s="33">
        <f>3.05*6</f>
        <v>18.299999999999997</v>
      </c>
      <c r="L148" s="92"/>
      <c r="M148" s="92"/>
      <c r="N148" s="33"/>
    </row>
    <row r="149" spans="1:14" s="34" customFormat="1" x14ac:dyDescent="0.35">
      <c r="A149" s="83">
        <f t="shared" ref="A149:A154" si="0">A148+1</f>
        <v>10</v>
      </c>
      <c r="B149" s="84"/>
      <c r="C149" s="58" t="s">
        <v>190</v>
      </c>
      <c r="D149" s="59">
        <f>(18.66)*10.764</f>
        <v>200.85623999999999</v>
      </c>
      <c r="E149" s="58">
        <f>(3.05*2)*10.764</f>
        <v>65.660399999999996</v>
      </c>
      <c r="F149" s="58">
        <f t="shared" ref="F149:F151" si="1">(D149+E149)*(($F$145)+1)</f>
        <v>413.10079200000001</v>
      </c>
      <c r="G149" s="88"/>
      <c r="H149" s="89"/>
      <c r="I149" s="33"/>
      <c r="L149" s="92"/>
      <c r="M149" s="92"/>
      <c r="N149" s="33"/>
    </row>
    <row r="150" spans="1:14" s="34" customFormat="1" x14ac:dyDescent="0.35">
      <c r="A150" s="83">
        <f t="shared" si="0"/>
        <v>11</v>
      </c>
      <c r="B150" s="84"/>
      <c r="C150" s="58" t="s">
        <v>190</v>
      </c>
      <c r="D150" s="59">
        <f>(18.66)*10.764</f>
        <v>200.85623999999999</v>
      </c>
      <c r="E150" s="58">
        <f>(2*2.75)*10.764</f>
        <v>59.201999999999998</v>
      </c>
      <c r="F150" s="58">
        <f t="shared" si="1"/>
        <v>403.09027199999997</v>
      </c>
      <c r="G150" s="88"/>
      <c r="H150" s="89"/>
      <c r="I150" s="33"/>
      <c r="L150" s="92"/>
      <c r="M150" s="92"/>
      <c r="N150" s="33"/>
    </row>
    <row r="151" spans="1:14" s="34" customFormat="1" x14ac:dyDescent="0.35">
      <c r="A151" s="83">
        <f t="shared" si="0"/>
        <v>12</v>
      </c>
      <c r="B151" s="84"/>
      <c r="C151" s="58" t="s">
        <v>190</v>
      </c>
      <c r="D151" s="59">
        <f>(18.66)*10.764</f>
        <v>200.85623999999999</v>
      </c>
      <c r="E151" s="58">
        <f>(2.75*2)*10.764</f>
        <v>59.201999999999998</v>
      </c>
      <c r="F151" s="58">
        <f t="shared" si="1"/>
        <v>403.09027199999997</v>
      </c>
      <c r="G151" s="88"/>
      <c r="H151" s="89"/>
      <c r="I151" s="33"/>
      <c r="L151" s="92"/>
      <c r="M151" s="92"/>
      <c r="N151" s="33"/>
    </row>
    <row r="152" spans="1:14" s="45" customFormat="1" x14ac:dyDescent="0.35">
      <c r="A152" s="83">
        <f t="shared" si="0"/>
        <v>13</v>
      </c>
      <c r="B152" s="84"/>
      <c r="C152" s="58" t="s">
        <v>190</v>
      </c>
      <c r="D152" s="59">
        <f>(15.66)*10.764</f>
        <v>168.56423999999998</v>
      </c>
      <c r="E152" s="58">
        <f>(2.55*2)*10.764</f>
        <v>54.896399999999993</v>
      </c>
      <c r="F152" s="58">
        <f t="shared" ref="F152:F154" si="2">(D152+E152)*(($F$145)+1)</f>
        <v>346.363992</v>
      </c>
      <c r="G152" s="88"/>
      <c r="H152" s="89"/>
      <c r="I152" s="33"/>
      <c r="L152" s="92"/>
      <c r="M152" s="92"/>
      <c r="N152" s="33"/>
    </row>
    <row r="153" spans="1:14" s="45" customFormat="1" x14ac:dyDescent="0.35">
      <c r="A153" s="83">
        <f t="shared" si="0"/>
        <v>14</v>
      </c>
      <c r="B153" s="84"/>
      <c r="C153" s="58" t="s">
        <v>190</v>
      </c>
      <c r="D153" s="59">
        <f>(15.36)*10.764</f>
        <v>165.33503999999999</v>
      </c>
      <c r="E153" s="58">
        <f>(2.5*2)*10.764</f>
        <v>53.819999999999993</v>
      </c>
      <c r="F153" s="58">
        <f t="shared" si="2"/>
        <v>339.69031200000001</v>
      </c>
      <c r="G153" s="88"/>
      <c r="H153" s="89"/>
      <c r="I153" s="33"/>
      <c r="L153" s="92"/>
      <c r="M153" s="92"/>
      <c r="N153" s="33"/>
    </row>
    <row r="154" spans="1:14" s="45" customFormat="1" x14ac:dyDescent="0.35">
      <c r="A154" s="83">
        <f t="shared" si="0"/>
        <v>15</v>
      </c>
      <c r="B154" s="84"/>
      <c r="C154" s="58" t="s">
        <v>190</v>
      </c>
      <c r="D154" s="59">
        <f>(23.76)*10.764</f>
        <v>255.75264000000001</v>
      </c>
      <c r="E154" s="58">
        <f>(3.9*2)*10.764</f>
        <v>83.959199999999996</v>
      </c>
      <c r="F154" s="58">
        <f t="shared" si="2"/>
        <v>526.55335200000002</v>
      </c>
      <c r="G154" s="90"/>
      <c r="H154" s="91"/>
      <c r="I154" s="33"/>
      <c r="L154" s="92"/>
      <c r="M154" s="92"/>
      <c r="N154" s="33"/>
    </row>
    <row r="155" spans="1:14" s="45" customFormat="1" x14ac:dyDescent="0.35">
      <c r="A155" s="94" t="s">
        <v>192</v>
      </c>
      <c r="B155" s="95"/>
      <c r="C155" s="95"/>
      <c r="D155" s="95"/>
      <c r="E155" s="95"/>
      <c r="F155" s="95"/>
      <c r="G155" s="95"/>
      <c r="H155" s="96"/>
    </row>
    <row r="156" spans="1:14" s="45" customFormat="1" x14ac:dyDescent="0.35">
      <c r="A156" s="83">
        <v>109</v>
      </c>
      <c r="B156" s="84"/>
      <c r="C156" s="58" t="s">
        <v>190</v>
      </c>
      <c r="D156" s="59">
        <f>(22.473)*10.764</f>
        <v>241.89937199999997</v>
      </c>
      <c r="E156" s="58">
        <v>0</v>
      </c>
      <c r="F156" s="58">
        <f>(D156+E156)*(($F$145)+1)</f>
        <v>374.94402659999997</v>
      </c>
      <c r="G156" s="86" t="str">
        <f>A155</f>
        <v>1st Floor For Commercial</v>
      </c>
      <c r="H156" s="87"/>
      <c r="I156" s="33"/>
      <c r="L156" s="92"/>
      <c r="M156" s="92"/>
      <c r="N156" s="33"/>
    </row>
    <row r="157" spans="1:14" s="45" customFormat="1" x14ac:dyDescent="0.35">
      <c r="A157" s="83">
        <f t="shared" ref="A157:A162" si="3">A156+1</f>
        <v>110</v>
      </c>
      <c r="B157" s="84"/>
      <c r="C157" s="58" t="s">
        <v>190</v>
      </c>
      <c r="D157" s="59">
        <f>(22.473)*10.764</f>
        <v>241.89937199999997</v>
      </c>
      <c r="E157" s="58">
        <v>0</v>
      </c>
      <c r="F157" s="58">
        <f t="shared" ref="F157:F162" si="4">(D157+E157)*(($F$145)+1)</f>
        <v>374.94402659999997</v>
      </c>
      <c r="G157" s="88"/>
      <c r="H157" s="89"/>
      <c r="I157" s="33"/>
      <c r="L157" s="92"/>
      <c r="M157" s="92"/>
      <c r="N157" s="33"/>
    </row>
    <row r="158" spans="1:14" s="45" customFormat="1" x14ac:dyDescent="0.35">
      <c r="A158" s="83">
        <f t="shared" si="3"/>
        <v>111</v>
      </c>
      <c r="B158" s="84"/>
      <c r="C158" s="58" t="s">
        <v>190</v>
      </c>
      <c r="D158" s="59">
        <f>(20.298)*10.764</f>
        <v>218.48767199999998</v>
      </c>
      <c r="E158" s="58">
        <v>0</v>
      </c>
      <c r="F158" s="58">
        <f t="shared" si="4"/>
        <v>338.65589159999996</v>
      </c>
      <c r="G158" s="88"/>
      <c r="H158" s="89"/>
      <c r="I158" s="33"/>
      <c r="L158" s="92"/>
      <c r="M158" s="92"/>
      <c r="N158" s="33"/>
    </row>
    <row r="159" spans="1:14" s="45" customFormat="1" x14ac:dyDescent="0.35">
      <c r="A159" s="83">
        <f t="shared" si="3"/>
        <v>112</v>
      </c>
      <c r="B159" s="84"/>
      <c r="C159" s="58" t="s">
        <v>190</v>
      </c>
      <c r="D159" s="59">
        <f>(20.298)*10.764</f>
        <v>218.48767199999998</v>
      </c>
      <c r="E159" s="58">
        <v>0</v>
      </c>
      <c r="F159" s="58">
        <f t="shared" si="4"/>
        <v>338.65589159999996</v>
      </c>
      <c r="G159" s="88"/>
      <c r="H159" s="89"/>
      <c r="I159" s="33"/>
      <c r="L159" s="92"/>
      <c r="M159" s="92"/>
      <c r="N159" s="33"/>
    </row>
    <row r="160" spans="1:14" s="45" customFormat="1" x14ac:dyDescent="0.35">
      <c r="A160" s="83">
        <f t="shared" si="3"/>
        <v>113</v>
      </c>
      <c r="B160" s="84"/>
      <c r="C160" s="58" t="s">
        <v>190</v>
      </c>
      <c r="D160" s="59">
        <f>(18.487)*10.764</f>
        <v>198.99406799999997</v>
      </c>
      <c r="E160" s="58">
        <v>0</v>
      </c>
      <c r="F160" s="58">
        <f t="shared" si="4"/>
        <v>308.44080539999999</v>
      </c>
      <c r="G160" s="88"/>
      <c r="H160" s="89"/>
      <c r="I160" s="33"/>
      <c r="L160" s="92"/>
      <c r="M160" s="92"/>
      <c r="N160" s="33"/>
    </row>
    <row r="161" spans="1:14" s="45" customFormat="1" x14ac:dyDescent="0.35">
      <c r="A161" s="83">
        <f t="shared" si="3"/>
        <v>114</v>
      </c>
      <c r="B161" s="84"/>
      <c r="C161" s="58" t="s">
        <v>190</v>
      </c>
      <c r="D161" s="59">
        <f>(18.485)*10.764</f>
        <v>198.97253999999998</v>
      </c>
      <c r="E161" s="58">
        <v>0</v>
      </c>
      <c r="F161" s="58">
        <f t="shared" si="4"/>
        <v>308.40743699999996</v>
      </c>
      <c r="G161" s="88"/>
      <c r="H161" s="89"/>
      <c r="I161" s="33"/>
      <c r="L161" s="92"/>
      <c r="M161" s="92"/>
      <c r="N161" s="33"/>
    </row>
    <row r="162" spans="1:14" s="45" customFormat="1" x14ac:dyDescent="0.35">
      <c r="A162" s="83">
        <f t="shared" si="3"/>
        <v>115</v>
      </c>
      <c r="B162" s="84"/>
      <c r="C162" s="58" t="s">
        <v>190</v>
      </c>
      <c r="D162" s="59">
        <f>(28.635)*10.764</f>
        <v>308.22714000000002</v>
      </c>
      <c r="E162" s="58">
        <v>0</v>
      </c>
      <c r="F162" s="58">
        <f t="shared" si="4"/>
        <v>477.75206700000007</v>
      </c>
      <c r="G162" s="88"/>
      <c r="H162" s="89"/>
      <c r="I162" s="33"/>
      <c r="L162" s="92"/>
      <c r="M162" s="92"/>
      <c r="N162" s="33"/>
    </row>
    <row r="163" spans="1:14" s="46" customFormat="1" x14ac:dyDescent="0.35">
      <c r="A163" s="83">
        <v>1</v>
      </c>
      <c r="B163" s="84"/>
      <c r="C163" s="58" t="s">
        <v>220</v>
      </c>
      <c r="D163" s="59">
        <f>(7.5*9.3+3.8*3.8+4.2*4.9+4.2*3.9+1.95*1.2+1.2*2.3+1.95*0.9)*10.764</f>
        <v>1377.8458199999998</v>
      </c>
      <c r="E163" s="58">
        <v>0</v>
      </c>
      <c r="F163" s="58">
        <f t="shared" ref="F163" si="5">(D163+E163)*(($F$145)+1)</f>
        <v>2135.6610209999999</v>
      </c>
      <c r="G163" s="90"/>
      <c r="H163" s="91"/>
      <c r="I163" s="33"/>
      <c r="L163" s="92"/>
      <c r="M163" s="92"/>
      <c r="N163" s="33"/>
    </row>
    <row r="164" spans="1:14" s="45" customFormat="1" x14ac:dyDescent="0.35">
      <c r="A164" s="94" t="s">
        <v>202</v>
      </c>
      <c r="B164" s="95"/>
      <c r="C164" s="95"/>
      <c r="D164" s="95"/>
      <c r="E164" s="95"/>
      <c r="F164" s="95"/>
      <c r="G164" s="95"/>
      <c r="H164" s="96"/>
      <c r="J164" s="33"/>
    </row>
    <row r="165" spans="1:14" s="45" customFormat="1" x14ac:dyDescent="0.35">
      <c r="A165" s="94" t="s">
        <v>203</v>
      </c>
      <c r="B165" s="95"/>
      <c r="C165" s="95"/>
      <c r="D165" s="95"/>
      <c r="E165" s="95"/>
      <c r="F165" s="95"/>
      <c r="G165" s="95"/>
      <c r="H165" s="96"/>
      <c r="J165" s="47">
        <v>10.763999999999999</v>
      </c>
    </row>
    <row r="166" spans="1:14" s="45" customFormat="1" x14ac:dyDescent="0.35">
      <c r="A166" s="83">
        <v>1</v>
      </c>
      <c r="B166" s="84"/>
      <c r="C166" s="58" t="s">
        <v>190</v>
      </c>
      <c r="D166" s="59">
        <f>(26.091)*10.764</f>
        <v>280.843524</v>
      </c>
      <c r="E166" s="58">
        <f>(2*3.9)*10.764</f>
        <v>83.959199999999996</v>
      </c>
      <c r="F166" s="58">
        <f>(D166+E166)*(($F$145)+1)</f>
        <v>565.44422220000001</v>
      </c>
      <c r="G166" s="86" t="str">
        <f>A165</f>
        <v>Ground Floor For Commercial, Society Office &amp; Parking</v>
      </c>
      <c r="H166" s="87"/>
      <c r="I166" s="33"/>
      <c r="L166" s="92"/>
      <c r="M166" s="92"/>
      <c r="N166" s="33"/>
    </row>
    <row r="167" spans="1:14" s="45" customFormat="1" x14ac:dyDescent="0.35">
      <c r="A167" s="83">
        <f t="shared" ref="A167:A173" si="6">A166+1</f>
        <v>2</v>
      </c>
      <c r="B167" s="84"/>
      <c r="C167" s="58" t="s">
        <v>190</v>
      </c>
      <c r="D167" s="59">
        <f>(15.36)*10.764</f>
        <v>165.33503999999999</v>
      </c>
      <c r="E167" s="58">
        <f>(2.5*2)*10.764</f>
        <v>53.819999999999993</v>
      </c>
      <c r="F167" s="58">
        <f t="shared" ref="F167:F172" si="7">(D167+E167)*(($F$145)+1)</f>
        <v>339.69031200000001</v>
      </c>
      <c r="G167" s="88"/>
      <c r="H167" s="89"/>
      <c r="I167" s="33"/>
      <c r="L167" s="92"/>
      <c r="M167" s="92"/>
      <c r="N167" s="33"/>
    </row>
    <row r="168" spans="1:14" s="45" customFormat="1" x14ac:dyDescent="0.35">
      <c r="A168" s="83">
        <f t="shared" si="6"/>
        <v>3</v>
      </c>
      <c r="B168" s="84"/>
      <c r="C168" s="58" t="s">
        <v>190</v>
      </c>
      <c r="D168" s="59">
        <f>(15.66)*10.764</f>
        <v>168.56423999999998</v>
      </c>
      <c r="E168" s="58">
        <f t="shared" ref="E168:E169" si="8">(2.5*2)*10.764</f>
        <v>53.819999999999993</v>
      </c>
      <c r="F168" s="58">
        <f t="shared" si="7"/>
        <v>344.69557199999997</v>
      </c>
      <c r="G168" s="88"/>
      <c r="H168" s="89"/>
      <c r="I168" s="33"/>
      <c r="L168" s="92"/>
      <c r="M168" s="92"/>
      <c r="N168" s="33"/>
    </row>
    <row r="169" spans="1:14" s="45" customFormat="1" x14ac:dyDescent="0.35">
      <c r="A169" s="83">
        <f t="shared" si="6"/>
        <v>4</v>
      </c>
      <c r="B169" s="84"/>
      <c r="C169" s="58" t="s">
        <v>190</v>
      </c>
      <c r="D169" s="59">
        <f>(16.86)*10.764</f>
        <v>181.48103999999998</v>
      </c>
      <c r="E169" s="58">
        <f t="shared" si="8"/>
        <v>53.819999999999993</v>
      </c>
      <c r="F169" s="58">
        <f t="shared" si="7"/>
        <v>364.71661199999994</v>
      </c>
      <c r="G169" s="88"/>
      <c r="H169" s="89"/>
      <c r="I169" s="48">
        <f>2.75*6</f>
        <v>16.5</v>
      </c>
      <c r="L169" s="92"/>
      <c r="M169" s="92"/>
      <c r="N169" s="33"/>
    </row>
    <row r="170" spans="1:14" s="45" customFormat="1" x14ac:dyDescent="0.35">
      <c r="A170" s="83">
        <f t="shared" si="6"/>
        <v>5</v>
      </c>
      <c r="B170" s="84"/>
      <c r="C170" s="58" t="s">
        <v>190</v>
      </c>
      <c r="D170" s="59">
        <f>(18.06)*10.764</f>
        <v>194.39783999999997</v>
      </c>
      <c r="E170" s="58">
        <f>(2.95*2)*10.764</f>
        <v>63.507599999999996</v>
      </c>
      <c r="F170" s="58">
        <f t="shared" si="7"/>
        <v>399.75343200000003</v>
      </c>
      <c r="G170" s="88"/>
      <c r="H170" s="89"/>
      <c r="I170" s="33"/>
      <c r="L170" s="92"/>
      <c r="M170" s="92"/>
      <c r="N170" s="33"/>
    </row>
    <row r="171" spans="1:14" s="45" customFormat="1" x14ac:dyDescent="0.35">
      <c r="A171" s="83">
        <f t="shared" si="6"/>
        <v>6</v>
      </c>
      <c r="B171" s="84"/>
      <c r="C171" s="58" t="s">
        <v>190</v>
      </c>
      <c r="D171" s="59">
        <f>(18.66)*10.764</f>
        <v>200.85623999999999</v>
      </c>
      <c r="E171" s="58">
        <f>(3.05*2)*10.764</f>
        <v>65.660399999999996</v>
      </c>
      <c r="F171" s="58">
        <f t="shared" si="7"/>
        <v>413.10079200000001</v>
      </c>
      <c r="G171" s="88"/>
      <c r="H171" s="89"/>
      <c r="I171" s="33"/>
      <c r="L171" s="92"/>
      <c r="M171" s="92"/>
      <c r="N171" s="33"/>
    </row>
    <row r="172" spans="1:14" s="45" customFormat="1" x14ac:dyDescent="0.35">
      <c r="A172" s="83">
        <f t="shared" si="6"/>
        <v>7</v>
      </c>
      <c r="B172" s="84"/>
      <c r="C172" s="58" t="s">
        <v>190</v>
      </c>
      <c r="D172" s="59">
        <f>(18.66)*10.764</f>
        <v>200.85623999999999</v>
      </c>
      <c r="E172" s="58">
        <f>(3.05*2)*10.764</f>
        <v>65.660399999999996</v>
      </c>
      <c r="F172" s="58">
        <f t="shared" si="7"/>
        <v>413.10079200000001</v>
      </c>
      <c r="G172" s="88"/>
      <c r="H172" s="89"/>
      <c r="I172" s="33"/>
      <c r="L172" s="92"/>
      <c r="M172" s="92"/>
      <c r="N172" s="33"/>
    </row>
    <row r="173" spans="1:14" s="45" customFormat="1" x14ac:dyDescent="0.35">
      <c r="A173" s="83">
        <f t="shared" si="6"/>
        <v>8</v>
      </c>
      <c r="B173" s="84"/>
      <c r="C173" s="58" t="s">
        <v>190</v>
      </c>
      <c r="D173" s="59">
        <f>(18.66)*10.764</f>
        <v>200.85623999999999</v>
      </c>
      <c r="E173" s="58">
        <f>(3.05*2)*10.764</f>
        <v>65.660399999999996</v>
      </c>
      <c r="F173" s="58">
        <f t="shared" ref="F173" si="9">(D173+E173)*(($F$145)+1)</f>
        <v>413.10079200000001</v>
      </c>
      <c r="G173" s="90"/>
      <c r="H173" s="91"/>
      <c r="I173" s="33"/>
      <c r="L173" s="92"/>
      <c r="M173" s="92"/>
      <c r="N173" s="33"/>
    </row>
    <row r="174" spans="1:14" s="45" customFormat="1" x14ac:dyDescent="0.35">
      <c r="A174" s="94" t="s">
        <v>192</v>
      </c>
      <c r="B174" s="95"/>
      <c r="C174" s="95"/>
      <c r="D174" s="95"/>
      <c r="E174" s="95"/>
      <c r="F174" s="95"/>
      <c r="G174" s="95"/>
      <c r="H174" s="96"/>
      <c r="J174" s="47">
        <v>10.763999999999999</v>
      </c>
    </row>
    <row r="175" spans="1:14" s="45" customFormat="1" x14ac:dyDescent="0.35">
      <c r="A175" s="83">
        <v>101</v>
      </c>
      <c r="B175" s="84"/>
      <c r="C175" s="58" t="s">
        <v>190</v>
      </c>
      <c r="D175" s="59">
        <f>(28.635)*10.764</f>
        <v>308.22714000000002</v>
      </c>
      <c r="E175" s="58">
        <v>0</v>
      </c>
      <c r="F175" s="58">
        <f>(D175+E175)*(($F$145)+1)</f>
        <v>477.75206700000007</v>
      </c>
      <c r="G175" s="86" t="str">
        <f>A174</f>
        <v>1st Floor For Commercial</v>
      </c>
      <c r="H175" s="87"/>
      <c r="I175" s="33"/>
      <c r="L175" s="92"/>
      <c r="M175" s="92"/>
      <c r="N175" s="33"/>
    </row>
    <row r="176" spans="1:14" s="45" customFormat="1" x14ac:dyDescent="0.35">
      <c r="A176" s="83">
        <f t="shared" ref="A176:A182" si="10">A175+1</f>
        <v>102</v>
      </c>
      <c r="B176" s="84"/>
      <c r="C176" s="58" t="s">
        <v>190</v>
      </c>
      <c r="D176" s="59">
        <f>(18.455)*10.764</f>
        <v>198.64961999999997</v>
      </c>
      <c r="E176" s="58">
        <v>0</v>
      </c>
      <c r="F176" s="58">
        <f t="shared" ref="F176:F182" si="11">(D176+E176)*(($F$145)+1)</f>
        <v>307.90691099999998</v>
      </c>
      <c r="G176" s="88"/>
      <c r="H176" s="89"/>
      <c r="I176" s="33"/>
      <c r="L176" s="92"/>
      <c r="M176" s="92"/>
      <c r="N176" s="33"/>
    </row>
    <row r="177" spans="1:14" s="45" customFormat="1" x14ac:dyDescent="0.35">
      <c r="A177" s="83">
        <f t="shared" si="10"/>
        <v>103</v>
      </c>
      <c r="B177" s="84"/>
      <c r="C177" s="58" t="s">
        <v>190</v>
      </c>
      <c r="D177" s="59">
        <f>(18.817)*10.764</f>
        <v>202.546188</v>
      </c>
      <c r="E177" s="58">
        <v>0</v>
      </c>
      <c r="F177" s="58">
        <f t="shared" si="11"/>
        <v>313.94659139999999</v>
      </c>
      <c r="G177" s="88"/>
      <c r="H177" s="89"/>
      <c r="I177" s="33"/>
      <c r="L177" s="92"/>
      <c r="M177" s="92"/>
      <c r="N177" s="33"/>
    </row>
    <row r="178" spans="1:14" s="45" customFormat="1" x14ac:dyDescent="0.35">
      <c r="A178" s="83">
        <f t="shared" si="10"/>
        <v>104</v>
      </c>
      <c r="B178" s="84"/>
      <c r="C178" s="58" t="s">
        <v>190</v>
      </c>
      <c r="D178" s="59">
        <f>(20.298)*10.764</f>
        <v>218.48767199999998</v>
      </c>
      <c r="E178" s="58">
        <v>0</v>
      </c>
      <c r="F178" s="58">
        <f t="shared" si="11"/>
        <v>338.65589159999996</v>
      </c>
      <c r="G178" s="88"/>
      <c r="H178" s="89"/>
      <c r="I178" s="48"/>
      <c r="L178" s="92"/>
      <c r="M178" s="92"/>
      <c r="N178" s="33"/>
    </row>
    <row r="179" spans="1:14" s="45" customFormat="1" x14ac:dyDescent="0.35">
      <c r="A179" s="83">
        <f t="shared" si="10"/>
        <v>105</v>
      </c>
      <c r="B179" s="84"/>
      <c r="C179" s="58" t="s">
        <v>190</v>
      </c>
      <c r="D179" s="59">
        <f>(21.748)*10.764</f>
        <v>234.095472</v>
      </c>
      <c r="E179" s="58">
        <v>0</v>
      </c>
      <c r="F179" s="58">
        <f t="shared" si="11"/>
        <v>362.84798160000003</v>
      </c>
      <c r="G179" s="88"/>
      <c r="H179" s="89"/>
      <c r="I179" s="33"/>
      <c r="L179" s="92"/>
      <c r="M179" s="92"/>
      <c r="N179" s="33"/>
    </row>
    <row r="180" spans="1:14" s="45" customFormat="1" x14ac:dyDescent="0.35">
      <c r="A180" s="83">
        <f t="shared" si="10"/>
        <v>106</v>
      </c>
      <c r="B180" s="84"/>
      <c r="C180" s="58" t="s">
        <v>190</v>
      </c>
      <c r="D180" s="59">
        <f>(22.473)*10.764</f>
        <v>241.89937199999997</v>
      </c>
      <c r="E180" s="58">
        <v>0</v>
      </c>
      <c r="F180" s="58">
        <f t="shared" si="11"/>
        <v>374.94402659999997</v>
      </c>
      <c r="G180" s="88"/>
      <c r="H180" s="89"/>
      <c r="I180" s="33"/>
      <c r="L180" s="92"/>
      <c r="M180" s="92"/>
      <c r="N180" s="33"/>
    </row>
    <row r="181" spans="1:14" s="45" customFormat="1" x14ac:dyDescent="0.35">
      <c r="A181" s="83">
        <f t="shared" si="10"/>
        <v>107</v>
      </c>
      <c r="B181" s="84"/>
      <c r="C181" s="58" t="s">
        <v>190</v>
      </c>
      <c r="D181" s="59">
        <f>(22.473)*10.764</f>
        <v>241.89937199999997</v>
      </c>
      <c r="E181" s="58">
        <v>0</v>
      </c>
      <c r="F181" s="58">
        <f t="shared" si="11"/>
        <v>374.94402659999997</v>
      </c>
      <c r="G181" s="88"/>
      <c r="H181" s="89"/>
      <c r="I181" s="33"/>
      <c r="L181" s="92"/>
      <c r="M181" s="92"/>
      <c r="N181" s="33"/>
    </row>
    <row r="182" spans="1:14" s="45" customFormat="1" x14ac:dyDescent="0.35">
      <c r="A182" s="83">
        <f t="shared" si="10"/>
        <v>108</v>
      </c>
      <c r="B182" s="84"/>
      <c r="C182" s="58" t="s">
        <v>190</v>
      </c>
      <c r="D182" s="59">
        <f>(22.473)*10.764</f>
        <v>241.89937199999997</v>
      </c>
      <c r="E182" s="58">
        <v>0</v>
      </c>
      <c r="F182" s="58">
        <f t="shared" si="11"/>
        <v>374.94402659999997</v>
      </c>
      <c r="G182" s="88"/>
      <c r="H182" s="89"/>
      <c r="I182" s="33"/>
      <c r="L182" s="92"/>
      <c r="M182" s="92"/>
      <c r="N182" s="33"/>
    </row>
    <row r="183" spans="1:14" s="45" customFormat="1" x14ac:dyDescent="0.35">
      <c r="A183" s="83">
        <v>2</v>
      </c>
      <c r="B183" s="84"/>
      <c r="C183" s="58" t="s">
        <v>204</v>
      </c>
      <c r="D183" s="59">
        <f>(116.78)*10.764</f>
        <v>1257.01992</v>
      </c>
      <c r="E183" s="58">
        <v>0</v>
      </c>
      <c r="F183" s="58">
        <f>(D183+E183)*(($F$145)+1)</f>
        <v>1948.3808759999999</v>
      </c>
      <c r="G183" s="88"/>
      <c r="H183" s="89"/>
      <c r="I183" s="33"/>
      <c r="L183" s="92"/>
      <c r="M183" s="92"/>
      <c r="N183" s="33"/>
    </row>
    <row r="184" spans="1:14" s="45" customFormat="1" x14ac:dyDescent="0.35">
      <c r="A184" s="83">
        <v>3</v>
      </c>
      <c r="B184" s="84"/>
      <c r="C184" s="58" t="s">
        <v>205</v>
      </c>
      <c r="D184" s="59">
        <f>(29.266)*10.764</f>
        <v>315.01922399999995</v>
      </c>
      <c r="E184" s="58">
        <v>0</v>
      </c>
      <c r="F184" s="58">
        <f t="shared" ref="F184" si="12">(D184+E184)*(($F$145)+1)</f>
        <v>488.27979719999996</v>
      </c>
      <c r="G184" s="90"/>
      <c r="H184" s="91"/>
      <c r="I184" s="33"/>
      <c r="L184" s="92"/>
      <c r="M184" s="92"/>
      <c r="N184" s="33"/>
    </row>
    <row r="185" spans="1:14" s="34" customFormat="1" x14ac:dyDescent="0.35">
      <c r="A185" s="83"/>
      <c r="B185" s="93"/>
      <c r="C185" s="93"/>
      <c r="D185" s="93"/>
      <c r="E185" s="93"/>
      <c r="F185" s="93"/>
      <c r="G185" s="93"/>
      <c r="H185" s="84"/>
      <c r="I185" s="33"/>
      <c r="N185" s="33"/>
    </row>
    <row r="186" spans="1:14" ht="47.25" customHeight="1" x14ac:dyDescent="0.35">
      <c r="A186" s="66" t="s">
        <v>245</v>
      </c>
      <c r="B186" s="66" t="s">
        <v>125</v>
      </c>
      <c r="C186" s="62" t="s">
        <v>59</v>
      </c>
      <c r="D186" s="62" t="s">
        <v>60</v>
      </c>
      <c r="E186" s="67" t="s">
        <v>61</v>
      </c>
      <c r="F186" s="62" t="s">
        <v>246</v>
      </c>
      <c r="G186" s="101" t="s">
        <v>62</v>
      </c>
      <c r="H186" s="102"/>
      <c r="I186" s="33"/>
    </row>
    <row r="187" spans="1:14" s="45" customFormat="1" x14ac:dyDescent="0.35">
      <c r="A187" s="94" t="s">
        <v>189</v>
      </c>
      <c r="B187" s="95"/>
      <c r="C187" s="95"/>
      <c r="D187" s="95"/>
      <c r="E187" s="95"/>
      <c r="F187" s="95"/>
      <c r="G187" s="95"/>
      <c r="H187" s="96"/>
      <c r="J187" s="33"/>
    </row>
    <row r="188" spans="1:14" s="34" customFormat="1" x14ac:dyDescent="0.35">
      <c r="A188" s="94" t="s">
        <v>193</v>
      </c>
      <c r="B188" s="95"/>
      <c r="C188" s="95"/>
      <c r="D188" s="95"/>
      <c r="E188" s="95"/>
      <c r="F188" s="95"/>
      <c r="G188" s="95"/>
      <c r="H188" s="96"/>
      <c r="J188" s="33"/>
    </row>
    <row r="189" spans="1:14" s="34" customFormat="1" x14ac:dyDescent="0.35">
      <c r="A189" s="83">
        <v>103</v>
      </c>
      <c r="B189" s="84"/>
      <c r="C189" s="58" t="s">
        <v>194</v>
      </c>
      <c r="D189" s="59">
        <f>(33.837+0.75*(2.75+3+2.75+2.9))*10.764</f>
        <v>456.253668</v>
      </c>
      <c r="E189" s="58">
        <v>0</v>
      </c>
      <c r="F189" s="58">
        <v>755</v>
      </c>
      <c r="G189" s="86" t="str">
        <f>A188</f>
        <v>1st Floor For Residential</v>
      </c>
      <c r="H189" s="87"/>
      <c r="I189" s="33">
        <f>4*2.75+2.1+2.75*2.75+2.9*2.15+1.2*1.85+1.2*1.85+1.3*1</f>
        <v>32.637499999999996</v>
      </c>
      <c r="J189" s="48">
        <f>F189/D189</f>
        <v>1.6547812170136897</v>
      </c>
      <c r="L189" s="92"/>
      <c r="M189" s="92"/>
      <c r="N189" s="33"/>
    </row>
    <row r="190" spans="1:14" s="34" customFormat="1" x14ac:dyDescent="0.35">
      <c r="A190" s="83">
        <f t="shared" ref="A190" si="13">A189+1</f>
        <v>104</v>
      </c>
      <c r="B190" s="84"/>
      <c r="C190" s="58" t="s">
        <v>194</v>
      </c>
      <c r="D190" s="59">
        <f>(33.812+0.75*(2.75+3+2.75+2.9))*10.764</f>
        <v>455.98456799999991</v>
      </c>
      <c r="E190" s="58">
        <v>0</v>
      </c>
      <c r="F190" s="58">
        <v>755</v>
      </c>
      <c r="G190" s="90"/>
      <c r="H190" s="91"/>
      <c r="I190" s="33"/>
      <c r="J190" s="48">
        <f t="shared" ref="J190:J253" si="14">F190/D190</f>
        <v>1.6557577887153412</v>
      </c>
      <c r="L190" s="92"/>
      <c r="M190" s="92"/>
      <c r="N190" s="33"/>
    </row>
    <row r="191" spans="1:14" s="34" customFormat="1" x14ac:dyDescent="0.35">
      <c r="A191" s="85" t="s">
        <v>123</v>
      </c>
      <c r="B191" s="85"/>
      <c r="C191" s="85"/>
      <c r="D191" s="85"/>
      <c r="E191" s="85"/>
      <c r="F191" s="85"/>
      <c r="G191" s="85"/>
      <c r="H191" s="85"/>
      <c r="I191" s="33"/>
      <c r="J191" s="48" t="e">
        <f t="shared" si="14"/>
        <v>#DIV/0!</v>
      </c>
      <c r="L191" s="92"/>
      <c r="M191" s="92"/>
    </row>
    <row r="192" spans="1:14" s="34" customFormat="1" x14ac:dyDescent="0.35">
      <c r="A192" s="82">
        <v>201</v>
      </c>
      <c r="B192" s="82"/>
      <c r="C192" s="58" t="s">
        <v>194</v>
      </c>
      <c r="D192" s="59">
        <f>(46.938)*10.764</f>
        <v>505.24063200000001</v>
      </c>
      <c r="E192" s="59">
        <f>(1.5*5.05+8.25*2.2)*10.764</f>
        <v>276.90390000000002</v>
      </c>
      <c r="F192" s="58">
        <v>1000</v>
      </c>
      <c r="G192" s="86" t="str">
        <f>A191</f>
        <v>2nd Floor</v>
      </c>
      <c r="H192" s="87"/>
      <c r="I192" s="33">
        <f>2.75*4.35+2.15*1.5+3.4*1.85+2.75*2.9+1.2*1.85+1.2*1.85+2.5*3.95+1.2*1.2+1.2*1.5</f>
        <v>47.007499999999993</v>
      </c>
      <c r="J192" s="48">
        <f t="shared" si="14"/>
        <v>1.979254906798549</v>
      </c>
      <c r="K192" s="33">
        <f>3926000/F192</f>
        <v>3926</v>
      </c>
      <c r="N192" s="33"/>
    </row>
    <row r="193" spans="1:14" s="34" customFormat="1" x14ac:dyDescent="0.35">
      <c r="A193" s="82">
        <f>A192+1</f>
        <v>202</v>
      </c>
      <c r="B193" s="82"/>
      <c r="C193" s="58" t="s">
        <v>194</v>
      </c>
      <c r="D193" s="59">
        <f>(47.435+0.75*(3.35+1.85+2.75))*10.764</f>
        <v>574.77068999999995</v>
      </c>
      <c r="E193" s="59">
        <f>(3.95*2.2)*10.764</f>
        <v>93.53916000000001</v>
      </c>
      <c r="F193" s="58">
        <v>995</v>
      </c>
      <c r="G193" s="88"/>
      <c r="H193" s="89"/>
      <c r="I193" s="61">
        <f>4526000/F193</f>
        <v>4548.7437185929648</v>
      </c>
      <c r="J193" s="48">
        <f t="shared" si="14"/>
        <v>1.7311251553206377</v>
      </c>
      <c r="K193" s="33">
        <f>4526000/F193</f>
        <v>4548.7437185929648</v>
      </c>
      <c r="N193" s="33"/>
    </row>
    <row r="194" spans="1:14" s="34" customFormat="1" x14ac:dyDescent="0.35">
      <c r="A194" s="82">
        <f>A193+1</f>
        <v>203</v>
      </c>
      <c r="B194" s="82"/>
      <c r="C194" s="58" t="s">
        <v>194</v>
      </c>
      <c r="D194" s="59">
        <f>(33.837+0.75*(2.75+3+2.75+2.9))*10.764</f>
        <v>456.253668</v>
      </c>
      <c r="E194" s="59">
        <v>0</v>
      </c>
      <c r="F194" s="58">
        <v>755</v>
      </c>
      <c r="G194" s="88"/>
      <c r="H194" s="89"/>
      <c r="I194" s="33"/>
      <c r="J194" s="48">
        <f t="shared" si="14"/>
        <v>1.6547812170136897</v>
      </c>
      <c r="N194" s="33"/>
    </row>
    <row r="195" spans="1:14" s="34" customFormat="1" x14ac:dyDescent="0.35">
      <c r="A195" s="82">
        <f>A194+1</f>
        <v>204</v>
      </c>
      <c r="B195" s="82"/>
      <c r="C195" s="58" t="s">
        <v>194</v>
      </c>
      <c r="D195" s="59">
        <f>(33.812+0.75*(2.75+3+2.75+2.9))*10.764</f>
        <v>455.98456799999991</v>
      </c>
      <c r="E195" s="59">
        <v>0</v>
      </c>
      <c r="F195" s="58">
        <v>755</v>
      </c>
      <c r="G195" s="88"/>
      <c r="H195" s="89"/>
      <c r="I195" s="33"/>
      <c r="J195" s="48">
        <f t="shared" si="14"/>
        <v>1.6557577887153412</v>
      </c>
      <c r="N195" s="33"/>
    </row>
    <row r="196" spans="1:14" s="34" customFormat="1" x14ac:dyDescent="0.35">
      <c r="A196" s="82">
        <f>A195+1</f>
        <v>205</v>
      </c>
      <c r="B196" s="82"/>
      <c r="C196" s="58" t="s">
        <v>194</v>
      </c>
      <c r="D196" s="59">
        <f>(36.09+0.75*(2.75+1.85+2.5+2.9))*10.764</f>
        <v>469.20276000000001</v>
      </c>
      <c r="E196" s="59">
        <v>0</v>
      </c>
      <c r="F196" s="58">
        <v>790</v>
      </c>
      <c r="G196" s="88"/>
      <c r="H196" s="89"/>
      <c r="I196" s="33"/>
      <c r="J196" s="48">
        <f t="shared" si="14"/>
        <v>1.6837070608877065</v>
      </c>
      <c r="N196" s="33"/>
    </row>
    <row r="197" spans="1:14" s="45" customFormat="1" x14ac:dyDescent="0.35">
      <c r="A197" s="82">
        <f>A196+1</f>
        <v>206</v>
      </c>
      <c r="B197" s="82"/>
      <c r="C197" s="58" t="s">
        <v>194</v>
      </c>
      <c r="D197" s="59">
        <f>(38.84)*10.764</f>
        <v>418.07375999999999</v>
      </c>
      <c r="E197" s="59">
        <f>(5.7*7.2+2*8.2+2.75*9)*10.764</f>
        <v>884.69315999999992</v>
      </c>
      <c r="F197" s="58">
        <v>1150</v>
      </c>
      <c r="G197" s="90"/>
      <c r="H197" s="91"/>
      <c r="I197" s="33"/>
      <c r="J197" s="48">
        <f t="shared" si="14"/>
        <v>2.7507107836664995</v>
      </c>
      <c r="N197" s="33"/>
    </row>
    <row r="198" spans="1:14" s="45" customFormat="1" x14ac:dyDescent="0.35">
      <c r="A198" s="85" t="s">
        <v>195</v>
      </c>
      <c r="B198" s="85"/>
      <c r="C198" s="85"/>
      <c r="D198" s="85"/>
      <c r="E198" s="85"/>
      <c r="F198" s="85"/>
      <c r="G198" s="85"/>
      <c r="H198" s="85"/>
      <c r="I198" s="33"/>
      <c r="J198" s="48" t="e">
        <f t="shared" si="14"/>
        <v>#DIV/0!</v>
      </c>
      <c r="L198" s="92"/>
      <c r="M198" s="92"/>
    </row>
    <row r="199" spans="1:14" s="45" customFormat="1" x14ac:dyDescent="0.35">
      <c r="A199" s="82">
        <v>301</v>
      </c>
      <c r="B199" s="82"/>
      <c r="C199" s="58" t="s">
        <v>194</v>
      </c>
      <c r="D199" s="59">
        <f>(46.938+0.75*(1.6+5.05+2.75+2.5))*10.764</f>
        <v>601.30933199999993</v>
      </c>
      <c r="E199" s="59">
        <v>0</v>
      </c>
      <c r="F199" s="58">
        <v>940</v>
      </c>
      <c r="G199" s="86" t="str">
        <f>A198</f>
        <v>3rd Floor</v>
      </c>
      <c r="H199" s="87"/>
      <c r="I199" s="33">
        <f>(2.75*4.35+2.15*1.5+3.4*1.85+2.75*2.9+1.2*1.85+1.2*0.9+1.2*2.15+2.5*3.95+1.2*1.7+1.2*0.9)</f>
        <v>48.327499999999993</v>
      </c>
      <c r="J199" s="48">
        <f t="shared" si="14"/>
        <v>1.5632552996865847</v>
      </c>
      <c r="N199" s="33"/>
    </row>
    <row r="200" spans="1:14" s="45" customFormat="1" x14ac:dyDescent="0.35">
      <c r="A200" s="82">
        <f>A199+1</f>
        <v>302</v>
      </c>
      <c r="B200" s="82"/>
      <c r="C200" s="58" t="s">
        <v>194</v>
      </c>
      <c r="D200" s="59">
        <f>(47.435+0.75*(3.35+1.85+2.75+1.8+4.5))*10.764</f>
        <v>625.63058999999998</v>
      </c>
      <c r="E200" s="59">
        <v>0</v>
      </c>
      <c r="F200" s="58">
        <v>975</v>
      </c>
      <c r="G200" s="88"/>
      <c r="H200" s="89"/>
      <c r="I200" s="61">
        <f>4888000/F200</f>
        <v>5013.333333333333</v>
      </c>
      <c r="J200" s="48">
        <f t="shared" si="14"/>
        <v>1.558427633789454</v>
      </c>
      <c r="K200" s="45">
        <f>4888000/F200</f>
        <v>5013.333333333333</v>
      </c>
      <c r="N200" s="33"/>
    </row>
    <row r="201" spans="1:14" s="45" customFormat="1" x14ac:dyDescent="0.35">
      <c r="A201" s="82">
        <f>A200+1</f>
        <v>303</v>
      </c>
      <c r="B201" s="82"/>
      <c r="C201" s="58" t="s">
        <v>194</v>
      </c>
      <c r="D201" s="59">
        <f>(33.837+0.75*(2.75+3+2.75+2.9))*10.764</f>
        <v>456.253668</v>
      </c>
      <c r="E201" s="59">
        <v>0</v>
      </c>
      <c r="F201" s="58">
        <v>755</v>
      </c>
      <c r="G201" s="88"/>
      <c r="H201" s="89"/>
      <c r="I201" s="33"/>
      <c r="J201" s="48">
        <f t="shared" si="14"/>
        <v>1.6547812170136897</v>
      </c>
      <c r="N201" s="33"/>
    </row>
    <row r="202" spans="1:14" s="45" customFormat="1" x14ac:dyDescent="0.35">
      <c r="A202" s="82">
        <f>A201+1</f>
        <v>304</v>
      </c>
      <c r="B202" s="82"/>
      <c r="C202" s="58" t="s">
        <v>194</v>
      </c>
      <c r="D202" s="59">
        <f>(33.812+0.75*(2.75+3+2.75+2.9))*10.764</f>
        <v>455.98456799999991</v>
      </c>
      <c r="E202" s="59">
        <v>0</v>
      </c>
      <c r="F202" s="58">
        <v>755</v>
      </c>
      <c r="G202" s="88"/>
      <c r="H202" s="89"/>
      <c r="I202" s="33"/>
      <c r="J202" s="48">
        <f t="shared" si="14"/>
        <v>1.6557577887153412</v>
      </c>
      <c r="N202" s="33"/>
    </row>
    <row r="203" spans="1:14" s="45" customFormat="1" x14ac:dyDescent="0.35">
      <c r="A203" s="82">
        <f>A202+1</f>
        <v>305</v>
      </c>
      <c r="B203" s="82"/>
      <c r="C203" s="58" t="s">
        <v>194</v>
      </c>
      <c r="D203" s="59">
        <f>(36.09+0.75*(2.75+1.85+2.5+2.9))*10.764</f>
        <v>469.20276000000001</v>
      </c>
      <c r="E203" s="59">
        <v>0</v>
      </c>
      <c r="F203" s="58">
        <v>790</v>
      </c>
      <c r="G203" s="88"/>
      <c r="H203" s="89"/>
      <c r="I203" s="33"/>
      <c r="J203" s="48">
        <f t="shared" si="14"/>
        <v>1.6837070608877065</v>
      </c>
      <c r="N203" s="33"/>
    </row>
    <row r="204" spans="1:14" s="45" customFormat="1" x14ac:dyDescent="0.35">
      <c r="A204" s="82">
        <f>A203+1</f>
        <v>306</v>
      </c>
      <c r="B204" s="82"/>
      <c r="C204" s="58" t="s">
        <v>194</v>
      </c>
      <c r="D204" s="59">
        <f>(38.84+0.75*(2.75+1.85+2.5+2.9))*10.764</f>
        <v>498.80376000000001</v>
      </c>
      <c r="E204" s="59">
        <v>0</v>
      </c>
      <c r="F204" s="58">
        <v>790</v>
      </c>
      <c r="G204" s="90"/>
      <c r="H204" s="91"/>
      <c r="I204" s="33"/>
      <c r="J204" s="48">
        <f t="shared" si="14"/>
        <v>1.583789183946809</v>
      </c>
      <c r="N204" s="33"/>
    </row>
    <row r="205" spans="1:14" s="45" customFormat="1" x14ac:dyDescent="0.35">
      <c r="A205" s="85" t="s">
        <v>196</v>
      </c>
      <c r="B205" s="85"/>
      <c r="C205" s="85"/>
      <c r="D205" s="85"/>
      <c r="E205" s="85"/>
      <c r="F205" s="85"/>
      <c r="G205" s="85"/>
      <c r="H205" s="85"/>
      <c r="I205" s="33"/>
      <c r="J205" s="48" t="e">
        <f t="shared" si="14"/>
        <v>#DIV/0!</v>
      </c>
      <c r="L205" s="92"/>
      <c r="M205" s="92"/>
    </row>
    <row r="206" spans="1:14" s="45" customFormat="1" x14ac:dyDescent="0.35">
      <c r="A206" s="82" t="str">
        <f>N206</f>
        <v>401,…,1001</v>
      </c>
      <c r="B206" s="82"/>
      <c r="C206" s="58" t="s">
        <v>194</v>
      </c>
      <c r="D206" s="59">
        <f>(40.165+0.75*(5.05+2.75+2.5))*10.764</f>
        <v>515.48795999999993</v>
      </c>
      <c r="E206" s="59">
        <v>0</v>
      </c>
      <c r="F206" s="58">
        <v>940</v>
      </c>
      <c r="G206" s="86" t="str">
        <f>A205</f>
        <v>4th to 7th &amp; 9th to 10th Floor</v>
      </c>
      <c r="H206" s="87"/>
      <c r="I206" s="61">
        <f>3926000/F206</f>
        <v>4176.5957446808507</v>
      </c>
      <c r="J206" s="48">
        <f t="shared" si="14"/>
        <v>1.8235149468864416</v>
      </c>
      <c r="L206" s="45">
        <v>401</v>
      </c>
      <c r="M206" s="45">
        <v>1001</v>
      </c>
      <c r="N206" s="33" t="str">
        <f>L206&amp;""&amp;",…,"&amp;""&amp;M206</f>
        <v>401,…,1001</v>
      </c>
    </row>
    <row r="207" spans="1:14" s="45" customFormat="1" x14ac:dyDescent="0.35">
      <c r="A207" s="82" t="str">
        <f t="shared" ref="A207:A211" si="15">N207</f>
        <v>402,…,1002</v>
      </c>
      <c r="B207" s="82"/>
      <c r="C207" s="58" t="s">
        <v>194</v>
      </c>
      <c r="D207" s="59">
        <f>(43.441+0.75*(3.35+1.85+2.75+4.5))*10.764</f>
        <v>568.10777399999995</v>
      </c>
      <c r="E207" s="59">
        <v>0</v>
      </c>
      <c r="F207" s="58">
        <v>975</v>
      </c>
      <c r="G207" s="88"/>
      <c r="H207" s="89"/>
      <c r="I207" s="33"/>
      <c r="J207" s="48">
        <f t="shared" si="14"/>
        <v>1.7162236544223035</v>
      </c>
      <c r="L207" s="45">
        <v>402</v>
      </c>
      <c r="M207" s="45">
        <v>1002</v>
      </c>
      <c r="N207" s="33" t="str">
        <f t="shared" ref="N207:N211" si="16">L207&amp;""&amp;",…,"&amp;""&amp;M207</f>
        <v>402,…,1002</v>
      </c>
    </row>
    <row r="208" spans="1:14" s="45" customFormat="1" x14ac:dyDescent="0.35">
      <c r="A208" s="82" t="str">
        <f t="shared" si="15"/>
        <v>403,…,1003</v>
      </c>
      <c r="B208" s="82"/>
      <c r="C208" s="58" t="s">
        <v>194</v>
      </c>
      <c r="D208" s="59">
        <f>(35.622+0.75*(2.75+3+2.75+2.9))*10.764</f>
        <v>475.46740799999992</v>
      </c>
      <c r="E208" s="59">
        <v>0</v>
      </c>
      <c r="F208" s="58">
        <v>755</v>
      </c>
      <c r="G208" s="88"/>
      <c r="H208" s="89"/>
      <c r="I208" s="33"/>
      <c r="J208" s="48">
        <f t="shared" si="14"/>
        <v>1.5879111528923138</v>
      </c>
      <c r="L208" s="50">
        <v>403</v>
      </c>
      <c r="M208" s="50">
        <v>1003</v>
      </c>
      <c r="N208" s="33" t="str">
        <f t="shared" si="16"/>
        <v>403,…,1003</v>
      </c>
    </row>
    <row r="209" spans="1:14" s="45" customFormat="1" x14ac:dyDescent="0.35">
      <c r="A209" s="82" t="str">
        <f t="shared" si="15"/>
        <v>404,…,1004</v>
      </c>
      <c r="B209" s="82"/>
      <c r="C209" s="58" t="s">
        <v>194</v>
      </c>
      <c r="D209" s="59">
        <f>(35.46+0.75*(2.75+3+2.75+2.9))*10.764</f>
        <v>473.72364000000005</v>
      </c>
      <c r="E209" s="59">
        <v>0</v>
      </c>
      <c r="F209" s="58">
        <v>755</v>
      </c>
      <c r="G209" s="88"/>
      <c r="H209" s="89"/>
      <c r="I209" s="33"/>
      <c r="J209" s="48">
        <f t="shared" si="14"/>
        <v>1.5937562246207513</v>
      </c>
      <c r="L209" s="50">
        <v>404</v>
      </c>
      <c r="M209" s="50">
        <v>1004</v>
      </c>
      <c r="N209" s="33" t="str">
        <f t="shared" si="16"/>
        <v>404,…,1004</v>
      </c>
    </row>
    <row r="210" spans="1:14" s="45" customFormat="1" x14ac:dyDescent="0.35">
      <c r="A210" s="82" t="str">
        <f t="shared" si="15"/>
        <v>405,…,1005</v>
      </c>
      <c r="B210" s="82"/>
      <c r="C210" s="58" t="s">
        <v>194</v>
      </c>
      <c r="D210" s="59">
        <f>(35.467+0.75*(2.75+1.85+2.5+2.9))*10.764</f>
        <v>462.49678799999998</v>
      </c>
      <c r="E210" s="59">
        <v>0</v>
      </c>
      <c r="F210" s="58">
        <v>790</v>
      </c>
      <c r="G210" s="88"/>
      <c r="H210" s="89"/>
      <c r="I210" s="33"/>
      <c r="J210" s="48">
        <f t="shared" si="14"/>
        <v>1.7081199707704782</v>
      </c>
      <c r="L210" s="50">
        <v>405</v>
      </c>
      <c r="M210" s="50">
        <v>1005</v>
      </c>
      <c r="N210" s="33" t="str">
        <f t="shared" si="16"/>
        <v>405,…,1005</v>
      </c>
    </row>
    <row r="211" spans="1:14" s="45" customFormat="1" x14ac:dyDescent="0.35">
      <c r="A211" s="82" t="str">
        <f t="shared" si="15"/>
        <v>406,…,1006</v>
      </c>
      <c r="B211" s="82"/>
      <c r="C211" s="58" t="s">
        <v>194</v>
      </c>
      <c r="D211" s="59">
        <f>(35.467+0.75*(2.75+1.85+2.5+2.9))*10.764</f>
        <v>462.49678799999998</v>
      </c>
      <c r="E211" s="59">
        <v>0</v>
      </c>
      <c r="F211" s="58">
        <v>790</v>
      </c>
      <c r="G211" s="90"/>
      <c r="H211" s="91"/>
      <c r="I211" s="33"/>
      <c r="J211" s="48">
        <f t="shared" si="14"/>
        <v>1.7081199707704782</v>
      </c>
      <c r="L211" s="50">
        <v>406</v>
      </c>
      <c r="M211" s="50">
        <v>1006</v>
      </c>
      <c r="N211" s="33" t="str">
        <f t="shared" si="16"/>
        <v>406,…,1006</v>
      </c>
    </row>
    <row r="212" spans="1:14" s="45" customFormat="1" x14ac:dyDescent="0.35">
      <c r="A212" s="85" t="s">
        <v>197</v>
      </c>
      <c r="B212" s="85"/>
      <c r="C212" s="85"/>
      <c r="D212" s="85"/>
      <c r="E212" s="85"/>
      <c r="F212" s="85"/>
      <c r="G212" s="85"/>
      <c r="H212" s="85"/>
      <c r="I212" s="33"/>
      <c r="J212" s="48" t="e">
        <f t="shared" si="14"/>
        <v>#DIV/0!</v>
      </c>
      <c r="L212" s="92"/>
      <c r="M212" s="92"/>
    </row>
    <row r="213" spans="1:14" s="45" customFormat="1" x14ac:dyDescent="0.35">
      <c r="A213" s="82">
        <v>1</v>
      </c>
      <c r="B213" s="82"/>
      <c r="C213" s="83" t="s">
        <v>198</v>
      </c>
      <c r="D213" s="93"/>
      <c r="E213" s="93"/>
      <c r="F213" s="84"/>
      <c r="G213" s="86" t="str">
        <f>A212</f>
        <v>8th Floor (Part Refuge Area)</v>
      </c>
      <c r="H213" s="87"/>
      <c r="I213" s="33"/>
      <c r="J213" s="48" t="e">
        <f t="shared" si="14"/>
        <v>#DIV/0!</v>
      </c>
      <c r="N213" s="33"/>
    </row>
    <row r="214" spans="1:14" s="45" customFormat="1" x14ac:dyDescent="0.35">
      <c r="A214" s="82">
        <f>A213+1</f>
        <v>2</v>
      </c>
      <c r="B214" s="82"/>
      <c r="C214" s="58" t="s">
        <v>194</v>
      </c>
      <c r="D214" s="59">
        <f>(44.011+0.75*(3.35+1.85+2.75+4.5))*10.764</f>
        <v>574.24325399999998</v>
      </c>
      <c r="E214" s="59">
        <v>0</v>
      </c>
      <c r="F214" s="58">
        <v>975</v>
      </c>
      <c r="G214" s="88"/>
      <c r="H214" s="89"/>
      <c r="I214" s="33"/>
      <c r="J214" s="48">
        <f t="shared" si="14"/>
        <v>1.6978867286789232</v>
      </c>
      <c r="N214" s="33"/>
    </row>
    <row r="215" spans="1:14" s="45" customFormat="1" x14ac:dyDescent="0.35">
      <c r="A215" s="82">
        <f>A214+1</f>
        <v>3</v>
      </c>
      <c r="B215" s="82"/>
      <c r="C215" s="58" t="s">
        <v>194</v>
      </c>
      <c r="D215" s="59">
        <f>(35.622+0.75*(2.75+3+2.75+2.9))*10.764</f>
        <v>475.46740799999992</v>
      </c>
      <c r="E215" s="59">
        <v>0</v>
      </c>
      <c r="F215" s="58">
        <v>755</v>
      </c>
      <c r="G215" s="88"/>
      <c r="H215" s="89"/>
      <c r="I215" s="33"/>
      <c r="J215" s="48">
        <f t="shared" si="14"/>
        <v>1.5879111528923138</v>
      </c>
      <c r="N215" s="33"/>
    </row>
    <row r="216" spans="1:14" s="45" customFormat="1" x14ac:dyDescent="0.35">
      <c r="A216" s="82">
        <f>A215+1</f>
        <v>4</v>
      </c>
      <c r="B216" s="82"/>
      <c r="C216" s="58" t="s">
        <v>194</v>
      </c>
      <c r="D216" s="59">
        <f>(35.46+0.75*(2.75+3+2.75+2.9))*10.764</f>
        <v>473.72364000000005</v>
      </c>
      <c r="E216" s="59">
        <v>0</v>
      </c>
      <c r="F216" s="58">
        <v>755</v>
      </c>
      <c r="G216" s="88"/>
      <c r="H216" s="89"/>
      <c r="I216" s="33"/>
      <c r="J216" s="48">
        <f t="shared" si="14"/>
        <v>1.5937562246207513</v>
      </c>
      <c r="N216" s="33"/>
    </row>
    <row r="217" spans="1:14" s="45" customFormat="1" x14ac:dyDescent="0.35">
      <c r="A217" s="82">
        <f>A216+1</f>
        <v>5</v>
      </c>
      <c r="B217" s="82"/>
      <c r="C217" s="58" t="s">
        <v>194</v>
      </c>
      <c r="D217" s="59">
        <f>(35.467+0.75*(2.75+1.85+2.5+2.9))*10.764</f>
        <v>462.49678799999998</v>
      </c>
      <c r="E217" s="59">
        <v>0</v>
      </c>
      <c r="F217" s="58">
        <v>790</v>
      </c>
      <c r="G217" s="88"/>
      <c r="H217" s="89"/>
      <c r="I217" s="33"/>
      <c r="J217" s="48">
        <f t="shared" si="14"/>
        <v>1.7081199707704782</v>
      </c>
      <c r="N217" s="33"/>
    </row>
    <row r="218" spans="1:14" s="45" customFormat="1" x14ac:dyDescent="0.35">
      <c r="A218" s="82">
        <f>A217+1</f>
        <v>6</v>
      </c>
      <c r="B218" s="82"/>
      <c r="C218" s="58" t="s">
        <v>194</v>
      </c>
      <c r="D218" s="59">
        <f>(35.467+0.75*(2.75+1.85+2.5+2.9))*10.764</f>
        <v>462.49678799999998</v>
      </c>
      <c r="E218" s="59">
        <v>0</v>
      </c>
      <c r="F218" s="58">
        <v>790</v>
      </c>
      <c r="G218" s="90"/>
      <c r="H218" s="91"/>
      <c r="I218" s="33"/>
      <c r="J218" s="48">
        <f t="shared" si="14"/>
        <v>1.7081199707704782</v>
      </c>
      <c r="N218" s="33"/>
    </row>
    <row r="219" spans="1:14" s="45" customFormat="1" x14ac:dyDescent="0.35">
      <c r="A219" s="85" t="s">
        <v>199</v>
      </c>
      <c r="B219" s="85"/>
      <c r="C219" s="85"/>
      <c r="D219" s="85"/>
      <c r="E219" s="85"/>
      <c r="F219" s="85"/>
      <c r="G219" s="85"/>
      <c r="H219" s="85"/>
      <c r="I219" s="33"/>
      <c r="J219" s="48" t="e">
        <f t="shared" si="14"/>
        <v>#DIV/0!</v>
      </c>
      <c r="L219" s="92"/>
      <c r="M219" s="92"/>
    </row>
    <row r="220" spans="1:14" s="45" customFormat="1" x14ac:dyDescent="0.35">
      <c r="A220" s="82" t="str">
        <f>M220</f>
        <v>1101 &amp;1201</v>
      </c>
      <c r="B220" s="82"/>
      <c r="C220" s="58" t="s">
        <v>200</v>
      </c>
      <c r="D220" s="59">
        <f>(16.855+0.75*(3.05+2))*10.764</f>
        <v>222.19586999999996</v>
      </c>
      <c r="E220" s="59">
        <v>0</v>
      </c>
      <c r="F220" s="58">
        <f>D220*1.65</f>
        <v>366.62318549999992</v>
      </c>
      <c r="G220" s="86" t="str">
        <f>A219</f>
        <v>11th &amp; 12th Floor</v>
      </c>
      <c r="H220" s="87"/>
      <c r="I220" s="33"/>
      <c r="J220" s="48">
        <f t="shared" si="14"/>
        <v>1.65</v>
      </c>
      <c r="K220" s="45">
        <v>1101</v>
      </c>
      <c r="L220" s="45">
        <v>1201</v>
      </c>
      <c r="M220" s="45" t="str">
        <f>K220&amp;""&amp;" &amp;"&amp;""&amp;L220</f>
        <v>1101 &amp;1201</v>
      </c>
      <c r="N220" s="33"/>
    </row>
    <row r="221" spans="1:14" s="45" customFormat="1" x14ac:dyDescent="0.35">
      <c r="A221" s="82" t="str">
        <f t="shared" ref="A221:A230" si="17">M221</f>
        <v>1102 &amp;1202</v>
      </c>
      <c r="B221" s="82"/>
      <c r="C221" s="58" t="s">
        <v>200</v>
      </c>
      <c r="D221" s="59">
        <f>(17.397+0.75*4.43)*10.764</f>
        <v>223.02469799999994</v>
      </c>
      <c r="E221" s="59">
        <v>0</v>
      </c>
      <c r="F221" s="58">
        <f t="shared" ref="F221:F230" si="18">D221*1.65</f>
        <v>367.99075169999986</v>
      </c>
      <c r="G221" s="88"/>
      <c r="H221" s="89"/>
      <c r="I221" s="33"/>
      <c r="J221" s="48">
        <f t="shared" si="14"/>
        <v>1.6499999999999997</v>
      </c>
      <c r="K221" s="45">
        <v>1102</v>
      </c>
      <c r="L221" s="45">
        <v>1202</v>
      </c>
      <c r="M221" s="50" t="str">
        <f t="shared" ref="M221:M230" si="19">K221&amp;""&amp;" &amp;"&amp;""&amp;L221</f>
        <v>1102 &amp;1202</v>
      </c>
      <c r="N221" s="33"/>
    </row>
    <row r="222" spans="1:14" s="45" customFormat="1" x14ac:dyDescent="0.35">
      <c r="A222" s="82" t="str">
        <f t="shared" si="17"/>
        <v>1103 &amp;1203</v>
      </c>
      <c r="B222" s="82"/>
      <c r="C222" s="58" t="s">
        <v>200</v>
      </c>
      <c r="D222" s="59">
        <f>(17.397+0.75*4.43)*10.764</f>
        <v>223.02469799999994</v>
      </c>
      <c r="E222" s="59">
        <v>0</v>
      </c>
      <c r="F222" s="58">
        <f t="shared" si="18"/>
        <v>367.99075169999986</v>
      </c>
      <c r="G222" s="88"/>
      <c r="H222" s="89"/>
      <c r="I222" s="33"/>
      <c r="J222" s="48">
        <f t="shared" si="14"/>
        <v>1.6499999999999997</v>
      </c>
      <c r="K222" s="50">
        <v>1103</v>
      </c>
      <c r="L222" s="50">
        <v>1203</v>
      </c>
      <c r="M222" s="50" t="str">
        <f t="shared" si="19"/>
        <v>1103 &amp;1203</v>
      </c>
      <c r="N222" s="33"/>
    </row>
    <row r="223" spans="1:14" s="45" customFormat="1" x14ac:dyDescent="0.35">
      <c r="A223" s="82" t="str">
        <f t="shared" si="17"/>
        <v>1104 &amp;1204</v>
      </c>
      <c r="B223" s="82"/>
      <c r="C223" s="58" t="s">
        <v>200</v>
      </c>
      <c r="D223" s="59">
        <f>(16.855+0.75*(3.05+2))*10.764</f>
        <v>222.19586999999996</v>
      </c>
      <c r="E223" s="59">
        <v>0</v>
      </c>
      <c r="F223" s="58">
        <f t="shared" si="18"/>
        <v>366.62318549999992</v>
      </c>
      <c r="G223" s="88"/>
      <c r="H223" s="89"/>
      <c r="I223" s="33"/>
      <c r="J223" s="48">
        <f t="shared" si="14"/>
        <v>1.65</v>
      </c>
      <c r="K223" s="50">
        <v>1104</v>
      </c>
      <c r="L223" s="50">
        <v>1204</v>
      </c>
      <c r="M223" s="50" t="str">
        <f t="shared" si="19"/>
        <v>1104 &amp;1204</v>
      </c>
      <c r="N223" s="33"/>
    </row>
    <row r="224" spans="1:14" s="45" customFormat="1" x14ac:dyDescent="0.35">
      <c r="A224" s="82" t="str">
        <f t="shared" si="17"/>
        <v>1105 &amp;1205</v>
      </c>
      <c r="B224" s="82"/>
      <c r="C224" s="58" t="s">
        <v>200</v>
      </c>
      <c r="D224" s="59">
        <f>(26+0.75*(1.6+5.05+2.75))*10.764</f>
        <v>355.75019999999995</v>
      </c>
      <c r="E224" s="59">
        <v>0</v>
      </c>
      <c r="F224" s="58">
        <f t="shared" si="18"/>
        <v>586.98782999999992</v>
      </c>
      <c r="G224" s="88"/>
      <c r="H224" s="89"/>
      <c r="I224" s="33"/>
      <c r="J224" s="48">
        <f t="shared" si="14"/>
        <v>1.65</v>
      </c>
      <c r="K224" s="50">
        <v>1105</v>
      </c>
      <c r="L224" s="50">
        <v>1205</v>
      </c>
      <c r="M224" s="50" t="str">
        <f t="shared" si="19"/>
        <v>1105 &amp;1205</v>
      </c>
      <c r="N224" s="33"/>
    </row>
    <row r="225" spans="1:14" s="45" customFormat="1" x14ac:dyDescent="0.35">
      <c r="A225" s="82" t="str">
        <f t="shared" si="17"/>
        <v>1106 &amp;1206</v>
      </c>
      <c r="B225" s="82"/>
      <c r="C225" s="58" t="s">
        <v>200</v>
      </c>
      <c r="D225" s="59">
        <f>(23.235+0.75*2.5)*10.764</f>
        <v>270.28404</v>
      </c>
      <c r="E225" s="59">
        <v>0</v>
      </c>
      <c r="F225" s="58">
        <f t="shared" si="18"/>
        <v>445.96866599999998</v>
      </c>
      <c r="G225" s="88"/>
      <c r="H225" s="89"/>
      <c r="I225" s="33"/>
      <c r="J225" s="48">
        <f t="shared" si="14"/>
        <v>1.65</v>
      </c>
      <c r="K225" s="50">
        <v>1106</v>
      </c>
      <c r="L225" s="50">
        <v>1206</v>
      </c>
      <c r="M225" s="50" t="str">
        <f t="shared" si="19"/>
        <v>1106 &amp;1206</v>
      </c>
      <c r="N225" s="33"/>
    </row>
    <row r="226" spans="1:14" s="45" customFormat="1" x14ac:dyDescent="0.35">
      <c r="A226" s="82" t="str">
        <f t="shared" si="17"/>
        <v>1107 &amp;1207</v>
      </c>
      <c r="B226" s="82"/>
      <c r="C226" s="58" t="s">
        <v>200</v>
      </c>
      <c r="D226" s="59">
        <f>(19.245+0.75*(4.95+0.9))*10.764</f>
        <v>254.38022999999998</v>
      </c>
      <c r="E226" s="59">
        <v>0</v>
      </c>
      <c r="F226" s="58">
        <f t="shared" si="18"/>
        <v>419.72737949999993</v>
      </c>
      <c r="G226" s="88"/>
      <c r="H226" s="89"/>
      <c r="I226" s="33"/>
      <c r="J226" s="48">
        <f t="shared" si="14"/>
        <v>1.65</v>
      </c>
      <c r="K226" s="50">
        <v>1107</v>
      </c>
      <c r="L226" s="50">
        <v>1207</v>
      </c>
      <c r="M226" s="50" t="str">
        <f t="shared" si="19"/>
        <v>1107 &amp;1207</v>
      </c>
      <c r="N226" s="33"/>
    </row>
    <row r="227" spans="1:14" s="45" customFormat="1" x14ac:dyDescent="0.35">
      <c r="A227" s="82" t="str">
        <f t="shared" si="17"/>
        <v>1108 &amp;1208</v>
      </c>
      <c r="B227" s="82"/>
      <c r="C227" s="58" t="s">
        <v>200</v>
      </c>
      <c r="D227" s="59">
        <f>(25.118+0.75*(2.3+2+3.5))*10.764</f>
        <v>333.33955199999997</v>
      </c>
      <c r="E227" s="59">
        <v>0</v>
      </c>
      <c r="F227" s="58">
        <f t="shared" si="18"/>
        <v>550.01026079999997</v>
      </c>
      <c r="G227" s="88"/>
      <c r="H227" s="89"/>
      <c r="I227" s="33"/>
      <c r="J227" s="48">
        <f t="shared" si="14"/>
        <v>1.6500000000000001</v>
      </c>
      <c r="K227" s="50">
        <v>1108</v>
      </c>
      <c r="L227" s="50">
        <v>1208</v>
      </c>
      <c r="M227" s="50" t="str">
        <f t="shared" si="19"/>
        <v>1108 &amp;1208</v>
      </c>
      <c r="N227" s="33"/>
    </row>
    <row r="228" spans="1:14" s="45" customFormat="1" x14ac:dyDescent="0.35">
      <c r="A228" s="82" t="str">
        <f t="shared" si="17"/>
        <v>1109 &amp;1209</v>
      </c>
      <c r="B228" s="82"/>
      <c r="C228" s="58" t="s">
        <v>200</v>
      </c>
      <c r="D228" s="59">
        <f>(22.902+0.75*(4.05+3.05))*10.764</f>
        <v>303.83542799999998</v>
      </c>
      <c r="E228" s="59">
        <v>0</v>
      </c>
      <c r="F228" s="58">
        <f t="shared" si="18"/>
        <v>501.32845619999995</v>
      </c>
      <c r="G228" s="88"/>
      <c r="H228" s="89"/>
      <c r="I228" s="33"/>
      <c r="J228" s="48">
        <f t="shared" si="14"/>
        <v>1.65</v>
      </c>
      <c r="K228" s="50">
        <v>1109</v>
      </c>
      <c r="L228" s="50">
        <v>1209</v>
      </c>
      <c r="M228" s="50" t="str">
        <f t="shared" si="19"/>
        <v>1109 &amp;1209</v>
      </c>
      <c r="N228" s="33"/>
    </row>
    <row r="229" spans="1:14" s="45" customFormat="1" x14ac:dyDescent="0.35">
      <c r="A229" s="82" t="str">
        <f t="shared" si="17"/>
        <v>1110 &amp;1210</v>
      </c>
      <c r="B229" s="82"/>
      <c r="C229" s="58" t="s">
        <v>200</v>
      </c>
      <c r="D229" s="59">
        <f>(26.048+0.75*(6.25))*10.764</f>
        <v>330.83692199999996</v>
      </c>
      <c r="E229" s="59">
        <v>0</v>
      </c>
      <c r="F229" s="58">
        <f t="shared" si="18"/>
        <v>545.88092129999995</v>
      </c>
      <c r="G229" s="88"/>
      <c r="H229" s="89"/>
      <c r="I229" s="33"/>
      <c r="J229" s="48">
        <f t="shared" si="14"/>
        <v>1.6500000000000001</v>
      </c>
      <c r="K229" s="50">
        <v>1110</v>
      </c>
      <c r="L229" s="50">
        <v>1210</v>
      </c>
      <c r="M229" s="50" t="str">
        <f t="shared" si="19"/>
        <v>1110 &amp;1210</v>
      </c>
      <c r="N229" s="33"/>
    </row>
    <row r="230" spans="1:14" s="45" customFormat="1" x14ac:dyDescent="0.35">
      <c r="A230" s="82" t="str">
        <f t="shared" si="17"/>
        <v>1111 &amp;1211</v>
      </c>
      <c r="B230" s="82"/>
      <c r="C230" s="58" t="s">
        <v>200</v>
      </c>
      <c r="D230" s="59">
        <f>(21.868+0.75*(4.7+3.05))*10.764</f>
        <v>297.95290199999999</v>
      </c>
      <c r="E230" s="59">
        <v>0</v>
      </c>
      <c r="F230" s="58">
        <f t="shared" si="18"/>
        <v>491.62228829999998</v>
      </c>
      <c r="G230" s="90"/>
      <c r="H230" s="91"/>
      <c r="I230" s="33"/>
      <c r="J230" s="48">
        <f t="shared" si="14"/>
        <v>1.65</v>
      </c>
      <c r="K230" s="50">
        <v>1111</v>
      </c>
      <c r="L230" s="50">
        <v>1211</v>
      </c>
      <c r="M230" s="50" t="str">
        <f t="shared" si="19"/>
        <v>1111 &amp;1211</v>
      </c>
      <c r="N230" s="33"/>
    </row>
    <row r="231" spans="1:14" s="45" customFormat="1" x14ac:dyDescent="0.35">
      <c r="A231" s="85" t="s">
        <v>233</v>
      </c>
      <c r="B231" s="85"/>
      <c r="C231" s="85"/>
      <c r="D231" s="85"/>
      <c r="E231" s="85"/>
      <c r="F231" s="85"/>
      <c r="G231" s="85"/>
      <c r="H231" s="85"/>
      <c r="I231" s="33"/>
      <c r="J231" s="48" t="e">
        <f t="shared" si="14"/>
        <v>#DIV/0!</v>
      </c>
      <c r="L231" s="92"/>
      <c r="M231" s="92"/>
    </row>
    <row r="232" spans="1:14" s="45" customFormat="1" x14ac:dyDescent="0.35">
      <c r="A232" s="82">
        <v>1301</v>
      </c>
      <c r="B232" s="82"/>
      <c r="C232" s="58" t="s">
        <v>200</v>
      </c>
      <c r="D232" s="59">
        <f>(16.855+0.75*(3.05+2))*10.764</f>
        <v>222.19586999999996</v>
      </c>
      <c r="E232" s="59">
        <v>0</v>
      </c>
      <c r="F232" s="58">
        <f>1.65*D232</f>
        <v>366.62318549999992</v>
      </c>
      <c r="G232" s="86" t="str">
        <f>A231</f>
        <v>13th Floor (Part Terrace Area)</v>
      </c>
      <c r="H232" s="87"/>
      <c r="I232" s="33"/>
      <c r="J232" s="48">
        <f t="shared" si="14"/>
        <v>1.65</v>
      </c>
      <c r="N232" s="33"/>
    </row>
    <row r="233" spans="1:14" s="45" customFormat="1" x14ac:dyDescent="0.35">
      <c r="A233" s="82">
        <f t="shared" ref="A233:A240" si="20">A232+1</f>
        <v>1302</v>
      </c>
      <c r="B233" s="82"/>
      <c r="C233" s="58" t="s">
        <v>200</v>
      </c>
      <c r="D233" s="59">
        <f>(17.397+0.75*4.43)*10.764</f>
        <v>223.02469799999994</v>
      </c>
      <c r="E233" s="59">
        <v>0</v>
      </c>
      <c r="F233" s="58">
        <f t="shared" ref="F233:F240" si="21">1.65*D233</f>
        <v>367.99075169999986</v>
      </c>
      <c r="G233" s="88"/>
      <c r="H233" s="89"/>
      <c r="I233" s="33"/>
      <c r="J233" s="48">
        <f t="shared" si="14"/>
        <v>1.6499999999999997</v>
      </c>
      <c r="N233" s="33"/>
    </row>
    <row r="234" spans="1:14" s="45" customFormat="1" x14ac:dyDescent="0.35">
      <c r="A234" s="82">
        <f t="shared" si="20"/>
        <v>1303</v>
      </c>
      <c r="B234" s="82"/>
      <c r="C234" s="58" t="s">
        <v>200</v>
      </c>
      <c r="D234" s="59">
        <f>(17.397+0.75*4.43)*10.764</f>
        <v>223.02469799999994</v>
      </c>
      <c r="E234" s="59">
        <v>0</v>
      </c>
      <c r="F234" s="58">
        <f t="shared" si="21"/>
        <v>367.99075169999986</v>
      </c>
      <c r="G234" s="88"/>
      <c r="H234" s="89"/>
      <c r="I234" s="33"/>
      <c r="J234" s="48">
        <f t="shared" si="14"/>
        <v>1.6499999999999997</v>
      </c>
      <c r="N234" s="33"/>
    </row>
    <row r="235" spans="1:14" s="45" customFormat="1" x14ac:dyDescent="0.35">
      <c r="A235" s="82">
        <f t="shared" si="20"/>
        <v>1304</v>
      </c>
      <c r="B235" s="82"/>
      <c r="C235" s="58" t="s">
        <v>200</v>
      </c>
      <c r="D235" s="59">
        <f>(16.855+0.75*(3.05+2))*10.764</f>
        <v>222.19586999999996</v>
      </c>
      <c r="E235" s="59">
        <v>0</v>
      </c>
      <c r="F235" s="58">
        <f t="shared" si="21"/>
        <v>366.62318549999992</v>
      </c>
      <c r="G235" s="88"/>
      <c r="H235" s="89"/>
      <c r="I235" s="33"/>
      <c r="J235" s="48">
        <f t="shared" si="14"/>
        <v>1.65</v>
      </c>
      <c r="N235" s="33"/>
    </row>
    <row r="236" spans="1:14" s="45" customFormat="1" x14ac:dyDescent="0.35">
      <c r="A236" s="82">
        <v>1305</v>
      </c>
      <c r="B236" s="82"/>
      <c r="C236" s="58" t="s">
        <v>200</v>
      </c>
      <c r="D236" s="59">
        <f>(19.245+0.75*(4.95+0.9))*10.764</f>
        <v>254.38022999999998</v>
      </c>
      <c r="E236" s="59">
        <v>0</v>
      </c>
      <c r="F236" s="58">
        <f t="shared" si="21"/>
        <v>419.72737949999993</v>
      </c>
      <c r="G236" s="88"/>
      <c r="H236" s="89"/>
      <c r="I236" s="33"/>
      <c r="J236" s="48">
        <f t="shared" si="14"/>
        <v>1.65</v>
      </c>
      <c r="N236" s="33"/>
    </row>
    <row r="237" spans="1:14" s="45" customFormat="1" x14ac:dyDescent="0.35">
      <c r="A237" s="82">
        <f t="shared" si="20"/>
        <v>1306</v>
      </c>
      <c r="B237" s="82"/>
      <c r="C237" s="58" t="s">
        <v>200</v>
      </c>
      <c r="D237" s="59">
        <f>(25.118+0.75*(2.3+2+3.5))*10.764</f>
        <v>333.33955199999997</v>
      </c>
      <c r="E237" s="59">
        <v>0</v>
      </c>
      <c r="F237" s="58">
        <f t="shared" si="21"/>
        <v>550.01026079999997</v>
      </c>
      <c r="G237" s="88"/>
      <c r="H237" s="89"/>
      <c r="I237" s="33"/>
      <c r="J237" s="48">
        <f t="shared" si="14"/>
        <v>1.6500000000000001</v>
      </c>
      <c r="N237" s="33"/>
    </row>
    <row r="238" spans="1:14" s="45" customFormat="1" x14ac:dyDescent="0.35">
      <c r="A238" s="82">
        <f t="shared" si="20"/>
        <v>1307</v>
      </c>
      <c r="B238" s="82"/>
      <c r="C238" s="58" t="s">
        <v>200</v>
      </c>
      <c r="D238" s="59">
        <f>(22.902+0.75*(4.05+3.05))*10.764</f>
        <v>303.83542799999998</v>
      </c>
      <c r="E238" s="59">
        <v>0</v>
      </c>
      <c r="F238" s="58">
        <f t="shared" si="21"/>
        <v>501.32845619999995</v>
      </c>
      <c r="G238" s="88"/>
      <c r="H238" s="89"/>
      <c r="I238" s="33"/>
      <c r="J238" s="48">
        <f t="shared" si="14"/>
        <v>1.65</v>
      </c>
      <c r="N238" s="33"/>
    </row>
    <row r="239" spans="1:14" s="45" customFormat="1" x14ac:dyDescent="0.35">
      <c r="A239" s="82">
        <f t="shared" si="20"/>
        <v>1308</v>
      </c>
      <c r="B239" s="82"/>
      <c r="C239" s="58" t="s">
        <v>200</v>
      </c>
      <c r="D239" s="59">
        <f>(26.048+0.75*(6.25))*10.764</f>
        <v>330.83692199999996</v>
      </c>
      <c r="E239" s="59">
        <v>0</v>
      </c>
      <c r="F239" s="58">
        <f t="shared" si="21"/>
        <v>545.88092129999995</v>
      </c>
      <c r="G239" s="88"/>
      <c r="H239" s="89"/>
      <c r="I239" s="33"/>
      <c r="J239" s="48">
        <f t="shared" si="14"/>
        <v>1.6500000000000001</v>
      </c>
      <c r="N239" s="33"/>
    </row>
    <row r="240" spans="1:14" s="45" customFormat="1" x14ac:dyDescent="0.35">
      <c r="A240" s="82">
        <f t="shared" si="20"/>
        <v>1309</v>
      </c>
      <c r="B240" s="82"/>
      <c r="C240" s="58" t="s">
        <v>200</v>
      </c>
      <c r="D240" s="59">
        <f>(21.868+0.75*(4.7+3.05))*10.764</f>
        <v>297.95290199999999</v>
      </c>
      <c r="E240" s="59">
        <v>0</v>
      </c>
      <c r="F240" s="58">
        <f t="shared" si="21"/>
        <v>491.62228829999998</v>
      </c>
      <c r="G240" s="90"/>
      <c r="H240" s="91"/>
      <c r="I240" s="33"/>
      <c r="J240" s="48">
        <f t="shared" si="14"/>
        <v>1.65</v>
      </c>
      <c r="N240" s="33"/>
    </row>
    <row r="241" spans="1:14" s="45" customFormat="1" x14ac:dyDescent="0.35">
      <c r="A241" s="94" t="s">
        <v>202</v>
      </c>
      <c r="B241" s="95"/>
      <c r="C241" s="95"/>
      <c r="D241" s="95"/>
      <c r="E241" s="95"/>
      <c r="F241" s="95"/>
      <c r="G241" s="95"/>
      <c r="H241" s="96"/>
      <c r="J241" s="48" t="e">
        <f t="shared" si="14"/>
        <v>#DIV/0!</v>
      </c>
    </row>
    <row r="242" spans="1:14" s="45" customFormat="1" x14ac:dyDescent="0.35">
      <c r="A242" s="94" t="s">
        <v>193</v>
      </c>
      <c r="B242" s="95"/>
      <c r="C242" s="95"/>
      <c r="D242" s="95"/>
      <c r="E242" s="95"/>
      <c r="F242" s="95"/>
      <c r="G242" s="95"/>
      <c r="H242" s="96"/>
      <c r="J242" s="48" t="e">
        <f t="shared" si="14"/>
        <v>#DIV/0!</v>
      </c>
    </row>
    <row r="243" spans="1:14" s="45" customFormat="1" x14ac:dyDescent="0.35">
      <c r="A243" s="83">
        <v>111</v>
      </c>
      <c r="B243" s="84"/>
      <c r="C243" s="58" t="s">
        <v>194</v>
      </c>
      <c r="D243" s="59">
        <f>(37.805+0.75*(1.85+2.45)+0.9*2.9)*10.764</f>
        <v>469.74095999999997</v>
      </c>
      <c r="E243" s="58">
        <v>0</v>
      </c>
      <c r="F243" s="58">
        <v>730</v>
      </c>
      <c r="G243" s="86" t="str">
        <f>A242</f>
        <v>1st Floor For Residential</v>
      </c>
      <c r="H243" s="87"/>
      <c r="I243" s="33">
        <f>(3.45*3.05+3.45*2.15+1.2*1.85+1.2*1.85+2.25*2.9+3.15*2.45)</f>
        <v>36.622499999999995</v>
      </c>
      <c r="J243" s="48">
        <f t="shared" si="14"/>
        <v>1.5540480012643565</v>
      </c>
      <c r="L243" s="92"/>
      <c r="M243" s="92"/>
      <c r="N243" s="33"/>
    </row>
    <row r="244" spans="1:14" s="45" customFormat="1" x14ac:dyDescent="0.35">
      <c r="A244" s="83">
        <f t="shared" ref="A244:A246" si="22">A243+1</f>
        <v>112</v>
      </c>
      <c r="B244" s="84"/>
      <c r="C244" s="58" t="s">
        <v>194</v>
      </c>
      <c r="D244" s="59">
        <f>(38.185+0.75*(2.9)+0.9*2.75)*10.764</f>
        <v>461.07594</v>
      </c>
      <c r="E244" s="58">
        <v>0</v>
      </c>
      <c r="F244" s="58">
        <v>720</v>
      </c>
      <c r="G244" s="88"/>
      <c r="H244" s="89"/>
      <c r="I244" s="33" t="s">
        <v>206</v>
      </c>
      <c r="J244" s="48">
        <f t="shared" si="14"/>
        <v>1.5615648910242421</v>
      </c>
      <c r="L244" s="92"/>
      <c r="M244" s="92"/>
      <c r="N244" s="33"/>
    </row>
    <row r="245" spans="1:14" s="45" customFormat="1" x14ac:dyDescent="0.35">
      <c r="A245" s="83">
        <f t="shared" si="22"/>
        <v>113</v>
      </c>
      <c r="B245" s="84"/>
      <c r="C245" s="58" t="s">
        <v>194</v>
      </c>
      <c r="D245" s="59">
        <f>(38.648+0.75*(2.75)+0.9*2.75)*10.764</f>
        <v>464.84872200000001</v>
      </c>
      <c r="E245" s="58">
        <v>0</v>
      </c>
      <c r="F245" s="58">
        <v>715</v>
      </c>
      <c r="G245" s="88"/>
      <c r="H245" s="89"/>
      <c r="I245" s="33"/>
      <c r="J245" s="48">
        <f t="shared" si="14"/>
        <v>1.5381348085108857</v>
      </c>
      <c r="L245" s="92"/>
      <c r="M245" s="92"/>
      <c r="N245" s="33"/>
    </row>
    <row r="246" spans="1:14" s="45" customFormat="1" x14ac:dyDescent="0.35">
      <c r="A246" s="83">
        <f t="shared" si="22"/>
        <v>114</v>
      </c>
      <c r="B246" s="84"/>
      <c r="C246" s="58" t="s">
        <v>200</v>
      </c>
      <c r="D246" s="59">
        <f>(15.23)*10.764</f>
        <v>163.93572</v>
      </c>
      <c r="E246" s="58">
        <v>0</v>
      </c>
      <c r="F246" s="58">
        <v>270</v>
      </c>
      <c r="G246" s="90"/>
      <c r="H246" s="91"/>
      <c r="I246" s="33"/>
      <c r="J246" s="48">
        <f t="shared" si="14"/>
        <v>1.6469870019785804</v>
      </c>
      <c r="L246" s="92"/>
      <c r="M246" s="92"/>
      <c r="N246" s="33"/>
    </row>
    <row r="247" spans="1:14" s="45" customFormat="1" x14ac:dyDescent="0.35">
      <c r="A247" s="85" t="s">
        <v>207</v>
      </c>
      <c r="B247" s="85"/>
      <c r="C247" s="85"/>
      <c r="D247" s="85"/>
      <c r="E247" s="85"/>
      <c r="F247" s="85"/>
      <c r="G247" s="85"/>
      <c r="H247" s="85"/>
      <c r="I247" s="47">
        <v>10.763999999999999</v>
      </c>
      <c r="J247" s="48" t="e">
        <f t="shared" si="14"/>
        <v>#DIV/0!</v>
      </c>
      <c r="L247" s="92"/>
      <c r="M247" s="92"/>
    </row>
    <row r="248" spans="1:14" s="45" customFormat="1" x14ac:dyDescent="0.35">
      <c r="A248" s="82" t="str">
        <f>N248</f>
        <v>207 &amp; 307</v>
      </c>
      <c r="B248" s="82"/>
      <c r="C248" s="58" t="s">
        <v>194</v>
      </c>
      <c r="D248" s="59">
        <f>(38.094+0.75*(3.05+2.2+2.75)+1.5*3+1.2*2.55)*10.764</f>
        <v>556.00365599999998</v>
      </c>
      <c r="E248" s="59">
        <f>(3.35*1.25+2.55*2.15)*10.764</f>
        <v>104.08787999999997</v>
      </c>
      <c r="F248" s="58">
        <v>930</v>
      </c>
      <c r="G248" s="86" t="str">
        <f>A247</f>
        <v>2nd &amp; 3rd Floor</v>
      </c>
      <c r="H248" s="87"/>
      <c r="I248" s="33"/>
      <c r="J248" s="48">
        <f t="shared" si="14"/>
        <v>1.6726508719216049</v>
      </c>
      <c r="L248" s="45">
        <v>207</v>
      </c>
      <c r="M248" s="45">
        <v>307</v>
      </c>
      <c r="N248" s="33" t="str">
        <f>L248&amp;""&amp;" &amp; "&amp;""&amp;M248</f>
        <v>207 &amp; 307</v>
      </c>
    </row>
    <row r="249" spans="1:14" s="45" customFormat="1" x14ac:dyDescent="0.35">
      <c r="A249" s="82" t="str">
        <f t="shared" ref="A249:A255" si="23">N249</f>
        <v>208 &amp; 308</v>
      </c>
      <c r="B249" s="82"/>
      <c r="C249" s="58" t="s">
        <v>194</v>
      </c>
      <c r="D249" s="59">
        <f>(41.099+1.5*2.35+0.9*2.75+1.5*2.5)*10.764</f>
        <v>547.33863599999995</v>
      </c>
      <c r="E249" s="59">
        <f>(8.55*2.15+2.35*7.2)*10.764</f>
        <v>379.99610999999999</v>
      </c>
      <c r="F249" s="58">
        <v>1050</v>
      </c>
      <c r="G249" s="88"/>
      <c r="H249" s="89"/>
      <c r="I249" s="33"/>
      <c r="J249" s="48">
        <f t="shared" si="14"/>
        <v>1.9183736190697127</v>
      </c>
      <c r="L249" s="45">
        <v>208</v>
      </c>
      <c r="M249" s="45">
        <v>308</v>
      </c>
      <c r="N249" s="33" t="str">
        <f t="shared" ref="N249:N255" si="24">L249&amp;""&amp;" &amp; "&amp;""&amp;M249</f>
        <v>208 &amp; 308</v>
      </c>
    </row>
    <row r="250" spans="1:14" s="45" customFormat="1" x14ac:dyDescent="0.35">
      <c r="A250" s="82" t="str">
        <f t="shared" si="23"/>
        <v>209 &amp; 309</v>
      </c>
      <c r="B250" s="82"/>
      <c r="C250" s="58" t="s">
        <v>194</v>
      </c>
      <c r="D250" s="59">
        <f>(36.642+0.75*(2.9+3.13)+2.5*0.9)*10.764</f>
        <v>467.31367800000004</v>
      </c>
      <c r="E250" s="59">
        <f>(3.13*6.85+2.65*7.3+1.85*8.3+2.9*8)*10.764</f>
        <v>854.02114200000005</v>
      </c>
      <c r="F250" s="58">
        <v>1110</v>
      </c>
      <c r="G250" s="88"/>
      <c r="H250" s="89"/>
      <c r="I250" s="33"/>
      <c r="J250" s="48">
        <f t="shared" si="14"/>
        <v>2.3752782173005427</v>
      </c>
      <c r="L250" s="50">
        <v>209</v>
      </c>
      <c r="M250" s="50">
        <v>309</v>
      </c>
      <c r="N250" s="33" t="str">
        <f t="shared" si="24"/>
        <v>209 &amp; 309</v>
      </c>
    </row>
    <row r="251" spans="1:14" s="45" customFormat="1" x14ac:dyDescent="0.35">
      <c r="A251" s="82" t="str">
        <f t="shared" si="23"/>
        <v>210 &amp; 310</v>
      </c>
      <c r="B251" s="82"/>
      <c r="C251" s="58" t="s">
        <v>194</v>
      </c>
      <c r="D251" s="59">
        <f>(35.532+0.9*2.5)*10.764</f>
        <v>406.68544799999995</v>
      </c>
      <c r="E251" s="59">
        <v>0</v>
      </c>
      <c r="F251" s="58">
        <v>650</v>
      </c>
      <c r="G251" s="88"/>
      <c r="H251" s="89"/>
      <c r="I251" s="33"/>
      <c r="J251" s="48">
        <f t="shared" si="14"/>
        <v>1.5982868410870705</v>
      </c>
      <c r="L251" s="50">
        <v>210</v>
      </c>
      <c r="M251" s="50">
        <v>310</v>
      </c>
      <c r="N251" s="33" t="str">
        <f t="shared" si="24"/>
        <v>210 &amp; 310</v>
      </c>
    </row>
    <row r="252" spans="1:14" s="45" customFormat="1" x14ac:dyDescent="0.35">
      <c r="A252" s="82" t="str">
        <f t="shared" si="23"/>
        <v>211 &amp; 311</v>
      </c>
      <c r="B252" s="82"/>
      <c r="C252" s="58" t="s">
        <v>194</v>
      </c>
      <c r="D252" s="59">
        <f>(37.767+0.75*(1.85+2.45)+0.9*2.9)*10.764</f>
        <v>469.331928</v>
      </c>
      <c r="E252" s="58">
        <v>0</v>
      </c>
      <c r="F252" s="58">
        <v>730</v>
      </c>
      <c r="G252" s="88"/>
      <c r="H252" s="89"/>
      <c r="I252" s="33"/>
      <c r="J252" s="48">
        <f t="shared" si="14"/>
        <v>1.5554023846423677</v>
      </c>
      <c r="L252" s="50">
        <v>211</v>
      </c>
      <c r="M252" s="50">
        <v>311</v>
      </c>
      <c r="N252" s="33" t="str">
        <f t="shared" si="24"/>
        <v>211 &amp; 311</v>
      </c>
    </row>
    <row r="253" spans="1:14" s="45" customFormat="1" x14ac:dyDescent="0.35">
      <c r="A253" s="82" t="str">
        <f t="shared" si="23"/>
        <v>212 &amp; 312</v>
      </c>
      <c r="B253" s="82"/>
      <c r="C253" s="58" t="s">
        <v>194</v>
      </c>
      <c r="D253" s="59">
        <f>(38.185+0.75*(2.9+2.9)+0.9*2.75)*10.764</f>
        <v>484.48764</v>
      </c>
      <c r="E253" s="58">
        <v>0</v>
      </c>
      <c r="F253" s="58">
        <v>720</v>
      </c>
      <c r="G253" s="88"/>
      <c r="H253" s="89"/>
      <c r="I253" s="33" t="s">
        <v>206</v>
      </c>
      <c r="J253" s="48">
        <f t="shared" si="14"/>
        <v>1.4861060232620176</v>
      </c>
      <c r="L253" s="50">
        <v>212</v>
      </c>
      <c r="M253" s="50">
        <v>312</v>
      </c>
      <c r="N253" s="33" t="str">
        <f t="shared" si="24"/>
        <v>212 &amp; 312</v>
      </c>
    </row>
    <row r="254" spans="1:14" s="45" customFormat="1" x14ac:dyDescent="0.35">
      <c r="A254" s="82" t="str">
        <f t="shared" si="23"/>
        <v>213 &amp; 313</v>
      </c>
      <c r="B254" s="82"/>
      <c r="C254" s="58" t="s">
        <v>194</v>
      </c>
      <c r="D254" s="59">
        <f>(38.648+0.75*(2.75)+0.9*2.75)*10.764</f>
        <v>464.84872200000001</v>
      </c>
      <c r="E254" s="58">
        <v>0</v>
      </c>
      <c r="F254" s="58">
        <v>715</v>
      </c>
      <c r="G254" s="88"/>
      <c r="H254" s="89"/>
      <c r="I254" s="33"/>
      <c r="J254" s="48">
        <f t="shared" ref="J254:J317" si="25">F254/D254</f>
        <v>1.5381348085108857</v>
      </c>
      <c r="L254" s="50">
        <v>213</v>
      </c>
      <c r="M254" s="50">
        <v>313</v>
      </c>
      <c r="N254" s="33" t="str">
        <f t="shared" si="24"/>
        <v>213 &amp; 313</v>
      </c>
    </row>
    <row r="255" spans="1:14" s="45" customFormat="1" x14ac:dyDescent="0.35">
      <c r="A255" s="82" t="str">
        <f t="shared" si="23"/>
        <v>214 &amp; 314</v>
      </c>
      <c r="B255" s="82"/>
      <c r="C255" s="58" t="s">
        <v>200</v>
      </c>
      <c r="D255" s="59">
        <f>(15.23)*10.764</f>
        <v>163.93572</v>
      </c>
      <c r="E255" s="58">
        <v>0</v>
      </c>
      <c r="F255" s="58">
        <v>270</v>
      </c>
      <c r="G255" s="90"/>
      <c r="H255" s="91"/>
      <c r="I255" s="33"/>
      <c r="J255" s="48">
        <f t="shared" si="25"/>
        <v>1.6469870019785804</v>
      </c>
      <c r="L255" s="50">
        <v>214</v>
      </c>
      <c r="M255" s="50">
        <v>314</v>
      </c>
      <c r="N255" s="33" t="str">
        <f t="shared" si="24"/>
        <v>214 &amp; 314</v>
      </c>
    </row>
    <row r="256" spans="1:14" s="45" customFormat="1" x14ac:dyDescent="0.35">
      <c r="A256" s="85" t="s">
        <v>208</v>
      </c>
      <c r="B256" s="85"/>
      <c r="C256" s="85"/>
      <c r="D256" s="85"/>
      <c r="E256" s="85"/>
      <c r="F256" s="85"/>
      <c r="G256" s="85"/>
      <c r="H256" s="85"/>
      <c r="I256" s="47">
        <v>10.763999999999999</v>
      </c>
      <c r="J256" s="48" t="e">
        <f t="shared" si="25"/>
        <v>#DIV/0!</v>
      </c>
      <c r="L256" s="60"/>
      <c r="M256" s="60"/>
    </row>
    <row r="257" spans="1:14" s="45" customFormat="1" x14ac:dyDescent="0.35">
      <c r="A257" s="82">
        <v>407</v>
      </c>
      <c r="B257" s="82"/>
      <c r="C257" s="58" t="s">
        <v>194</v>
      </c>
      <c r="D257" s="59">
        <f>(42.039+0.75*(3.05+2.55+2.75))*10.764</f>
        <v>519.91734600000007</v>
      </c>
      <c r="E257" s="59">
        <v>0</v>
      </c>
      <c r="F257" s="58">
        <v>880</v>
      </c>
      <c r="G257" s="86" t="str">
        <f>A256</f>
        <v>4th Floor</v>
      </c>
      <c r="H257" s="87"/>
      <c r="I257" s="33"/>
      <c r="J257" s="48">
        <f t="shared" si="25"/>
        <v>1.6925767273785088</v>
      </c>
      <c r="K257" s="45">
        <f>4108000/F257</f>
        <v>4668.181818181818</v>
      </c>
      <c r="L257" s="50"/>
      <c r="M257" s="50"/>
      <c r="N257" s="33"/>
    </row>
    <row r="258" spans="1:14" s="45" customFormat="1" x14ac:dyDescent="0.35">
      <c r="A258" s="82">
        <f>A257+1</f>
        <v>408</v>
      </c>
      <c r="B258" s="82"/>
      <c r="C258" s="58" t="s">
        <v>194</v>
      </c>
      <c r="D258" s="59">
        <f>(40.557+0.75*(2.75+5.05+2.75+2.5))*10.764</f>
        <v>541.90819799999997</v>
      </c>
      <c r="E258" s="59">
        <v>0</v>
      </c>
      <c r="F258" s="58">
        <v>945</v>
      </c>
      <c r="G258" s="88"/>
      <c r="H258" s="89"/>
      <c r="I258" s="33"/>
      <c r="J258" s="48">
        <f t="shared" si="25"/>
        <v>1.7438378003648509</v>
      </c>
      <c r="N258" s="33"/>
    </row>
    <row r="259" spans="1:14" s="45" customFormat="1" x14ac:dyDescent="0.35">
      <c r="A259" s="82">
        <f>A258+1</f>
        <v>409</v>
      </c>
      <c r="B259" s="82"/>
      <c r="C259" s="58" t="s">
        <v>194</v>
      </c>
      <c r="D259" s="59">
        <f>(35.125+0.75*(2.75+3.13))*10.764</f>
        <v>425.55473999999992</v>
      </c>
      <c r="E259" s="59">
        <v>0</v>
      </c>
      <c r="F259" s="58">
        <v>705</v>
      </c>
      <c r="G259" s="88"/>
      <c r="H259" s="89"/>
      <c r="I259" s="33"/>
      <c r="J259" s="48">
        <f t="shared" si="25"/>
        <v>1.6566611383532002</v>
      </c>
      <c r="N259" s="33"/>
    </row>
    <row r="260" spans="1:14" s="45" customFormat="1" x14ac:dyDescent="0.35">
      <c r="A260" s="82">
        <f>A259+1</f>
        <v>410</v>
      </c>
      <c r="B260" s="82"/>
      <c r="C260" s="58" t="s">
        <v>194</v>
      </c>
      <c r="D260" s="59">
        <f>(35.125+0.75*(3.05+2.9))*10.764</f>
        <v>426.11984999999999</v>
      </c>
      <c r="E260" s="59">
        <v>0</v>
      </c>
      <c r="F260" s="58">
        <v>705</v>
      </c>
      <c r="G260" s="88"/>
      <c r="H260" s="89"/>
      <c r="I260" s="33"/>
      <c r="J260" s="48">
        <f t="shared" si="25"/>
        <v>1.6544641137933378</v>
      </c>
      <c r="N260" s="33"/>
    </row>
    <row r="261" spans="1:14" s="45" customFormat="1" x14ac:dyDescent="0.35">
      <c r="A261" s="83">
        <v>411</v>
      </c>
      <c r="B261" s="84"/>
      <c r="C261" s="58" t="s">
        <v>194</v>
      </c>
      <c r="D261" s="59">
        <f>(3.45*3.05+3.45*2.15+1.2*1.85+1.2*1.85+3.15*2.9+3.15*2.45+1.85*0.6+0.6*2.45)*10.764</f>
        <v>450.06974999999989</v>
      </c>
      <c r="E261" s="59">
        <v>0</v>
      </c>
      <c r="F261" s="58">
        <v>730</v>
      </c>
      <c r="G261" s="88"/>
      <c r="H261" s="89"/>
      <c r="I261" s="33">
        <f>(3.45*3.05+3.45*2.15+3.15*2.9+3.15*2.45+1.2*1.85+1.2*1.85)</f>
        <v>39.232499999999995</v>
      </c>
      <c r="J261" s="48">
        <f t="shared" si="25"/>
        <v>1.621970816745627</v>
      </c>
      <c r="L261" s="92"/>
      <c r="M261" s="92"/>
      <c r="N261" s="33"/>
    </row>
    <row r="262" spans="1:14" s="45" customFormat="1" x14ac:dyDescent="0.35">
      <c r="A262" s="83">
        <f t="shared" ref="A262:A264" si="26">A261+1</f>
        <v>412</v>
      </c>
      <c r="B262" s="84"/>
      <c r="C262" s="58" t="s">
        <v>194</v>
      </c>
      <c r="D262" s="59">
        <f>(3.2*2.6+3.7*2.75+1.85*1.2+1.2*1.7+3.2*2.9+3.9*1.85+0.9*1.85+0.75*(2.9+2.75))*10.764</f>
        <v>486.02151000000003</v>
      </c>
      <c r="E262" s="59">
        <v>0</v>
      </c>
      <c r="F262" s="58">
        <v>740</v>
      </c>
      <c r="G262" s="88"/>
      <c r="H262" s="89"/>
      <c r="I262" s="33" t="s">
        <v>206</v>
      </c>
      <c r="J262" s="48">
        <f t="shared" si="25"/>
        <v>1.5225663571968244</v>
      </c>
      <c r="L262" s="92"/>
      <c r="M262" s="92"/>
      <c r="N262" s="33"/>
    </row>
    <row r="263" spans="1:14" s="45" customFormat="1" x14ac:dyDescent="0.35">
      <c r="A263" s="83">
        <f t="shared" si="26"/>
        <v>413</v>
      </c>
      <c r="B263" s="84"/>
      <c r="C263" s="58" t="s">
        <v>194</v>
      </c>
      <c r="D263" s="59">
        <f>(3*2.65+3.85*2.75+1.2*1.85+1.2*1.85+2.75*2.9+3.9*1.85+0.75*1.85+0.9*1.85+1.8*0.75)*10.764</f>
        <v>458.22348000000005</v>
      </c>
      <c r="E263" s="59">
        <v>0</v>
      </c>
      <c r="F263" s="58">
        <v>715</v>
      </c>
      <c r="G263" s="88"/>
      <c r="H263" s="89"/>
      <c r="I263" s="33"/>
      <c r="J263" s="48">
        <f t="shared" si="25"/>
        <v>1.560373990438028</v>
      </c>
      <c r="L263" s="92"/>
      <c r="M263" s="92"/>
      <c r="N263" s="33"/>
    </row>
    <row r="264" spans="1:14" s="45" customFormat="1" x14ac:dyDescent="0.35">
      <c r="A264" s="83">
        <f t="shared" si="26"/>
        <v>414</v>
      </c>
      <c r="B264" s="84"/>
      <c r="C264" s="58" t="s">
        <v>200</v>
      </c>
      <c r="D264" s="59">
        <f>(15.23)*10.764</f>
        <v>163.93572</v>
      </c>
      <c r="E264" s="59">
        <v>0</v>
      </c>
      <c r="F264" s="58">
        <v>270</v>
      </c>
      <c r="G264" s="90"/>
      <c r="H264" s="91"/>
      <c r="I264" s="33"/>
      <c r="J264" s="48">
        <f t="shared" si="25"/>
        <v>1.6469870019785804</v>
      </c>
      <c r="L264" s="92"/>
      <c r="M264" s="92"/>
      <c r="N264" s="33"/>
    </row>
    <row r="265" spans="1:14" s="45" customFormat="1" x14ac:dyDescent="0.35">
      <c r="A265" s="85" t="s">
        <v>209</v>
      </c>
      <c r="B265" s="85"/>
      <c r="C265" s="85"/>
      <c r="D265" s="85"/>
      <c r="E265" s="85"/>
      <c r="F265" s="85"/>
      <c r="G265" s="85"/>
      <c r="H265" s="85"/>
      <c r="I265" s="47">
        <v>10.763999999999999</v>
      </c>
      <c r="J265" s="48" t="e">
        <f t="shared" si="25"/>
        <v>#DIV/0!</v>
      </c>
      <c r="L265" s="92"/>
      <c r="M265" s="92"/>
    </row>
    <row r="266" spans="1:14" s="45" customFormat="1" x14ac:dyDescent="0.35">
      <c r="A266" s="82">
        <v>507</v>
      </c>
      <c r="B266" s="82"/>
      <c r="C266" s="58" t="s">
        <v>194</v>
      </c>
      <c r="D266" s="59">
        <f>(42.039+0.75*(3.05+2.55+2.75))*10.764</f>
        <v>519.91734600000007</v>
      </c>
      <c r="E266" s="59">
        <v>0</v>
      </c>
      <c r="F266" s="58">
        <v>880</v>
      </c>
      <c r="G266" s="86" t="str">
        <f>A265</f>
        <v>5th Floor</v>
      </c>
      <c r="H266" s="87"/>
      <c r="I266" s="61">
        <f>4108000/F266</f>
        <v>4668.181818181818</v>
      </c>
      <c r="J266" s="48">
        <f t="shared" si="25"/>
        <v>1.6925767273785088</v>
      </c>
      <c r="N266" s="33"/>
    </row>
    <row r="267" spans="1:14" s="45" customFormat="1" x14ac:dyDescent="0.35">
      <c r="A267" s="82">
        <f>A266+1</f>
        <v>508</v>
      </c>
      <c r="B267" s="82"/>
      <c r="C267" s="58" t="s">
        <v>194</v>
      </c>
      <c r="D267" s="59">
        <f>(40.557+0.75*(2.75+5.05+2.75+2.5))*10.764</f>
        <v>541.90819799999997</v>
      </c>
      <c r="E267" s="59">
        <v>0</v>
      </c>
      <c r="F267" s="58">
        <v>940</v>
      </c>
      <c r="G267" s="88"/>
      <c r="H267" s="89"/>
      <c r="I267" s="33"/>
      <c r="J267" s="48">
        <f t="shared" si="25"/>
        <v>1.7346111453364654</v>
      </c>
      <c r="N267" s="33"/>
    </row>
    <row r="268" spans="1:14" s="45" customFormat="1" x14ac:dyDescent="0.35">
      <c r="A268" s="82">
        <f>A267+1</f>
        <v>509</v>
      </c>
      <c r="B268" s="82"/>
      <c r="C268" s="58" t="s">
        <v>194</v>
      </c>
      <c r="D268" s="59">
        <f>(35.125+0.75*(2.75+3.13))*10.764</f>
        <v>425.55473999999992</v>
      </c>
      <c r="E268" s="59">
        <v>0</v>
      </c>
      <c r="F268" s="58">
        <v>705</v>
      </c>
      <c r="G268" s="88"/>
      <c r="H268" s="89"/>
      <c r="I268" s="33"/>
      <c r="J268" s="48">
        <f t="shared" si="25"/>
        <v>1.6566611383532002</v>
      </c>
      <c r="N268" s="33"/>
    </row>
    <row r="269" spans="1:14" s="45" customFormat="1" x14ac:dyDescent="0.35">
      <c r="A269" s="82">
        <f>A268+1</f>
        <v>510</v>
      </c>
      <c r="B269" s="82"/>
      <c r="C269" s="58" t="s">
        <v>194</v>
      </c>
      <c r="D269" s="59">
        <f>(35.125+0.75*(3.05+2.9))*10.764</f>
        <v>426.11984999999999</v>
      </c>
      <c r="E269" s="59">
        <v>0</v>
      </c>
      <c r="F269" s="58">
        <v>705</v>
      </c>
      <c r="G269" s="88"/>
      <c r="H269" s="89"/>
      <c r="I269" s="33"/>
      <c r="J269" s="48">
        <f t="shared" si="25"/>
        <v>1.6544641137933378</v>
      </c>
      <c r="N269" s="33"/>
    </row>
    <row r="270" spans="1:14" s="45" customFormat="1" x14ac:dyDescent="0.35">
      <c r="A270" s="83">
        <v>511</v>
      </c>
      <c r="B270" s="84"/>
      <c r="C270" s="58" t="s">
        <v>194</v>
      </c>
      <c r="D270" s="64">
        <f>(3.45*3.1+3.45*2.15+1.2*1.85+1.2*1.85+3.15*2.9+3.15*2.45+0.75*2.45+1.85*1.85)*10.764</f>
        <v>480.77405999999996</v>
      </c>
      <c r="E270" s="59">
        <v>0</v>
      </c>
      <c r="F270" s="58">
        <v>730</v>
      </c>
      <c r="G270" s="88"/>
      <c r="H270" s="89"/>
      <c r="I270" s="33">
        <f>(3.45*3.1+3.45*2.15+1.2*1.85+1.2*1.85+3.15*2.9+3.15*2.45+0.75*2.45+1.85*1.85)*10.764</f>
        <v>480.77405999999996</v>
      </c>
      <c r="J270" s="48">
        <f t="shared" si="25"/>
        <v>1.5183847481288821</v>
      </c>
      <c r="L270" s="92"/>
      <c r="M270" s="92"/>
      <c r="N270" s="33"/>
    </row>
    <row r="271" spans="1:14" s="45" customFormat="1" x14ac:dyDescent="0.35">
      <c r="A271" s="83">
        <f t="shared" ref="A271:A273" si="27">A270+1</f>
        <v>512</v>
      </c>
      <c r="B271" s="84"/>
      <c r="C271" s="58" t="s">
        <v>194</v>
      </c>
      <c r="D271" s="59">
        <f>(3.35*2.45+3.75*2.75+1.85*1.2+1.2*1.7+3.2*2.9+3.3*1.85+0.9*1.85+2.9*0.75+0.75*2.9)*10.764</f>
        <v>475.55351999999988</v>
      </c>
      <c r="E271" s="59">
        <v>0</v>
      </c>
      <c r="F271" s="58">
        <v>740</v>
      </c>
      <c r="G271" s="88"/>
      <c r="H271" s="89"/>
      <c r="I271" s="33" t="s">
        <v>206</v>
      </c>
      <c r="J271" s="48">
        <f t="shared" si="25"/>
        <v>1.5560814269653607</v>
      </c>
      <c r="L271" s="92"/>
      <c r="M271" s="92"/>
      <c r="N271" s="33"/>
    </row>
    <row r="272" spans="1:14" s="45" customFormat="1" x14ac:dyDescent="0.35">
      <c r="A272" s="83">
        <f t="shared" si="27"/>
        <v>513</v>
      </c>
      <c r="B272" s="84"/>
      <c r="C272" s="58" t="s">
        <v>194</v>
      </c>
      <c r="D272" s="59">
        <f>(3*2.65+4.1*2.75+1.85*0.75+3.9*1.85+2.75*2.9+1.2*1.85+1.2*1.85+1.85*0.75)*10.764</f>
        <v>448.10531999999995</v>
      </c>
      <c r="E272" s="59">
        <v>0</v>
      </c>
      <c r="F272" s="58">
        <v>715</v>
      </c>
      <c r="G272" s="88"/>
      <c r="H272" s="89"/>
      <c r="I272" s="33"/>
      <c r="J272" s="48">
        <f t="shared" si="25"/>
        <v>1.5956070327395355</v>
      </c>
      <c r="L272" s="92"/>
      <c r="M272" s="92"/>
      <c r="N272" s="33"/>
    </row>
    <row r="273" spans="1:14" s="45" customFormat="1" x14ac:dyDescent="0.35">
      <c r="A273" s="83">
        <f t="shared" si="27"/>
        <v>514</v>
      </c>
      <c r="B273" s="84"/>
      <c r="C273" s="58" t="s">
        <v>200</v>
      </c>
      <c r="D273" s="59">
        <f>(14.268+0.75*2.75+1.85*0.75)*10.764</f>
        <v>190.71655199999998</v>
      </c>
      <c r="E273" s="59">
        <v>0</v>
      </c>
      <c r="F273" s="58">
        <v>340</v>
      </c>
      <c r="G273" s="90"/>
      <c r="H273" s="91"/>
      <c r="I273" s="33"/>
      <c r="J273" s="48">
        <f t="shared" si="25"/>
        <v>1.7827503508977032</v>
      </c>
      <c r="L273" s="92"/>
      <c r="M273" s="92"/>
      <c r="N273" s="33"/>
    </row>
    <row r="274" spans="1:14" s="45" customFormat="1" x14ac:dyDescent="0.35">
      <c r="A274" s="85" t="s">
        <v>210</v>
      </c>
      <c r="B274" s="85"/>
      <c r="C274" s="85"/>
      <c r="D274" s="85"/>
      <c r="E274" s="85"/>
      <c r="F274" s="85"/>
      <c r="G274" s="85"/>
      <c r="H274" s="85"/>
      <c r="I274" s="47">
        <v>10.763999999999999</v>
      </c>
      <c r="J274" s="48" t="e">
        <f t="shared" si="25"/>
        <v>#DIV/0!</v>
      </c>
      <c r="L274" s="92"/>
      <c r="M274" s="92"/>
    </row>
    <row r="275" spans="1:14" s="45" customFormat="1" x14ac:dyDescent="0.35">
      <c r="A275" s="82" t="str">
        <f>N275</f>
        <v>607 &amp;707</v>
      </c>
      <c r="B275" s="82"/>
      <c r="C275" s="58" t="s">
        <v>194</v>
      </c>
      <c r="D275" s="59">
        <f>(42.039+0.75*(3.05+2.55+2.75))*10.764</f>
        <v>519.91734600000007</v>
      </c>
      <c r="E275" s="59">
        <v>0</v>
      </c>
      <c r="F275" s="58">
        <v>880</v>
      </c>
      <c r="G275" s="86" t="str">
        <f>A274</f>
        <v>6th &amp; 7th Floor</v>
      </c>
      <c r="H275" s="87"/>
      <c r="I275" s="33"/>
      <c r="J275" s="48">
        <f t="shared" si="25"/>
        <v>1.6925767273785088</v>
      </c>
      <c r="L275" s="45">
        <v>607</v>
      </c>
      <c r="M275" s="45">
        <v>707</v>
      </c>
      <c r="N275" s="33" t="str">
        <f>L275&amp;""&amp;" &amp;"&amp;""&amp;M275</f>
        <v>607 &amp;707</v>
      </c>
    </row>
    <row r="276" spans="1:14" s="45" customFormat="1" x14ac:dyDescent="0.35">
      <c r="A276" s="82" t="str">
        <f t="shared" ref="A276:A282" si="28">N276</f>
        <v>608 &amp;708</v>
      </c>
      <c r="B276" s="82"/>
      <c r="C276" s="58" t="s">
        <v>194</v>
      </c>
      <c r="D276" s="59">
        <f>(40.557+0.75*(2.75+5.05+2.75+2.5))*10.764</f>
        <v>541.90819799999997</v>
      </c>
      <c r="E276" s="59">
        <v>0</v>
      </c>
      <c r="F276" s="58">
        <v>935</v>
      </c>
      <c r="G276" s="88"/>
      <c r="H276" s="89"/>
      <c r="I276" s="33"/>
      <c r="J276" s="48">
        <f t="shared" si="25"/>
        <v>1.7253844903080799</v>
      </c>
      <c r="L276" s="45">
        <v>608</v>
      </c>
      <c r="M276" s="45">
        <v>708</v>
      </c>
      <c r="N276" s="33" t="str">
        <f t="shared" ref="N276:N282" si="29">L276&amp;""&amp;" &amp;"&amp;""&amp;M276</f>
        <v>608 &amp;708</v>
      </c>
    </row>
    <row r="277" spans="1:14" s="45" customFormat="1" x14ac:dyDescent="0.35">
      <c r="A277" s="82" t="str">
        <f t="shared" si="28"/>
        <v>609 &amp;709</v>
      </c>
      <c r="B277" s="82"/>
      <c r="C277" s="58" t="s">
        <v>194</v>
      </c>
      <c r="D277" s="59">
        <f>(35.125+0.75*(2.75+3.13))*10.764</f>
        <v>425.55473999999992</v>
      </c>
      <c r="E277" s="59">
        <v>0</v>
      </c>
      <c r="F277" s="58">
        <v>705</v>
      </c>
      <c r="G277" s="88"/>
      <c r="H277" s="89"/>
      <c r="I277" s="33"/>
      <c r="J277" s="48">
        <f t="shared" si="25"/>
        <v>1.6566611383532002</v>
      </c>
      <c r="L277" s="50">
        <v>609</v>
      </c>
      <c r="M277" s="50">
        <v>709</v>
      </c>
      <c r="N277" s="33" t="str">
        <f t="shared" si="29"/>
        <v>609 &amp;709</v>
      </c>
    </row>
    <row r="278" spans="1:14" s="45" customFormat="1" x14ac:dyDescent="0.35">
      <c r="A278" s="82" t="str">
        <f t="shared" si="28"/>
        <v>610 &amp;710</v>
      </c>
      <c r="B278" s="82"/>
      <c r="C278" s="58" t="s">
        <v>194</v>
      </c>
      <c r="D278" s="59">
        <f>(35.125+0.75*(2.75+3.13))*10.764</f>
        <v>425.55473999999992</v>
      </c>
      <c r="E278" s="59">
        <v>0</v>
      </c>
      <c r="F278" s="58">
        <v>705</v>
      </c>
      <c r="G278" s="88"/>
      <c r="H278" s="89"/>
      <c r="I278" s="33"/>
      <c r="J278" s="48">
        <f t="shared" si="25"/>
        <v>1.6566611383532002</v>
      </c>
      <c r="L278" s="50">
        <v>610</v>
      </c>
      <c r="M278" s="50">
        <v>710</v>
      </c>
      <c r="N278" s="33" t="str">
        <f t="shared" si="29"/>
        <v>610 &amp;710</v>
      </c>
    </row>
    <row r="279" spans="1:14" s="45" customFormat="1" x14ac:dyDescent="0.35">
      <c r="A279" s="82" t="str">
        <f t="shared" si="28"/>
        <v>611 &amp;711</v>
      </c>
      <c r="B279" s="82"/>
      <c r="C279" s="58" t="s">
        <v>194</v>
      </c>
      <c r="D279" s="64">
        <f>(3.45*3.1+3.45*2.15+1.2*1.85+1.2*1.85+3.15*2.9+3.15*2.45+0.75*2.45+1.85*1.85)*10.764</f>
        <v>480.77405999999996</v>
      </c>
      <c r="E279" s="59">
        <v>0</v>
      </c>
      <c r="F279" s="58">
        <v>730</v>
      </c>
      <c r="G279" s="88"/>
      <c r="H279" s="89"/>
      <c r="I279" s="33"/>
      <c r="J279" s="48">
        <f t="shared" si="25"/>
        <v>1.5183847481288821</v>
      </c>
      <c r="L279" s="50">
        <v>611</v>
      </c>
      <c r="M279" s="50">
        <v>711</v>
      </c>
      <c r="N279" s="33" t="str">
        <f t="shared" si="29"/>
        <v>611 &amp;711</v>
      </c>
    </row>
    <row r="280" spans="1:14" s="45" customFormat="1" x14ac:dyDescent="0.35">
      <c r="A280" s="82" t="str">
        <f t="shared" si="28"/>
        <v>612 &amp;712</v>
      </c>
      <c r="B280" s="82"/>
      <c r="C280" s="58" t="s">
        <v>194</v>
      </c>
      <c r="D280" s="59">
        <f>(3.35*2.45+3.75*2.75+1.85*1.2+1.2*1.7+3.2*2.9+3.3*1.85+0.9*1.85+2.9*0.75+0.75*2.9)*10.764</f>
        <v>475.55351999999988</v>
      </c>
      <c r="E280" s="59">
        <v>0</v>
      </c>
      <c r="F280" s="58">
        <v>740</v>
      </c>
      <c r="G280" s="88"/>
      <c r="H280" s="89"/>
      <c r="I280" s="33">
        <f>(3.7*2.75+3.9*1.85+3.2*2.9+3.2*2.6+1.2*1.7+1.85*1.2+0.75*(2.9+2.9))*10.764</f>
        <v>469.31039999999996</v>
      </c>
      <c r="J280" s="48">
        <f t="shared" si="25"/>
        <v>1.5560814269653607</v>
      </c>
      <c r="L280" s="50">
        <v>612</v>
      </c>
      <c r="M280" s="50">
        <v>712</v>
      </c>
      <c r="N280" s="33" t="str">
        <f t="shared" si="29"/>
        <v>612 &amp;712</v>
      </c>
    </row>
    <row r="281" spans="1:14" s="45" customFormat="1" x14ac:dyDescent="0.35">
      <c r="A281" s="82" t="str">
        <f t="shared" si="28"/>
        <v>613 &amp;713</v>
      </c>
      <c r="B281" s="82"/>
      <c r="C281" s="58" t="s">
        <v>194</v>
      </c>
      <c r="D281" s="59">
        <f>(3*2.65+4.1*2.75+1.85*0.75+3.9*1.85+2.75*2.9+1.2*1.85+1.2*1.85+1.85*0.75)*10.764</f>
        <v>448.10531999999995</v>
      </c>
      <c r="E281" s="59">
        <v>0</v>
      </c>
      <c r="F281" s="58">
        <v>715</v>
      </c>
      <c r="G281" s="88"/>
      <c r="H281" s="89"/>
      <c r="I281" s="33"/>
      <c r="J281" s="48">
        <f t="shared" si="25"/>
        <v>1.5956070327395355</v>
      </c>
      <c r="L281" s="50">
        <v>613</v>
      </c>
      <c r="M281" s="50">
        <v>713</v>
      </c>
      <c r="N281" s="33" t="str">
        <f t="shared" si="29"/>
        <v>613 &amp;713</v>
      </c>
    </row>
    <row r="282" spans="1:14" s="45" customFormat="1" x14ac:dyDescent="0.35">
      <c r="A282" s="82" t="str">
        <f t="shared" si="28"/>
        <v>614 &amp;714</v>
      </c>
      <c r="B282" s="82"/>
      <c r="C282" s="58" t="s">
        <v>200</v>
      </c>
      <c r="D282" s="59">
        <f>(14.268+0.75*2.75+1.85*0.75)*10.764</f>
        <v>190.71655199999998</v>
      </c>
      <c r="E282" s="59">
        <v>0</v>
      </c>
      <c r="F282" s="58">
        <v>340</v>
      </c>
      <c r="G282" s="90"/>
      <c r="H282" s="91"/>
      <c r="I282" s="33"/>
      <c r="J282" s="48">
        <f t="shared" si="25"/>
        <v>1.7827503508977032</v>
      </c>
      <c r="L282" s="50">
        <v>614</v>
      </c>
      <c r="M282" s="50">
        <v>714</v>
      </c>
      <c r="N282" s="33" t="str">
        <f t="shared" si="29"/>
        <v>614 &amp;714</v>
      </c>
    </row>
    <row r="283" spans="1:14" s="45" customFormat="1" x14ac:dyDescent="0.35">
      <c r="A283" s="85" t="s">
        <v>197</v>
      </c>
      <c r="B283" s="85"/>
      <c r="C283" s="85"/>
      <c r="D283" s="85"/>
      <c r="E283" s="85"/>
      <c r="F283" s="85"/>
      <c r="G283" s="85"/>
      <c r="H283" s="85"/>
      <c r="I283" s="47">
        <v>10.763999999999999</v>
      </c>
      <c r="J283" s="48" t="e">
        <f t="shared" si="25"/>
        <v>#DIV/0!</v>
      </c>
      <c r="L283" s="60"/>
      <c r="M283" s="60"/>
    </row>
    <row r="284" spans="1:14" s="45" customFormat="1" x14ac:dyDescent="0.35">
      <c r="A284" s="82">
        <v>807</v>
      </c>
      <c r="B284" s="82"/>
      <c r="C284" s="58" t="s">
        <v>194</v>
      </c>
      <c r="D284" s="59">
        <f>(42.039+0.75*(3.05+2.55+2.75))*10.764</f>
        <v>519.91734600000007</v>
      </c>
      <c r="E284" s="59">
        <v>0</v>
      </c>
      <c r="F284" s="58">
        <v>880</v>
      </c>
      <c r="G284" s="86" t="str">
        <f>A283</f>
        <v>8th Floor (Part Refuge Area)</v>
      </c>
      <c r="H284" s="87"/>
      <c r="I284" s="33"/>
      <c r="J284" s="48">
        <f t="shared" si="25"/>
        <v>1.6925767273785088</v>
      </c>
      <c r="N284" s="33"/>
    </row>
    <row r="285" spans="1:14" s="45" customFormat="1" x14ac:dyDescent="0.35">
      <c r="A285" s="82">
        <f>A284+1</f>
        <v>808</v>
      </c>
      <c r="B285" s="82"/>
      <c r="C285" s="83" t="s">
        <v>198</v>
      </c>
      <c r="D285" s="93"/>
      <c r="E285" s="93"/>
      <c r="F285" s="84"/>
      <c r="G285" s="88"/>
      <c r="H285" s="89"/>
      <c r="I285" s="33"/>
      <c r="J285" s="48" t="e">
        <f t="shared" si="25"/>
        <v>#DIV/0!</v>
      </c>
      <c r="N285" s="33"/>
    </row>
    <row r="286" spans="1:14" s="45" customFormat="1" x14ac:dyDescent="0.35">
      <c r="A286" s="82">
        <f>A285+1</f>
        <v>809</v>
      </c>
      <c r="B286" s="82"/>
      <c r="C286" s="58" t="s">
        <v>194</v>
      </c>
      <c r="D286" s="59">
        <f>(35.125+0.75*(2.75+3.13))*10.764</f>
        <v>425.55473999999992</v>
      </c>
      <c r="E286" s="59">
        <v>0</v>
      </c>
      <c r="F286" s="58">
        <v>705</v>
      </c>
      <c r="G286" s="88"/>
      <c r="H286" s="89"/>
      <c r="I286" s="33"/>
      <c r="J286" s="48">
        <f t="shared" si="25"/>
        <v>1.6566611383532002</v>
      </c>
      <c r="N286" s="33"/>
    </row>
    <row r="287" spans="1:14" s="45" customFormat="1" x14ac:dyDescent="0.35">
      <c r="A287" s="82">
        <f>A286+1</f>
        <v>810</v>
      </c>
      <c r="B287" s="82"/>
      <c r="C287" s="58" t="s">
        <v>194</v>
      </c>
      <c r="D287" s="59">
        <f>(35.125+0.75*(2.75+3.13))*10.764</f>
        <v>425.55473999999992</v>
      </c>
      <c r="E287" s="59">
        <v>0</v>
      </c>
      <c r="F287" s="58">
        <v>705</v>
      </c>
      <c r="G287" s="88"/>
      <c r="H287" s="89"/>
      <c r="I287" s="33"/>
      <c r="J287" s="48">
        <f t="shared" si="25"/>
        <v>1.6566611383532002</v>
      </c>
      <c r="N287" s="33"/>
    </row>
    <row r="288" spans="1:14" s="45" customFormat="1" x14ac:dyDescent="0.35">
      <c r="A288" s="83">
        <v>811</v>
      </c>
      <c r="B288" s="84"/>
      <c r="C288" s="58" t="s">
        <v>194</v>
      </c>
      <c r="D288" s="64">
        <f>(3.45*3.1+3.45*2.15+1.2*1.85+1.2*1.85+3.15*2.9+3.15*2.45+0.75*2.45+1.85*1.85)*10.764</f>
        <v>480.77405999999996</v>
      </c>
      <c r="E288" s="59">
        <v>0</v>
      </c>
      <c r="F288" s="58">
        <v>730</v>
      </c>
      <c r="G288" s="88"/>
      <c r="H288" s="89"/>
      <c r="I288" s="33">
        <f>(32.84+0.75*(1.85+2.45))*10.764</f>
        <v>388.20366000000001</v>
      </c>
      <c r="J288" s="48">
        <f t="shared" si="25"/>
        <v>1.5183847481288821</v>
      </c>
      <c r="L288" s="92"/>
      <c r="M288" s="92"/>
      <c r="N288" s="33"/>
    </row>
    <row r="289" spans="1:14" s="45" customFormat="1" x14ac:dyDescent="0.35">
      <c r="A289" s="83">
        <f t="shared" ref="A289:A291" si="30">A288+1</f>
        <v>812</v>
      </c>
      <c r="B289" s="84"/>
      <c r="C289" s="58" t="s">
        <v>194</v>
      </c>
      <c r="D289" s="59">
        <f>(3.35*2.45+3.75*2.75+1.85*1.2+1.2*1.7+3.2*2.9+3.3*1.85+0.9*1.85+2.9*0.75+0.75*2.9)*10.764</f>
        <v>475.55351999999988</v>
      </c>
      <c r="E289" s="59">
        <v>0</v>
      </c>
      <c r="F289" s="58">
        <v>740</v>
      </c>
      <c r="G289" s="88"/>
      <c r="H289" s="89"/>
      <c r="I289" s="33" t="s">
        <v>206</v>
      </c>
      <c r="J289" s="48">
        <f t="shared" si="25"/>
        <v>1.5560814269653607</v>
      </c>
      <c r="L289" s="92"/>
      <c r="M289" s="92"/>
      <c r="N289" s="33"/>
    </row>
    <row r="290" spans="1:14" s="45" customFormat="1" x14ac:dyDescent="0.35">
      <c r="A290" s="83">
        <f t="shared" si="30"/>
        <v>813</v>
      </c>
      <c r="B290" s="84"/>
      <c r="C290" s="58" t="s">
        <v>194</v>
      </c>
      <c r="D290" s="59">
        <f>(3*2.65+4.1*2.75+1.85*0.75+3.9*1.85+2.75*2.9+1.2*1.85+1.2*1.85+1.85*0.75)*10.764</f>
        <v>448.10531999999995</v>
      </c>
      <c r="E290" s="59">
        <v>0</v>
      </c>
      <c r="F290" s="58">
        <v>715</v>
      </c>
      <c r="G290" s="88"/>
      <c r="H290" s="89"/>
      <c r="I290" s="33"/>
      <c r="J290" s="48">
        <f t="shared" si="25"/>
        <v>1.5956070327395355</v>
      </c>
      <c r="L290" s="92"/>
      <c r="M290" s="92"/>
      <c r="N290" s="33"/>
    </row>
    <row r="291" spans="1:14" s="45" customFormat="1" x14ac:dyDescent="0.35">
      <c r="A291" s="83">
        <f t="shared" si="30"/>
        <v>814</v>
      </c>
      <c r="B291" s="84"/>
      <c r="C291" s="58" t="s">
        <v>200</v>
      </c>
      <c r="D291" s="59">
        <f>(14.268+0.75*2.75+1.85*0.75)*10.764</f>
        <v>190.71655199999998</v>
      </c>
      <c r="E291" s="59">
        <v>0</v>
      </c>
      <c r="F291" s="58">
        <v>340</v>
      </c>
      <c r="G291" s="90"/>
      <c r="H291" s="91"/>
      <c r="I291" s="33"/>
      <c r="J291" s="48">
        <f t="shared" si="25"/>
        <v>1.7827503508977032</v>
      </c>
      <c r="L291" s="92"/>
      <c r="M291" s="92"/>
      <c r="N291" s="33"/>
    </row>
    <row r="292" spans="1:14" s="45" customFormat="1" x14ac:dyDescent="0.35">
      <c r="A292" s="85" t="s">
        <v>211</v>
      </c>
      <c r="B292" s="85"/>
      <c r="C292" s="85"/>
      <c r="D292" s="85"/>
      <c r="E292" s="85"/>
      <c r="F292" s="85"/>
      <c r="G292" s="85"/>
      <c r="H292" s="85"/>
      <c r="I292" s="47">
        <v>10.763999999999999</v>
      </c>
      <c r="J292" s="48" t="e">
        <f t="shared" si="25"/>
        <v>#DIV/0!</v>
      </c>
      <c r="L292" s="92"/>
      <c r="M292" s="92"/>
    </row>
    <row r="293" spans="1:14" s="45" customFormat="1" x14ac:dyDescent="0.35">
      <c r="A293" s="82">
        <v>907</v>
      </c>
      <c r="B293" s="82"/>
      <c r="C293" s="58" t="s">
        <v>194</v>
      </c>
      <c r="D293" s="59">
        <f>(42.039+0.75*(3.05+2.55+2.75))*10.764</f>
        <v>519.91734600000007</v>
      </c>
      <c r="E293" s="59">
        <v>0</v>
      </c>
      <c r="F293" s="58">
        <v>880</v>
      </c>
      <c r="G293" s="86" t="str">
        <f>A292</f>
        <v>9th Floor</v>
      </c>
      <c r="H293" s="87"/>
      <c r="I293" s="33"/>
      <c r="J293" s="48">
        <f t="shared" si="25"/>
        <v>1.6925767273785088</v>
      </c>
      <c r="N293" s="33"/>
    </row>
    <row r="294" spans="1:14" s="45" customFormat="1" x14ac:dyDescent="0.35">
      <c r="A294" s="82">
        <f>A293+1</f>
        <v>908</v>
      </c>
      <c r="B294" s="82"/>
      <c r="C294" s="58" t="s">
        <v>194</v>
      </c>
      <c r="D294" s="59">
        <f>(40.557+0.75*(2.75+5.05+2.75+2.5))*10.764</f>
        <v>541.90819799999997</v>
      </c>
      <c r="E294" s="59">
        <v>0</v>
      </c>
      <c r="F294" s="58">
        <v>930</v>
      </c>
      <c r="G294" s="88"/>
      <c r="H294" s="89"/>
      <c r="I294" s="33"/>
      <c r="J294" s="48">
        <f t="shared" si="25"/>
        <v>1.7161578352796945</v>
      </c>
      <c r="N294" s="33"/>
    </row>
    <row r="295" spans="1:14" s="45" customFormat="1" x14ac:dyDescent="0.35">
      <c r="A295" s="82">
        <f>A294+1</f>
        <v>909</v>
      </c>
      <c r="B295" s="82"/>
      <c r="C295" s="58" t="s">
        <v>194</v>
      </c>
      <c r="D295" s="59">
        <f>(35.125+0.75*(2.75+3.13))*10.764</f>
        <v>425.55473999999992</v>
      </c>
      <c r="E295" s="59">
        <v>0</v>
      </c>
      <c r="F295" s="58">
        <v>705</v>
      </c>
      <c r="G295" s="88"/>
      <c r="H295" s="89"/>
      <c r="I295" s="33"/>
      <c r="J295" s="48">
        <f t="shared" si="25"/>
        <v>1.6566611383532002</v>
      </c>
      <c r="N295" s="33"/>
    </row>
    <row r="296" spans="1:14" s="45" customFormat="1" x14ac:dyDescent="0.35">
      <c r="A296" s="82">
        <f>A295+1</f>
        <v>910</v>
      </c>
      <c r="B296" s="82"/>
      <c r="C296" s="58" t="s">
        <v>194</v>
      </c>
      <c r="D296" s="59">
        <f>(35.125+0.75*(3.05+2.9))*10.764</f>
        <v>426.11984999999999</v>
      </c>
      <c r="E296" s="59">
        <v>0</v>
      </c>
      <c r="F296" s="58">
        <v>705</v>
      </c>
      <c r="G296" s="88"/>
      <c r="H296" s="89"/>
      <c r="I296" s="33"/>
      <c r="J296" s="48">
        <f t="shared" si="25"/>
        <v>1.6544641137933378</v>
      </c>
      <c r="N296" s="33"/>
    </row>
    <row r="297" spans="1:14" s="45" customFormat="1" x14ac:dyDescent="0.35">
      <c r="A297" s="83">
        <v>911</v>
      </c>
      <c r="B297" s="84"/>
      <c r="C297" s="58" t="s">
        <v>194</v>
      </c>
      <c r="D297" s="64">
        <f>(3.45*3.1+3.45*2.15+1.2*1.85+1.2*1.85+3.15*2.9+3.15*2.45+0.75*2.45+1.85*1.85)*10.764</f>
        <v>480.77405999999996</v>
      </c>
      <c r="E297" s="59">
        <v>0</v>
      </c>
      <c r="F297" s="58">
        <v>730</v>
      </c>
      <c r="G297" s="88"/>
      <c r="H297" s="89"/>
      <c r="I297" s="33"/>
      <c r="J297" s="48">
        <f t="shared" si="25"/>
        <v>1.5183847481288821</v>
      </c>
      <c r="L297" s="92"/>
      <c r="M297" s="92"/>
      <c r="N297" s="33"/>
    </row>
    <row r="298" spans="1:14" s="45" customFormat="1" x14ac:dyDescent="0.35">
      <c r="A298" s="83">
        <f t="shared" ref="A298:A300" si="31">A297+1</f>
        <v>912</v>
      </c>
      <c r="B298" s="84"/>
      <c r="C298" s="58" t="s">
        <v>194</v>
      </c>
      <c r="D298" s="59">
        <f>(3.35*2.45+3.75*2.75+1.85*1.2+1.2*1.7+3.2*2.9+3.3*1.85+0.9*1.85+2.9*0.75+0.75*2.9)*10.764</f>
        <v>475.55351999999988</v>
      </c>
      <c r="E298" s="59">
        <v>0</v>
      </c>
      <c r="F298" s="58">
        <v>740</v>
      </c>
      <c r="G298" s="88"/>
      <c r="H298" s="89"/>
      <c r="I298" s="33" t="s">
        <v>206</v>
      </c>
      <c r="J298" s="48">
        <f t="shared" si="25"/>
        <v>1.5560814269653607</v>
      </c>
      <c r="L298" s="92"/>
      <c r="M298" s="92"/>
      <c r="N298" s="33"/>
    </row>
    <row r="299" spans="1:14" s="45" customFormat="1" x14ac:dyDescent="0.35">
      <c r="A299" s="83">
        <f t="shared" si="31"/>
        <v>913</v>
      </c>
      <c r="B299" s="84"/>
      <c r="C299" s="58" t="s">
        <v>194</v>
      </c>
      <c r="D299" s="59">
        <f>(3*2.65+4.1*2.75+1.85*0.75+3.9*1.85+2.75*2.9+1.2*1.85+1.2*1.85+1.85*0.75)*10.764</f>
        <v>448.10531999999995</v>
      </c>
      <c r="E299" s="59">
        <v>0</v>
      </c>
      <c r="F299" s="58">
        <v>775</v>
      </c>
      <c r="G299" s="88"/>
      <c r="H299" s="89"/>
      <c r="I299" s="33"/>
      <c r="J299" s="48">
        <f t="shared" si="25"/>
        <v>1.729504126396</v>
      </c>
      <c r="L299" s="92"/>
      <c r="M299" s="92"/>
      <c r="N299" s="33"/>
    </row>
    <row r="300" spans="1:14" s="45" customFormat="1" x14ac:dyDescent="0.35">
      <c r="A300" s="83">
        <f t="shared" si="31"/>
        <v>914</v>
      </c>
      <c r="B300" s="84"/>
      <c r="C300" s="58" t="s">
        <v>200</v>
      </c>
      <c r="D300" s="59">
        <f>(14.268+0.75*2.75+1.85*0.75)*10.764</f>
        <v>190.71655199999998</v>
      </c>
      <c r="E300" s="59">
        <v>0</v>
      </c>
      <c r="F300" s="58">
        <v>340</v>
      </c>
      <c r="G300" s="90"/>
      <c r="H300" s="91"/>
      <c r="I300" s="33"/>
      <c r="J300" s="48">
        <f t="shared" si="25"/>
        <v>1.7827503508977032</v>
      </c>
      <c r="L300" s="92"/>
      <c r="M300" s="92"/>
      <c r="N300" s="33"/>
    </row>
    <row r="301" spans="1:14" s="45" customFormat="1" x14ac:dyDescent="0.35">
      <c r="A301" s="85" t="s">
        <v>212</v>
      </c>
      <c r="B301" s="85"/>
      <c r="C301" s="85"/>
      <c r="D301" s="85"/>
      <c r="E301" s="85"/>
      <c r="F301" s="85"/>
      <c r="G301" s="85"/>
      <c r="H301" s="85"/>
      <c r="I301" s="47">
        <v>10.763999999999999</v>
      </c>
      <c r="J301" s="48" t="e">
        <f t="shared" si="25"/>
        <v>#DIV/0!</v>
      </c>
      <c r="L301" s="92"/>
      <c r="M301" s="92"/>
    </row>
    <row r="302" spans="1:14" s="45" customFormat="1" x14ac:dyDescent="0.35">
      <c r="A302" s="82" t="str">
        <f>N302</f>
        <v>1007 &amp; 1107</v>
      </c>
      <c r="B302" s="82"/>
      <c r="C302" s="58" t="s">
        <v>194</v>
      </c>
      <c r="D302" s="59">
        <f>(42.039+0.75*(3.05+2.55+2.75))*10.764</f>
        <v>519.91734600000007</v>
      </c>
      <c r="E302" s="59">
        <v>0</v>
      </c>
      <c r="F302" s="58">
        <v>880</v>
      </c>
      <c r="G302" s="86" t="str">
        <f>A301</f>
        <v>10th &amp; 11th Floor</v>
      </c>
      <c r="H302" s="87"/>
      <c r="I302" s="33"/>
      <c r="J302" s="48">
        <f t="shared" si="25"/>
        <v>1.6925767273785088</v>
      </c>
      <c r="K302" s="45">
        <f>4108000/F302</f>
        <v>4668.181818181818</v>
      </c>
      <c r="L302" s="45">
        <v>1007</v>
      </c>
      <c r="M302" s="45">
        <v>1107</v>
      </c>
      <c r="N302" s="33" t="str">
        <f>L302&amp;""&amp;" &amp; "&amp;""&amp;M302</f>
        <v>1007 &amp; 1107</v>
      </c>
    </row>
    <row r="303" spans="1:14" s="45" customFormat="1" x14ac:dyDescent="0.35">
      <c r="A303" s="82" t="str">
        <f t="shared" ref="A303:A309" si="32">N303</f>
        <v>1008 &amp; 1108</v>
      </c>
      <c r="B303" s="82"/>
      <c r="C303" s="58" t="s">
        <v>194</v>
      </c>
      <c r="D303" s="59">
        <f>(40.557+0.75*(2.75+5.05+2.75+2.5))*10.764</f>
        <v>541.90819799999997</v>
      </c>
      <c r="E303" s="59">
        <v>0</v>
      </c>
      <c r="F303" s="58">
        <v>945</v>
      </c>
      <c r="G303" s="88"/>
      <c r="H303" s="89"/>
      <c r="I303" s="33"/>
      <c r="J303" s="48">
        <f t="shared" si="25"/>
        <v>1.7438378003648509</v>
      </c>
      <c r="L303" s="45">
        <v>1008</v>
      </c>
      <c r="M303" s="45">
        <v>1108</v>
      </c>
      <c r="N303" s="33" t="str">
        <f t="shared" ref="N303:N309" si="33">L303&amp;""&amp;" &amp; "&amp;""&amp;M303</f>
        <v>1008 &amp; 1108</v>
      </c>
    </row>
    <row r="304" spans="1:14" s="45" customFormat="1" x14ac:dyDescent="0.35">
      <c r="A304" s="82" t="str">
        <f t="shared" si="32"/>
        <v>1009 &amp; 1109</v>
      </c>
      <c r="B304" s="82"/>
      <c r="C304" s="58" t="s">
        <v>194</v>
      </c>
      <c r="D304" s="59">
        <f>(35.125+0.75*(2.75+3.13))*10.764</f>
        <v>425.55473999999992</v>
      </c>
      <c r="E304" s="59">
        <v>0</v>
      </c>
      <c r="F304" s="58">
        <v>705</v>
      </c>
      <c r="G304" s="88"/>
      <c r="H304" s="89"/>
      <c r="I304" s="33"/>
      <c r="J304" s="48">
        <f t="shared" si="25"/>
        <v>1.6566611383532002</v>
      </c>
      <c r="L304" s="50">
        <v>1009</v>
      </c>
      <c r="M304" s="50">
        <v>1109</v>
      </c>
      <c r="N304" s="33" t="str">
        <f t="shared" si="33"/>
        <v>1009 &amp; 1109</v>
      </c>
    </row>
    <row r="305" spans="1:14" s="45" customFormat="1" x14ac:dyDescent="0.35">
      <c r="A305" s="82" t="str">
        <f t="shared" si="32"/>
        <v>1010 &amp; 1110</v>
      </c>
      <c r="B305" s="82"/>
      <c r="C305" s="58" t="s">
        <v>194</v>
      </c>
      <c r="D305" s="59">
        <f>(35.125+0.75*(3.05+2.9))*10.764</f>
        <v>426.11984999999999</v>
      </c>
      <c r="E305" s="59">
        <v>0</v>
      </c>
      <c r="F305" s="58">
        <v>705</v>
      </c>
      <c r="G305" s="88"/>
      <c r="H305" s="89"/>
      <c r="I305" s="33"/>
      <c r="J305" s="48">
        <f t="shared" si="25"/>
        <v>1.6544641137933378</v>
      </c>
      <c r="L305" s="50">
        <v>1010</v>
      </c>
      <c r="M305" s="50">
        <v>1110</v>
      </c>
      <c r="N305" s="33" t="str">
        <f t="shared" si="33"/>
        <v>1010 &amp; 1110</v>
      </c>
    </row>
    <row r="306" spans="1:14" s="45" customFormat="1" x14ac:dyDescent="0.35">
      <c r="A306" s="82" t="str">
        <f t="shared" si="32"/>
        <v>1011 &amp; 1111</v>
      </c>
      <c r="B306" s="82"/>
      <c r="C306" s="58" t="s">
        <v>194</v>
      </c>
      <c r="D306" s="64">
        <f>(3.45*3.1+3.45*2.15+1.2*1.85+1.2*1.85+3.15*2.9+3.15*2.45+0.75*2.45+1.85*1.85)*10.764</f>
        <v>480.77405999999996</v>
      </c>
      <c r="E306" s="59">
        <v>0</v>
      </c>
      <c r="F306" s="58">
        <v>730</v>
      </c>
      <c r="G306" s="88"/>
      <c r="H306" s="89"/>
      <c r="I306" s="33"/>
      <c r="J306" s="48">
        <f t="shared" si="25"/>
        <v>1.5183847481288821</v>
      </c>
      <c r="L306" s="50">
        <v>1011</v>
      </c>
      <c r="M306" s="50">
        <v>1111</v>
      </c>
      <c r="N306" s="33" t="str">
        <f t="shared" si="33"/>
        <v>1011 &amp; 1111</v>
      </c>
    </row>
    <row r="307" spans="1:14" s="45" customFormat="1" x14ac:dyDescent="0.35">
      <c r="A307" s="82" t="str">
        <f t="shared" si="32"/>
        <v>1012 &amp; 1112</v>
      </c>
      <c r="B307" s="82"/>
      <c r="C307" s="58" t="s">
        <v>194</v>
      </c>
      <c r="D307" s="59">
        <f>(3.35*2.45+3.75*2.75+1.85*1.2+1.2*1.7+3.2*2.9+3.3*1.85+0.9*1.85+2.9*0.75+0.75*2.9)*10.764</f>
        <v>475.55351999999988</v>
      </c>
      <c r="E307" s="59">
        <v>0</v>
      </c>
      <c r="F307" s="58">
        <v>740</v>
      </c>
      <c r="G307" s="88"/>
      <c r="H307" s="89"/>
      <c r="I307" s="33" t="s">
        <v>206</v>
      </c>
      <c r="J307" s="48">
        <f t="shared" si="25"/>
        <v>1.5560814269653607</v>
      </c>
      <c r="L307" s="50">
        <v>1012</v>
      </c>
      <c r="M307" s="50">
        <v>1112</v>
      </c>
      <c r="N307" s="33" t="str">
        <f t="shared" si="33"/>
        <v>1012 &amp; 1112</v>
      </c>
    </row>
    <row r="308" spans="1:14" s="45" customFormat="1" x14ac:dyDescent="0.35">
      <c r="A308" s="82" t="str">
        <f t="shared" si="32"/>
        <v>1013 &amp; 1113</v>
      </c>
      <c r="B308" s="82"/>
      <c r="C308" s="58" t="s">
        <v>194</v>
      </c>
      <c r="D308" s="59">
        <f>(3*2.65+4.1*2.75+1.85*0.75+3.9*1.85+2.75*2.9+1.2*1.85+1.2*1.85+1.85*0.75)*10.764</f>
        <v>448.10531999999995</v>
      </c>
      <c r="E308" s="59">
        <v>0</v>
      </c>
      <c r="F308" s="58">
        <v>775</v>
      </c>
      <c r="G308" s="88"/>
      <c r="H308" s="89"/>
      <c r="I308" s="33"/>
      <c r="J308" s="48">
        <f t="shared" si="25"/>
        <v>1.729504126396</v>
      </c>
      <c r="L308" s="50">
        <v>1013</v>
      </c>
      <c r="M308" s="50">
        <v>1113</v>
      </c>
      <c r="N308" s="33" t="str">
        <f t="shared" si="33"/>
        <v>1013 &amp; 1113</v>
      </c>
    </row>
    <row r="309" spans="1:14" s="45" customFormat="1" x14ac:dyDescent="0.35">
      <c r="A309" s="82" t="str">
        <f t="shared" si="32"/>
        <v>1014 &amp; 1114</v>
      </c>
      <c r="B309" s="82"/>
      <c r="C309" s="58" t="s">
        <v>200</v>
      </c>
      <c r="D309" s="59">
        <f>(14.268+0.75*2.75+1.85*0.75)*10.764</f>
        <v>190.71655199999998</v>
      </c>
      <c r="E309" s="59">
        <v>0</v>
      </c>
      <c r="F309" s="58">
        <v>340</v>
      </c>
      <c r="G309" s="90"/>
      <c r="H309" s="91"/>
      <c r="I309" s="33"/>
      <c r="J309" s="48">
        <f t="shared" si="25"/>
        <v>1.7827503508977032</v>
      </c>
      <c r="L309" s="50">
        <v>1014</v>
      </c>
      <c r="M309" s="50">
        <v>1114</v>
      </c>
      <c r="N309" s="33" t="str">
        <f t="shared" si="33"/>
        <v>1014 &amp; 1114</v>
      </c>
    </row>
    <row r="310" spans="1:14" s="45" customFormat="1" x14ac:dyDescent="0.35">
      <c r="A310" s="85" t="s">
        <v>213</v>
      </c>
      <c r="B310" s="85"/>
      <c r="C310" s="85"/>
      <c r="D310" s="85"/>
      <c r="E310" s="85"/>
      <c r="F310" s="85"/>
      <c r="G310" s="85"/>
      <c r="H310" s="85"/>
      <c r="I310" s="47">
        <v>10.763999999999999</v>
      </c>
      <c r="J310" s="48" t="e">
        <f t="shared" si="25"/>
        <v>#DIV/0!</v>
      </c>
      <c r="L310" s="60"/>
      <c r="M310" s="60"/>
    </row>
    <row r="311" spans="1:14" s="45" customFormat="1" x14ac:dyDescent="0.35">
      <c r="A311" s="82">
        <v>1201</v>
      </c>
      <c r="B311" s="82"/>
      <c r="C311" s="58" t="s">
        <v>200</v>
      </c>
      <c r="D311" s="59">
        <f>(13.395+0.75*2.9)*10.764</f>
        <v>167.59547999999998</v>
      </c>
      <c r="E311" s="59">
        <v>0</v>
      </c>
      <c r="F311" s="58">
        <f>1.65*D311</f>
        <v>276.53254199999998</v>
      </c>
      <c r="G311" s="86" t="str">
        <f>A310</f>
        <v>12th Floor</v>
      </c>
      <c r="H311" s="87"/>
      <c r="I311" s="33"/>
      <c r="J311" s="48">
        <f t="shared" si="25"/>
        <v>1.6500000000000001</v>
      </c>
      <c r="L311" s="50"/>
      <c r="M311" s="50"/>
      <c r="N311" s="33"/>
    </row>
    <row r="312" spans="1:14" s="45" customFormat="1" x14ac:dyDescent="0.35">
      <c r="A312" s="82">
        <f>A311+1</f>
        <v>1202</v>
      </c>
      <c r="B312" s="82"/>
      <c r="C312" s="58" t="s">
        <v>200</v>
      </c>
      <c r="D312" s="59">
        <f>(20.216+0.75*3.13)*10.764</f>
        <v>242.873514</v>
      </c>
      <c r="E312" s="59">
        <v>0</v>
      </c>
      <c r="F312" s="58">
        <f t="shared" ref="F312:F323" si="34">1.65*D312</f>
        <v>400.74129809999999</v>
      </c>
      <c r="G312" s="88"/>
      <c r="H312" s="89"/>
      <c r="I312" s="33"/>
      <c r="J312" s="48">
        <f t="shared" si="25"/>
        <v>1.65</v>
      </c>
      <c r="N312" s="33"/>
    </row>
    <row r="313" spans="1:14" s="45" customFormat="1" x14ac:dyDescent="0.35">
      <c r="A313" s="82">
        <f>A312+1</f>
        <v>1203</v>
      </c>
      <c r="B313" s="82"/>
      <c r="C313" s="58" t="s">
        <v>200</v>
      </c>
      <c r="D313" s="59">
        <f>(20.835+0.75*3.13)*10.764</f>
        <v>249.53643</v>
      </c>
      <c r="E313" s="59">
        <v>0</v>
      </c>
      <c r="F313" s="58">
        <f t="shared" si="34"/>
        <v>411.73510949999996</v>
      </c>
      <c r="G313" s="88"/>
      <c r="H313" s="89"/>
      <c r="I313" s="33"/>
      <c r="J313" s="48">
        <f t="shared" si="25"/>
        <v>1.65</v>
      </c>
      <c r="N313" s="33"/>
    </row>
    <row r="314" spans="1:14" s="45" customFormat="1" x14ac:dyDescent="0.35">
      <c r="A314" s="82">
        <f>A313+1</f>
        <v>1204</v>
      </c>
      <c r="B314" s="82"/>
      <c r="C314" s="58" t="s">
        <v>200</v>
      </c>
      <c r="D314" s="59">
        <f>(15.595+0.75*3.4)*10.764</f>
        <v>195.31277999999998</v>
      </c>
      <c r="E314" s="59">
        <v>0</v>
      </c>
      <c r="F314" s="58">
        <f t="shared" si="34"/>
        <v>322.26608699999991</v>
      </c>
      <c r="G314" s="88"/>
      <c r="H314" s="89"/>
      <c r="I314" s="33">
        <f>(3.4*3.3+1.45*1.6+1.1*1.6+3.05*0.75)*10.764</f>
        <v>189.31184999999996</v>
      </c>
      <c r="J314" s="48">
        <f t="shared" si="25"/>
        <v>1.6499999999999997</v>
      </c>
      <c r="N314" s="33"/>
    </row>
    <row r="315" spans="1:14" s="45" customFormat="1" x14ac:dyDescent="0.35">
      <c r="A315" s="82">
        <f>A314+1</f>
        <v>1205</v>
      </c>
      <c r="B315" s="82"/>
      <c r="C315" s="58" t="s">
        <v>200</v>
      </c>
      <c r="D315" s="59">
        <f>(25.345)*10.764</f>
        <v>272.81357999999994</v>
      </c>
      <c r="E315" s="59">
        <v>0</v>
      </c>
      <c r="F315" s="58">
        <f t="shared" si="34"/>
        <v>450.14240699999988</v>
      </c>
      <c r="G315" s="88"/>
      <c r="H315" s="89"/>
      <c r="I315" s="33"/>
      <c r="J315" s="48">
        <f t="shared" si="25"/>
        <v>1.65</v>
      </c>
      <c r="N315" s="33"/>
    </row>
    <row r="316" spans="1:14" s="45" customFormat="1" x14ac:dyDescent="0.35">
      <c r="A316" s="82">
        <f>A315+1</f>
        <v>1206</v>
      </c>
      <c r="B316" s="82"/>
      <c r="C316" s="58" t="s">
        <v>200</v>
      </c>
      <c r="D316" s="59">
        <f>(23.625+0.75*2.9)*10.764</f>
        <v>277.71119999999996</v>
      </c>
      <c r="E316" s="59">
        <v>0</v>
      </c>
      <c r="F316" s="58">
        <f t="shared" si="34"/>
        <v>458.22347999999994</v>
      </c>
      <c r="G316" s="88"/>
      <c r="H316" s="89"/>
      <c r="I316" s="33"/>
      <c r="J316" s="48">
        <f t="shared" si="25"/>
        <v>1.65</v>
      </c>
      <c r="N316" s="33"/>
    </row>
    <row r="317" spans="1:14" s="45" customFormat="1" x14ac:dyDescent="0.35">
      <c r="A317" s="82">
        <v>1207</v>
      </c>
      <c r="B317" s="82"/>
      <c r="C317" s="58" t="s">
        <v>200</v>
      </c>
      <c r="D317" s="59">
        <f>(18.645+0.75*3.05)*10.764</f>
        <v>225.31742999999994</v>
      </c>
      <c r="E317" s="59">
        <v>0</v>
      </c>
      <c r="F317" s="58">
        <f t="shared" si="34"/>
        <v>371.77375949999987</v>
      </c>
      <c r="G317" s="88"/>
      <c r="H317" s="89"/>
      <c r="I317" s="33"/>
      <c r="J317" s="48">
        <f t="shared" si="25"/>
        <v>1.65</v>
      </c>
      <c r="N317" s="33"/>
    </row>
    <row r="318" spans="1:14" s="45" customFormat="1" x14ac:dyDescent="0.35">
      <c r="A318" s="82">
        <f>A317+1</f>
        <v>1208</v>
      </c>
      <c r="B318" s="82"/>
      <c r="C318" s="58" t="s">
        <v>200</v>
      </c>
      <c r="D318" s="59">
        <f>(20.305+0.75*2.15)*10.764</f>
        <v>235.91996999999998</v>
      </c>
      <c r="E318" s="59">
        <v>0</v>
      </c>
      <c r="F318" s="58">
        <f t="shared" si="34"/>
        <v>389.26795049999993</v>
      </c>
      <c r="G318" s="88"/>
      <c r="H318" s="89"/>
      <c r="I318" s="33"/>
      <c r="J318" s="48">
        <f t="shared" ref="J318:J369" si="35">F318/D318</f>
        <v>1.65</v>
      </c>
      <c r="N318" s="33"/>
    </row>
    <row r="319" spans="1:14" s="45" customFormat="1" x14ac:dyDescent="0.35">
      <c r="A319" s="82">
        <f>A318+1</f>
        <v>1209</v>
      </c>
      <c r="B319" s="82"/>
      <c r="C319" s="58" t="s">
        <v>200</v>
      </c>
      <c r="D319" s="59">
        <f>(19.045)*10.764</f>
        <v>205.00038000000001</v>
      </c>
      <c r="E319" s="59">
        <v>0</v>
      </c>
      <c r="F319" s="58">
        <f t="shared" si="34"/>
        <v>338.25062700000001</v>
      </c>
      <c r="G319" s="88"/>
      <c r="H319" s="89"/>
      <c r="I319" s="33"/>
      <c r="J319" s="48">
        <f t="shared" si="35"/>
        <v>1.65</v>
      </c>
      <c r="N319" s="33"/>
    </row>
    <row r="320" spans="1:14" s="45" customFormat="1" x14ac:dyDescent="0.35">
      <c r="A320" s="82">
        <f>A319+1</f>
        <v>1210</v>
      </c>
      <c r="B320" s="82"/>
      <c r="C320" s="58" t="s">
        <v>200</v>
      </c>
      <c r="D320" s="59">
        <f>(14.268+0.75*(2.75+1.85))*10.764</f>
        <v>190.71655199999998</v>
      </c>
      <c r="E320" s="59">
        <v>0</v>
      </c>
      <c r="F320" s="58">
        <f t="shared" si="34"/>
        <v>314.68231079999993</v>
      </c>
      <c r="G320" s="88"/>
      <c r="H320" s="89"/>
      <c r="I320" s="33"/>
      <c r="J320" s="48">
        <f t="shared" si="35"/>
        <v>1.6499999999999997</v>
      </c>
      <c r="N320" s="33"/>
    </row>
    <row r="321" spans="1:14" s="45" customFormat="1" x14ac:dyDescent="0.35">
      <c r="A321" s="83">
        <v>1211</v>
      </c>
      <c r="B321" s="84"/>
      <c r="C321" s="58" t="s">
        <v>200</v>
      </c>
      <c r="D321" s="59">
        <f>(16.46+0.75*3.15)*10.764</f>
        <v>202.60539</v>
      </c>
      <c r="E321" s="59">
        <v>0</v>
      </c>
      <c r="F321" s="58">
        <f t="shared" si="34"/>
        <v>334.29889349999996</v>
      </c>
      <c r="G321" s="88"/>
      <c r="H321" s="89"/>
      <c r="I321" s="33"/>
      <c r="J321" s="48">
        <f t="shared" si="35"/>
        <v>1.65</v>
      </c>
      <c r="L321" s="92"/>
      <c r="M321" s="92"/>
      <c r="N321" s="33"/>
    </row>
    <row r="322" spans="1:14" s="45" customFormat="1" x14ac:dyDescent="0.35">
      <c r="A322" s="83">
        <f t="shared" ref="A322:A323" si="36">A321+1</f>
        <v>1212</v>
      </c>
      <c r="B322" s="84"/>
      <c r="C322" s="58" t="s">
        <v>200</v>
      </c>
      <c r="D322" s="59">
        <f>(26.528)*10.764</f>
        <v>285.54739199999995</v>
      </c>
      <c r="E322" s="59">
        <v>0</v>
      </c>
      <c r="F322" s="58">
        <f t="shared" si="34"/>
        <v>471.15319679999988</v>
      </c>
      <c r="G322" s="88"/>
      <c r="H322" s="89"/>
      <c r="I322" s="33" t="s">
        <v>206</v>
      </c>
      <c r="J322" s="48">
        <f t="shared" si="35"/>
        <v>1.65</v>
      </c>
      <c r="L322" s="92"/>
      <c r="M322" s="92"/>
      <c r="N322" s="33"/>
    </row>
    <row r="323" spans="1:14" s="45" customFormat="1" x14ac:dyDescent="0.35">
      <c r="A323" s="83">
        <f t="shared" si="36"/>
        <v>1213</v>
      </c>
      <c r="B323" s="84"/>
      <c r="C323" s="58" t="s">
        <v>194</v>
      </c>
      <c r="D323" s="59">
        <f>(40.557+0.75*(2.75+5.05+2.75))*10.764</f>
        <v>521.72569799999997</v>
      </c>
      <c r="E323" s="59">
        <v>0</v>
      </c>
      <c r="F323" s="58">
        <f t="shared" si="34"/>
        <v>860.84740169999986</v>
      </c>
      <c r="G323" s="90"/>
      <c r="H323" s="91"/>
      <c r="I323" s="33"/>
      <c r="J323" s="48">
        <f t="shared" si="35"/>
        <v>1.65</v>
      </c>
      <c r="L323" s="92"/>
      <c r="M323" s="92"/>
      <c r="N323" s="33"/>
    </row>
    <row r="324" spans="1:14" s="45" customFormat="1" x14ac:dyDescent="0.35">
      <c r="A324" s="85" t="s">
        <v>201</v>
      </c>
      <c r="B324" s="85"/>
      <c r="C324" s="85"/>
      <c r="D324" s="85"/>
      <c r="E324" s="85"/>
      <c r="F324" s="85"/>
      <c r="G324" s="85"/>
      <c r="H324" s="85"/>
      <c r="I324" s="47">
        <v>10.763999999999999</v>
      </c>
      <c r="J324" s="48" t="e">
        <f t="shared" si="35"/>
        <v>#DIV/0!</v>
      </c>
      <c r="L324" s="92"/>
      <c r="M324" s="92"/>
    </row>
    <row r="325" spans="1:14" s="45" customFormat="1" x14ac:dyDescent="0.35">
      <c r="A325" s="82">
        <v>1301</v>
      </c>
      <c r="B325" s="82"/>
      <c r="C325" s="58" t="s">
        <v>200</v>
      </c>
      <c r="D325" s="59">
        <f>(13.395+0.75*2.9)*10.764</f>
        <v>167.59547999999998</v>
      </c>
      <c r="E325" s="59">
        <v>0</v>
      </c>
      <c r="F325" s="58">
        <f>1.65*D325</f>
        <v>276.53254199999998</v>
      </c>
      <c r="G325" s="86" t="str">
        <f>A324</f>
        <v>13th Floor (Part Refuge Area)</v>
      </c>
      <c r="H325" s="87"/>
      <c r="I325" s="33"/>
      <c r="J325" s="48">
        <f t="shared" si="35"/>
        <v>1.6500000000000001</v>
      </c>
      <c r="N325" s="33"/>
    </row>
    <row r="326" spans="1:14" s="45" customFormat="1" x14ac:dyDescent="0.35">
      <c r="A326" s="82">
        <f>A325+1</f>
        <v>1302</v>
      </c>
      <c r="B326" s="82"/>
      <c r="C326" s="58" t="s">
        <v>200</v>
      </c>
      <c r="D326" s="59">
        <f>(20.216+0.75*3.13)*10.764</f>
        <v>242.873514</v>
      </c>
      <c r="E326" s="59">
        <v>0</v>
      </c>
      <c r="F326" s="58">
        <f t="shared" ref="F326:F336" si="37">1.65*D326</f>
        <v>400.74129809999999</v>
      </c>
      <c r="G326" s="88"/>
      <c r="H326" s="89"/>
      <c r="I326" s="33"/>
      <c r="J326" s="48">
        <f t="shared" si="35"/>
        <v>1.65</v>
      </c>
      <c r="N326" s="33"/>
    </row>
    <row r="327" spans="1:14" s="45" customFormat="1" x14ac:dyDescent="0.35">
      <c r="A327" s="82">
        <f>A326+1</f>
        <v>1303</v>
      </c>
      <c r="B327" s="82"/>
      <c r="C327" s="58" t="s">
        <v>200</v>
      </c>
      <c r="D327" s="59">
        <f>(20.835+0.75*3.13)*10.764</f>
        <v>249.53643</v>
      </c>
      <c r="E327" s="59">
        <v>0</v>
      </c>
      <c r="F327" s="58">
        <f t="shared" si="37"/>
        <v>411.73510949999996</v>
      </c>
      <c r="G327" s="88"/>
      <c r="H327" s="89"/>
      <c r="I327" s="33"/>
      <c r="J327" s="48">
        <f t="shared" si="35"/>
        <v>1.65</v>
      </c>
      <c r="N327" s="33"/>
    </row>
    <row r="328" spans="1:14" s="45" customFormat="1" x14ac:dyDescent="0.35">
      <c r="A328" s="82">
        <f>A327+1</f>
        <v>1304</v>
      </c>
      <c r="B328" s="82"/>
      <c r="C328" s="58" t="s">
        <v>200</v>
      </c>
      <c r="D328" s="59">
        <f>(15.595+0.75*3.4)*10.764</f>
        <v>195.31277999999998</v>
      </c>
      <c r="E328" s="59">
        <v>0</v>
      </c>
      <c r="F328" s="58">
        <f t="shared" si="37"/>
        <v>322.26608699999991</v>
      </c>
      <c r="G328" s="88"/>
      <c r="H328" s="89"/>
      <c r="I328" s="33"/>
      <c r="J328" s="48">
        <f t="shared" si="35"/>
        <v>1.6499999999999997</v>
      </c>
      <c r="N328" s="33"/>
    </row>
    <row r="329" spans="1:14" s="45" customFormat="1" x14ac:dyDescent="0.35">
      <c r="A329" s="82">
        <f>A328+1</f>
        <v>1305</v>
      </c>
      <c r="B329" s="82"/>
      <c r="C329" s="58" t="s">
        <v>200</v>
      </c>
      <c r="D329" s="59">
        <f>(25.345)*10.764</f>
        <v>272.81357999999994</v>
      </c>
      <c r="E329" s="59">
        <v>0</v>
      </c>
      <c r="F329" s="58">
        <f t="shared" si="37"/>
        <v>450.14240699999988</v>
      </c>
      <c r="G329" s="88"/>
      <c r="H329" s="89"/>
      <c r="I329" s="33"/>
      <c r="J329" s="48">
        <f t="shared" si="35"/>
        <v>1.65</v>
      </c>
      <c r="N329" s="33"/>
    </row>
    <row r="330" spans="1:14" s="45" customFormat="1" x14ac:dyDescent="0.35">
      <c r="A330" s="82">
        <f>A329+1</f>
        <v>1306</v>
      </c>
      <c r="B330" s="82"/>
      <c r="C330" s="58" t="s">
        <v>200</v>
      </c>
      <c r="D330" s="59">
        <f>(23.625+0.75*2.9)*10.764</f>
        <v>277.71119999999996</v>
      </c>
      <c r="E330" s="59">
        <v>0</v>
      </c>
      <c r="F330" s="58">
        <f t="shared" si="37"/>
        <v>458.22347999999994</v>
      </c>
      <c r="G330" s="88"/>
      <c r="H330" s="89"/>
      <c r="I330" s="33"/>
      <c r="J330" s="48">
        <f t="shared" si="35"/>
        <v>1.65</v>
      </c>
      <c r="N330" s="33"/>
    </row>
    <row r="331" spans="1:14" s="45" customFormat="1" x14ac:dyDescent="0.35">
      <c r="A331" s="82">
        <v>1307</v>
      </c>
      <c r="B331" s="82"/>
      <c r="C331" s="58" t="s">
        <v>200</v>
      </c>
      <c r="D331" s="59">
        <f>(18.645+0.75*3.05)*10.764</f>
        <v>225.31742999999994</v>
      </c>
      <c r="E331" s="59">
        <v>0</v>
      </c>
      <c r="F331" s="58">
        <f t="shared" si="37"/>
        <v>371.77375949999987</v>
      </c>
      <c r="G331" s="88"/>
      <c r="H331" s="89"/>
      <c r="I331" s="33"/>
      <c r="J331" s="48">
        <f t="shared" si="35"/>
        <v>1.65</v>
      </c>
      <c r="N331" s="33"/>
    </row>
    <row r="332" spans="1:14" s="45" customFormat="1" x14ac:dyDescent="0.35">
      <c r="A332" s="82">
        <f>A331+1</f>
        <v>1308</v>
      </c>
      <c r="B332" s="82"/>
      <c r="C332" s="58" t="s">
        <v>200</v>
      </c>
      <c r="D332" s="59">
        <f>(20.305+0.75*2.15)*10.764</f>
        <v>235.91996999999998</v>
      </c>
      <c r="E332" s="59">
        <v>0</v>
      </c>
      <c r="F332" s="58">
        <f t="shared" si="37"/>
        <v>389.26795049999993</v>
      </c>
      <c r="G332" s="88"/>
      <c r="H332" s="89"/>
      <c r="I332" s="33"/>
      <c r="J332" s="48">
        <f t="shared" si="35"/>
        <v>1.65</v>
      </c>
      <c r="N332" s="33"/>
    </row>
    <row r="333" spans="1:14" s="45" customFormat="1" x14ac:dyDescent="0.35">
      <c r="A333" s="82">
        <f>A332+1</f>
        <v>1309</v>
      </c>
      <c r="B333" s="82"/>
      <c r="C333" s="58" t="s">
        <v>200</v>
      </c>
      <c r="D333" s="59">
        <f>(19.045)*10.764</f>
        <v>205.00038000000001</v>
      </c>
      <c r="E333" s="59">
        <v>0</v>
      </c>
      <c r="F333" s="58">
        <f t="shared" si="37"/>
        <v>338.25062700000001</v>
      </c>
      <c r="G333" s="88"/>
      <c r="H333" s="89"/>
      <c r="I333" s="33"/>
      <c r="J333" s="48">
        <f t="shared" si="35"/>
        <v>1.65</v>
      </c>
      <c r="N333" s="33"/>
    </row>
    <row r="334" spans="1:14" s="45" customFormat="1" x14ac:dyDescent="0.35">
      <c r="A334" s="82">
        <f>A333+1</f>
        <v>1310</v>
      </c>
      <c r="B334" s="82"/>
      <c r="C334" s="58" t="s">
        <v>200</v>
      </c>
      <c r="D334" s="59">
        <f>(14.268+0.75*(2.75+1.85))*10.764</f>
        <v>190.71655199999998</v>
      </c>
      <c r="E334" s="59">
        <v>0</v>
      </c>
      <c r="F334" s="58">
        <f t="shared" si="37"/>
        <v>314.68231079999993</v>
      </c>
      <c r="G334" s="88"/>
      <c r="H334" s="89"/>
      <c r="I334" s="33"/>
      <c r="J334" s="48">
        <f t="shared" si="35"/>
        <v>1.6499999999999997</v>
      </c>
      <c r="N334" s="33"/>
    </row>
    <row r="335" spans="1:14" s="45" customFormat="1" x14ac:dyDescent="0.35">
      <c r="A335" s="83">
        <v>1311</v>
      </c>
      <c r="B335" s="84"/>
      <c r="C335" s="58" t="s">
        <v>200</v>
      </c>
      <c r="D335" s="59">
        <f>(16.46+0.75*3.15)*10.764</f>
        <v>202.60539</v>
      </c>
      <c r="E335" s="59">
        <v>0</v>
      </c>
      <c r="F335" s="58">
        <f t="shared" si="37"/>
        <v>334.29889349999996</v>
      </c>
      <c r="G335" s="88"/>
      <c r="H335" s="89"/>
      <c r="I335" s="33"/>
      <c r="J335" s="48">
        <f t="shared" si="35"/>
        <v>1.65</v>
      </c>
      <c r="L335" s="92"/>
      <c r="M335" s="92"/>
      <c r="N335" s="33"/>
    </row>
    <row r="336" spans="1:14" s="45" customFormat="1" x14ac:dyDescent="0.35">
      <c r="A336" s="83">
        <f t="shared" ref="A336:A337" si="38">A335+1</f>
        <v>1312</v>
      </c>
      <c r="B336" s="84"/>
      <c r="C336" s="58" t="s">
        <v>200</v>
      </c>
      <c r="D336" s="59">
        <f>(26.528)*10.764</f>
        <v>285.54739199999995</v>
      </c>
      <c r="E336" s="59">
        <v>0</v>
      </c>
      <c r="F336" s="58">
        <f t="shared" si="37"/>
        <v>471.15319679999988</v>
      </c>
      <c r="G336" s="88"/>
      <c r="H336" s="89"/>
      <c r="I336" s="33" t="s">
        <v>206</v>
      </c>
      <c r="J336" s="48">
        <f t="shared" si="35"/>
        <v>1.65</v>
      </c>
      <c r="L336" s="92"/>
      <c r="M336" s="92"/>
      <c r="N336" s="33"/>
    </row>
    <row r="337" spans="1:14" s="45" customFormat="1" x14ac:dyDescent="0.35">
      <c r="A337" s="83">
        <f t="shared" si="38"/>
        <v>1313</v>
      </c>
      <c r="B337" s="84"/>
      <c r="C337" s="83" t="s">
        <v>198</v>
      </c>
      <c r="D337" s="93"/>
      <c r="E337" s="93"/>
      <c r="F337" s="84"/>
      <c r="G337" s="90"/>
      <c r="H337" s="91"/>
      <c r="I337" s="33"/>
      <c r="J337" s="48" t="e">
        <f t="shared" si="35"/>
        <v>#DIV/0!</v>
      </c>
      <c r="L337" s="92"/>
      <c r="M337" s="92"/>
      <c r="N337" s="33"/>
    </row>
    <row r="338" spans="1:14" s="45" customFormat="1" x14ac:dyDescent="0.35">
      <c r="A338" s="85" t="s">
        <v>214</v>
      </c>
      <c r="B338" s="85"/>
      <c r="C338" s="85"/>
      <c r="D338" s="85"/>
      <c r="E338" s="85"/>
      <c r="F338" s="85"/>
      <c r="G338" s="85"/>
      <c r="H338" s="85"/>
      <c r="I338" s="47">
        <v>10.763999999999999</v>
      </c>
      <c r="J338" s="48" t="e">
        <f t="shared" si="35"/>
        <v>#DIV/0!</v>
      </c>
      <c r="L338" s="92"/>
      <c r="M338" s="92"/>
    </row>
    <row r="339" spans="1:14" s="45" customFormat="1" x14ac:dyDescent="0.35">
      <c r="A339" s="85" t="s">
        <v>215</v>
      </c>
      <c r="B339" s="85"/>
      <c r="C339" s="85"/>
      <c r="D339" s="85"/>
      <c r="E339" s="85"/>
      <c r="F339" s="85"/>
      <c r="G339" s="85"/>
      <c r="H339" s="85"/>
      <c r="I339" s="33"/>
      <c r="J339" s="48" t="e">
        <f t="shared" si="35"/>
        <v>#DIV/0!</v>
      </c>
      <c r="L339" s="92"/>
      <c r="M339" s="92"/>
    </row>
    <row r="340" spans="1:14" s="45" customFormat="1" x14ac:dyDescent="0.35">
      <c r="A340" s="85" t="s">
        <v>193</v>
      </c>
      <c r="B340" s="85"/>
      <c r="C340" s="85"/>
      <c r="D340" s="85"/>
      <c r="E340" s="85"/>
      <c r="F340" s="85"/>
      <c r="G340" s="85"/>
      <c r="H340" s="85"/>
      <c r="I340" s="33"/>
      <c r="J340" s="48" t="e">
        <f t="shared" si="35"/>
        <v>#DIV/0!</v>
      </c>
      <c r="L340" s="92"/>
      <c r="M340" s="92"/>
    </row>
    <row r="341" spans="1:14" s="45" customFormat="1" x14ac:dyDescent="0.35">
      <c r="A341" s="82">
        <v>15</v>
      </c>
      <c r="B341" s="82"/>
      <c r="C341" s="58" t="s">
        <v>194</v>
      </c>
      <c r="D341" s="59">
        <f>(38.122+0.9*2.75)*10.764</f>
        <v>436.986108</v>
      </c>
      <c r="E341" s="59">
        <v>0</v>
      </c>
      <c r="F341" s="58">
        <v>700</v>
      </c>
      <c r="G341" s="86" t="str">
        <f>A340</f>
        <v>1st Floor For Residential</v>
      </c>
      <c r="H341" s="87"/>
      <c r="I341" s="33">
        <f>(2.75*3.5+1.85*3.15+1.2*1.85+2.45*2.95+1.85*1.2+2.15*2.75+0.9*4.4+0.9*2.75)</f>
        <v>39.467500000000001</v>
      </c>
      <c r="J341" s="48">
        <f t="shared" si="35"/>
        <v>1.6018815865881026</v>
      </c>
      <c r="N341" s="33"/>
    </row>
    <row r="342" spans="1:14" s="45" customFormat="1" x14ac:dyDescent="0.35">
      <c r="A342" s="82">
        <v>16</v>
      </c>
      <c r="B342" s="82"/>
      <c r="C342" s="70" t="s">
        <v>252</v>
      </c>
      <c r="D342" s="59">
        <f>(38.4+0.75*(2.75+1.75)+1.2*1.75)*10.764</f>
        <v>472.27049999999997</v>
      </c>
      <c r="E342" s="59">
        <v>0</v>
      </c>
      <c r="F342" s="58">
        <v>755</v>
      </c>
      <c r="G342" s="88"/>
      <c r="H342" s="89"/>
      <c r="I342" s="33"/>
      <c r="J342" s="48">
        <f t="shared" si="35"/>
        <v>1.5986600899272769</v>
      </c>
      <c r="N342" s="33"/>
    </row>
    <row r="343" spans="1:14" s="45" customFormat="1" x14ac:dyDescent="0.35">
      <c r="A343" s="82">
        <v>17</v>
      </c>
      <c r="B343" s="82"/>
      <c r="C343" s="58" t="s">
        <v>216</v>
      </c>
      <c r="D343" s="59">
        <f>(30.778+0.75*(2.9+1.85+2.8)+0.9*2.75)*10.764</f>
        <v>418.88644199999999</v>
      </c>
      <c r="E343" s="59">
        <v>0</v>
      </c>
      <c r="F343" s="58">
        <v>630</v>
      </c>
      <c r="G343" s="88"/>
      <c r="H343" s="89"/>
      <c r="I343" s="33"/>
      <c r="J343" s="48">
        <f t="shared" si="35"/>
        <v>1.5039875652026953</v>
      </c>
      <c r="N343" s="33"/>
    </row>
    <row r="344" spans="1:14" s="45" customFormat="1" x14ac:dyDescent="0.35">
      <c r="A344" s="82">
        <v>18</v>
      </c>
      <c r="B344" s="82"/>
      <c r="C344" s="58" t="s">
        <v>216</v>
      </c>
      <c r="D344" s="59">
        <f>(30.778+0.75*(2.9+1.85+2.8)+1.45*2.9)*10.764</f>
        <v>437.50816199999997</v>
      </c>
      <c r="E344" s="59">
        <v>0</v>
      </c>
      <c r="F344" s="58">
        <v>610</v>
      </c>
      <c r="G344" s="88"/>
      <c r="H344" s="89"/>
      <c r="I344" s="33"/>
      <c r="J344" s="48">
        <f t="shared" si="35"/>
        <v>1.3942597029766957</v>
      </c>
      <c r="N344" s="33"/>
    </row>
    <row r="345" spans="1:14" s="45" customFormat="1" x14ac:dyDescent="0.35">
      <c r="A345" s="82">
        <v>19</v>
      </c>
      <c r="B345" s="82"/>
      <c r="C345" s="58" t="s">
        <v>216</v>
      </c>
      <c r="D345" s="59">
        <f>(28.815+0.75*(2.75+3.05)+1*2.75+0.9*2.75)*10.764</f>
        <v>413.22996000000001</v>
      </c>
      <c r="E345" s="59">
        <v>0</v>
      </c>
      <c r="F345" s="58">
        <v>630</v>
      </c>
      <c r="G345" s="88"/>
      <c r="H345" s="89"/>
      <c r="I345" s="33"/>
      <c r="J345" s="48">
        <f t="shared" si="35"/>
        <v>1.5245748396365064</v>
      </c>
      <c r="N345" s="33"/>
    </row>
    <row r="346" spans="1:14" s="45" customFormat="1" x14ac:dyDescent="0.35">
      <c r="A346" s="82">
        <v>20</v>
      </c>
      <c r="B346" s="82"/>
      <c r="C346" s="58" t="s">
        <v>216</v>
      </c>
      <c r="D346" s="59">
        <f>(28.087+0.75*(2.75+2.75)+1.2*3.05+2.75*1)*10.764</f>
        <v>415.72720799999996</v>
      </c>
      <c r="E346" s="59">
        <v>0</v>
      </c>
      <c r="F346" s="58">
        <v>630</v>
      </c>
      <c r="G346" s="88"/>
      <c r="H346" s="89"/>
      <c r="I346" s="33"/>
      <c r="J346" s="48">
        <f t="shared" si="35"/>
        <v>1.5154168114972164</v>
      </c>
      <c r="N346" s="33"/>
    </row>
    <row r="347" spans="1:14" s="45" customFormat="1" x14ac:dyDescent="0.35">
      <c r="A347" s="82">
        <v>21</v>
      </c>
      <c r="B347" s="82"/>
      <c r="C347" s="58" t="s">
        <v>216</v>
      </c>
      <c r="D347" s="59">
        <f>(28.265+0.75*(2.75+2.5)+1.15*2.75)*10.764</f>
        <v>380.66886</v>
      </c>
      <c r="E347" s="59">
        <v>0</v>
      </c>
      <c r="F347" s="58">
        <v>590</v>
      </c>
      <c r="G347" s="88"/>
      <c r="H347" s="89"/>
      <c r="I347" s="33"/>
      <c r="J347" s="48">
        <f t="shared" si="35"/>
        <v>1.5499035040586193</v>
      </c>
      <c r="N347" s="33"/>
    </row>
    <row r="348" spans="1:14" s="45" customFormat="1" x14ac:dyDescent="0.35">
      <c r="A348" s="82">
        <v>22</v>
      </c>
      <c r="B348" s="82"/>
      <c r="C348" s="58" t="s">
        <v>216</v>
      </c>
      <c r="D348" s="59">
        <f>(26.305)*10.764</f>
        <v>283.14702</v>
      </c>
      <c r="E348" s="59">
        <v>0</v>
      </c>
      <c r="F348" s="58">
        <v>470</v>
      </c>
      <c r="G348" s="88"/>
      <c r="H348" s="89"/>
      <c r="I348" s="33"/>
      <c r="J348" s="48">
        <f t="shared" si="35"/>
        <v>1.6599150504921436</v>
      </c>
      <c r="N348" s="33"/>
    </row>
    <row r="349" spans="1:14" s="45" customFormat="1" x14ac:dyDescent="0.35">
      <c r="A349" s="82">
        <v>23</v>
      </c>
      <c r="B349" s="82"/>
      <c r="C349" s="58" t="s">
        <v>200</v>
      </c>
      <c r="D349" s="59">
        <f>(20.335)*10.764</f>
        <v>218.88594000000001</v>
      </c>
      <c r="E349" s="59">
        <v>0</v>
      </c>
      <c r="F349" s="58">
        <v>380</v>
      </c>
      <c r="G349" s="90"/>
      <c r="H349" s="91"/>
      <c r="I349" s="33"/>
      <c r="J349" s="48">
        <f t="shared" si="35"/>
        <v>1.7360639975322307</v>
      </c>
      <c r="N349" s="33"/>
    </row>
    <row r="350" spans="1:14" s="45" customFormat="1" x14ac:dyDescent="0.35">
      <c r="A350" s="85" t="s">
        <v>123</v>
      </c>
      <c r="B350" s="85"/>
      <c r="C350" s="85"/>
      <c r="D350" s="85"/>
      <c r="E350" s="85"/>
      <c r="F350" s="85"/>
      <c r="G350" s="85"/>
      <c r="H350" s="85"/>
      <c r="I350" s="33"/>
      <c r="J350" s="48" t="e">
        <f t="shared" si="35"/>
        <v>#DIV/0!</v>
      </c>
      <c r="L350" s="92"/>
      <c r="M350" s="92"/>
    </row>
    <row r="351" spans="1:14" s="45" customFormat="1" x14ac:dyDescent="0.35">
      <c r="A351" s="82">
        <v>15</v>
      </c>
      <c r="B351" s="82"/>
      <c r="C351" s="58" t="s">
        <v>194</v>
      </c>
      <c r="D351" s="59">
        <f>(38.122+0.9*2.75)*10.764</f>
        <v>436.986108</v>
      </c>
      <c r="E351" s="59">
        <v>0</v>
      </c>
      <c r="F351" s="58">
        <v>700</v>
      </c>
      <c r="G351" s="86" t="str">
        <f>A350</f>
        <v>2nd Floor</v>
      </c>
      <c r="H351" s="87"/>
      <c r="I351" s="33"/>
      <c r="J351" s="48">
        <f t="shared" si="35"/>
        <v>1.6018815865881026</v>
      </c>
      <c r="N351" s="33"/>
    </row>
    <row r="352" spans="1:14" s="45" customFormat="1" x14ac:dyDescent="0.35">
      <c r="A352" s="82">
        <v>16</v>
      </c>
      <c r="B352" s="82"/>
      <c r="C352" s="70" t="s">
        <v>252</v>
      </c>
      <c r="D352" s="59">
        <f>(38.4+0.75*(2.75+1.75)+1.1*1.75)*10.764</f>
        <v>470.38679999999994</v>
      </c>
      <c r="E352" s="59">
        <v>0</v>
      </c>
      <c r="F352" s="58">
        <v>755</v>
      </c>
      <c r="G352" s="88"/>
      <c r="H352" s="89"/>
      <c r="I352" s="33"/>
      <c r="J352" s="48">
        <f t="shared" si="35"/>
        <v>1.6050620468091368</v>
      </c>
      <c r="N352" s="33"/>
    </row>
    <row r="353" spans="1:14" s="45" customFormat="1" x14ac:dyDescent="0.35">
      <c r="A353" s="82">
        <v>17</v>
      </c>
      <c r="B353" s="82"/>
      <c r="C353" s="58" t="s">
        <v>216</v>
      </c>
      <c r="D353" s="59">
        <f>(30.778+0.75*(2.9+1.85+2.8)+0.9*2.75)*10.764</f>
        <v>418.88644199999999</v>
      </c>
      <c r="E353" s="59">
        <v>0</v>
      </c>
      <c r="F353" s="58">
        <v>630</v>
      </c>
      <c r="G353" s="88"/>
      <c r="H353" s="89"/>
      <c r="I353" s="33"/>
      <c r="J353" s="48">
        <f t="shared" si="35"/>
        <v>1.5039875652026953</v>
      </c>
      <c r="N353" s="33"/>
    </row>
    <row r="354" spans="1:14" s="45" customFormat="1" x14ac:dyDescent="0.35">
      <c r="A354" s="82">
        <v>18</v>
      </c>
      <c r="B354" s="82"/>
      <c r="C354" s="58" t="s">
        <v>216</v>
      </c>
      <c r="D354" s="59">
        <f>(30.778+0.75*(2.75+2.8)+1.45*2.75)*10.764</f>
        <v>419.02099199999992</v>
      </c>
      <c r="E354" s="59">
        <v>0</v>
      </c>
      <c r="F354" s="58">
        <v>630</v>
      </c>
      <c r="G354" s="88"/>
      <c r="H354" s="89"/>
      <c r="I354" s="33"/>
      <c r="J354" s="48">
        <f t="shared" si="35"/>
        <v>1.5035046263266927</v>
      </c>
      <c r="N354" s="33"/>
    </row>
    <row r="355" spans="1:14" s="45" customFormat="1" x14ac:dyDescent="0.35">
      <c r="A355" s="82">
        <v>19</v>
      </c>
      <c r="B355" s="82"/>
      <c r="C355" s="58" t="s">
        <v>216</v>
      </c>
      <c r="D355" s="59">
        <f>(28.815+0.75*(2.75+3.05)+1*(2.75+2.75))*10.764</f>
        <v>416.19005999999996</v>
      </c>
      <c r="E355" s="59">
        <v>0</v>
      </c>
      <c r="F355" s="58">
        <v>630</v>
      </c>
      <c r="G355" s="88"/>
      <c r="H355" s="89"/>
      <c r="I355" s="33"/>
      <c r="J355" s="48">
        <f t="shared" si="35"/>
        <v>1.5137314908481958</v>
      </c>
      <c r="N355" s="33"/>
    </row>
    <row r="356" spans="1:14" s="45" customFormat="1" x14ac:dyDescent="0.35">
      <c r="A356" s="82">
        <v>20</v>
      </c>
      <c r="B356" s="82"/>
      <c r="C356" s="58" t="s">
        <v>216</v>
      </c>
      <c r="D356" s="59">
        <f>(28.087+0.75*(2.75+2.75+3.05)+1*2.75+3.05*2)*10.764</f>
        <v>466.61401799999999</v>
      </c>
      <c r="E356" s="59">
        <v>0</v>
      </c>
      <c r="F356" s="58">
        <v>615</v>
      </c>
      <c r="G356" s="88"/>
      <c r="H356" s="89"/>
      <c r="I356" s="33"/>
      <c r="J356" s="48">
        <f t="shared" si="35"/>
        <v>1.3180058383929649</v>
      </c>
      <c r="N356" s="33"/>
    </row>
    <row r="357" spans="1:14" s="45" customFormat="1" x14ac:dyDescent="0.35">
      <c r="A357" s="82">
        <v>21</v>
      </c>
      <c r="B357" s="82"/>
      <c r="C357" s="58" t="s">
        <v>216</v>
      </c>
      <c r="D357" s="59">
        <f>(28.265+0.75*(2.75+2.5)+1.1*2.75)*10.764</f>
        <v>379.18880999999999</v>
      </c>
      <c r="E357" s="59">
        <v>0</v>
      </c>
      <c r="F357" s="58">
        <v>590</v>
      </c>
      <c r="G357" s="88"/>
      <c r="H357" s="89"/>
      <c r="I357" s="33"/>
      <c r="J357" s="48">
        <f t="shared" si="35"/>
        <v>1.5559530883835946</v>
      </c>
      <c r="N357" s="33"/>
    </row>
    <row r="358" spans="1:14" s="45" customFormat="1" x14ac:dyDescent="0.35">
      <c r="A358" s="82">
        <v>22</v>
      </c>
      <c r="B358" s="82"/>
      <c r="C358" s="58" t="s">
        <v>216</v>
      </c>
      <c r="D358" s="59">
        <f>(26.305)*10.764</f>
        <v>283.14702</v>
      </c>
      <c r="E358" s="59">
        <v>0</v>
      </c>
      <c r="F358" s="58">
        <v>470</v>
      </c>
      <c r="G358" s="88"/>
      <c r="H358" s="89"/>
      <c r="I358" s="33"/>
      <c r="J358" s="48">
        <f t="shared" si="35"/>
        <v>1.6599150504921436</v>
      </c>
      <c r="N358" s="33"/>
    </row>
    <row r="359" spans="1:14" s="45" customFormat="1" x14ac:dyDescent="0.35">
      <c r="A359" s="82">
        <v>23</v>
      </c>
      <c r="B359" s="82"/>
      <c r="C359" s="58" t="s">
        <v>200</v>
      </c>
      <c r="D359" s="59">
        <f>(20.335)*10.764</f>
        <v>218.88594000000001</v>
      </c>
      <c r="E359" s="59">
        <v>0</v>
      </c>
      <c r="F359" s="58">
        <v>380</v>
      </c>
      <c r="G359" s="90"/>
      <c r="H359" s="91"/>
      <c r="I359" s="33"/>
      <c r="J359" s="48">
        <f t="shared" si="35"/>
        <v>1.7360639975322307</v>
      </c>
      <c r="N359" s="33"/>
    </row>
    <row r="360" spans="1:14" s="45" customFormat="1" x14ac:dyDescent="0.35">
      <c r="A360" s="85" t="s">
        <v>195</v>
      </c>
      <c r="B360" s="85"/>
      <c r="C360" s="85"/>
      <c r="D360" s="85"/>
      <c r="E360" s="85"/>
      <c r="F360" s="85"/>
      <c r="G360" s="85"/>
      <c r="H360" s="85"/>
      <c r="I360" s="33"/>
      <c r="J360" s="48" t="e">
        <f t="shared" si="35"/>
        <v>#DIV/0!</v>
      </c>
      <c r="L360" s="92"/>
      <c r="M360" s="92"/>
    </row>
    <row r="361" spans="1:14" s="45" customFormat="1" x14ac:dyDescent="0.35">
      <c r="A361" s="82">
        <v>15</v>
      </c>
      <c r="B361" s="82"/>
      <c r="C361" s="58" t="s">
        <v>194</v>
      </c>
      <c r="D361" s="59">
        <f>(38.122+0.9*2.75)*10.764</f>
        <v>436.986108</v>
      </c>
      <c r="E361" s="59">
        <v>0</v>
      </c>
      <c r="F361" s="58">
        <v>700</v>
      </c>
      <c r="G361" s="86" t="str">
        <f>A360</f>
        <v>3rd Floor</v>
      </c>
      <c r="H361" s="87"/>
      <c r="I361" s="33"/>
      <c r="J361" s="48">
        <f t="shared" si="35"/>
        <v>1.6018815865881026</v>
      </c>
      <c r="N361" s="33"/>
    </row>
    <row r="362" spans="1:14" s="45" customFormat="1" x14ac:dyDescent="0.35">
      <c r="A362" s="82">
        <v>16</v>
      </c>
      <c r="B362" s="82"/>
      <c r="C362" s="58" t="s">
        <v>252</v>
      </c>
      <c r="D362" s="59">
        <f>(38.4+0.75*(2.75+1.75)+1.2*1.75)*10.764</f>
        <v>472.27049999999997</v>
      </c>
      <c r="E362" s="59">
        <v>0</v>
      </c>
      <c r="F362" s="58">
        <v>755</v>
      </c>
      <c r="G362" s="88"/>
      <c r="H362" s="89"/>
      <c r="I362" s="33"/>
      <c r="J362" s="48">
        <f t="shared" si="35"/>
        <v>1.5986600899272769</v>
      </c>
      <c r="N362" s="33"/>
    </row>
    <row r="363" spans="1:14" s="45" customFormat="1" x14ac:dyDescent="0.35">
      <c r="A363" s="82">
        <v>17</v>
      </c>
      <c r="B363" s="82"/>
      <c r="C363" s="58" t="s">
        <v>216</v>
      </c>
      <c r="D363" s="59">
        <f>(30.778+0.75*(2.9+1.85+2.8)+0.9*2.75)*10.764</f>
        <v>418.88644199999999</v>
      </c>
      <c r="E363" s="59">
        <v>0</v>
      </c>
      <c r="F363" s="58">
        <v>650</v>
      </c>
      <c r="G363" s="88"/>
      <c r="H363" s="89"/>
      <c r="I363" s="33"/>
      <c r="J363" s="48">
        <f t="shared" si="35"/>
        <v>1.5517332021932571</v>
      </c>
      <c r="N363" s="33"/>
    </row>
    <row r="364" spans="1:14" s="45" customFormat="1" x14ac:dyDescent="0.35">
      <c r="A364" s="82">
        <v>18</v>
      </c>
      <c r="B364" s="82"/>
      <c r="C364" s="58" t="s">
        <v>216</v>
      </c>
      <c r="D364" s="59">
        <f>(30.778+0.75*(2.9+1.85+2.8)+1.45*2.75)*10.764</f>
        <v>435.16699199999994</v>
      </c>
      <c r="E364" s="59">
        <v>0</v>
      </c>
      <c r="F364" s="58">
        <v>630</v>
      </c>
      <c r="G364" s="88"/>
      <c r="H364" s="89"/>
      <c r="I364" s="33"/>
      <c r="J364" s="48">
        <f t="shared" si="35"/>
        <v>1.447720097300027</v>
      </c>
      <c r="N364" s="33"/>
    </row>
    <row r="365" spans="1:14" s="45" customFormat="1" x14ac:dyDescent="0.35">
      <c r="A365" s="82">
        <v>19</v>
      </c>
      <c r="B365" s="82"/>
      <c r="C365" s="58" t="s">
        <v>216</v>
      </c>
      <c r="D365" s="59">
        <f>(28.815+0.75*(2.75+3.05)+1*2.75)*10.764</f>
        <v>386.58905999999996</v>
      </c>
      <c r="E365" s="59">
        <v>0</v>
      </c>
      <c r="F365" s="58">
        <v>630</v>
      </c>
      <c r="G365" s="88"/>
      <c r="H365" s="89"/>
      <c r="I365" s="33"/>
      <c r="J365" s="48">
        <f t="shared" si="35"/>
        <v>1.6296374242975216</v>
      </c>
      <c r="N365" s="33"/>
    </row>
    <row r="366" spans="1:14" s="45" customFormat="1" x14ac:dyDescent="0.35">
      <c r="A366" s="82">
        <v>20</v>
      </c>
      <c r="B366" s="82"/>
      <c r="C366" s="58" t="s">
        <v>216</v>
      </c>
      <c r="D366" s="59">
        <f>(28.087+0.75*(2.75+2.75)+1*2.75)*10.764</f>
        <v>376.33096799999998</v>
      </c>
      <c r="E366" s="59">
        <v>0</v>
      </c>
      <c r="F366" s="58">
        <v>630</v>
      </c>
      <c r="G366" s="88"/>
      <c r="H366" s="89"/>
      <c r="I366" s="33"/>
      <c r="J366" s="48">
        <f t="shared" si="35"/>
        <v>1.6740583517431922</v>
      </c>
      <c r="N366" s="33"/>
    </row>
    <row r="367" spans="1:14" s="45" customFormat="1" x14ac:dyDescent="0.35">
      <c r="A367" s="82">
        <v>21</v>
      </c>
      <c r="B367" s="82"/>
      <c r="C367" s="58" t="s">
        <v>216</v>
      </c>
      <c r="D367" s="59">
        <f>(28.265+0.75*(2.75+2.5)+1.15*2.75)*10.764</f>
        <v>380.66886</v>
      </c>
      <c r="E367" s="59">
        <v>0</v>
      </c>
      <c r="F367" s="58">
        <v>590</v>
      </c>
      <c r="G367" s="88"/>
      <c r="H367" s="89"/>
      <c r="I367" s="33"/>
      <c r="J367" s="48">
        <f t="shared" si="35"/>
        <v>1.5499035040586193</v>
      </c>
      <c r="N367" s="33"/>
    </row>
    <row r="368" spans="1:14" s="45" customFormat="1" x14ac:dyDescent="0.35">
      <c r="A368" s="82">
        <v>22</v>
      </c>
      <c r="B368" s="82"/>
      <c r="C368" s="58" t="s">
        <v>216</v>
      </c>
      <c r="D368" s="59">
        <f>(26.305)*10.764</f>
        <v>283.14702</v>
      </c>
      <c r="E368" s="59">
        <v>0</v>
      </c>
      <c r="F368" s="58">
        <v>470</v>
      </c>
      <c r="G368" s="88"/>
      <c r="H368" s="89"/>
      <c r="I368" s="33"/>
      <c r="J368" s="48">
        <f t="shared" si="35"/>
        <v>1.6599150504921436</v>
      </c>
      <c r="N368" s="33"/>
    </row>
    <row r="369" spans="1:14" s="45" customFormat="1" x14ac:dyDescent="0.35">
      <c r="A369" s="82">
        <v>23</v>
      </c>
      <c r="B369" s="82"/>
      <c r="C369" s="58" t="s">
        <v>200</v>
      </c>
      <c r="D369" s="59">
        <f>(20.335)*10.764</f>
        <v>218.88594000000001</v>
      </c>
      <c r="E369" s="59">
        <v>0</v>
      </c>
      <c r="F369" s="58">
        <v>380</v>
      </c>
      <c r="G369" s="90"/>
      <c r="H369" s="91"/>
      <c r="I369" s="33"/>
      <c r="J369" s="48">
        <f t="shared" si="35"/>
        <v>1.7360639975322307</v>
      </c>
      <c r="N369" s="33"/>
    </row>
    <row r="370" spans="1:14" s="68" customFormat="1" x14ac:dyDescent="0.35">
      <c r="A370" s="85" t="s">
        <v>208</v>
      </c>
      <c r="B370" s="85"/>
      <c r="C370" s="85"/>
      <c r="D370" s="85"/>
      <c r="E370" s="85"/>
      <c r="F370" s="85"/>
      <c r="G370" s="85"/>
      <c r="H370" s="85"/>
      <c r="I370" s="33"/>
      <c r="J370" s="48" t="e">
        <f t="shared" ref="J370:J379" si="39">F370/D370</f>
        <v>#DIV/0!</v>
      </c>
      <c r="L370" s="92"/>
      <c r="M370" s="92"/>
    </row>
    <row r="371" spans="1:14" s="68" customFormat="1" x14ac:dyDescent="0.35">
      <c r="A371" s="82">
        <v>15</v>
      </c>
      <c r="B371" s="82"/>
      <c r="C371" s="70" t="s">
        <v>194</v>
      </c>
      <c r="D371" s="59">
        <f>(40.237)*10.764</f>
        <v>433.11106799999999</v>
      </c>
      <c r="E371" s="59">
        <v>0</v>
      </c>
      <c r="F371" s="70">
        <v>700</v>
      </c>
      <c r="G371" s="86" t="str">
        <f>A370</f>
        <v>4th Floor</v>
      </c>
      <c r="H371" s="87"/>
      <c r="I371" s="33"/>
      <c r="J371" s="48">
        <f t="shared" si="39"/>
        <v>1.6162136036662078</v>
      </c>
      <c r="N371" s="33"/>
    </row>
    <row r="372" spans="1:14" s="68" customFormat="1" x14ac:dyDescent="0.35">
      <c r="A372" s="82">
        <v>16</v>
      </c>
      <c r="B372" s="82"/>
      <c r="C372" s="70" t="s">
        <v>252</v>
      </c>
      <c r="D372" s="59">
        <f>(40.5+0.75*(2.75+1.75))*10.764</f>
        <v>472.27049999999997</v>
      </c>
      <c r="E372" s="59">
        <v>0</v>
      </c>
      <c r="F372" s="70">
        <v>755</v>
      </c>
      <c r="G372" s="88"/>
      <c r="H372" s="89"/>
      <c r="I372" s="33"/>
      <c r="J372" s="48">
        <f t="shared" si="39"/>
        <v>1.5986600899272769</v>
      </c>
      <c r="N372" s="33"/>
    </row>
    <row r="373" spans="1:14" s="68" customFormat="1" x14ac:dyDescent="0.35">
      <c r="A373" s="82">
        <v>17</v>
      </c>
      <c r="B373" s="82"/>
      <c r="C373" s="70" t="s">
        <v>216</v>
      </c>
      <c r="D373" s="59">
        <f>(32.966+0.75*(2.9+1.85+2.8))*10.764</f>
        <v>415.79717399999998</v>
      </c>
      <c r="E373" s="59">
        <v>0</v>
      </c>
      <c r="F373" s="70">
        <v>630</v>
      </c>
      <c r="G373" s="88"/>
      <c r="H373" s="89"/>
      <c r="I373" s="33"/>
      <c r="J373" s="48">
        <f t="shared" si="39"/>
        <v>1.5151618130045299</v>
      </c>
      <c r="N373" s="33"/>
    </row>
    <row r="374" spans="1:14" s="68" customFormat="1" x14ac:dyDescent="0.35">
      <c r="A374" s="82">
        <v>18</v>
      </c>
      <c r="B374" s="82"/>
      <c r="C374" s="70" t="s">
        <v>216</v>
      </c>
      <c r="D374" s="59">
        <f>(34.479+0.75*(2.75+2.8+1.85))*10.764</f>
        <v>430.87215599999996</v>
      </c>
      <c r="E374" s="59">
        <v>0</v>
      </c>
      <c r="F374" s="70">
        <v>630</v>
      </c>
      <c r="G374" s="88"/>
      <c r="H374" s="89"/>
      <c r="I374" s="33"/>
      <c r="J374" s="48">
        <f t="shared" si="39"/>
        <v>1.4621506431248716</v>
      </c>
      <c r="N374" s="33"/>
    </row>
    <row r="375" spans="1:14" s="68" customFormat="1" x14ac:dyDescent="0.35">
      <c r="A375" s="82">
        <v>19</v>
      </c>
      <c r="B375" s="82"/>
      <c r="C375" s="70" t="s">
        <v>216</v>
      </c>
      <c r="D375" s="59">
        <f>(33.342+0.75*(2.75+3.05))*10.764</f>
        <v>405.71668799999998</v>
      </c>
      <c r="E375" s="59">
        <v>0</v>
      </c>
      <c r="F375" s="70">
        <v>630</v>
      </c>
      <c r="G375" s="88"/>
      <c r="H375" s="89"/>
      <c r="I375" s="33"/>
      <c r="J375" s="48">
        <f t="shared" si="39"/>
        <v>1.5528077070371826</v>
      </c>
      <c r="N375" s="33"/>
    </row>
    <row r="376" spans="1:14" s="68" customFormat="1" x14ac:dyDescent="0.35">
      <c r="A376" s="82">
        <v>20</v>
      </c>
      <c r="B376" s="82"/>
      <c r="C376" s="70" t="s">
        <v>216</v>
      </c>
      <c r="D376" s="59">
        <f>(33.777+0.75*(2.75+2.75))*10.764</f>
        <v>407.97712799999999</v>
      </c>
      <c r="E376" s="59">
        <v>0</v>
      </c>
      <c r="F376" s="70">
        <v>615</v>
      </c>
      <c r="G376" s="88"/>
      <c r="H376" s="89"/>
      <c r="I376" s="33"/>
      <c r="J376" s="48">
        <f t="shared" si="39"/>
        <v>1.507437446346257</v>
      </c>
      <c r="N376" s="33"/>
    </row>
    <row r="377" spans="1:14" s="68" customFormat="1" x14ac:dyDescent="0.35">
      <c r="A377" s="82">
        <v>21</v>
      </c>
      <c r="B377" s="82"/>
      <c r="C377" s="70" t="s">
        <v>216</v>
      </c>
      <c r="D377" s="59">
        <f>(31.88+0.75*(2.75+2.5))*10.764</f>
        <v>385.53956999999991</v>
      </c>
      <c r="E377" s="59">
        <v>0</v>
      </c>
      <c r="F377" s="70">
        <v>590</v>
      </c>
      <c r="G377" s="88"/>
      <c r="H377" s="89"/>
      <c r="I377" s="33"/>
      <c r="J377" s="48">
        <f t="shared" si="39"/>
        <v>1.5303228148539982</v>
      </c>
      <c r="N377" s="33"/>
    </row>
    <row r="378" spans="1:14" s="68" customFormat="1" x14ac:dyDescent="0.35">
      <c r="A378" s="82">
        <v>22</v>
      </c>
      <c r="B378" s="82"/>
      <c r="C378" s="70" t="s">
        <v>216</v>
      </c>
      <c r="D378" s="59">
        <f>(26.339)*10.764</f>
        <v>283.51299599999999</v>
      </c>
      <c r="E378" s="59">
        <v>0</v>
      </c>
      <c r="F378" s="70">
        <v>470</v>
      </c>
      <c r="G378" s="88"/>
      <c r="H378" s="89"/>
      <c r="I378" s="33"/>
      <c r="J378" s="48">
        <f t="shared" si="39"/>
        <v>1.6577723301262706</v>
      </c>
      <c r="N378" s="33"/>
    </row>
    <row r="379" spans="1:14" s="68" customFormat="1" x14ac:dyDescent="0.35">
      <c r="A379" s="82">
        <v>23</v>
      </c>
      <c r="B379" s="82"/>
      <c r="C379" s="70" t="s">
        <v>200</v>
      </c>
      <c r="D379" s="59">
        <f>(2.75*2.75+1.7*1.45+2.9*2.45+1.2*2.9)*10.764</f>
        <v>221.87295</v>
      </c>
      <c r="E379" s="59">
        <v>0</v>
      </c>
      <c r="F379" s="70">
        <v>380</v>
      </c>
      <c r="G379" s="90"/>
      <c r="H379" s="91"/>
      <c r="I379" s="33"/>
      <c r="J379" s="48">
        <f t="shared" si="39"/>
        <v>1.7126918806461084</v>
      </c>
      <c r="N379" s="33"/>
    </row>
    <row r="380" spans="1:14" s="68" customFormat="1" x14ac:dyDescent="0.35">
      <c r="A380" s="85" t="s">
        <v>209</v>
      </c>
      <c r="B380" s="85"/>
      <c r="C380" s="85"/>
      <c r="D380" s="85"/>
      <c r="E380" s="85"/>
      <c r="F380" s="85"/>
      <c r="G380" s="85"/>
      <c r="H380" s="85"/>
      <c r="I380" s="33"/>
      <c r="J380" s="48" t="e">
        <f t="shared" ref="J380:J389" si="40">F380/D380</f>
        <v>#DIV/0!</v>
      </c>
      <c r="L380" s="92"/>
      <c r="M380" s="92"/>
    </row>
    <row r="381" spans="1:14" s="68" customFormat="1" x14ac:dyDescent="0.35">
      <c r="A381" s="82">
        <v>15</v>
      </c>
      <c r="B381" s="82"/>
      <c r="C381" s="70" t="s">
        <v>194</v>
      </c>
      <c r="D381" s="59">
        <f>(40.237)*10.764</f>
        <v>433.11106799999999</v>
      </c>
      <c r="E381" s="59">
        <v>0</v>
      </c>
      <c r="F381" s="70">
        <v>700</v>
      </c>
      <c r="G381" s="86" t="str">
        <f>A380</f>
        <v>5th Floor</v>
      </c>
      <c r="H381" s="87"/>
      <c r="I381" s="33"/>
      <c r="J381" s="48">
        <f t="shared" si="40"/>
        <v>1.6162136036662078</v>
      </c>
      <c r="N381" s="33"/>
    </row>
    <row r="382" spans="1:14" s="68" customFormat="1" x14ac:dyDescent="0.35">
      <c r="A382" s="82">
        <v>16</v>
      </c>
      <c r="B382" s="82"/>
      <c r="C382" s="70" t="s">
        <v>252</v>
      </c>
      <c r="D382" s="59">
        <f>(40.5+0.75*(2.75+1.75))*10.764</f>
        <v>472.27049999999997</v>
      </c>
      <c r="E382" s="59">
        <v>0</v>
      </c>
      <c r="F382" s="70">
        <v>755</v>
      </c>
      <c r="G382" s="88"/>
      <c r="H382" s="89"/>
      <c r="I382" s="33"/>
      <c r="J382" s="48">
        <f t="shared" si="40"/>
        <v>1.5986600899272769</v>
      </c>
      <c r="N382" s="33"/>
    </row>
    <row r="383" spans="1:14" s="68" customFormat="1" x14ac:dyDescent="0.35">
      <c r="A383" s="82">
        <v>17</v>
      </c>
      <c r="B383" s="82"/>
      <c r="C383" s="70" t="s">
        <v>216</v>
      </c>
      <c r="D383" s="59">
        <f>(32.966+0.75*(2.9+1.85+2.8))*10.764</f>
        <v>415.79717399999998</v>
      </c>
      <c r="E383" s="59">
        <v>0</v>
      </c>
      <c r="F383" s="70">
        <v>630</v>
      </c>
      <c r="G383" s="88"/>
      <c r="H383" s="89"/>
      <c r="I383" s="33"/>
      <c r="J383" s="48">
        <f t="shared" si="40"/>
        <v>1.5151618130045299</v>
      </c>
      <c r="N383" s="33"/>
    </row>
    <row r="384" spans="1:14" s="68" customFormat="1" x14ac:dyDescent="0.35">
      <c r="A384" s="82">
        <v>18</v>
      </c>
      <c r="B384" s="82"/>
      <c r="C384" s="70" t="s">
        <v>216</v>
      </c>
      <c r="D384" s="59">
        <f>(34.479+0.75*(2.75+2.8+1.85))*10.764</f>
        <v>430.87215599999996</v>
      </c>
      <c r="E384" s="59">
        <v>0</v>
      </c>
      <c r="F384" s="70">
        <v>630</v>
      </c>
      <c r="G384" s="88"/>
      <c r="H384" s="89"/>
      <c r="I384" s="33"/>
      <c r="J384" s="48">
        <f t="shared" si="40"/>
        <v>1.4621506431248716</v>
      </c>
      <c r="N384" s="33"/>
    </row>
    <row r="385" spans="1:14" s="68" customFormat="1" x14ac:dyDescent="0.35">
      <c r="A385" s="82">
        <v>19</v>
      </c>
      <c r="B385" s="82"/>
      <c r="C385" s="70" t="s">
        <v>216</v>
      </c>
      <c r="D385" s="59">
        <f>(33.342+0.75*(2.75+3.05))*10.764</f>
        <v>405.71668799999998</v>
      </c>
      <c r="E385" s="59">
        <v>0</v>
      </c>
      <c r="F385" s="70">
        <v>630</v>
      </c>
      <c r="G385" s="88"/>
      <c r="H385" s="89"/>
      <c r="I385" s="33"/>
      <c r="J385" s="48">
        <f t="shared" si="40"/>
        <v>1.5528077070371826</v>
      </c>
      <c r="N385" s="33"/>
    </row>
    <row r="386" spans="1:14" s="68" customFormat="1" x14ac:dyDescent="0.35">
      <c r="A386" s="82">
        <v>20</v>
      </c>
      <c r="B386" s="82"/>
      <c r="C386" s="70" t="s">
        <v>216</v>
      </c>
      <c r="D386" s="59">
        <f>(33.777+0.75*(2.75+2.75+3.05+3.2+0.75))*10.764</f>
        <v>464.48812799999996</v>
      </c>
      <c r="E386" s="59">
        <v>0</v>
      </c>
      <c r="F386" s="70">
        <v>615</v>
      </c>
      <c r="G386" s="88"/>
      <c r="H386" s="89"/>
      <c r="I386" s="33"/>
      <c r="J386" s="48">
        <f t="shared" si="40"/>
        <v>1.3240381463527955</v>
      </c>
      <c r="N386" s="33"/>
    </row>
    <row r="387" spans="1:14" s="68" customFormat="1" x14ac:dyDescent="0.35">
      <c r="A387" s="82">
        <v>21</v>
      </c>
      <c r="B387" s="82"/>
      <c r="C387" s="70" t="s">
        <v>216</v>
      </c>
      <c r="D387" s="59">
        <f>(31.88+0.75*(2.75+2.5))*10.764</f>
        <v>385.53956999999991</v>
      </c>
      <c r="E387" s="59">
        <v>0</v>
      </c>
      <c r="F387" s="70">
        <v>590</v>
      </c>
      <c r="G387" s="88"/>
      <c r="H387" s="89"/>
      <c r="I387" s="33"/>
      <c r="J387" s="48">
        <f t="shared" si="40"/>
        <v>1.5303228148539982</v>
      </c>
      <c r="N387" s="33"/>
    </row>
    <row r="388" spans="1:14" s="68" customFormat="1" x14ac:dyDescent="0.35">
      <c r="A388" s="82">
        <v>22</v>
      </c>
      <c r="B388" s="82"/>
      <c r="C388" s="70" t="s">
        <v>216</v>
      </c>
      <c r="D388" s="59">
        <f>(26.339)*10.764</f>
        <v>283.51299599999999</v>
      </c>
      <c r="E388" s="59">
        <v>0</v>
      </c>
      <c r="F388" s="70">
        <v>470</v>
      </c>
      <c r="G388" s="88"/>
      <c r="H388" s="89"/>
      <c r="I388" s="33"/>
      <c r="J388" s="48">
        <f t="shared" si="40"/>
        <v>1.6577723301262706</v>
      </c>
      <c r="N388" s="33"/>
    </row>
    <row r="389" spans="1:14" s="68" customFormat="1" x14ac:dyDescent="0.35">
      <c r="A389" s="82">
        <v>23</v>
      </c>
      <c r="B389" s="82"/>
      <c r="C389" s="70" t="s">
        <v>200</v>
      </c>
      <c r="D389" s="59">
        <f>(2.75*2.75+1.7*1.45+2.9*2.45+1.2*2.9)*10.764</f>
        <v>221.87295</v>
      </c>
      <c r="E389" s="59">
        <v>0</v>
      </c>
      <c r="F389" s="70">
        <v>380</v>
      </c>
      <c r="G389" s="90"/>
      <c r="H389" s="91"/>
      <c r="I389" s="33"/>
      <c r="J389" s="48">
        <f t="shared" si="40"/>
        <v>1.7126918806461084</v>
      </c>
      <c r="N389" s="33"/>
    </row>
    <row r="390" spans="1:14" s="68" customFormat="1" x14ac:dyDescent="0.35">
      <c r="A390" s="85" t="s">
        <v>253</v>
      </c>
      <c r="B390" s="85"/>
      <c r="C390" s="85"/>
      <c r="D390" s="85"/>
      <c r="E390" s="85"/>
      <c r="F390" s="85"/>
      <c r="G390" s="85"/>
      <c r="H390" s="85"/>
      <c r="I390" s="33"/>
      <c r="J390" s="48" t="e">
        <f t="shared" ref="J390:J399" si="41">F390/D390</f>
        <v>#DIV/0!</v>
      </c>
      <c r="L390" s="92"/>
      <c r="M390" s="92"/>
    </row>
    <row r="391" spans="1:14" s="68" customFormat="1" x14ac:dyDescent="0.35">
      <c r="A391" s="82">
        <v>15</v>
      </c>
      <c r="B391" s="82"/>
      <c r="C391" s="70" t="s">
        <v>194</v>
      </c>
      <c r="D391" s="59">
        <f>(40.237)*10.764</f>
        <v>433.11106799999999</v>
      </c>
      <c r="E391" s="59">
        <v>0</v>
      </c>
      <c r="F391" s="70">
        <v>700</v>
      </c>
      <c r="G391" s="86" t="str">
        <f>A390</f>
        <v>6th Floor</v>
      </c>
      <c r="H391" s="87"/>
      <c r="I391" s="33"/>
      <c r="J391" s="48">
        <f t="shared" si="41"/>
        <v>1.6162136036662078</v>
      </c>
      <c r="N391" s="33"/>
    </row>
    <row r="392" spans="1:14" s="68" customFormat="1" x14ac:dyDescent="0.35">
      <c r="A392" s="82">
        <v>16</v>
      </c>
      <c r="B392" s="82"/>
      <c r="C392" s="70" t="s">
        <v>252</v>
      </c>
      <c r="D392" s="59">
        <f>(40.5+0.75*(2.75+1.75))*10.764</f>
        <v>472.27049999999997</v>
      </c>
      <c r="E392" s="59">
        <v>0</v>
      </c>
      <c r="F392" s="70">
        <v>755</v>
      </c>
      <c r="G392" s="88"/>
      <c r="H392" s="89"/>
      <c r="I392" s="33"/>
      <c r="J392" s="48">
        <f t="shared" si="41"/>
        <v>1.5986600899272769</v>
      </c>
      <c r="N392" s="33"/>
    </row>
    <row r="393" spans="1:14" s="68" customFormat="1" x14ac:dyDescent="0.35">
      <c r="A393" s="82">
        <v>17</v>
      </c>
      <c r="B393" s="82"/>
      <c r="C393" s="70" t="s">
        <v>216</v>
      </c>
      <c r="D393" s="59">
        <f>(32.966+0.75*(2.9+1.85+2.8))*10.764</f>
        <v>415.79717399999998</v>
      </c>
      <c r="E393" s="59">
        <v>0</v>
      </c>
      <c r="F393" s="70">
        <v>630</v>
      </c>
      <c r="G393" s="88"/>
      <c r="H393" s="89"/>
      <c r="I393" s="33"/>
      <c r="J393" s="48">
        <f t="shared" si="41"/>
        <v>1.5151618130045299</v>
      </c>
      <c r="N393" s="33"/>
    </row>
    <row r="394" spans="1:14" s="68" customFormat="1" x14ac:dyDescent="0.35">
      <c r="A394" s="82">
        <v>18</v>
      </c>
      <c r="B394" s="82"/>
      <c r="C394" s="70" t="s">
        <v>216</v>
      </c>
      <c r="D394" s="59">
        <f>(34.479+0.75*(2.75+2.8+1.85))*10.764</f>
        <v>430.87215599999996</v>
      </c>
      <c r="E394" s="59">
        <v>0</v>
      </c>
      <c r="F394" s="70">
        <v>630</v>
      </c>
      <c r="G394" s="88"/>
      <c r="H394" s="89"/>
      <c r="I394" s="33"/>
      <c r="J394" s="48">
        <f t="shared" si="41"/>
        <v>1.4621506431248716</v>
      </c>
      <c r="N394" s="33"/>
    </row>
    <row r="395" spans="1:14" s="68" customFormat="1" x14ac:dyDescent="0.35">
      <c r="A395" s="82">
        <v>19</v>
      </c>
      <c r="B395" s="82"/>
      <c r="C395" s="70" t="s">
        <v>216</v>
      </c>
      <c r="D395" s="59">
        <f>(33.342+0.75*(2.75+3.05))*10.764</f>
        <v>405.71668799999998</v>
      </c>
      <c r="E395" s="59">
        <v>0</v>
      </c>
      <c r="F395" s="70">
        <v>630</v>
      </c>
      <c r="G395" s="88"/>
      <c r="H395" s="89"/>
      <c r="I395" s="33"/>
      <c r="J395" s="48">
        <f t="shared" si="41"/>
        <v>1.5528077070371826</v>
      </c>
      <c r="N395" s="33"/>
    </row>
    <row r="396" spans="1:14" s="68" customFormat="1" x14ac:dyDescent="0.35">
      <c r="A396" s="82">
        <v>20</v>
      </c>
      <c r="B396" s="82"/>
      <c r="C396" s="70" t="s">
        <v>216</v>
      </c>
      <c r="D396" s="59">
        <f>(33.777+0.75*(2.75+2.75+3.05+3.2+0.75))*10.764</f>
        <v>464.48812799999996</v>
      </c>
      <c r="E396" s="59">
        <v>0</v>
      </c>
      <c r="F396" s="70">
        <v>615</v>
      </c>
      <c r="G396" s="88"/>
      <c r="H396" s="89"/>
      <c r="I396" s="33"/>
      <c r="J396" s="48">
        <f t="shared" si="41"/>
        <v>1.3240381463527955</v>
      </c>
      <c r="N396" s="33"/>
    </row>
    <row r="397" spans="1:14" s="68" customFormat="1" x14ac:dyDescent="0.35">
      <c r="A397" s="82">
        <v>21</v>
      </c>
      <c r="B397" s="82"/>
      <c r="C397" s="70" t="s">
        <v>216</v>
      </c>
      <c r="D397" s="59">
        <f>(31.88+0.75*(2.75+2.5+2.9))*10.764</f>
        <v>408.95126999999997</v>
      </c>
      <c r="E397" s="59">
        <v>0</v>
      </c>
      <c r="F397" s="70">
        <v>590</v>
      </c>
      <c r="G397" s="88"/>
      <c r="H397" s="89"/>
      <c r="I397" s="33"/>
      <c r="J397" s="48">
        <f t="shared" si="41"/>
        <v>1.4427146784505647</v>
      </c>
      <c r="N397" s="33"/>
    </row>
    <row r="398" spans="1:14" s="68" customFormat="1" x14ac:dyDescent="0.35">
      <c r="A398" s="82">
        <v>22</v>
      </c>
      <c r="B398" s="82"/>
      <c r="C398" s="70" t="s">
        <v>216</v>
      </c>
      <c r="D398" s="59">
        <f>(26.339)*10.764</f>
        <v>283.51299599999999</v>
      </c>
      <c r="E398" s="59">
        <v>0</v>
      </c>
      <c r="F398" s="70">
        <v>470</v>
      </c>
      <c r="G398" s="88"/>
      <c r="H398" s="89"/>
      <c r="I398" s="33"/>
      <c r="J398" s="48">
        <f t="shared" si="41"/>
        <v>1.6577723301262706</v>
      </c>
      <c r="N398" s="33"/>
    </row>
    <row r="399" spans="1:14" s="68" customFormat="1" x14ac:dyDescent="0.35">
      <c r="A399" s="82">
        <v>23</v>
      </c>
      <c r="B399" s="82"/>
      <c r="C399" s="70" t="s">
        <v>200</v>
      </c>
      <c r="D399" s="59">
        <f>(2.75*2.75+1.7*1.45+2.9*2.45+1.2*2.9)*10.764</f>
        <v>221.87295</v>
      </c>
      <c r="E399" s="59">
        <v>0</v>
      </c>
      <c r="F399" s="70">
        <v>380</v>
      </c>
      <c r="G399" s="90"/>
      <c r="H399" s="91"/>
      <c r="I399" s="33"/>
      <c r="J399" s="48">
        <f t="shared" si="41"/>
        <v>1.7126918806461084</v>
      </c>
      <c r="N399" s="33"/>
    </row>
    <row r="400" spans="1:14" s="68" customFormat="1" x14ac:dyDescent="0.35">
      <c r="A400" s="85" t="s">
        <v>254</v>
      </c>
      <c r="B400" s="85"/>
      <c r="C400" s="85"/>
      <c r="D400" s="85"/>
      <c r="E400" s="85"/>
      <c r="F400" s="85"/>
      <c r="G400" s="85"/>
      <c r="H400" s="85"/>
      <c r="I400" s="33"/>
      <c r="J400" s="48" t="e">
        <f t="shared" ref="J400:J409" si="42">F400/D400</f>
        <v>#DIV/0!</v>
      </c>
      <c r="L400" s="92"/>
      <c r="M400" s="92"/>
    </row>
    <row r="401" spans="1:14" s="68" customFormat="1" x14ac:dyDescent="0.35">
      <c r="A401" s="82">
        <v>15</v>
      </c>
      <c r="B401" s="82"/>
      <c r="C401" s="70" t="s">
        <v>194</v>
      </c>
      <c r="D401" s="59">
        <f>(40.237+0.75*2.75)*10.764</f>
        <v>455.31181800000002</v>
      </c>
      <c r="E401" s="59">
        <v>0</v>
      </c>
      <c r="F401" s="70">
        <v>700</v>
      </c>
      <c r="G401" s="86" t="str">
        <f>A400</f>
        <v>7th &amp; 9th Floor</v>
      </c>
      <c r="H401" s="87"/>
      <c r="I401" s="33"/>
      <c r="J401" s="48">
        <f t="shared" si="42"/>
        <v>1.5374079308435609</v>
      </c>
      <c r="N401" s="33"/>
    </row>
    <row r="402" spans="1:14" s="68" customFormat="1" x14ac:dyDescent="0.35">
      <c r="A402" s="82">
        <v>16</v>
      </c>
      <c r="B402" s="82"/>
      <c r="C402" s="70" t="s">
        <v>252</v>
      </c>
      <c r="D402" s="59">
        <f>(40.5+0.75*(2.75+1.75+2.75))*10.764</f>
        <v>494.47125</v>
      </c>
      <c r="E402" s="59">
        <v>0</v>
      </c>
      <c r="F402" s="70">
        <v>755</v>
      </c>
      <c r="G402" s="88"/>
      <c r="H402" s="89"/>
      <c r="I402" s="33"/>
      <c r="J402" s="48">
        <f t="shared" si="42"/>
        <v>1.5268835144611541</v>
      </c>
      <c r="N402" s="33"/>
    </row>
    <row r="403" spans="1:14" s="68" customFormat="1" x14ac:dyDescent="0.35">
      <c r="A403" s="82">
        <v>17</v>
      </c>
      <c r="B403" s="82"/>
      <c r="C403" s="70" t="s">
        <v>216</v>
      </c>
      <c r="D403" s="59">
        <f>(32.966+0.75*(2.9+1.85+2.8))*10.764</f>
        <v>415.79717399999998</v>
      </c>
      <c r="E403" s="59">
        <v>0</v>
      </c>
      <c r="F403" s="70">
        <v>630</v>
      </c>
      <c r="G403" s="88"/>
      <c r="H403" s="89"/>
      <c r="I403" s="33"/>
      <c r="J403" s="48">
        <f t="shared" si="42"/>
        <v>1.5151618130045299</v>
      </c>
      <c r="N403" s="33"/>
    </row>
    <row r="404" spans="1:14" s="68" customFormat="1" x14ac:dyDescent="0.35">
      <c r="A404" s="82">
        <v>18</v>
      </c>
      <c r="B404" s="82"/>
      <c r="C404" s="70" t="s">
        <v>216</v>
      </c>
      <c r="D404" s="59">
        <f>(34.479+0.75*(2.75+2.8+1.85))*10.764</f>
        <v>430.87215599999996</v>
      </c>
      <c r="E404" s="59">
        <v>0</v>
      </c>
      <c r="F404" s="70">
        <v>630</v>
      </c>
      <c r="G404" s="88"/>
      <c r="H404" s="89"/>
      <c r="I404" s="33"/>
      <c r="J404" s="48">
        <f t="shared" si="42"/>
        <v>1.4621506431248716</v>
      </c>
      <c r="N404" s="33"/>
    </row>
    <row r="405" spans="1:14" s="68" customFormat="1" x14ac:dyDescent="0.35">
      <c r="A405" s="82">
        <v>19</v>
      </c>
      <c r="B405" s="82"/>
      <c r="C405" s="70" t="s">
        <v>216</v>
      </c>
      <c r="D405" s="59">
        <f>(33.342+0.75*(2.75+3.05))*10.764</f>
        <v>405.71668799999998</v>
      </c>
      <c r="E405" s="59">
        <v>0</v>
      </c>
      <c r="F405" s="70">
        <v>630</v>
      </c>
      <c r="G405" s="88"/>
      <c r="H405" s="89"/>
      <c r="I405" s="33"/>
      <c r="J405" s="48">
        <f t="shared" si="42"/>
        <v>1.5528077070371826</v>
      </c>
      <c r="N405" s="33"/>
    </row>
    <row r="406" spans="1:14" s="68" customFormat="1" x14ac:dyDescent="0.35">
      <c r="A406" s="82">
        <v>20</v>
      </c>
      <c r="B406" s="82"/>
      <c r="C406" s="70" t="s">
        <v>216</v>
      </c>
      <c r="D406" s="59">
        <f>(33.777+0.75*(2.75+2.75+3.05+3.2+0.75))*10.764</f>
        <v>464.48812799999996</v>
      </c>
      <c r="E406" s="59">
        <v>0</v>
      </c>
      <c r="F406" s="70">
        <v>615</v>
      </c>
      <c r="G406" s="88"/>
      <c r="H406" s="89"/>
      <c r="I406" s="33"/>
      <c r="J406" s="48">
        <f t="shared" si="42"/>
        <v>1.3240381463527955</v>
      </c>
      <c r="N406" s="33"/>
    </row>
    <row r="407" spans="1:14" s="68" customFormat="1" x14ac:dyDescent="0.35">
      <c r="A407" s="82">
        <v>21</v>
      </c>
      <c r="B407" s="82"/>
      <c r="C407" s="70" t="s">
        <v>216</v>
      </c>
      <c r="D407" s="59">
        <f>(31.88+0.75*(2.75+2.5+2.9))*10.764</f>
        <v>408.95126999999997</v>
      </c>
      <c r="E407" s="59">
        <v>0</v>
      </c>
      <c r="F407" s="70">
        <v>590</v>
      </c>
      <c r="G407" s="88"/>
      <c r="H407" s="89"/>
      <c r="I407" s="33"/>
      <c r="J407" s="48">
        <f t="shared" si="42"/>
        <v>1.4427146784505647</v>
      </c>
      <c r="N407" s="33"/>
    </row>
    <row r="408" spans="1:14" s="68" customFormat="1" x14ac:dyDescent="0.35">
      <c r="A408" s="82">
        <v>22</v>
      </c>
      <c r="B408" s="82"/>
      <c r="C408" s="70" t="s">
        <v>216</v>
      </c>
      <c r="D408" s="59">
        <f>(26.339)*10.764</f>
        <v>283.51299599999999</v>
      </c>
      <c r="E408" s="59">
        <v>0</v>
      </c>
      <c r="F408" s="70">
        <v>470</v>
      </c>
      <c r="G408" s="88"/>
      <c r="H408" s="89"/>
      <c r="I408" s="33"/>
      <c r="J408" s="48">
        <f t="shared" si="42"/>
        <v>1.6577723301262706</v>
      </c>
      <c r="N408" s="33"/>
    </row>
    <row r="409" spans="1:14" s="68" customFormat="1" x14ac:dyDescent="0.35">
      <c r="A409" s="82">
        <v>23</v>
      </c>
      <c r="B409" s="82"/>
      <c r="C409" s="70" t="s">
        <v>200</v>
      </c>
      <c r="D409" s="59">
        <f>(2.75*2.75+1.7*1.45+2.9*2.45+1.2*2.9)*10.764</f>
        <v>221.87295</v>
      </c>
      <c r="E409" s="59">
        <v>0</v>
      </c>
      <c r="F409" s="70">
        <v>380</v>
      </c>
      <c r="G409" s="90"/>
      <c r="H409" s="91"/>
      <c r="I409" s="33"/>
      <c r="J409" s="48">
        <f t="shared" si="42"/>
        <v>1.7126918806461084</v>
      </c>
      <c r="N409" s="33"/>
    </row>
    <row r="410" spans="1:14" s="68" customFormat="1" x14ac:dyDescent="0.35">
      <c r="A410" s="85" t="s">
        <v>256</v>
      </c>
      <c r="B410" s="85"/>
      <c r="C410" s="85"/>
      <c r="D410" s="85"/>
      <c r="E410" s="85"/>
      <c r="F410" s="85"/>
      <c r="G410" s="85"/>
      <c r="H410" s="85"/>
      <c r="I410" s="33"/>
      <c r="J410" s="48" t="e">
        <f t="shared" ref="J410:J419" si="43">F410/D410</f>
        <v>#DIV/0!</v>
      </c>
      <c r="L410" s="92"/>
      <c r="M410" s="92"/>
    </row>
    <row r="411" spans="1:14" s="68" customFormat="1" x14ac:dyDescent="0.35">
      <c r="A411" s="82">
        <v>15</v>
      </c>
      <c r="B411" s="82"/>
      <c r="C411" s="70" t="s">
        <v>194</v>
      </c>
      <c r="D411" s="59">
        <f>(40.237+0.75*(2.75+1.3))*10.764</f>
        <v>465.80671799999999</v>
      </c>
      <c r="E411" s="59">
        <v>0</v>
      </c>
      <c r="F411" s="70">
        <v>700</v>
      </c>
      <c r="G411" s="86" t="str">
        <f>A410</f>
        <v>8th &amp; 13th Floor (Part Refuge Area)</v>
      </c>
      <c r="H411" s="87"/>
      <c r="I411" s="33"/>
      <c r="J411" s="48">
        <f t="shared" si="43"/>
        <v>1.5027692236933345</v>
      </c>
      <c r="N411" s="33"/>
    </row>
    <row r="412" spans="1:14" s="68" customFormat="1" x14ac:dyDescent="0.35">
      <c r="A412" s="82">
        <v>16</v>
      </c>
      <c r="B412" s="82"/>
      <c r="C412" s="70" t="s">
        <v>252</v>
      </c>
      <c r="D412" s="59">
        <f>(40.5+0.75*(2.75+1.75+2.75))*10.764</f>
        <v>494.47125</v>
      </c>
      <c r="E412" s="59">
        <v>0</v>
      </c>
      <c r="F412" s="70">
        <v>755</v>
      </c>
      <c r="G412" s="88"/>
      <c r="H412" s="89"/>
      <c r="I412" s="33"/>
      <c r="J412" s="48">
        <f t="shared" si="43"/>
        <v>1.5268835144611541</v>
      </c>
      <c r="N412" s="33"/>
    </row>
    <row r="413" spans="1:14" s="68" customFormat="1" x14ac:dyDescent="0.35">
      <c r="A413" s="82">
        <v>17</v>
      </c>
      <c r="B413" s="82"/>
      <c r="C413" s="70" t="s">
        <v>216</v>
      </c>
      <c r="D413" s="59">
        <f>(32.966+0.75*(2.9+1.85+2.8))*10.764</f>
        <v>415.79717399999998</v>
      </c>
      <c r="E413" s="59">
        <v>0</v>
      </c>
      <c r="F413" s="70">
        <v>630</v>
      </c>
      <c r="G413" s="88"/>
      <c r="H413" s="89"/>
      <c r="I413" s="33"/>
      <c r="J413" s="48">
        <f t="shared" si="43"/>
        <v>1.5151618130045299</v>
      </c>
      <c r="N413" s="33"/>
    </row>
    <row r="414" spans="1:14" s="68" customFormat="1" x14ac:dyDescent="0.35">
      <c r="A414" s="82">
        <v>18</v>
      </c>
      <c r="B414" s="82"/>
      <c r="C414" s="70" t="s">
        <v>216</v>
      </c>
      <c r="D414" s="59">
        <f>(34.479+0.75*(2.75+2.8+1.85))*10.764</f>
        <v>430.87215599999996</v>
      </c>
      <c r="E414" s="59">
        <v>0</v>
      </c>
      <c r="F414" s="70">
        <v>630</v>
      </c>
      <c r="G414" s="88"/>
      <c r="H414" s="89"/>
      <c r="I414" s="33"/>
      <c r="J414" s="48">
        <f t="shared" si="43"/>
        <v>1.4621506431248716</v>
      </c>
      <c r="N414" s="33"/>
    </row>
    <row r="415" spans="1:14" s="68" customFormat="1" x14ac:dyDescent="0.35">
      <c r="A415" s="82">
        <v>19</v>
      </c>
      <c r="B415" s="82"/>
      <c r="C415" s="70" t="s">
        <v>216</v>
      </c>
      <c r="D415" s="59">
        <f>(33.342+0.75*(2.75+3.05))*10.764</f>
        <v>405.71668799999998</v>
      </c>
      <c r="E415" s="59">
        <v>0</v>
      </c>
      <c r="F415" s="70">
        <v>630</v>
      </c>
      <c r="G415" s="88"/>
      <c r="H415" s="89"/>
      <c r="I415" s="33"/>
      <c r="J415" s="48">
        <f t="shared" si="43"/>
        <v>1.5528077070371826</v>
      </c>
      <c r="N415" s="33"/>
    </row>
    <row r="416" spans="1:14" s="68" customFormat="1" x14ac:dyDescent="0.35">
      <c r="A416" s="82">
        <v>20</v>
      </c>
      <c r="B416" s="82"/>
      <c r="C416" s="70" t="s">
        <v>216</v>
      </c>
      <c r="D416" s="59">
        <f>(33.777+0.75*(2.75+2.75+3.05+3.2+0.75))*10.764</f>
        <v>464.48812799999996</v>
      </c>
      <c r="E416" s="59">
        <v>0</v>
      </c>
      <c r="F416" s="70">
        <v>615</v>
      </c>
      <c r="G416" s="88"/>
      <c r="H416" s="89"/>
      <c r="I416" s="33"/>
      <c r="J416" s="48">
        <f t="shared" si="43"/>
        <v>1.3240381463527955</v>
      </c>
      <c r="N416" s="33"/>
    </row>
    <row r="417" spans="1:14" s="68" customFormat="1" x14ac:dyDescent="0.35">
      <c r="A417" s="82">
        <v>21</v>
      </c>
      <c r="B417" s="82"/>
      <c r="C417" s="70" t="s">
        <v>216</v>
      </c>
      <c r="D417" s="59">
        <f>(31.88+0.75*(2.75+2.5+2.9))*10.764</f>
        <v>408.95126999999997</v>
      </c>
      <c r="E417" s="59">
        <v>0</v>
      </c>
      <c r="F417" s="70">
        <v>590</v>
      </c>
      <c r="G417" s="88"/>
      <c r="H417" s="89"/>
      <c r="I417" s="33"/>
      <c r="J417" s="48">
        <f t="shared" si="43"/>
        <v>1.4427146784505647</v>
      </c>
      <c r="N417" s="33"/>
    </row>
    <row r="418" spans="1:14" s="68" customFormat="1" x14ac:dyDescent="0.35">
      <c r="A418" s="82">
        <v>22</v>
      </c>
      <c r="B418" s="82"/>
      <c r="C418" s="70" t="s">
        <v>216</v>
      </c>
      <c r="D418" s="59">
        <f>(26.339)*10.764</f>
        <v>283.51299599999999</v>
      </c>
      <c r="E418" s="59">
        <v>0</v>
      </c>
      <c r="F418" s="70">
        <v>470</v>
      </c>
      <c r="G418" s="88"/>
      <c r="H418" s="89"/>
      <c r="I418" s="33"/>
      <c r="J418" s="48">
        <f t="shared" si="43"/>
        <v>1.6577723301262706</v>
      </c>
      <c r="N418" s="33"/>
    </row>
    <row r="419" spans="1:14" s="68" customFormat="1" x14ac:dyDescent="0.35">
      <c r="A419" s="82">
        <v>23</v>
      </c>
      <c r="B419" s="82"/>
      <c r="C419" s="83" t="s">
        <v>198</v>
      </c>
      <c r="D419" s="93"/>
      <c r="E419" s="93"/>
      <c r="F419" s="84"/>
      <c r="G419" s="90"/>
      <c r="H419" s="91"/>
      <c r="I419" s="33"/>
      <c r="J419" s="48" t="e">
        <f t="shared" si="43"/>
        <v>#DIV/0!</v>
      </c>
      <c r="N419" s="33"/>
    </row>
    <row r="420" spans="1:14" s="68" customFormat="1" x14ac:dyDescent="0.35">
      <c r="A420" s="85" t="s">
        <v>255</v>
      </c>
      <c r="B420" s="85"/>
      <c r="C420" s="85"/>
      <c r="D420" s="85"/>
      <c r="E420" s="85"/>
      <c r="F420" s="85"/>
      <c r="G420" s="85"/>
      <c r="H420" s="85"/>
      <c r="I420" s="33"/>
      <c r="J420" s="48" t="e">
        <f t="shared" ref="J420:J429" si="44">F420/D420</f>
        <v>#DIV/0!</v>
      </c>
      <c r="L420" s="92"/>
      <c r="M420" s="92"/>
    </row>
    <row r="421" spans="1:14" s="68" customFormat="1" x14ac:dyDescent="0.35">
      <c r="A421" s="82">
        <v>15</v>
      </c>
      <c r="B421" s="82"/>
      <c r="C421" s="70" t="s">
        <v>194</v>
      </c>
      <c r="D421" s="59">
        <f>(40.237+0.75*(2.75+1.3))*10.764</f>
        <v>465.80671799999999</v>
      </c>
      <c r="E421" s="59">
        <v>0</v>
      </c>
      <c r="F421" s="70">
        <v>700</v>
      </c>
      <c r="G421" s="86" t="str">
        <f>A420</f>
        <v>10th, 11th &amp; 12th Floor</v>
      </c>
      <c r="H421" s="87"/>
      <c r="I421" s="33"/>
      <c r="J421" s="48">
        <f t="shared" si="44"/>
        <v>1.5027692236933345</v>
      </c>
      <c r="N421" s="33"/>
    </row>
    <row r="422" spans="1:14" s="68" customFormat="1" x14ac:dyDescent="0.35">
      <c r="A422" s="82">
        <v>16</v>
      </c>
      <c r="B422" s="82"/>
      <c r="C422" s="70" t="s">
        <v>252</v>
      </c>
      <c r="D422" s="59">
        <f>(40.5+0.75*(2.75+1.75+2.75))*10.764</f>
        <v>494.47125</v>
      </c>
      <c r="E422" s="59">
        <v>0</v>
      </c>
      <c r="F422" s="70">
        <v>755</v>
      </c>
      <c r="G422" s="88"/>
      <c r="H422" s="89"/>
      <c r="I422" s="33"/>
      <c r="J422" s="48">
        <f t="shared" si="44"/>
        <v>1.5268835144611541</v>
      </c>
      <c r="N422" s="33"/>
    </row>
    <row r="423" spans="1:14" s="68" customFormat="1" x14ac:dyDescent="0.35">
      <c r="A423" s="82">
        <v>17</v>
      </c>
      <c r="B423" s="82"/>
      <c r="C423" s="70" t="s">
        <v>216</v>
      </c>
      <c r="D423" s="59">
        <f>(32.966+0.75*(2.9+1.85+2.8))*10.764</f>
        <v>415.79717399999998</v>
      </c>
      <c r="E423" s="59">
        <v>0</v>
      </c>
      <c r="F423" s="70">
        <v>630</v>
      </c>
      <c r="G423" s="88"/>
      <c r="H423" s="89"/>
      <c r="I423" s="33"/>
      <c r="J423" s="48">
        <f t="shared" si="44"/>
        <v>1.5151618130045299</v>
      </c>
      <c r="N423" s="33"/>
    </row>
    <row r="424" spans="1:14" s="68" customFormat="1" x14ac:dyDescent="0.35">
      <c r="A424" s="82">
        <v>18</v>
      </c>
      <c r="B424" s="82"/>
      <c r="C424" s="70" t="s">
        <v>216</v>
      </c>
      <c r="D424" s="59">
        <f>(34.479+0.75*(2.75+2.8+1.85))*10.764</f>
        <v>430.87215599999996</v>
      </c>
      <c r="E424" s="59">
        <v>0</v>
      </c>
      <c r="F424" s="70">
        <v>630</v>
      </c>
      <c r="G424" s="88"/>
      <c r="H424" s="89"/>
      <c r="I424" s="33"/>
      <c r="J424" s="48">
        <f t="shared" si="44"/>
        <v>1.4621506431248716</v>
      </c>
      <c r="N424" s="33"/>
    </row>
    <row r="425" spans="1:14" s="68" customFormat="1" x14ac:dyDescent="0.35">
      <c r="A425" s="82">
        <v>19</v>
      </c>
      <c r="B425" s="82"/>
      <c r="C425" s="70" t="s">
        <v>216</v>
      </c>
      <c r="D425" s="59">
        <f>(33.342+0.75*(2.75+3.05))*10.764</f>
        <v>405.71668799999998</v>
      </c>
      <c r="E425" s="59">
        <v>0</v>
      </c>
      <c r="F425" s="70">
        <v>630</v>
      </c>
      <c r="G425" s="88"/>
      <c r="H425" s="89"/>
      <c r="I425" s="33"/>
      <c r="J425" s="48">
        <f t="shared" si="44"/>
        <v>1.5528077070371826</v>
      </c>
      <c r="N425" s="33"/>
    </row>
    <row r="426" spans="1:14" s="68" customFormat="1" x14ac:dyDescent="0.35">
      <c r="A426" s="82">
        <v>20</v>
      </c>
      <c r="B426" s="82"/>
      <c r="C426" s="70" t="s">
        <v>216</v>
      </c>
      <c r="D426" s="59">
        <f>(33.777+0.75*(2.75+2.75+3.05+3.2+0.75))*10.764</f>
        <v>464.48812799999996</v>
      </c>
      <c r="E426" s="59">
        <v>0</v>
      </c>
      <c r="F426" s="70">
        <v>615</v>
      </c>
      <c r="G426" s="88"/>
      <c r="H426" s="89"/>
      <c r="I426" s="33"/>
      <c r="J426" s="48">
        <f t="shared" si="44"/>
        <v>1.3240381463527955</v>
      </c>
      <c r="N426" s="33"/>
    </row>
    <row r="427" spans="1:14" s="68" customFormat="1" x14ac:dyDescent="0.35">
      <c r="A427" s="82">
        <v>21</v>
      </c>
      <c r="B427" s="82"/>
      <c r="C427" s="70" t="s">
        <v>216</v>
      </c>
      <c r="D427" s="59">
        <f>(31.88+0.75*(2.75+2.5+2.9))*10.764</f>
        <v>408.95126999999997</v>
      </c>
      <c r="E427" s="59">
        <v>0</v>
      </c>
      <c r="F427" s="70">
        <v>590</v>
      </c>
      <c r="G427" s="88"/>
      <c r="H427" s="89"/>
      <c r="I427" s="33"/>
      <c r="J427" s="48">
        <f t="shared" si="44"/>
        <v>1.4427146784505647</v>
      </c>
      <c r="N427" s="33"/>
    </row>
    <row r="428" spans="1:14" s="68" customFormat="1" x14ac:dyDescent="0.35">
      <c r="A428" s="82">
        <v>22</v>
      </c>
      <c r="B428" s="82"/>
      <c r="C428" s="70" t="s">
        <v>216</v>
      </c>
      <c r="D428" s="59">
        <f>(26.339+0.75*(2.75+1.85+2.75))*10.764</f>
        <v>342.84954599999998</v>
      </c>
      <c r="E428" s="59">
        <v>0</v>
      </c>
      <c r="F428" s="70">
        <v>515</v>
      </c>
      <c r="G428" s="88"/>
      <c r="H428" s="89"/>
      <c r="I428" s="33"/>
      <c r="J428" s="48">
        <f t="shared" si="44"/>
        <v>1.5021166164822632</v>
      </c>
      <c r="N428" s="33"/>
    </row>
    <row r="429" spans="1:14" s="68" customFormat="1" x14ac:dyDescent="0.35">
      <c r="A429" s="82">
        <v>23</v>
      </c>
      <c r="B429" s="82"/>
      <c r="C429" s="70" t="s">
        <v>216</v>
      </c>
      <c r="D429" s="59">
        <f>(2.75*2.75+1.7*2.45+2.9*2.45+1.2*2.9+0.75*(2.9+1.7+2.75))*10.764</f>
        <v>299.50829999999996</v>
      </c>
      <c r="E429" s="59">
        <v>0</v>
      </c>
      <c r="F429" s="70">
        <v>450</v>
      </c>
      <c r="G429" s="90"/>
      <c r="H429" s="91"/>
      <c r="I429" s="33"/>
      <c r="J429" s="48">
        <f t="shared" si="44"/>
        <v>1.5024625360966626</v>
      </c>
      <c r="N429" s="33"/>
    </row>
    <row r="430" spans="1:14" s="32" customFormat="1" x14ac:dyDescent="0.35">
      <c r="A430" s="132" t="s">
        <v>70</v>
      </c>
      <c r="B430" s="132"/>
      <c r="C430" s="132"/>
      <c r="D430" s="132"/>
      <c r="E430" s="132"/>
      <c r="F430" s="132"/>
      <c r="G430" s="132"/>
      <c r="H430" s="132"/>
    </row>
    <row r="431" spans="1:14" s="32" customFormat="1" ht="34.5" customHeight="1" x14ac:dyDescent="0.35">
      <c r="A431" s="65" t="s">
        <v>157</v>
      </c>
      <c r="B431" s="128" t="s">
        <v>270</v>
      </c>
      <c r="C431" s="129"/>
      <c r="D431" s="129"/>
      <c r="E431" s="129"/>
      <c r="F431" s="129"/>
      <c r="G431" s="129"/>
      <c r="H431" s="130"/>
    </row>
    <row r="432" spans="1:14" s="32" customFormat="1" x14ac:dyDescent="0.35">
      <c r="A432" s="65" t="s">
        <v>157</v>
      </c>
      <c r="B432" s="128" t="s">
        <v>231</v>
      </c>
      <c r="C432" s="129"/>
      <c r="D432" s="129"/>
      <c r="E432" s="129"/>
      <c r="F432" s="129"/>
      <c r="G432" s="129"/>
      <c r="H432" s="130"/>
    </row>
    <row r="433" spans="1:8" s="32" customFormat="1" x14ac:dyDescent="0.35">
      <c r="A433" s="65" t="s">
        <v>157</v>
      </c>
      <c r="B433" s="128" t="str">
        <f>(IF(F144="Saleable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33" s="129"/>
      <c r="D433" s="129"/>
      <c r="E433" s="129"/>
      <c r="F433" s="129"/>
      <c r="G433" s="129"/>
      <c r="H433" s="130"/>
    </row>
    <row r="434" spans="1:8" s="32" customFormat="1" x14ac:dyDescent="0.35">
      <c r="A434" s="65" t="s">
        <v>157</v>
      </c>
      <c r="B434" s="128" t="s">
        <v>127</v>
      </c>
      <c r="C434" s="129"/>
      <c r="D434" s="129"/>
      <c r="E434" s="129"/>
      <c r="F434" s="129"/>
      <c r="G434" s="129"/>
      <c r="H434" s="130"/>
    </row>
    <row r="435" spans="1:8" s="32" customFormat="1" x14ac:dyDescent="0.35">
      <c r="A435" s="65" t="s">
        <v>157</v>
      </c>
      <c r="B435" s="128" t="s">
        <v>221</v>
      </c>
      <c r="C435" s="129"/>
      <c r="D435" s="129"/>
      <c r="E435" s="129"/>
      <c r="F435" s="129"/>
      <c r="G435" s="129"/>
      <c r="H435" s="130"/>
    </row>
    <row r="436" spans="1:8" s="32" customFormat="1" x14ac:dyDescent="0.35">
      <c r="A436" s="65" t="s">
        <v>157</v>
      </c>
      <c r="B436" s="128" t="s">
        <v>156</v>
      </c>
      <c r="C436" s="129"/>
      <c r="D436" s="129"/>
      <c r="E436" s="129"/>
      <c r="F436" s="129"/>
      <c r="G436" s="129"/>
      <c r="H436" s="130"/>
    </row>
    <row r="437" spans="1:8" s="32" customFormat="1" x14ac:dyDescent="0.35">
      <c r="A437" s="65" t="s">
        <v>157</v>
      </c>
      <c r="B437" s="128" t="s">
        <v>128</v>
      </c>
      <c r="C437" s="129"/>
      <c r="D437" s="129"/>
      <c r="E437" s="129"/>
      <c r="F437" s="129"/>
      <c r="G437" s="129"/>
      <c r="H437" s="130"/>
    </row>
    <row r="438" spans="1:8" s="32" customFormat="1" ht="34.5" customHeight="1" x14ac:dyDescent="0.35">
      <c r="A438" s="65" t="s">
        <v>157</v>
      </c>
      <c r="B438" s="128" t="s">
        <v>158</v>
      </c>
      <c r="C438" s="129"/>
      <c r="D438" s="129"/>
      <c r="E438" s="129"/>
      <c r="F438" s="129"/>
      <c r="G438" s="129"/>
      <c r="H438" s="130"/>
    </row>
    <row r="439" spans="1:8" s="32" customFormat="1" x14ac:dyDescent="0.35">
      <c r="A439" s="40" t="s">
        <v>157</v>
      </c>
      <c r="B439" s="125" t="s">
        <v>129</v>
      </c>
      <c r="C439" s="126"/>
      <c r="D439" s="126"/>
      <c r="E439" s="126"/>
      <c r="F439" s="126"/>
      <c r="G439" s="126"/>
      <c r="H439" s="127"/>
    </row>
    <row r="440" spans="1:8" s="32" customFormat="1" x14ac:dyDescent="0.35">
      <c r="A440" s="69" t="s">
        <v>157</v>
      </c>
      <c r="B440" s="125" t="s">
        <v>268</v>
      </c>
      <c r="C440" s="126"/>
      <c r="D440" s="126"/>
      <c r="E440" s="126"/>
      <c r="F440" s="126"/>
      <c r="G440" s="126"/>
      <c r="H440" s="127"/>
    </row>
    <row r="441" spans="1:8" s="32" customFormat="1" hidden="1" x14ac:dyDescent="0.35">
      <c r="A441" s="72" t="s">
        <v>157</v>
      </c>
      <c r="B441" s="125" t="s">
        <v>267</v>
      </c>
      <c r="C441" s="126"/>
      <c r="D441" s="126"/>
      <c r="E441" s="126"/>
      <c r="F441" s="126"/>
      <c r="G441" s="126"/>
      <c r="H441" s="127"/>
    </row>
    <row r="442" spans="1:8" x14ac:dyDescent="0.35">
      <c r="A442" s="146" t="s">
        <v>63</v>
      </c>
      <c r="B442" s="146"/>
      <c r="C442" s="146"/>
      <c r="D442" s="146"/>
      <c r="E442" s="146"/>
      <c r="F442" s="146"/>
      <c r="G442" s="146"/>
      <c r="H442" s="146"/>
    </row>
    <row r="443" spans="1:8" x14ac:dyDescent="0.35">
      <c r="A443" s="98" t="s">
        <v>64</v>
      </c>
      <c r="B443" s="98"/>
      <c r="C443" s="98"/>
      <c r="D443" s="98"/>
      <c r="E443" s="98"/>
      <c r="F443" s="98"/>
      <c r="G443" s="98"/>
      <c r="H443" s="98"/>
    </row>
    <row r="444" spans="1:8" ht="15.75" customHeight="1" x14ac:dyDescent="0.35">
      <c r="A444" s="99" t="s">
        <v>65</v>
      </c>
      <c r="B444" s="99"/>
      <c r="C444" s="99"/>
      <c r="D444" s="99"/>
      <c r="E444" s="99"/>
      <c r="F444" s="99"/>
      <c r="G444" s="99"/>
      <c r="H444" s="99"/>
    </row>
    <row r="445" spans="1:8" x14ac:dyDescent="0.35">
      <c r="A445" s="98" t="s">
        <v>66</v>
      </c>
      <c r="B445" s="98"/>
      <c r="C445" s="98"/>
      <c r="D445" s="98"/>
      <c r="E445" s="98"/>
      <c r="F445" s="98"/>
      <c r="G445" s="98"/>
      <c r="H445" s="98"/>
    </row>
    <row r="446" spans="1:8" x14ac:dyDescent="0.35">
      <c r="A446" s="98" t="s">
        <v>67</v>
      </c>
      <c r="B446" s="98"/>
      <c r="C446" s="98"/>
      <c r="D446" s="98"/>
      <c r="E446" s="98"/>
      <c r="F446" s="98"/>
      <c r="G446" s="98"/>
      <c r="H446" s="98"/>
    </row>
    <row r="447" spans="1:8" x14ac:dyDescent="0.35">
      <c r="A447" s="98" t="s">
        <v>130</v>
      </c>
      <c r="B447" s="98"/>
      <c r="C447" s="98"/>
      <c r="D447" s="98"/>
      <c r="E447" s="98"/>
      <c r="F447" s="98"/>
      <c r="G447" s="98"/>
      <c r="H447" s="98"/>
    </row>
    <row r="448" spans="1:8" x14ac:dyDescent="0.35">
      <c r="A448" s="140" t="s">
        <v>131</v>
      </c>
      <c r="B448" s="140"/>
      <c r="C448" s="140"/>
      <c r="D448" s="140"/>
      <c r="E448" s="140"/>
      <c r="F448" s="140"/>
      <c r="G448" s="140"/>
      <c r="H448" s="140"/>
    </row>
    <row r="449" spans="1:8" x14ac:dyDescent="0.35">
      <c r="A449" s="137" t="s">
        <v>80</v>
      </c>
      <c r="B449" s="137"/>
      <c r="C449" s="137" t="s">
        <v>171</v>
      </c>
      <c r="D449" s="137"/>
      <c r="E449" s="137" t="s">
        <v>110</v>
      </c>
      <c r="F449" s="137"/>
      <c r="G449" s="137" t="s">
        <v>272</v>
      </c>
      <c r="H449" s="137"/>
    </row>
    <row r="450" spans="1:8" x14ac:dyDescent="0.35">
      <c r="A450" s="136" t="s">
        <v>82</v>
      </c>
      <c r="B450" s="136"/>
      <c r="C450" s="136"/>
      <c r="D450" s="136"/>
      <c r="E450" s="136"/>
      <c r="F450" s="136"/>
      <c r="G450" s="136"/>
      <c r="H450" s="136"/>
    </row>
    <row r="451" spans="1:8" x14ac:dyDescent="0.35">
      <c r="A451" s="136"/>
      <c r="B451" s="136"/>
      <c r="C451" s="136"/>
      <c r="D451" s="136"/>
      <c r="E451" s="136"/>
      <c r="F451" s="136"/>
      <c r="G451" s="136"/>
      <c r="H451" s="136"/>
    </row>
    <row r="452" spans="1:8" x14ac:dyDescent="0.35">
      <c r="A452" s="136"/>
      <c r="B452" s="136"/>
      <c r="C452" s="136"/>
      <c r="D452" s="136"/>
      <c r="E452" s="136"/>
      <c r="F452" s="136"/>
      <c r="G452" s="136"/>
      <c r="H452" s="136"/>
    </row>
    <row r="453" spans="1:8" x14ac:dyDescent="0.35">
      <c r="A453" s="136"/>
      <c r="B453" s="136"/>
      <c r="C453" s="136"/>
      <c r="D453" s="136"/>
      <c r="E453" s="136"/>
      <c r="F453" s="136"/>
      <c r="G453" s="136"/>
      <c r="H453" s="136"/>
    </row>
    <row r="454" spans="1:8" x14ac:dyDescent="0.35">
      <c r="A454" s="35" t="s">
        <v>68</v>
      </c>
      <c r="B454" s="36"/>
      <c r="C454" s="36"/>
      <c r="D454" s="35" t="str">
        <f>E9</f>
        <v>Redevelopement of Sagar Prakash Hsg Co­op Soc</v>
      </c>
      <c r="F454" s="36"/>
      <c r="G454" s="36"/>
      <c r="H454" s="36"/>
    </row>
    <row r="455" spans="1:8" x14ac:dyDescent="0.35">
      <c r="A455" s="36"/>
      <c r="B455" s="36"/>
      <c r="C455" s="36"/>
      <c r="D455" s="36"/>
      <c r="E455" s="36"/>
      <c r="F455" s="36"/>
      <c r="G455" s="36"/>
      <c r="H455" s="36"/>
    </row>
    <row r="456" spans="1:8" x14ac:dyDescent="0.35">
      <c r="A456" s="36"/>
      <c r="B456" s="36"/>
      <c r="C456" s="36"/>
      <c r="D456" s="36"/>
      <c r="E456" s="36"/>
      <c r="F456" s="36"/>
      <c r="G456" s="36"/>
      <c r="H456" s="36"/>
    </row>
    <row r="457" spans="1:8" ht="15" customHeight="1" x14ac:dyDescent="0.35"/>
    <row r="497" spans="1:10" x14ac:dyDescent="0.35">
      <c r="A497" s="38" t="s">
        <v>232</v>
      </c>
    </row>
    <row r="503" spans="1:10" x14ac:dyDescent="0.35">
      <c r="J503" s="52"/>
    </row>
    <row r="535" spans="1:1" x14ac:dyDescent="0.35">
      <c r="A535" s="38" t="s">
        <v>69</v>
      </c>
    </row>
  </sheetData>
  <mergeCells count="716">
    <mergeCell ref="B441:H441"/>
    <mergeCell ref="B440:H440"/>
    <mergeCell ref="C419:F419"/>
    <mergeCell ref="A52:B53"/>
    <mergeCell ref="C52:E52"/>
    <mergeCell ref="G52:H52"/>
    <mergeCell ref="C53:H53"/>
    <mergeCell ref="A420:H420"/>
    <mergeCell ref="L420:M420"/>
    <mergeCell ref="A421:B421"/>
    <mergeCell ref="G421:H429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10:H410"/>
    <mergeCell ref="L410:M410"/>
    <mergeCell ref="A411:B411"/>
    <mergeCell ref="G411:H419"/>
    <mergeCell ref="A412:B412"/>
    <mergeCell ref="A413:B413"/>
    <mergeCell ref="A414:B414"/>
    <mergeCell ref="A415:B415"/>
    <mergeCell ref="A416:B416"/>
    <mergeCell ref="A417:B417"/>
    <mergeCell ref="A418:B418"/>
    <mergeCell ref="A419:B419"/>
    <mergeCell ref="A400:H400"/>
    <mergeCell ref="L400:M400"/>
    <mergeCell ref="A401:B401"/>
    <mergeCell ref="G401:H409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390:H390"/>
    <mergeCell ref="L390:M390"/>
    <mergeCell ref="A391:B391"/>
    <mergeCell ref="G391:H399"/>
    <mergeCell ref="A392:B392"/>
    <mergeCell ref="A393:B393"/>
    <mergeCell ref="A394:B394"/>
    <mergeCell ref="A395:B395"/>
    <mergeCell ref="A396:B396"/>
    <mergeCell ref="A397:B397"/>
    <mergeCell ref="A398:B398"/>
    <mergeCell ref="A399:B399"/>
    <mergeCell ref="A380:H380"/>
    <mergeCell ref="L380:M380"/>
    <mergeCell ref="A381:B381"/>
    <mergeCell ref="G381:H389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54:B54"/>
    <mergeCell ref="C54:E54"/>
    <mergeCell ref="G54:H54"/>
    <mergeCell ref="A370:H370"/>
    <mergeCell ref="L370:M370"/>
    <mergeCell ref="A371:B371"/>
    <mergeCell ref="G371:H379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F121:H121"/>
    <mergeCell ref="A115:E115"/>
    <mergeCell ref="A100:B100"/>
    <mergeCell ref="C100:H100"/>
    <mergeCell ref="A90:B90"/>
    <mergeCell ref="L151:M151"/>
    <mergeCell ref="L150:M150"/>
    <mergeCell ref="L149:M149"/>
    <mergeCell ref="L148:M148"/>
    <mergeCell ref="B438:H438"/>
    <mergeCell ref="A49:B49"/>
    <mergeCell ref="C49:H49"/>
    <mergeCell ref="B436:H436"/>
    <mergeCell ref="A105:B105"/>
    <mergeCell ref="A106:B106"/>
    <mergeCell ref="G90:H99"/>
    <mergeCell ref="A91:B91"/>
    <mergeCell ref="A92:B92"/>
    <mergeCell ref="A93:B93"/>
    <mergeCell ref="F116:H116"/>
    <mergeCell ref="A116:E116"/>
    <mergeCell ref="D144:D145"/>
    <mergeCell ref="A118:E118"/>
    <mergeCell ref="A148:B148"/>
    <mergeCell ref="A149:B149"/>
    <mergeCell ref="A150:B150"/>
    <mergeCell ref="A151:B151"/>
    <mergeCell ref="A119:E119"/>
    <mergeCell ref="A188:H188"/>
    <mergeCell ref="A107:B107"/>
    <mergeCell ref="A108:B108"/>
    <mergeCell ref="A109:B109"/>
    <mergeCell ref="A111:B111"/>
    <mergeCell ref="A120:E120"/>
    <mergeCell ref="F120:H120"/>
    <mergeCell ref="A121:E121"/>
    <mergeCell ref="A123:E123"/>
    <mergeCell ref="F117:H117"/>
    <mergeCell ref="A122:E122"/>
    <mergeCell ref="E104:F113"/>
    <mergeCell ref="F114:H114"/>
    <mergeCell ref="F119:H119"/>
    <mergeCell ref="F122:H122"/>
    <mergeCell ref="F123:H123"/>
    <mergeCell ref="A125:E125"/>
    <mergeCell ref="C131:D131"/>
    <mergeCell ref="E131:F131"/>
    <mergeCell ref="G131:H131"/>
    <mergeCell ref="A134:B134"/>
    <mergeCell ref="C134:D134"/>
    <mergeCell ref="E134:F134"/>
    <mergeCell ref="E129:F129"/>
    <mergeCell ref="A129:B129"/>
    <mergeCell ref="C130:D130"/>
    <mergeCell ref="E130:F130"/>
    <mergeCell ref="A130:A131"/>
    <mergeCell ref="L152:M152"/>
    <mergeCell ref="A153:B153"/>
    <mergeCell ref="L153:M153"/>
    <mergeCell ref="A154:B154"/>
    <mergeCell ref="L154:M154"/>
    <mergeCell ref="A155:H155"/>
    <mergeCell ref="A163:B163"/>
    <mergeCell ref="F124:H124"/>
    <mergeCell ref="L163:M163"/>
    <mergeCell ref="L157:M157"/>
    <mergeCell ref="A158:B158"/>
    <mergeCell ref="L158:M158"/>
    <mergeCell ref="A159:B159"/>
    <mergeCell ref="L159:M159"/>
    <mergeCell ref="A160:B160"/>
    <mergeCell ref="L160:M160"/>
    <mergeCell ref="G156:H163"/>
    <mergeCell ref="C139:D139"/>
    <mergeCell ref="A132:A133"/>
    <mergeCell ref="C129:D129"/>
    <mergeCell ref="F125:H125"/>
    <mergeCell ref="A143:H143"/>
    <mergeCell ref="G129:H129"/>
    <mergeCell ref="A124:E124"/>
    <mergeCell ref="A66:C66"/>
    <mergeCell ref="G104:H113"/>
    <mergeCell ref="D70:H70"/>
    <mergeCell ref="A76:B76"/>
    <mergeCell ref="G75:H75"/>
    <mergeCell ref="G89:H89"/>
    <mergeCell ref="F118:H118"/>
    <mergeCell ref="G103:H103"/>
    <mergeCell ref="A102:B102"/>
    <mergeCell ref="C102:H102"/>
    <mergeCell ref="A103:B103"/>
    <mergeCell ref="A88:B88"/>
    <mergeCell ref="C88:H88"/>
    <mergeCell ref="A89:B89"/>
    <mergeCell ref="E89:F89"/>
    <mergeCell ref="A112:B112"/>
    <mergeCell ref="A117:E117"/>
    <mergeCell ref="A114:E114"/>
    <mergeCell ref="E90:F99"/>
    <mergeCell ref="A97:B97"/>
    <mergeCell ref="A98:B98"/>
    <mergeCell ref="A99:B99"/>
    <mergeCell ref="A104:B104"/>
    <mergeCell ref="E103:F103"/>
    <mergeCell ref="D65:H65"/>
    <mergeCell ref="E76:F85"/>
    <mergeCell ref="G76:H85"/>
    <mergeCell ref="A84:B84"/>
    <mergeCell ref="A85:B85"/>
    <mergeCell ref="D66:H66"/>
    <mergeCell ref="A44:D44"/>
    <mergeCell ref="E44:H44"/>
    <mergeCell ref="E45:H45"/>
    <mergeCell ref="E46:H46"/>
    <mergeCell ref="E47:H47"/>
    <mergeCell ref="A45:D45"/>
    <mergeCell ref="A46:D46"/>
    <mergeCell ref="A71:C71"/>
    <mergeCell ref="D71:H71"/>
    <mergeCell ref="A69:C69"/>
    <mergeCell ref="A83:B83"/>
    <mergeCell ref="A60:C60"/>
    <mergeCell ref="D60:H60"/>
    <mergeCell ref="G57:H57"/>
    <mergeCell ref="D64:H64"/>
    <mergeCell ref="C56:H56"/>
    <mergeCell ref="D69:H69"/>
    <mergeCell ref="A70:C70"/>
    <mergeCell ref="A38:H38"/>
    <mergeCell ref="A37:B37"/>
    <mergeCell ref="C37:E37"/>
    <mergeCell ref="A42:D42"/>
    <mergeCell ref="E42:H42"/>
    <mergeCell ref="F34:H34"/>
    <mergeCell ref="F35:H35"/>
    <mergeCell ref="A41:H41"/>
    <mergeCell ref="A65:C65"/>
    <mergeCell ref="F37:H37"/>
    <mergeCell ref="A39:B39"/>
    <mergeCell ref="A40:B40"/>
    <mergeCell ref="C39:H39"/>
    <mergeCell ref="C40:H40"/>
    <mergeCell ref="C55:E55"/>
    <mergeCell ref="A62:C64"/>
    <mergeCell ref="D62:H62"/>
    <mergeCell ref="D63:H63"/>
    <mergeCell ref="C51:E51"/>
    <mergeCell ref="A57:B57"/>
    <mergeCell ref="C57:E57"/>
    <mergeCell ref="A51:B51"/>
    <mergeCell ref="A58:H58"/>
    <mergeCell ref="A59:C59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14:D14"/>
    <mergeCell ref="E14:H14"/>
    <mergeCell ref="A15:D15"/>
    <mergeCell ref="A11:D11"/>
    <mergeCell ref="E11:H11"/>
    <mergeCell ref="A13:D13"/>
    <mergeCell ref="E13:H13"/>
    <mergeCell ref="A23:D24"/>
    <mergeCell ref="E23:H24"/>
    <mergeCell ref="E15:H15"/>
    <mergeCell ref="A16:B16"/>
    <mergeCell ref="C16:H16"/>
    <mergeCell ref="C17:H17"/>
    <mergeCell ref="A12:D12"/>
    <mergeCell ref="E12:H12"/>
    <mergeCell ref="A17:B17"/>
    <mergeCell ref="A18:B18"/>
    <mergeCell ref="C18:H18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A8:D8"/>
    <mergeCell ref="E8:H8"/>
    <mergeCell ref="A5:D5"/>
    <mergeCell ref="E5:H5"/>
    <mergeCell ref="A6:D6"/>
    <mergeCell ref="E6:H6"/>
    <mergeCell ref="A7:D7"/>
    <mergeCell ref="E7:H7"/>
    <mergeCell ref="A442:H442"/>
    <mergeCell ref="A47:D47"/>
    <mergeCell ref="A48:H48"/>
    <mergeCell ref="D61:H61"/>
    <mergeCell ref="A61:C61"/>
    <mergeCell ref="G51:H51"/>
    <mergeCell ref="A55:B56"/>
    <mergeCell ref="A82:B82"/>
    <mergeCell ref="A75:B75"/>
    <mergeCell ref="A78:B78"/>
    <mergeCell ref="A74:B74"/>
    <mergeCell ref="A72:B72"/>
    <mergeCell ref="C72:H72"/>
    <mergeCell ref="A80:B80"/>
    <mergeCell ref="A67:C67"/>
    <mergeCell ref="D67:H67"/>
    <mergeCell ref="C74:H74"/>
    <mergeCell ref="A77:B77"/>
    <mergeCell ref="A79:B79"/>
    <mergeCell ref="E75:F75"/>
    <mergeCell ref="A68:C68"/>
    <mergeCell ref="D68:H68"/>
    <mergeCell ref="G134:H134"/>
    <mergeCell ref="A139:B139"/>
    <mergeCell ref="A450:H453"/>
    <mergeCell ref="A449:B449"/>
    <mergeCell ref="E449:F449"/>
    <mergeCell ref="C449:D449"/>
    <mergeCell ref="G449:H449"/>
    <mergeCell ref="A128:H128"/>
    <mergeCell ref="A126:E126"/>
    <mergeCell ref="F126:H126"/>
    <mergeCell ref="A127:E127"/>
    <mergeCell ref="F127:H127"/>
    <mergeCell ref="A191:H191"/>
    <mergeCell ref="A138:B138"/>
    <mergeCell ref="A445:H445"/>
    <mergeCell ref="A135:H135"/>
    <mergeCell ref="A448:H448"/>
    <mergeCell ref="A446:H446"/>
    <mergeCell ref="A147:H147"/>
    <mergeCell ref="E144:E145"/>
    <mergeCell ref="G144:H145"/>
    <mergeCell ref="B144:B145"/>
    <mergeCell ref="A144:A145"/>
    <mergeCell ref="C140:D140"/>
    <mergeCell ref="A190:B190"/>
    <mergeCell ref="A189:B189"/>
    <mergeCell ref="A443:H443"/>
    <mergeCell ref="E136:F136"/>
    <mergeCell ref="B439:H439"/>
    <mergeCell ref="B437:H437"/>
    <mergeCell ref="B433:H433"/>
    <mergeCell ref="A142:H142"/>
    <mergeCell ref="B431:H431"/>
    <mergeCell ref="B432:H432"/>
    <mergeCell ref="B434:H434"/>
    <mergeCell ref="B435:H435"/>
    <mergeCell ref="A430:H430"/>
    <mergeCell ref="C144:C145"/>
    <mergeCell ref="A171:B171"/>
    <mergeCell ref="A146:H146"/>
    <mergeCell ref="A152:B152"/>
    <mergeCell ref="A157:B157"/>
    <mergeCell ref="C138:D138"/>
    <mergeCell ref="E138:F138"/>
    <mergeCell ref="G138:H138"/>
    <mergeCell ref="A185:H185"/>
    <mergeCell ref="A196:B196"/>
    <mergeCell ref="A193:B193"/>
    <mergeCell ref="A194:B194"/>
    <mergeCell ref="G140:H140"/>
    <mergeCell ref="E139:F139"/>
    <mergeCell ref="G139:H139"/>
    <mergeCell ref="C136:D136"/>
    <mergeCell ref="G136:H136"/>
    <mergeCell ref="A140:B140"/>
    <mergeCell ref="E140:F140"/>
    <mergeCell ref="C132:D132"/>
    <mergeCell ref="E132:F132"/>
    <mergeCell ref="G132:H132"/>
    <mergeCell ref="C133:D133"/>
    <mergeCell ref="E133:F133"/>
    <mergeCell ref="G133:H133"/>
    <mergeCell ref="E43:H43"/>
    <mergeCell ref="A43:D43"/>
    <mergeCell ref="A447:H447"/>
    <mergeCell ref="A444:H444"/>
    <mergeCell ref="A192:B192"/>
    <mergeCell ref="A136:B136"/>
    <mergeCell ref="G186:H186"/>
    <mergeCell ref="A94:B94"/>
    <mergeCell ref="A95:B95"/>
    <mergeCell ref="A96:B96"/>
    <mergeCell ref="A86:B86"/>
    <mergeCell ref="C86:H86"/>
    <mergeCell ref="A110:B110"/>
    <mergeCell ref="A81:B81"/>
    <mergeCell ref="F115:H115"/>
    <mergeCell ref="G130:H130"/>
    <mergeCell ref="A113:B113"/>
    <mergeCell ref="A50:B50"/>
    <mergeCell ref="C50:E50"/>
    <mergeCell ref="G50:H50"/>
    <mergeCell ref="G55:H55"/>
    <mergeCell ref="D59:H59"/>
    <mergeCell ref="A210:B210"/>
    <mergeCell ref="A211:B211"/>
    <mergeCell ref="A212:H212"/>
    <mergeCell ref="L212:M212"/>
    <mergeCell ref="A213:B213"/>
    <mergeCell ref="A156:B156"/>
    <mergeCell ref="L156:M156"/>
    <mergeCell ref="G148:H154"/>
    <mergeCell ref="A161:B161"/>
    <mergeCell ref="A201:B201"/>
    <mergeCell ref="A202:B202"/>
    <mergeCell ref="A203:B203"/>
    <mergeCell ref="A204:B204"/>
    <mergeCell ref="A200:B200"/>
    <mergeCell ref="L161:M161"/>
    <mergeCell ref="A162:B162"/>
    <mergeCell ref="L162:M162"/>
    <mergeCell ref="A197:B197"/>
    <mergeCell ref="A198:H198"/>
    <mergeCell ref="L198:M198"/>
    <mergeCell ref="A199:B199"/>
    <mergeCell ref="A164:H164"/>
    <mergeCell ref="A165:H165"/>
    <mergeCell ref="A166:B166"/>
    <mergeCell ref="A206:B206"/>
    <mergeCell ref="A207:B207"/>
    <mergeCell ref="A208:B208"/>
    <mergeCell ref="A209:B209"/>
    <mergeCell ref="A170:B170"/>
    <mergeCell ref="L170:M170"/>
    <mergeCell ref="L171:M171"/>
    <mergeCell ref="A172:B172"/>
    <mergeCell ref="L172:M172"/>
    <mergeCell ref="A173:B173"/>
    <mergeCell ref="L173:M173"/>
    <mergeCell ref="G166:H173"/>
    <mergeCell ref="A174:H174"/>
    <mergeCell ref="A169:B169"/>
    <mergeCell ref="L169:M169"/>
    <mergeCell ref="L191:M191"/>
    <mergeCell ref="A195:B195"/>
    <mergeCell ref="L166:M166"/>
    <mergeCell ref="A167:B167"/>
    <mergeCell ref="L167:M167"/>
    <mergeCell ref="A168:B168"/>
    <mergeCell ref="L168:M168"/>
    <mergeCell ref="L189:M189"/>
    <mergeCell ref="L190:M190"/>
    <mergeCell ref="A234:B234"/>
    <mergeCell ref="A229:B229"/>
    <mergeCell ref="A230:B230"/>
    <mergeCell ref="A231:H231"/>
    <mergeCell ref="L231:M231"/>
    <mergeCell ref="A232:B232"/>
    <mergeCell ref="A233:B233"/>
    <mergeCell ref="A224:B224"/>
    <mergeCell ref="A225:B225"/>
    <mergeCell ref="A226:B226"/>
    <mergeCell ref="A227:B227"/>
    <mergeCell ref="A228:B228"/>
    <mergeCell ref="G232:H240"/>
    <mergeCell ref="A219:H219"/>
    <mergeCell ref="L219:M219"/>
    <mergeCell ref="A220:B220"/>
    <mergeCell ref="A221:B221"/>
    <mergeCell ref="A178:B178"/>
    <mergeCell ref="L178:M178"/>
    <mergeCell ref="A179:B179"/>
    <mergeCell ref="L179:M179"/>
    <mergeCell ref="A180:B180"/>
    <mergeCell ref="L180:M180"/>
    <mergeCell ref="G175:H184"/>
    <mergeCell ref="A175:B175"/>
    <mergeCell ref="L175:M175"/>
    <mergeCell ref="A176:B176"/>
    <mergeCell ref="L176:M176"/>
    <mergeCell ref="A177:B177"/>
    <mergeCell ref="L177:M177"/>
    <mergeCell ref="A184:B184"/>
    <mergeCell ref="L184:M184"/>
    <mergeCell ref="A187:H187"/>
    <mergeCell ref="G220:H230"/>
    <mergeCell ref="A214:B214"/>
    <mergeCell ref="A205:H205"/>
    <mergeCell ref="L205:M205"/>
    <mergeCell ref="A241:H241"/>
    <mergeCell ref="A242:H242"/>
    <mergeCell ref="A181:B181"/>
    <mergeCell ref="L181:M181"/>
    <mergeCell ref="A182:B182"/>
    <mergeCell ref="L182:M182"/>
    <mergeCell ref="A183:B183"/>
    <mergeCell ref="L183:M183"/>
    <mergeCell ref="A237:B237"/>
    <mergeCell ref="A238:B238"/>
    <mergeCell ref="A239:B239"/>
    <mergeCell ref="A240:B240"/>
    <mergeCell ref="A235:B235"/>
    <mergeCell ref="A236:B236"/>
    <mergeCell ref="A222:B222"/>
    <mergeCell ref="A223:B223"/>
    <mergeCell ref="A215:B215"/>
    <mergeCell ref="A216:B216"/>
    <mergeCell ref="A217:B217"/>
    <mergeCell ref="A218:B218"/>
    <mergeCell ref="C213:F213"/>
    <mergeCell ref="G199:H204"/>
    <mergeCell ref="G206:H211"/>
    <mergeCell ref="G213:H218"/>
    <mergeCell ref="A246:B246"/>
    <mergeCell ref="L246:M246"/>
    <mergeCell ref="A247:H247"/>
    <mergeCell ref="L247:M247"/>
    <mergeCell ref="A248:B248"/>
    <mergeCell ref="A249:B249"/>
    <mergeCell ref="A243:B243"/>
    <mergeCell ref="L243:M243"/>
    <mergeCell ref="A244:B244"/>
    <mergeCell ref="L244:M244"/>
    <mergeCell ref="A245:B245"/>
    <mergeCell ref="L245:M245"/>
    <mergeCell ref="G243:H246"/>
    <mergeCell ref="A256:H256"/>
    <mergeCell ref="A257:B257"/>
    <mergeCell ref="A258:B258"/>
    <mergeCell ref="A259:B259"/>
    <mergeCell ref="A260:B260"/>
    <mergeCell ref="A255:B255"/>
    <mergeCell ref="A252:B252"/>
    <mergeCell ref="A253:B253"/>
    <mergeCell ref="A254:B254"/>
    <mergeCell ref="G248:H255"/>
    <mergeCell ref="A250:B250"/>
    <mergeCell ref="A251:B251"/>
    <mergeCell ref="A264:B264"/>
    <mergeCell ref="L264:M264"/>
    <mergeCell ref="A265:H265"/>
    <mergeCell ref="L265:M265"/>
    <mergeCell ref="A266:B266"/>
    <mergeCell ref="A267:B267"/>
    <mergeCell ref="G257:H264"/>
    <mergeCell ref="A261:B261"/>
    <mergeCell ref="L261:M261"/>
    <mergeCell ref="A262:B262"/>
    <mergeCell ref="L262:M262"/>
    <mergeCell ref="A263:B263"/>
    <mergeCell ref="L263:M263"/>
    <mergeCell ref="L272:M272"/>
    <mergeCell ref="A273:B273"/>
    <mergeCell ref="L273:M273"/>
    <mergeCell ref="A274:H274"/>
    <mergeCell ref="L274:M274"/>
    <mergeCell ref="A275:B275"/>
    <mergeCell ref="G266:H273"/>
    <mergeCell ref="A268:B268"/>
    <mergeCell ref="A269:B269"/>
    <mergeCell ref="A270:B270"/>
    <mergeCell ref="L270:M270"/>
    <mergeCell ref="A271:B271"/>
    <mergeCell ref="L271:M271"/>
    <mergeCell ref="A280:B280"/>
    <mergeCell ref="A281:B281"/>
    <mergeCell ref="A282:B282"/>
    <mergeCell ref="G275:H282"/>
    <mergeCell ref="A276:B276"/>
    <mergeCell ref="A277:B277"/>
    <mergeCell ref="A278:B278"/>
    <mergeCell ref="A279:B279"/>
    <mergeCell ref="A272:B272"/>
    <mergeCell ref="L291:M291"/>
    <mergeCell ref="C285:F285"/>
    <mergeCell ref="A292:H292"/>
    <mergeCell ref="L292:M292"/>
    <mergeCell ref="A293:B293"/>
    <mergeCell ref="A294:B294"/>
    <mergeCell ref="A288:B288"/>
    <mergeCell ref="L288:M288"/>
    <mergeCell ref="A289:B289"/>
    <mergeCell ref="L289:M289"/>
    <mergeCell ref="A290:B290"/>
    <mergeCell ref="L290:M290"/>
    <mergeCell ref="G284:H291"/>
    <mergeCell ref="A284:B284"/>
    <mergeCell ref="A285:B285"/>
    <mergeCell ref="A286:B286"/>
    <mergeCell ref="A287:B287"/>
    <mergeCell ref="L299:M299"/>
    <mergeCell ref="A300:B300"/>
    <mergeCell ref="L300:M300"/>
    <mergeCell ref="A301:H301"/>
    <mergeCell ref="L301:M301"/>
    <mergeCell ref="A302:B302"/>
    <mergeCell ref="G293:H300"/>
    <mergeCell ref="A295:B295"/>
    <mergeCell ref="A296:B296"/>
    <mergeCell ref="A297:B297"/>
    <mergeCell ref="L297:M297"/>
    <mergeCell ref="A298:B298"/>
    <mergeCell ref="L298:M298"/>
    <mergeCell ref="L324:M324"/>
    <mergeCell ref="A311:B311"/>
    <mergeCell ref="A312:B312"/>
    <mergeCell ref="A313:B313"/>
    <mergeCell ref="A314:B314"/>
    <mergeCell ref="A315:B315"/>
    <mergeCell ref="A316:B316"/>
    <mergeCell ref="A324:H324"/>
    <mergeCell ref="A321:B321"/>
    <mergeCell ref="L321:M321"/>
    <mergeCell ref="A322:B322"/>
    <mergeCell ref="L322:M322"/>
    <mergeCell ref="A323:B323"/>
    <mergeCell ref="L323:M323"/>
    <mergeCell ref="G311:H323"/>
    <mergeCell ref="A317:B317"/>
    <mergeCell ref="A318:B318"/>
    <mergeCell ref="A319:B319"/>
    <mergeCell ref="A320:B320"/>
    <mergeCell ref="L335:M335"/>
    <mergeCell ref="A336:B336"/>
    <mergeCell ref="L336:M336"/>
    <mergeCell ref="A337:B337"/>
    <mergeCell ref="L337:M337"/>
    <mergeCell ref="C337:F337"/>
    <mergeCell ref="G325:H337"/>
    <mergeCell ref="G341:H349"/>
    <mergeCell ref="A330:B330"/>
    <mergeCell ref="A331:B331"/>
    <mergeCell ref="A332:B332"/>
    <mergeCell ref="A333:B333"/>
    <mergeCell ref="A334:B334"/>
    <mergeCell ref="A325:B325"/>
    <mergeCell ref="A326:B326"/>
    <mergeCell ref="A327:B327"/>
    <mergeCell ref="A328:B328"/>
    <mergeCell ref="A329:B329"/>
    <mergeCell ref="L338:M338"/>
    <mergeCell ref="A339:H339"/>
    <mergeCell ref="L339:M339"/>
    <mergeCell ref="A338:H338"/>
    <mergeCell ref="A346:B346"/>
    <mergeCell ref="L350:M350"/>
    <mergeCell ref="A345:B345"/>
    <mergeCell ref="A347:B347"/>
    <mergeCell ref="A348:B348"/>
    <mergeCell ref="A349:B349"/>
    <mergeCell ref="A340:H340"/>
    <mergeCell ref="L340:M340"/>
    <mergeCell ref="A341:B341"/>
    <mergeCell ref="A342:B342"/>
    <mergeCell ref="A343:B343"/>
    <mergeCell ref="A344:B344"/>
    <mergeCell ref="A350:H350"/>
    <mergeCell ref="L360:M360"/>
    <mergeCell ref="A361:B361"/>
    <mergeCell ref="A362:B362"/>
    <mergeCell ref="A353:B353"/>
    <mergeCell ref="A354:B354"/>
    <mergeCell ref="A355:B355"/>
    <mergeCell ref="A356:B356"/>
    <mergeCell ref="A357:B357"/>
    <mergeCell ref="G351:H359"/>
    <mergeCell ref="G361:H369"/>
    <mergeCell ref="A352:B352"/>
    <mergeCell ref="A368:B368"/>
    <mergeCell ref="A369:B369"/>
    <mergeCell ref="A364:B364"/>
    <mergeCell ref="A365:B365"/>
    <mergeCell ref="A366:B366"/>
    <mergeCell ref="A367:B367"/>
    <mergeCell ref="A358:B358"/>
    <mergeCell ref="A359:B359"/>
    <mergeCell ref="A360:H360"/>
    <mergeCell ref="A351:B351"/>
    <mergeCell ref="A141:B141"/>
    <mergeCell ref="C141:D141"/>
    <mergeCell ref="E141:F141"/>
    <mergeCell ref="G141:H141"/>
    <mergeCell ref="A137:B137"/>
    <mergeCell ref="C137:D137"/>
    <mergeCell ref="E137:F137"/>
    <mergeCell ref="G137:H137"/>
    <mergeCell ref="A363:B363"/>
    <mergeCell ref="A335:B335"/>
    <mergeCell ref="A310:H310"/>
    <mergeCell ref="A307:B307"/>
    <mergeCell ref="A308:B308"/>
    <mergeCell ref="A309:B309"/>
    <mergeCell ref="G302:H309"/>
    <mergeCell ref="A303:B303"/>
    <mergeCell ref="A304:B304"/>
    <mergeCell ref="G189:H190"/>
    <mergeCell ref="G192:H197"/>
    <mergeCell ref="A305:B305"/>
    <mergeCell ref="A306:B306"/>
    <mergeCell ref="A299:B299"/>
    <mergeCell ref="A291:B291"/>
    <mergeCell ref="A283:H283"/>
  </mergeCells>
  <hyperlinks>
    <hyperlink ref="C40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9" max="16383" man="1"/>
    <brk id="453" max="16383" man="1"/>
    <brk id="496" max="16383" man="1"/>
    <brk id="53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55" zoomScale="85" zoomScaleNormal="85" workbookViewId="0">
      <selection activeCell="F75" sqref="F7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0" t="s">
        <v>111</v>
      </c>
      <c r="C3" s="200"/>
      <c r="D3" s="200"/>
      <c r="E3" s="200"/>
      <c r="F3" s="200"/>
      <c r="G3" s="200"/>
      <c r="H3" s="200"/>
    </row>
    <row r="4" spans="1:9" x14ac:dyDescent="0.3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2025-06-06T07:34:10Z</cp:lastPrinted>
  <dcterms:created xsi:type="dcterms:W3CDTF">2019-07-16T09:29:46Z</dcterms:created>
  <dcterms:modified xsi:type="dcterms:W3CDTF">2025-09-13T09:33:36Z</dcterms:modified>
</cp:coreProperties>
</file>