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Sept 2025\13-09-2025\"/>
    </mc:Choice>
  </mc:AlternateContent>
  <bookViews>
    <workbookView xWindow="0" yWindow="0" windowWidth="19200" windowHeight="6930" tabRatio="725"/>
  </bookViews>
  <sheets>
    <sheet name="Report" sheetId="1" r:id="rId1"/>
    <sheet name="valuation" sheetId="5" r:id="rId2"/>
    <sheet name="Research" sheetId="4" r:id="rId3"/>
    <sheet name="Remarks" sheetId="6" r:id="rId4"/>
  </sheets>
  <definedNames>
    <definedName name="_xlnm.Print_Area" localSheetId="0">Report!$A$1:$H$310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6" i="1" l="1"/>
  <c r="E116" i="1"/>
  <c r="G116" i="1"/>
  <c r="G52" i="1"/>
  <c r="G51" i="1"/>
  <c r="C52" i="1"/>
  <c r="C51" i="1"/>
  <c r="D156" i="1"/>
  <c r="D155" i="1"/>
  <c r="D154" i="1"/>
  <c r="D153" i="1"/>
  <c r="D152" i="1"/>
  <c r="D151" i="1"/>
  <c r="D150" i="1"/>
  <c r="D149" i="1"/>
  <c r="D148" i="1"/>
  <c r="I129" i="1"/>
  <c r="D129" i="1"/>
  <c r="I125" i="1"/>
  <c r="D127" i="1"/>
  <c r="D126" i="1"/>
  <c r="D125" i="1"/>
  <c r="E156" i="1"/>
  <c r="E155" i="1"/>
  <c r="E154" i="1"/>
  <c r="E153" i="1"/>
  <c r="F153" i="1"/>
  <c r="H153" i="1" s="1"/>
  <c r="E152" i="1"/>
  <c r="E151" i="1"/>
  <c r="E150" i="1"/>
  <c r="E149" i="1"/>
  <c r="E148" i="1"/>
  <c r="I148" i="1"/>
  <c r="F151" i="1"/>
  <c r="H151" i="1" s="1"/>
  <c r="F156" i="1"/>
  <c r="H156" i="1" s="1"/>
  <c r="A155" i="1"/>
  <c r="A156" i="1" s="1"/>
  <c r="E145" i="1"/>
  <c r="E144" i="1"/>
  <c r="E143" i="1"/>
  <c r="E142" i="1"/>
  <c r="E141" i="1"/>
  <c r="E139" i="1"/>
  <c r="E138" i="1"/>
  <c r="E137" i="1"/>
  <c r="D145" i="1"/>
  <c r="D144" i="1"/>
  <c r="D143" i="1"/>
  <c r="D142" i="1"/>
  <c r="D141" i="1"/>
  <c r="D140" i="1"/>
  <c r="D139" i="1"/>
  <c r="D138" i="1"/>
  <c r="D137" i="1"/>
  <c r="D136" i="1"/>
  <c r="J136" i="1"/>
  <c r="I136" i="1"/>
  <c r="I43" i="1"/>
  <c r="F149" i="1" l="1"/>
  <c r="H149" i="1" s="1"/>
  <c r="F155" i="1"/>
  <c r="H155" i="1" s="1"/>
  <c r="F154" i="1"/>
  <c r="H154" i="1" s="1"/>
  <c r="F150" i="1"/>
  <c r="H150" i="1" s="1"/>
  <c r="F152" i="1"/>
  <c r="H152" i="1" s="1"/>
  <c r="F148" i="1"/>
  <c r="H148" i="1" s="1"/>
  <c r="C82" i="1" l="1"/>
  <c r="F126" i="1" l="1"/>
  <c r="C111" i="1"/>
  <c r="J129" i="1"/>
  <c r="E140" i="1"/>
  <c r="E136" i="1"/>
  <c r="F129" i="1" l="1"/>
  <c r="E112" i="1" s="1"/>
  <c r="C112" i="1"/>
  <c r="C113" i="1" s="1"/>
  <c r="H129" i="1"/>
  <c r="G112" i="1" s="1"/>
  <c r="F145" i="1"/>
  <c r="F141" i="1"/>
  <c r="H141" i="1" s="1"/>
  <c r="N141" i="1"/>
  <c r="L140" i="1"/>
  <c r="J140" i="1"/>
  <c r="I140" i="1"/>
  <c r="N137" i="1"/>
  <c r="N139" i="1"/>
  <c r="L138" i="1"/>
  <c r="L136" i="1"/>
  <c r="J138" i="1"/>
  <c r="I138" i="1"/>
  <c r="K138" i="1" s="1"/>
  <c r="K136" i="1" l="1"/>
  <c r="K140" i="1"/>
  <c r="N138" i="1"/>
  <c r="N136" i="1"/>
  <c r="N140" i="1"/>
  <c r="F140" i="1"/>
  <c r="H140" i="1" s="1"/>
  <c r="F136" i="1"/>
  <c r="L132" i="1"/>
  <c r="J125" i="1"/>
  <c r="H136" i="1" l="1"/>
  <c r="B160" i="1" l="1"/>
  <c r="S33" i="1" l="1"/>
  <c r="F11" i="5" l="1"/>
  <c r="G11" i="5" s="1"/>
  <c r="F10" i="5"/>
  <c r="G10" i="5" s="1"/>
  <c r="F9" i="5"/>
  <c r="G9" i="5" s="1"/>
  <c r="G8" i="5"/>
  <c r="F8" i="5"/>
  <c r="F7" i="5"/>
  <c r="G7" i="5" s="1"/>
  <c r="F6" i="5"/>
  <c r="G6" i="5" s="1"/>
  <c r="F5" i="5"/>
  <c r="G5" i="5" s="1"/>
  <c r="G12" i="5" s="1"/>
  <c r="D182" i="1"/>
  <c r="B161" i="1"/>
  <c r="H145" i="1"/>
  <c r="F144" i="1"/>
  <c r="H144" i="1" s="1"/>
  <c r="F143" i="1"/>
  <c r="H143" i="1" s="1"/>
  <c r="F142" i="1"/>
  <c r="H142" i="1" s="1"/>
  <c r="A144" i="1"/>
  <c r="A145" i="1" s="1"/>
  <c r="F139" i="1"/>
  <c r="H139" i="1" s="1"/>
  <c r="F138" i="1"/>
  <c r="H138" i="1" s="1"/>
  <c r="F137" i="1"/>
  <c r="H127" i="1"/>
  <c r="F127" i="1"/>
  <c r="H126" i="1"/>
  <c r="A126" i="1"/>
  <c r="A127" i="1" s="1"/>
  <c r="H125" i="1"/>
  <c r="G111" i="1" s="1"/>
  <c r="F125" i="1"/>
  <c r="E111" i="1" s="1"/>
  <c r="F108" i="1"/>
  <c r="C68" i="1"/>
  <c r="D62" i="1"/>
  <c r="D56" i="1"/>
  <c r="E44" i="1"/>
  <c r="E45" i="1" s="1"/>
  <c r="E31" i="1"/>
  <c r="E28" i="1"/>
  <c r="E26" i="1"/>
  <c r="C16" i="1"/>
  <c r="I15" i="1"/>
  <c r="Z13" i="1"/>
  <c r="E8" i="1"/>
  <c r="E3" i="1"/>
  <c r="H83" i="1"/>
  <c r="H69" i="1"/>
  <c r="C117" i="1" l="1"/>
  <c r="C118" i="1" s="1"/>
  <c r="E113" i="1"/>
  <c r="G113" i="1"/>
  <c r="E117" i="1"/>
  <c r="H137" i="1"/>
  <c r="J68" i="1"/>
  <c r="J70" i="1" s="1"/>
  <c r="J71" i="1"/>
  <c r="J72" i="1"/>
  <c r="J73" i="1"/>
  <c r="C72" i="1" s="1"/>
  <c r="J87" i="1"/>
  <c r="D86" i="1" s="1"/>
  <c r="E86" i="1"/>
  <c r="D91" i="1"/>
  <c r="D93" i="1"/>
  <c r="D87" i="1"/>
  <c r="J86" i="1"/>
  <c r="D92" i="1"/>
  <c r="J82" i="1"/>
  <c r="J84" i="1" s="1"/>
  <c r="D90" i="1"/>
  <c r="J85" i="1"/>
  <c r="D89" i="1"/>
  <c r="D95" i="1"/>
  <c r="D94" i="1"/>
  <c r="D88" i="1"/>
  <c r="D76" i="1"/>
  <c r="D78" i="1"/>
  <c r="D77" i="1"/>
  <c r="D81" i="1"/>
  <c r="D75" i="1"/>
  <c r="D80" i="1"/>
  <c r="D74" i="1"/>
  <c r="D79" i="1"/>
  <c r="B83" i="1"/>
  <c r="B69" i="1"/>
  <c r="J74" i="1" s="1"/>
  <c r="E118" i="1" l="1"/>
  <c r="G117" i="1"/>
  <c r="G118" i="1" s="1"/>
  <c r="D72" i="1"/>
  <c r="J93" i="1"/>
  <c r="J90" i="1"/>
  <c r="J92" i="1"/>
  <c r="J91" i="1"/>
  <c r="J88" i="1"/>
  <c r="J89" i="1" s="1"/>
  <c r="I83" i="1"/>
  <c r="I84" i="1" s="1"/>
  <c r="J78" i="1"/>
  <c r="J76" i="1"/>
  <c r="J77" i="1"/>
  <c r="J75" i="1"/>
  <c r="J80" i="1" s="1"/>
  <c r="J79" i="1"/>
  <c r="G86" i="1"/>
  <c r="J81" i="1" l="1"/>
  <c r="C73" i="1" s="1"/>
  <c r="J69" i="1" s="1"/>
  <c r="J94" i="1"/>
  <c r="J95" i="1" s="1"/>
  <c r="J83" i="1" s="1"/>
  <c r="I82" i="1" s="1"/>
  <c r="C84" i="1" s="1"/>
  <c r="G72" i="1" l="1"/>
  <c r="D66" i="1" s="1"/>
  <c r="F67" i="1" s="1"/>
  <c r="D73" i="1"/>
  <c r="I69" i="1" s="1"/>
  <c r="I70" i="1" s="1"/>
  <c r="I68" i="1" s="1"/>
  <c r="C70" i="1" s="1"/>
  <c r="E72" i="1"/>
  <c r="D67" i="1" l="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D56"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<sst xmlns="http://schemas.openxmlformats.org/spreadsheetml/2006/main" count="566" uniqueCount="347">
  <si>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</si>
  <si>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</si>
  <si>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</si>
  <si>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</si>
  <si>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</si>
  <si>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</si>
  <si>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</si>
  <si>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</si>
  <si>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</si>
  <si>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</si>
  <si>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</si>
  <si>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</si>
  <si>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</si>
  <si>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</si>
  <si>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</si>
  <si>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</si>
  <si>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</si>
  <si>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</si>
  <si>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</si>
  <si>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</si>
  <si>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</si>
  <si>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</si>
  <si>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</si>
  <si>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</si>
  <si>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</si>
  <si>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</si>
  <si>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</si>
  <si>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</si>
  <si>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</si>
  <si>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</si>
  <si>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</si>
  <si>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</si>
  <si>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</si>
  <si>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</si>
  <si>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</si>
  <si>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</si>
  <si>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</si>
  <si>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</si>
  <si>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</si>
  <si>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</si>
  <si>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</si>
  <si>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</si>
  <si>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</si>
  <si>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</si>
  <si>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</si>
  <si>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</si>
  <si>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</si>
  <si>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</si>
  <si>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</si>
  <si>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</si>
  <si>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</si>
  <si>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</si>
  <si>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</si>
  <si>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</si>
  <si>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</si>
  <si>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</si>
  <si>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</si>
  <si>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</si>
  <si>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</si>
  <si>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</si>
  <si>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</si>
  <si>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</si>
  <si>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</si>
  <si>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</si>
  <si>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</si>
  <si>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</si>
  <si>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</si>
  <si>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</si>
  <si>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</si>
  <si>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</si>
  <si>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</si>
  <si>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</si>
  <si>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</si>
  <si>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</si>
  <si>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</si>
  <si>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</si>
  <si>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</si>
  <si>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</si>
  <si>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</si>
  <si>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</si>
  <si>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</si>
  <si>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</si>
  <si>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</si>
  <si>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</si>
  <si>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</si>
  <si>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</si>
  <si>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</si>
  <si>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</si>
  <si>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</si>
  <si>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</si>
  <si>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</si>
  <si>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</si>
  <si>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</si>
  <si>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</si>
  <si>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</si>
  <si>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</si>
  <si>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</si>
  <si>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</si>
  <si>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</si>
  <si>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</si>
  <si>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</si>
  <si>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</si>
  <si>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</si>
  <si>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</si>
  <si>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</si>
  <si>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</si>
  <si>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</si>
  <si>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</si>
  <si>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</si>
  <si>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</si>
  <si>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</si>
  <si>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</si>
  <si>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</si>
  <si>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</si>
  <si>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</si>
  <si>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</si>
  <si>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</si>
  <si>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</si>
  <si>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</si>
  <si>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</si>
  <si>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</si>
  <si>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</si>
  <si>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</si>
  <si>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</si>
  <si>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</si>
  <si>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</si>
  <si>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</si>
  <si>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</si>
  <si>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</si>
  <si>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</si>
  <si>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</si>
  <si>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</si>
  <si>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</si>
  <si>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</si>
  <si>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</si>
  <si>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</si>
  <si>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</si>
  <si>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</si>
  <si>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</si>
  <si>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</si>
  <si>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</si>
  <si>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</si>
  <si>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</si>
  <si>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</si>
  <si>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</si>
  <si>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</si>
  <si>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</si>
  <si>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</si>
  <si>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</si>
  <si>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</si>
  <si>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</si>
  <si>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</si>
  <si>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</si>
  <si>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</si>
  <si>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</si>
  <si>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</si>
  <si>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</si>
  <si>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</si>
  <si>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</si>
  <si>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</si>
  <si>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</si>
  <si>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</si>
  <si>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</si>
  <si>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</si>
  <si>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</si>
  <si>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</si>
  <si>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</si>
  <si>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</si>
  <si>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</si>
  <si>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</si>
  <si>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</si>
  <si>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</si>
  <si>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</si>
  <si>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</si>
  <si>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</si>
  <si>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</si>
  <si>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</si>
  <si>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</si>
  <si>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</si>
  <si>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</si>
  <si>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</si>
  <si>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</si>
  <si>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</si>
  <si>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</si>
  <si>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</si>
  <si>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</si>
  <si>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</si>
  <si>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</si>
  <si>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</si>
  <si>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</si>
  <si>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</si>
  <si>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</si>
  <si>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</si>
  <si>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</si>
  <si>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</si>
  <si>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</si>
  <si>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</si>
  <si>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</si>
  <si>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</si>
  <si>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</si>
  <si>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</si>
  <si>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</si>
  <si>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</si>
  <si>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</si>
  <si>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</si>
  <si>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</si>
  <si>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</si>
  <si>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</si>
  <si>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</si>
  <si>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</si>
  <si>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</si>
  <si>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</si>
  <si>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</si>
  <si>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</si>
  <si>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</si>
  <si>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</si>
  <si>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</si>
  <si>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</si>
  <si>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</si>
  <si>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</si>
  <si>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</si>
  <si>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</si>
  <si>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</si>
  <si>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</si>
  <si>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</si>
  <si>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</si>
  <si>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</si>
  <si>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</si>
  <si>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</si>
  <si>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</si>
  <si>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</si>
  <si>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</si>
  <si>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</si>
  <si>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</si>
  <si>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</si>
  <si>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</si>
  <si>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</si>
  <si>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</si>
  <si>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</si>
  <si>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</si>
  <si>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</si>
  <si>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</si>
  <si>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</si>
  <si>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</si>
  <si>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</si>
  <si>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</si>
  <si>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</si>
  <si>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</si>
  <si>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</si>
  <si>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</si>
  <si>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</si>
  <si>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</si>
  <si>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</si>
  <si>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</si>
  <si>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</si>
  <si>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</si>
  <si>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</si>
  <si>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</si>
  <si>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</si>
  <si>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</si>
  <si>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</si>
  <si>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</si>
  <si>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</si>
  <si>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</si>
  <si>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</si>
  <si>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</si>
  <si>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</si>
  <si>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</si>
  <si>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</si>
  <si>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</si>
  <si>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</si>
  <si>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</si>
  <si>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</si>
  <si>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</si>
  <si>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</si>
  <si>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</si>
  <si>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</si>
  <si>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</si>
  <si>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</si>
  <si>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</si>
  <si>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</si>
  <si>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</si>
  <si>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</si>
  <si>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</si>
  <si>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</si>
  <si>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</si>
  <si>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</si>
  <si>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</si>
  <si>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</si>
  <si>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There are inadequate transportation options to get to the project and the area is not 
developed.</t>
  </si>
  <si>
    <t>We did not consider the terrace area attached to the 1st floor flats because it was not shown in the approved plans. However, it was shown in the sales plan.</t>
  </si>
  <si>
    <t>We did not consider the terrace area attached to the 1st floor flats because it was not shown in the approved plans. However, it was visible at the time of visit.</t>
  </si>
  <si>
    <t>Rutu Apartments</t>
  </si>
  <si>
    <t>Harasiddh Realtors</t>
  </si>
  <si>
    <t>Uday- 8369385690</t>
  </si>
  <si>
    <t>P51700053264</t>
  </si>
  <si>
    <t xml:space="preserve"> 25, Hissa No 10, 11, 15, Survey No 29, Hissa No 3, 5 </t>
  </si>
  <si>
    <t>Survey No</t>
  </si>
  <si>
    <t>Kolivali</t>
  </si>
  <si>
    <t>18 M Wide Road</t>
  </si>
  <si>
    <t>Internal Road</t>
  </si>
  <si>
    <t>Rutu River Estate Building No.4</t>
  </si>
  <si>
    <t>Rutu River Estate Building No.1</t>
  </si>
  <si>
    <t>https://maps.app.goo.gl/uh5vYzjC3BP36Td17</t>
  </si>
  <si>
    <t xml:space="preserve">Rutu River Estate Building 2B </t>
  </si>
  <si>
    <t>Other Plot</t>
  </si>
  <si>
    <t xml:space="preserve">As per RERA - 31/12/2027
</t>
  </si>
  <si>
    <t xml:space="preserve">Rutu River Estate Building </t>
  </si>
  <si>
    <t>Adharvadi Road</t>
  </si>
  <si>
    <t>4.6 KM from Kalyan Railway Station</t>
  </si>
  <si>
    <t>Power Backup For Elevators And Common Areas, 24/7 cctv , Electrical Solar System, Fire Fighting System.</t>
  </si>
  <si>
    <t>1BHK</t>
  </si>
  <si>
    <t>Balcony Area</t>
  </si>
  <si>
    <t>2BHK</t>
  </si>
  <si>
    <t>Refuge Area</t>
  </si>
  <si>
    <t>Shop</t>
  </si>
  <si>
    <t>Office</t>
  </si>
  <si>
    <t xml:space="preserve">Details of Commercials in Building   </t>
  </si>
  <si>
    <t xml:space="preserve">Details of Residential in Building   </t>
  </si>
  <si>
    <t>19.2653817, 73.1348327</t>
  </si>
  <si>
    <t>Khadakpada</t>
  </si>
  <si>
    <t>2 Wings</t>
  </si>
  <si>
    <t>Ground Floor For Commercials</t>
  </si>
  <si>
    <t>Ground Floor  For Meter Room, Lobby, Driver Room &amp; Parking</t>
  </si>
  <si>
    <t>Shops</t>
  </si>
  <si>
    <t>Residential Area Details : Flats</t>
  </si>
  <si>
    <t>Building A &amp; B</t>
  </si>
  <si>
    <r>
      <t xml:space="preserve">Proposed Amenities :                                                                                                                                                                                                                         </t>
    </r>
    <r>
      <rPr>
        <b/>
        <sz val="12"/>
        <rFont val="Times New Roman"/>
        <family val="1"/>
      </rPr>
      <t xml:space="preserve">                                               </t>
    </r>
  </si>
  <si>
    <t xml:space="preserve">Approved Plans, CC, Sale Plans, Cost Sheet, </t>
  </si>
  <si>
    <t>Pooja Kawale</t>
  </si>
  <si>
    <t>1st to 7th, 9th to 12th, 14th &amp; 15th Floor for Residential</t>
  </si>
  <si>
    <t>8th &amp; 13th Floor (Part Refuge Area)</t>
  </si>
  <si>
    <t>1st Floor</t>
  </si>
  <si>
    <t>16th Recreational Floor for Gymnasium</t>
  </si>
  <si>
    <t>Flats - 148, Shops - 3, Offices - 1</t>
  </si>
  <si>
    <t>KDMCC/RB/2024/APL/00042</t>
  </si>
  <si>
    <t>Plot A = Bldg A = Gr/St + 1st to 16th Recreation Floor
Plot A = Bldg B =  G + 1st Floor</t>
  </si>
  <si>
    <t>Building B</t>
  </si>
  <si>
    <t>Building A</t>
  </si>
  <si>
    <t>We have updated revised approved CC &amp; floor plans for building  A &amp; B (On 27/06/2025).</t>
  </si>
  <si>
    <t>Since Building B have received CC on 29/05/2024, but as of construction work is not
started.</t>
  </si>
  <si>
    <t>Building A = Gr/St + 1st to 15th + 16th Recreational Floor</t>
  </si>
  <si>
    <t>Building B = Gr/St + 1st Floor</t>
  </si>
  <si>
    <t>Building A = Gr/St + 1st to 15th + 16th Recreational Floor
Building B = G + 1st Floor</t>
  </si>
  <si>
    <t>Building A = Construction work is in process at the time of Visit.
Building B = Work not yet started.</t>
  </si>
  <si>
    <t>We considered Gross carpet area = Net carpet + Balcony + Enclose Balcony.</t>
  </si>
  <si>
    <t>Mangesh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</si>
</sst>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 numFmtId="169" formatCode="0.0000"/>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0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25" xfId="0" applyFont="1" applyFill="1" applyBorder="1"/>
    <xf numFmtId="0" fontId="25" fillId="0" borderId="26" xfId="0" applyFont="1" applyBorder="1"/>
    <xf numFmtId="0" fontId="25" fillId="0" borderId="1" xfId="0" applyFont="1" applyBorder="1"/>
    <xf numFmtId="0" fontId="25" fillId="0" borderId="4"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0" fontId="0" fillId="0" borderId="1" xfId="0" applyFill="1" applyBorder="1"/>
    <xf numFmtId="0" fontId="0" fillId="0" borderId="1" xfId="0" applyFill="1" applyBorder="1" applyAlignment="1"/>
    <xf numFmtId="0" fontId="0" fillId="0" borderId="1" xfId="0" applyBorder="1" applyAlignment="1">
      <alignment vertical="top" wrapText="1"/>
    </xf>
    <xf numFmtId="0" fontId="0" fillId="0" borderId="1" xfId="0" applyBorder="1" applyAlignment="1">
      <alignmen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168" fontId="7" fillId="0" borderId="0" xfId="1" applyNumberFormat="1" applyFont="1" applyAlignment="1">
      <alignment horizontal="center" vertical="center"/>
    </xf>
    <xf numFmtId="169" fontId="7" fillId="0" borderId="0" xfId="1" applyNumberFormat="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9" fontId="13" fillId="0" borderId="13"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6"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24" fillId="2" borderId="12" xfId="0" applyFont="1" applyFill="1" applyBorder="1"/>
    <xf numFmtId="0" fontId="25" fillId="0" borderId="8" xfId="0" applyFont="1" applyBorder="1"/>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64" fontId="7" fillId="0" borderId="0" xfId="1" applyNumberFormat="1" applyFont="1"/>
    <xf numFmtId="164" fontId="7" fillId="0" borderId="0" xfId="1" applyNumberFormat="1" applyFont="1" applyAlignment="1">
      <alignment horizontal="center" vertical="center"/>
    </xf>
    <xf numFmtId="0" fontId="7" fillId="0" borderId="0" xfId="1" applyFont="1" applyAlignment="1">
      <alignment horizontal="center" vertical="center"/>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7" fillId="0" borderId="20"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9" fontId="12" fillId="0" borderId="14" xfId="8" applyFont="1" applyFill="1" applyBorder="1" applyAlignment="1" applyProtection="1">
      <alignment horizontal="center" vertical="center" wrapText="1"/>
      <protection locked="0"/>
    </xf>
    <xf numFmtId="9" fontId="12" fillId="0" borderId="15" xfId="8" applyFont="1" applyFill="1" applyBorder="1" applyAlignment="1" applyProtection="1">
      <alignment horizontal="center" vertical="center" wrapText="1"/>
      <protection locked="0"/>
    </xf>
    <xf numFmtId="9" fontId="12" fillId="0" borderId="20"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3" fillId="0" borderId="28"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7" xfId="1" applyFont="1" applyBorder="1" applyAlignment="1" applyProtection="1">
      <alignment horizontal="left" vertical="top" wrapText="1"/>
      <protection locked="0"/>
    </xf>
    <xf numFmtId="0" fontId="13" fillId="0" borderId="29" xfId="1" applyFont="1" applyBorder="1" applyAlignment="1" applyProtection="1">
      <alignment horizontal="left" vertical="top" wrapText="1"/>
      <protection locked="0"/>
    </xf>
    <xf numFmtId="1" fontId="8" fillId="0" borderId="14"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13" fillId="0" borderId="7" xfId="0" applyNumberFormat="1" applyFont="1" applyBorder="1" applyAlignment="1" applyProtection="1">
      <alignment vertical="top" wrapText="1"/>
      <protection locked="0"/>
    </xf>
    <xf numFmtId="1" fontId="13" fillId="0" borderId="18"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center"/>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protection locked="0"/>
    </xf>
    <xf numFmtId="0" fontId="12" fillId="0" borderId="14"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7"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27" xfId="1" applyFont="1" applyBorder="1" applyAlignment="1" applyProtection="1">
      <alignment horizontal="left" vertical="top"/>
      <protection locked="0"/>
    </xf>
    <xf numFmtId="0" fontId="12" fillId="0" borderId="17"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5"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8" fillId="0" borderId="13" xfId="1" applyFont="1" applyBorder="1" applyAlignment="1" applyProtection="1">
      <alignment horizontal="center" vertical="top"/>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center" wrapText="1"/>
      <protection locked="0"/>
    </xf>
    <xf numFmtId="0" fontId="12" fillId="0" borderId="7"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18"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9" fontId="12" fillId="0" borderId="22" xfId="8" applyFont="1" applyFill="1" applyBorder="1" applyAlignment="1" applyProtection="1">
      <alignment horizontal="center" vertical="center" wrapText="1"/>
      <protection locked="0"/>
    </xf>
    <xf numFmtId="9" fontId="12" fillId="0" borderId="9" xfId="8" applyFont="1" applyFill="1" applyBorder="1" applyAlignment="1" applyProtection="1">
      <alignment horizontal="center" vertical="center" wrapText="1"/>
      <protection locked="0"/>
    </xf>
    <xf numFmtId="9" fontId="12" fillId="0" borderId="11" xfId="8" applyFont="1" applyFill="1" applyBorder="1" applyAlignment="1" applyProtection="1">
      <alignment horizontal="center" vertical="center" wrapText="1"/>
      <protection locked="0"/>
    </xf>
    <xf numFmtId="0" fontId="8" fillId="0" borderId="13"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758943</xdr:colOff>
      <xdr:row>268</xdr:row>
      <xdr:rowOff>114300</xdr:rowOff>
    </xdr:from>
    <xdr:to>
      <xdr:col>7</xdr:col>
      <xdr:colOff>78498</xdr:colOff>
      <xdr:row>286</xdr:row>
      <xdr:rowOff>113850</xdr:rowOff>
    </xdr:to>
    <xdr:pic>
      <xdr:nvPicPr>
        <xdr:cNvPr id="2" name="Picture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58943" y="57683400"/>
          <a:ext cx="4901205" cy="3600000"/>
        </a:xfrm>
        <a:prstGeom prst="rect">
          <a:avLst/>
        </a:prstGeom>
        <a:ln>
          <a:solidFill>
            <a:schemeClr val="tx1"/>
          </a:solidFill>
        </a:ln>
      </xdr:spPr>
    </xdr:pic>
    <xdr:clientData/>
  </xdr:twoCellAnchor>
  <xdr:twoCellAnchor editAs="oneCell">
    <xdr:from>
      <xdr:col>1</xdr:col>
      <xdr:colOff>0</xdr:colOff>
      <xdr:row>288</xdr:row>
      <xdr:rowOff>2156</xdr:rowOff>
    </xdr:from>
    <xdr:to>
      <xdr:col>7</xdr:col>
      <xdr:colOff>235429</xdr:colOff>
      <xdr:row>306</xdr:row>
      <xdr:rowOff>1706</xdr:rowOff>
    </xdr:to>
    <xdr:pic>
      <xdr:nvPicPr>
        <xdr:cNvPr id="3" name="Picture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62000" y="61571756"/>
          <a:ext cx="5055079" cy="3600000"/>
        </a:xfrm>
        <a:prstGeom prst="rect">
          <a:avLst/>
        </a:prstGeom>
        <a:ln>
          <a:solidFill>
            <a:schemeClr val="tx1"/>
          </a:solidFill>
        </a:ln>
      </xdr:spPr>
    </xdr:pic>
    <xdr:clientData/>
  </xdr:twoCellAnchor>
  <xdr:twoCellAnchor>
    <xdr:from>
      <xdr:col>3</xdr:col>
      <xdr:colOff>214019</xdr:colOff>
      <xdr:row>297</xdr:row>
      <xdr:rowOff>89657</xdr:rowOff>
    </xdr:from>
    <xdr:to>
      <xdr:col>4</xdr:col>
      <xdr:colOff>225569</xdr:colOff>
      <xdr:row>300</xdr:row>
      <xdr:rowOff>67551</xdr:rowOff>
    </xdr:to>
    <xdr:sp macro="" textlink="">
      <xdr:nvSpPr>
        <xdr:cNvPr id="4" name="Rectangle 3"/>
        <xdr:cNvSpPr/>
      </xdr:nvSpPr>
      <xdr:spPr>
        <a:xfrm rot="2838297">
          <a:off x="2797834" y="63285492"/>
          <a:ext cx="577969" cy="925950"/>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11</xdr:col>
      <xdr:colOff>796925</xdr:colOff>
      <xdr:row>141</xdr:row>
      <xdr:rowOff>171450</xdr:rowOff>
    </xdr:from>
    <xdr:to>
      <xdr:col>15</xdr:col>
      <xdr:colOff>113576</xdr:colOff>
      <xdr:row>154</xdr:row>
      <xdr:rowOff>79375</xdr:rowOff>
    </xdr:to>
    <xdr:pic>
      <xdr:nvPicPr>
        <xdr:cNvPr id="20" name="Picture 19"/>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0175875" y="29933900"/>
          <a:ext cx="2834551" cy="24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14</xdr:row>
      <xdr:rowOff>133350</xdr:rowOff>
    </xdr:from>
    <xdr:to>
      <xdr:col>12</xdr:col>
      <xdr:colOff>69400</xdr:colOff>
      <xdr:row>18</xdr:row>
      <xdr:rowOff>143751</xdr:rowOff>
    </xdr:to>
    <xdr:pic>
      <xdr:nvPicPr>
        <xdr:cNvPr id="21" name="Picture 20"/>
        <xdr:cNvPicPr>
          <a:picLocks noChangeAspect="1"/>
        </xdr:cNvPicPr>
      </xdr:nvPicPr>
      <xdr:blipFill>
        <a:blip xmlns:r="http://schemas.openxmlformats.org/officeDocument/2006/relationships" r:embed="rId4"/>
        <a:stretch>
          <a:fillRect/>
        </a:stretch>
      </xdr:blipFill>
      <xdr:spPr>
        <a:xfrm>
          <a:off x="6813550" y="3289300"/>
          <a:ext cx="3600000" cy="1216901"/>
        </a:xfrm>
        <a:prstGeom prst="rect">
          <a:avLst/>
        </a:prstGeom>
        <a:ln>
          <a:solidFill>
            <a:schemeClr val="tx1"/>
          </a:solidFill>
        </a:ln>
      </xdr:spPr>
    </xdr:pic>
    <xdr:clientData/>
  </xdr:twoCellAnchor>
  <xdr:twoCellAnchor editAs="oneCell">
    <xdr:from>
      <xdr:col>8</xdr:col>
      <xdr:colOff>831850</xdr:colOff>
      <xdr:row>45</xdr:row>
      <xdr:rowOff>152400</xdr:rowOff>
    </xdr:from>
    <xdr:to>
      <xdr:col>11</xdr:col>
      <xdr:colOff>955950</xdr:colOff>
      <xdr:row>53</xdr:row>
      <xdr:rowOff>35986</xdr:rowOff>
    </xdr:to>
    <xdr:pic>
      <xdr:nvPicPr>
        <xdr:cNvPr id="24" name="Picture 23"/>
        <xdr:cNvPicPr>
          <a:picLocks noChangeAspect="1"/>
        </xdr:cNvPicPr>
      </xdr:nvPicPr>
      <xdr:blipFill>
        <a:blip xmlns:r="http://schemas.openxmlformats.org/officeDocument/2006/relationships" r:embed="rId5"/>
        <a:stretch>
          <a:fillRect/>
        </a:stretch>
      </xdr:blipFill>
      <xdr:spPr>
        <a:xfrm>
          <a:off x="7454900" y="10052050"/>
          <a:ext cx="2880000" cy="1890186"/>
        </a:xfrm>
        <a:prstGeom prst="rect">
          <a:avLst/>
        </a:prstGeom>
        <a:ln>
          <a:solidFill>
            <a:schemeClr val="tx1"/>
          </a:solidFill>
        </a:ln>
      </xdr:spPr>
    </xdr:pic>
    <xdr:clientData/>
  </xdr:twoCellAnchor>
  <xdr:twoCellAnchor editAs="oneCell">
    <xdr:from>
      <xdr:col>8</xdr:col>
      <xdr:colOff>330200</xdr:colOff>
      <xdr:row>111</xdr:row>
      <xdr:rowOff>31750</xdr:rowOff>
    </xdr:from>
    <xdr:to>
      <xdr:col>14</xdr:col>
      <xdr:colOff>594519</xdr:colOff>
      <xdr:row>116</xdr:row>
      <xdr:rowOff>181133</xdr:rowOff>
    </xdr:to>
    <xdr:pic>
      <xdr:nvPicPr>
        <xdr:cNvPr id="25" name="Picture 24"/>
        <xdr:cNvPicPr>
          <a:picLocks noChangeAspect="1"/>
        </xdr:cNvPicPr>
      </xdr:nvPicPr>
      <xdr:blipFill>
        <a:blip xmlns:r="http://schemas.openxmlformats.org/officeDocument/2006/relationships" r:embed="rId6"/>
        <a:stretch>
          <a:fillRect/>
        </a:stretch>
      </xdr:blipFill>
      <xdr:spPr>
        <a:xfrm>
          <a:off x="6953250" y="23088600"/>
          <a:ext cx="5687219" cy="1133633"/>
        </a:xfrm>
        <a:prstGeom prst="rect">
          <a:avLst/>
        </a:prstGeom>
        <a:ln>
          <a:solidFill>
            <a:schemeClr val="tx1"/>
          </a:solidFill>
        </a:ln>
      </xdr:spPr>
    </xdr:pic>
    <xdr:clientData/>
  </xdr:twoCellAnchor>
  <xdr:twoCellAnchor editAs="oneCell">
    <xdr:from>
      <xdr:col>0</xdr:col>
      <xdr:colOff>622300</xdr:colOff>
      <xdr:row>226</xdr:row>
      <xdr:rowOff>171450</xdr:rowOff>
    </xdr:from>
    <xdr:to>
      <xdr:col>7</xdr:col>
      <xdr:colOff>167600</xdr:colOff>
      <xdr:row>245</xdr:row>
      <xdr:rowOff>14238</xdr:rowOff>
    </xdr:to>
    <xdr:pic>
      <xdr:nvPicPr>
        <xdr:cNvPr id="26" name="Picture 25"/>
        <xdr:cNvPicPr>
          <a:picLocks noChangeAspect="1"/>
        </xdr:cNvPicPr>
      </xdr:nvPicPr>
      <xdr:blipFill>
        <a:blip xmlns:r="http://schemas.openxmlformats.org/officeDocument/2006/relationships" r:embed="rId7"/>
        <a:stretch>
          <a:fillRect/>
        </a:stretch>
      </xdr:blipFill>
      <xdr:spPr>
        <a:xfrm>
          <a:off x="622300" y="49510950"/>
          <a:ext cx="5400000" cy="3582938"/>
        </a:xfrm>
        <a:prstGeom prst="rect">
          <a:avLst/>
        </a:prstGeom>
        <a:ln>
          <a:solidFill>
            <a:schemeClr val="tx1"/>
          </a:solidFill>
        </a:ln>
      </xdr:spPr>
    </xdr:pic>
    <xdr:clientData/>
  </xdr:twoCellAnchor>
  <xdr:oneCellAnchor>
    <xdr:from>
      <xdr:col>8</xdr:col>
      <xdr:colOff>1168400</xdr:colOff>
      <xdr:row>235</xdr:row>
      <xdr:rowOff>19050</xdr:rowOff>
    </xdr:from>
    <xdr:ext cx="547842" cy="264560"/>
    <xdr:sp macro="" textlink="">
      <xdr:nvSpPr>
        <xdr:cNvPr id="6" name="TextBox 5"/>
        <xdr:cNvSpPr txBox="1"/>
      </xdr:nvSpPr>
      <xdr:spPr>
        <a:xfrm>
          <a:off x="7791450" y="51130200"/>
          <a:ext cx="5478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0000"/>
              </a:solidFill>
              <a:effectLst>
                <a:outerShdw blurRad="38100" dist="25400" dir="5400000" algn="ctr" rotWithShape="0">
                  <a:srgbClr val="6E747A">
                    <a:alpha val="43000"/>
                  </a:srgbClr>
                </a:outerShdw>
              </a:effectLst>
            </a:rPr>
            <a:t>Bldg A</a:t>
          </a:r>
        </a:p>
      </xdr:txBody>
    </xdr:sp>
    <xdr:clientData/>
  </xdr:oneCellAnchor>
  <xdr:oneCellAnchor>
    <xdr:from>
      <xdr:col>1</xdr:col>
      <xdr:colOff>349250</xdr:colOff>
      <xdr:row>231</xdr:row>
      <xdr:rowOff>50800</xdr:rowOff>
    </xdr:from>
    <xdr:ext cx="778868" cy="374141"/>
    <xdr:sp macro="" textlink="">
      <xdr:nvSpPr>
        <xdr:cNvPr id="27" name="TextBox 26"/>
        <xdr:cNvSpPr txBox="1"/>
      </xdr:nvSpPr>
      <xdr:spPr>
        <a:xfrm>
          <a:off x="1149350" y="50374550"/>
          <a:ext cx="77886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rgbClr val="FF0000"/>
              </a:solidFill>
              <a:effectLst>
                <a:outerShdw blurRad="38100" dist="25400" dir="5400000" algn="ctr" rotWithShape="0">
                  <a:srgbClr val="6E747A">
                    <a:alpha val="43000"/>
                  </a:srgbClr>
                </a:outerShdw>
              </a:effectLst>
            </a:rPr>
            <a:t>Bldg A</a:t>
          </a:r>
        </a:p>
      </xdr:txBody>
    </xdr:sp>
    <xdr:clientData/>
  </xdr:oneCellAnchor>
  <xdr:oneCellAnchor>
    <xdr:from>
      <xdr:col>1</xdr:col>
      <xdr:colOff>774700</xdr:colOff>
      <xdr:row>239</xdr:row>
      <xdr:rowOff>12700</xdr:rowOff>
    </xdr:from>
    <xdr:ext cx="778868" cy="374141"/>
    <xdr:sp macro="" textlink="">
      <xdr:nvSpPr>
        <xdr:cNvPr id="29" name="TextBox 28"/>
        <xdr:cNvSpPr txBox="1"/>
      </xdr:nvSpPr>
      <xdr:spPr>
        <a:xfrm>
          <a:off x="1574800" y="51911250"/>
          <a:ext cx="77886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rgbClr val="FF0000"/>
              </a:solidFill>
              <a:effectLst>
                <a:outerShdw blurRad="38100" dist="25400" dir="5400000" algn="ctr" rotWithShape="0">
                  <a:srgbClr val="6E747A">
                    <a:alpha val="43000"/>
                  </a:srgbClr>
                </a:outerShdw>
              </a:effectLst>
            </a:rPr>
            <a:t>Bldg B</a:t>
          </a:r>
        </a:p>
      </xdr:txBody>
    </xdr:sp>
    <xdr:clientData/>
  </xdr:oneCellAnchor>
  <xdr:twoCellAnchor editAs="oneCell">
    <xdr:from>
      <xdr:col>1</xdr:col>
      <xdr:colOff>596900</xdr:colOff>
      <xdr:row>245</xdr:row>
      <xdr:rowOff>133351</xdr:rowOff>
    </xdr:from>
    <xdr:to>
      <xdr:col>5</xdr:col>
      <xdr:colOff>691700</xdr:colOff>
      <xdr:row>264</xdr:row>
      <xdr:rowOff>56692</xdr:rowOff>
    </xdr:to>
    <xdr:pic>
      <xdr:nvPicPr>
        <xdr:cNvPr id="34" name="Picture 33"/>
        <xdr:cNvPicPr>
          <a:picLocks noChangeAspect="1"/>
        </xdr:cNvPicPr>
      </xdr:nvPicPr>
      <xdr:blipFill>
        <a:blip xmlns:r="http://schemas.openxmlformats.org/officeDocument/2006/relationships" r:embed="rId8"/>
        <a:stretch>
          <a:fillRect/>
        </a:stretch>
      </xdr:blipFill>
      <xdr:spPr>
        <a:xfrm>
          <a:off x="1397000" y="53213001"/>
          <a:ext cx="3600000" cy="3663491"/>
        </a:xfrm>
        <a:prstGeom prst="rect">
          <a:avLst/>
        </a:prstGeom>
        <a:ln>
          <a:solidFill>
            <a:schemeClr val="tx1"/>
          </a:solidFill>
        </a:ln>
      </xdr:spPr>
    </xdr:pic>
    <xdr:clientData/>
  </xdr:twoCellAnchor>
  <xdr:twoCellAnchor>
    <xdr:from>
      <xdr:col>0</xdr:col>
      <xdr:colOff>69850</xdr:colOff>
      <xdr:row>182</xdr:row>
      <xdr:rowOff>114300</xdr:rowOff>
    </xdr:from>
    <xdr:to>
      <xdr:col>7</xdr:col>
      <xdr:colOff>685801</xdr:colOff>
      <xdr:row>223</xdr:row>
      <xdr:rowOff>44450</xdr:rowOff>
    </xdr:to>
    <xdr:grpSp>
      <xdr:nvGrpSpPr>
        <xdr:cNvPr id="7" name="Group 6"/>
        <xdr:cNvGrpSpPr/>
      </xdr:nvGrpSpPr>
      <xdr:grpSpPr>
        <a:xfrm>
          <a:off x="69850" y="39084250"/>
          <a:ext cx="6470651" cy="7994650"/>
          <a:chOff x="69850" y="39084250"/>
          <a:chExt cx="6470651" cy="7994650"/>
        </a:xfrm>
      </xdr:grpSpPr>
      <xdr:pic>
        <xdr:nvPicPr>
          <xdr:cNvPr id="28" name="Picture 2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390423" y="45270496"/>
            <a:ext cx="1537397" cy="1808404"/>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96128" y="39084250"/>
            <a:ext cx="2966907" cy="39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085637" y="43131373"/>
            <a:ext cx="1454864" cy="2052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95211" y="45270496"/>
            <a:ext cx="1537397" cy="1808404"/>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695212" y="43131373"/>
            <a:ext cx="1537397" cy="2052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390424" y="43131373"/>
            <a:ext cx="1537397" cy="2052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69850" y="43131373"/>
            <a:ext cx="1467547" cy="2052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65702" y="39084250"/>
            <a:ext cx="2966907" cy="39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uh5vYzjC3BP36Td1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8"/>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48" t="s">
        <v>161</v>
      </c>
      <c r="B1" s="148"/>
      <c r="C1" s="148"/>
      <c r="D1" s="148"/>
      <c r="E1" s="148"/>
      <c r="F1" s="148"/>
      <c r="G1" s="148"/>
      <c r="H1" s="148"/>
    </row>
    <row r="2" spans="1:26" ht="16.5" customHeight="1" x14ac:dyDescent="0.35">
      <c r="A2" s="105" t="s">
        <v>0</v>
      </c>
      <c r="B2" s="105"/>
      <c r="C2" s="105"/>
      <c r="D2" s="105"/>
      <c r="E2" s="105"/>
      <c r="F2" s="105"/>
      <c r="G2" s="105"/>
      <c r="H2" s="105"/>
    </row>
    <row r="3" spans="1:26" x14ac:dyDescent="0.35">
      <c r="A3" s="116" t="s">
        <v>1</v>
      </c>
      <c r="B3" s="116"/>
      <c r="C3" s="116"/>
      <c r="D3" s="116"/>
      <c r="E3" s="116" t="str">
        <f ca="1">TEXT(TODAY(),"DD/MM/YYYY")</f>
        <v>13/09/2025</v>
      </c>
      <c r="F3" s="116"/>
      <c r="G3" s="116"/>
      <c r="H3" s="116"/>
      <c r="K3" s="51" t="s">
        <v>231</v>
      </c>
      <c r="L3" s="48" t="s">
        <v>229</v>
      </c>
      <c r="M3" s="48" t="s">
        <v>234</v>
      </c>
      <c r="N3" s="48" t="s">
        <v>232</v>
      </c>
      <c r="O3" s="48" t="s">
        <v>233</v>
      </c>
      <c r="P3" s="48" t="s">
        <v>235</v>
      </c>
    </row>
    <row r="4" spans="1:26" ht="15" customHeight="1" x14ac:dyDescent="0.35">
      <c r="A4" s="116" t="s">
        <v>228</v>
      </c>
      <c r="B4" s="116"/>
      <c r="C4" s="116"/>
      <c r="D4" s="116"/>
      <c r="E4" s="116" t="s">
        <v>229</v>
      </c>
      <c r="F4" s="116"/>
      <c r="G4" s="116"/>
      <c r="H4" s="116"/>
      <c r="K4" s="47" t="s">
        <v>230</v>
      </c>
      <c r="L4" s="48" t="s">
        <v>167</v>
      </c>
      <c r="M4" s="48" t="s">
        <v>239</v>
      </c>
      <c r="N4" s="48" t="s">
        <v>241</v>
      </c>
      <c r="O4" s="48" t="s">
        <v>243</v>
      </c>
      <c r="P4" s="48"/>
    </row>
    <row r="5" spans="1:26" ht="15" customHeight="1" x14ac:dyDescent="0.35">
      <c r="A5" s="116" t="s">
        <v>2</v>
      </c>
      <c r="B5" s="116"/>
      <c r="C5" s="116"/>
      <c r="D5" s="116"/>
      <c r="E5" s="116" t="s">
        <v>167</v>
      </c>
      <c r="F5" s="116"/>
      <c r="G5" s="116"/>
      <c r="H5" s="116"/>
      <c r="K5" s="47"/>
      <c r="L5" s="48" t="s">
        <v>236</v>
      </c>
      <c r="M5" s="48" t="s">
        <v>240</v>
      </c>
      <c r="N5" s="48" t="s">
        <v>242</v>
      </c>
      <c r="O5" s="48" t="s">
        <v>244</v>
      </c>
      <c r="P5" s="48"/>
    </row>
    <row r="6" spans="1:26" x14ac:dyDescent="0.35">
      <c r="A6" s="116" t="s">
        <v>3</v>
      </c>
      <c r="B6" s="116"/>
      <c r="C6" s="116"/>
      <c r="D6" s="116"/>
      <c r="E6" s="150">
        <v>45906</v>
      </c>
      <c r="F6" s="116"/>
      <c r="G6" s="116"/>
      <c r="H6" s="116"/>
      <c r="K6" s="47"/>
      <c r="L6" s="48" t="s">
        <v>237</v>
      </c>
      <c r="M6" s="48"/>
      <c r="N6" s="48"/>
      <c r="O6" s="48" t="s">
        <v>245</v>
      </c>
      <c r="P6" s="48"/>
    </row>
    <row r="7" spans="1:26" ht="16.5" customHeight="1" x14ac:dyDescent="0.35">
      <c r="A7" s="116" t="s">
        <v>4</v>
      </c>
      <c r="B7" s="116"/>
      <c r="C7" s="116"/>
      <c r="D7" s="116"/>
      <c r="E7" s="116" t="s">
        <v>293</v>
      </c>
      <c r="F7" s="116"/>
      <c r="G7" s="116"/>
      <c r="H7" s="116"/>
      <c r="K7" s="47"/>
      <c r="L7" s="48" t="s">
        <v>238</v>
      </c>
      <c r="M7" s="48"/>
      <c r="N7" s="48"/>
      <c r="O7" s="48" t="s">
        <v>245</v>
      </c>
      <c r="P7" s="48"/>
    </row>
    <row r="8" spans="1:26" ht="15" customHeight="1" x14ac:dyDescent="0.35">
      <c r="A8" s="116" t="s">
        <v>5</v>
      </c>
      <c r="B8" s="116"/>
      <c r="C8" s="116"/>
      <c r="D8" s="116"/>
      <c r="E8" s="116" t="str">
        <f>E7</f>
        <v>Harasiddh Realtors</v>
      </c>
      <c r="F8" s="116"/>
      <c r="G8" s="116"/>
      <c r="H8" s="116"/>
      <c r="K8" s="47"/>
      <c r="L8" s="48"/>
      <c r="M8" s="48"/>
      <c r="N8" s="48"/>
      <c r="O8" s="48" t="s">
        <v>246</v>
      </c>
      <c r="P8" s="48"/>
    </row>
    <row r="9" spans="1:26" x14ac:dyDescent="0.35">
      <c r="A9" s="116" t="s">
        <v>6</v>
      </c>
      <c r="B9" s="116"/>
      <c r="C9" s="116"/>
      <c r="D9" s="116"/>
      <c r="E9" s="149" t="s">
        <v>292</v>
      </c>
      <c r="F9" s="116"/>
      <c r="G9" s="116"/>
      <c r="H9" s="116"/>
      <c r="K9" s="47"/>
      <c r="L9" s="48"/>
      <c r="M9" s="48"/>
      <c r="N9" s="48"/>
      <c r="O9" s="48" t="s">
        <v>247</v>
      </c>
      <c r="P9" s="48"/>
    </row>
    <row r="10" spans="1:26" x14ac:dyDescent="0.35">
      <c r="A10" s="116" t="s">
        <v>164</v>
      </c>
      <c r="B10" s="116"/>
      <c r="C10" s="116"/>
      <c r="D10" s="116"/>
      <c r="E10" s="116" t="s">
        <v>294</v>
      </c>
      <c r="F10" s="116"/>
      <c r="G10" s="116"/>
      <c r="H10" s="116"/>
      <c r="K10" s="47"/>
      <c r="L10" s="48"/>
      <c r="M10" s="48"/>
      <c r="N10" s="48"/>
      <c r="O10" s="48"/>
      <c r="P10" s="48"/>
    </row>
    <row r="11" spans="1:26" x14ac:dyDescent="0.35">
      <c r="A11" s="116" t="s">
        <v>165</v>
      </c>
      <c r="B11" s="116"/>
      <c r="C11" s="116"/>
      <c r="D11" s="116"/>
      <c r="E11" s="116" t="s">
        <v>294</v>
      </c>
      <c r="F11" s="116"/>
      <c r="G11" s="116"/>
      <c r="H11" s="116"/>
    </row>
    <row r="12" spans="1:26" x14ac:dyDescent="0.35">
      <c r="A12" s="116" t="s">
        <v>7</v>
      </c>
      <c r="B12" s="116"/>
      <c r="C12" s="116"/>
      <c r="D12" s="116"/>
      <c r="E12" s="116" t="s">
        <v>326</v>
      </c>
      <c r="F12" s="116"/>
      <c r="G12" s="116"/>
      <c r="H12" s="116"/>
    </row>
    <row r="13" spans="1:26" x14ac:dyDescent="0.35">
      <c r="A13" s="116" t="s">
        <v>168</v>
      </c>
      <c r="B13" s="116"/>
      <c r="C13" s="116"/>
      <c r="D13" s="116"/>
      <c r="E13" s="116" t="s">
        <v>28</v>
      </c>
      <c r="F13" s="116"/>
      <c r="G13" s="116"/>
      <c r="H13" s="116"/>
      <c r="S13" s="48" t="s">
        <v>174</v>
      </c>
      <c r="T13" s="48" t="s">
        <v>184</v>
      </c>
      <c r="U13" s="48" t="s">
        <v>169</v>
      </c>
      <c r="V13" s="48" t="s">
        <v>189</v>
      </c>
      <c r="W13" s="48" t="s">
        <v>207</v>
      </c>
      <c r="X13"/>
      <c r="Y13" t="s">
        <v>189</v>
      </c>
      <c r="Z13" t="e">
        <f ca="1">OFFSET($S$13,1,MATCH($G20,$S$13:$W$13,0)-1,15,1)</f>
        <v>#VALUE!</v>
      </c>
    </row>
    <row r="14" spans="1:26" x14ac:dyDescent="0.35">
      <c r="A14" s="103" t="s">
        <v>274</v>
      </c>
      <c r="B14" s="103"/>
      <c r="C14" s="103"/>
      <c r="D14" s="103"/>
      <c r="E14" s="115" t="s">
        <v>328</v>
      </c>
      <c r="F14" s="115"/>
      <c r="G14" s="115"/>
      <c r="H14" s="115"/>
      <c r="S14" s="48" t="s">
        <v>175</v>
      </c>
      <c r="T14" s="48" t="s">
        <v>182</v>
      </c>
      <c r="U14" s="48" t="s">
        <v>204</v>
      </c>
      <c r="V14" s="48" t="s">
        <v>190</v>
      </c>
      <c r="W14" s="48" t="s">
        <v>208</v>
      </c>
      <c r="X14"/>
      <c r="Y14"/>
      <c r="Z14"/>
    </row>
    <row r="15" spans="1:26" x14ac:dyDescent="0.35">
      <c r="A15" s="103" t="s">
        <v>8</v>
      </c>
      <c r="B15" s="103"/>
      <c r="C15" s="103"/>
      <c r="D15" s="103"/>
      <c r="E15" s="115" t="s">
        <v>295</v>
      </c>
      <c r="F15" s="116"/>
      <c r="G15" s="116"/>
      <c r="H15" s="116"/>
      <c r="I15" s="99" t="e">
        <f ca="1">OFFSET($D$5,1,MATCH($J13,$D$5:$H$5,0)-1,15,1)</f>
        <v>#N/A</v>
      </c>
      <c r="J15" s="100"/>
      <c r="K15" s="100"/>
      <c r="L15" s="100"/>
      <c r="M15" s="100"/>
      <c r="N15" s="100"/>
      <c r="O15" s="100"/>
      <c r="P15" s="100"/>
      <c r="S15" s="48" t="s">
        <v>176</v>
      </c>
      <c r="T15" s="48" t="s">
        <v>183</v>
      </c>
      <c r="U15" s="48" t="s">
        <v>205</v>
      </c>
      <c r="V15" s="48" t="s">
        <v>191</v>
      </c>
      <c r="W15" s="48" t="s">
        <v>221</v>
      </c>
      <c r="X15"/>
      <c r="Y15"/>
      <c r="Z15"/>
    </row>
    <row r="16" spans="1:26" ht="48.75" customHeight="1" x14ac:dyDescent="0.35">
      <c r="A16" s="115" t="s">
        <v>9</v>
      </c>
      <c r="B16" s="115"/>
      <c r="C16" s="115" t="str">
        <f>CONCATENATE((IF(OR(E9="",E9="NA"),"",E9)),", ",(IF(OR(A17="",A17="NA"),"",A17)),".",(IF(OR(C17="",C17="NA"),"",C17)),", near ",(IF(OR(C22="",C22="NA"),"",C22)),", ",(IF(OR(C19="",C19="NA"),"",C19)),", ",(IF(OR(C18="",C18="NA"),"",C18)),", ",(IF(OR(G19="",G19="NA"),"",G19)),", ",(IF(OR(C20="",C20="NA"),"",C20)),", ",(IF(OR(C21="",C21="NA"),"",C21)),", ",(IF(OR(G20="",G20="NA"),"",G20))," - ",(IF(OR(G21="",G21="NA"),"",G21)),".")</f>
        <v>Rutu Apartments, Survey No. 25, Hissa No 10, 11, 15, Survey No 29, Hissa No 3, 5 , near Rutu River Estate Building , Adharvadi Road, Khadakpada, Kolivali, Kalyan, Kalyan, Thane  - 421301.</v>
      </c>
      <c r="D16" s="115"/>
      <c r="E16" s="115"/>
      <c r="F16" s="115"/>
      <c r="G16" s="115"/>
      <c r="H16" s="115"/>
      <c r="S16" s="48" t="s">
        <v>177</v>
      </c>
      <c r="T16" s="48" t="s">
        <v>185</v>
      </c>
      <c r="U16" s="48" t="s">
        <v>206</v>
      </c>
      <c r="V16" s="48" t="s">
        <v>192</v>
      </c>
      <c r="W16" s="48" t="s">
        <v>209</v>
      </c>
      <c r="X16"/>
      <c r="Y16"/>
      <c r="Z16"/>
    </row>
    <row r="17" spans="1:26" x14ac:dyDescent="0.35">
      <c r="A17" s="115" t="s">
        <v>297</v>
      </c>
      <c r="B17" s="115"/>
      <c r="C17" s="115" t="s">
        <v>296</v>
      </c>
      <c r="D17" s="115"/>
      <c r="E17" s="115"/>
      <c r="F17" s="115"/>
      <c r="G17" s="115"/>
      <c r="H17" s="115"/>
      <c r="S17" s="48" t="s">
        <v>178</v>
      </c>
      <c r="T17" s="48" t="s">
        <v>186</v>
      </c>
      <c r="U17" s="48" t="s">
        <v>169</v>
      </c>
      <c r="V17" s="48" t="s">
        <v>193</v>
      </c>
      <c r="W17" s="48" t="s">
        <v>210</v>
      </c>
      <c r="X17"/>
      <c r="Y17"/>
      <c r="Z17"/>
    </row>
    <row r="18" spans="1:26" ht="15.75" customHeight="1" x14ac:dyDescent="0.35">
      <c r="A18" s="115" t="s">
        <v>159</v>
      </c>
      <c r="B18" s="115"/>
      <c r="C18" s="115" t="s">
        <v>320</v>
      </c>
      <c r="D18" s="115"/>
      <c r="E18" s="115"/>
      <c r="F18" s="115"/>
      <c r="G18" s="115"/>
      <c r="H18" s="115"/>
      <c r="S18" s="48" t="s">
        <v>179</v>
      </c>
      <c r="T18" s="48" t="s">
        <v>184</v>
      </c>
      <c r="U18" s="48"/>
      <c r="V18" s="48" t="s">
        <v>194</v>
      </c>
      <c r="W18" s="48" t="s">
        <v>211</v>
      </c>
      <c r="X18"/>
      <c r="Y18"/>
      <c r="Z18"/>
    </row>
    <row r="19" spans="1:26" ht="15.75" customHeight="1" x14ac:dyDescent="0.35">
      <c r="A19" s="115" t="s">
        <v>10</v>
      </c>
      <c r="B19" s="115"/>
      <c r="C19" s="116" t="s">
        <v>308</v>
      </c>
      <c r="D19" s="116"/>
      <c r="E19" s="115" t="s">
        <v>69</v>
      </c>
      <c r="F19" s="115"/>
      <c r="G19" s="115" t="s">
        <v>298</v>
      </c>
      <c r="H19" s="115"/>
      <c r="S19" s="48" t="s">
        <v>180</v>
      </c>
      <c r="T19" s="48" t="s">
        <v>187</v>
      </c>
      <c r="U19" s="48"/>
      <c r="V19" s="48" t="s">
        <v>195</v>
      </c>
      <c r="W19" s="48" t="s">
        <v>212</v>
      </c>
      <c r="X19"/>
      <c r="Y19"/>
      <c r="Z19"/>
    </row>
    <row r="20" spans="1:26" x14ac:dyDescent="0.35">
      <c r="A20" s="103" t="s">
        <v>12</v>
      </c>
      <c r="B20" s="103"/>
      <c r="C20" s="115" t="s">
        <v>177</v>
      </c>
      <c r="D20" s="115"/>
      <c r="E20" s="146" t="s">
        <v>11</v>
      </c>
      <c r="F20" s="146"/>
      <c r="G20" s="153" t="s">
        <v>174</v>
      </c>
      <c r="H20" s="153"/>
      <c r="S20" s="48" t="s">
        <v>181</v>
      </c>
      <c r="T20" s="48" t="s">
        <v>188</v>
      </c>
      <c r="U20" s="48"/>
      <c r="V20" s="48" t="s">
        <v>196</v>
      </c>
      <c r="W20" s="48" t="s">
        <v>213</v>
      </c>
      <c r="X20"/>
      <c r="Y20"/>
      <c r="Z20"/>
    </row>
    <row r="21" spans="1:26" x14ac:dyDescent="0.35">
      <c r="A21" s="103" t="s">
        <v>70</v>
      </c>
      <c r="B21" s="103"/>
      <c r="C21" s="115" t="s">
        <v>177</v>
      </c>
      <c r="D21" s="115"/>
      <c r="E21" s="146" t="s">
        <v>13</v>
      </c>
      <c r="F21" s="146"/>
      <c r="G21" s="115">
        <v>421301</v>
      </c>
      <c r="H21" s="115"/>
      <c r="S21" s="48"/>
      <c r="T21" s="48"/>
      <c r="U21" s="48"/>
      <c r="V21" s="48" t="s">
        <v>197</v>
      </c>
      <c r="W21" s="48" t="s">
        <v>214</v>
      </c>
      <c r="X21"/>
      <c r="Y21"/>
      <c r="Z21"/>
    </row>
    <row r="22" spans="1:26" ht="32.25" customHeight="1" x14ac:dyDescent="0.35">
      <c r="A22" s="103" t="s">
        <v>118</v>
      </c>
      <c r="B22" s="103"/>
      <c r="C22" s="115" t="s">
        <v>307</v>
      </c>
      <c r="D22" s="115"/>
      <c r="E22" s="146" t="s">
        <v>14</v>
      </c>
      <c r="F22" s="146"/>
      <c r="G22" s="115" t="s">
        <v>309</v>
      </c>
      <c r="H22" s="115"/>
      <c r="S22" s="48"/>
      <c r="T22" s="48"/>
      <c r="U22" s="48"/>
      <c r="V22" s="48" t="s">
        <v>198</v>
      </c>
      <c r="W22" s="48" t="s">
        <v>215</v>
      </c>
      <c r="X22"/>
      <c r="Y22"/>
      <c r="Z22"/>
    </row>
    <row r="23" spans="1:26" ht="15" customHeight="1" x14ac:dyDescent="0.35">
      <c r="A23" s="146" t="s">
        <v>72</v>
      </c>
      <c r="B23" s="146"/>
      <c r="C23" s="146"/>
      <c r="D23" s="146"/>
      <c r="E23" s="116" t="s">
        <v>15</v>
      </c>
      <c r="F23" s="116"/>
      <c r="G23" s="116"/>
      <c r="H23" s="116"/>
      <c r="S23" s="48"/>
      <c r="T23" s="48"/>
      <c r="U23" s="48"/>
      <c r="V23" s="48" t="s">
        <v>199</v>
      </c>
      <c r="W23" s="48" t="s">
        <v>216</v>
      </c>
      <c r="X23"/>
      <c r="Y23"/>
      <c r="Z23"/>
    </row>
    <row r="24" spans="1:26" ht="18.75" customHeight="1" x14ac:dyDescent="0.35">
      <c r="A24" s="146"/>
      <c r="B24" s="146"/>
      <c r="C24" s="146"/>
      <c r="D24" s="146"/>
      <c r="E24" s="116"/>
      <c r="F24" s="116"/>
      <c r="G24" s="116"/>
      <c r="H24" s="116"/>
      <c r="S24" s="48"/>
      <c r="T24" s="48"/>
      <c r="U24" s="48"/>
      <c r="V24" s="48" t="s">
        <v>200</v>
      </c>
      <c r="W24" s="48" t="s">
        <v>217</v>
      </c>
      <c r="X24"/>
      <c r="Y24"/>
      <c r="Z24"/>
    </row>
    <row r="25" spans="1:26" ht="15" customHeight="1" x14ac:dyDescent="0.35">
      <c r="A25" s="146" t="s">
        <v>16</v>
      </c>
      <c r="B25" s="146"/>
      <c r="C25" s="146"/>
      <c r="D25" s="146"/>
      <c r="E25" s="115" t="s">
        <v>17</v>
      </c>
      <c r="F25" s="115"/>
      <c r="G25" s="115"/>
      <c r="H25" s="115"/>
      <c r="S25" s="48"/>
      <c r="T25" s="48"/>
      <c r="U25" s="48"/>
      <c r="V25" s="48" t="s">
        <v>201</v>
      </c>
      <c r="W25" s="48" t="s">
        <v>218</v>
      </c>
      <c r="X25"/>
      <c r="Y25"/>
      <c r="Z25"/>
    </row>
    <row r="26" spans="1:26" ht="15" customHeight="1" x14ac:dyDescent="0.35">
      <c r="A26" s="103" t="s">
        <v>18</v>
      </c>
      <c r="B26" s="103"/>
      <c r="C26" s="103"/>
      <c r="D26" s="103"/>
      <c r="E26" s="115" t="str">
        <f>IF(AND(G20="Mumbai"),"Upper Class","Middle Class")</f>
        <v>Middle Class</v>
      </c>
      <c r="F26" s="115"/>
      <c r="G26" s="115"/>
      <c r="H26" s="115"/>
      <c r="S26" s="48"/>
      <c r="T26" s="48"/>
      <c r="U26" s="48"/>
      <c r="V26" s="48" t="s">
        <v>202</v>
      </c>
      <c r="W26" s="48" t="s">
        <v>219</v>
      </c>
      <c r="X26"/>
      <c r="Y26"/>
      <c r="Z26"/>
    </row>
    <row r="27" spans="1:26" x14ac:dyDescent="0.35">
      <c r="A27" s="103" t="s">
        <v>19</v>
      </c>
      <c r="B27" s="103"/>
      <c r="C27" s="103"/>
      <c r="D27" s="103"/>
      <c r="E27" s="115" t="s">
        <v>20</v>
      </c>
      <c r="F27" s="115"/>
      <c r="G27" s="115"/>
      <c r="H27" s="115"/>
      <c r="S27" s="48"/>
      <c r="T27" s="48"/>
      <c r="U27" s="48"/>
      <c r="V27" s="48" t="s">
        <v>203</v>
      </c>
      <c r="W27" s="48" t="s">
        <v>220</v>
      </c>
      <c r="X27"/>
      <c r="Y27"/>
      <c r="Z27"/>
    </row>
    <row r="28" spans="1:26" ht="15.75" customHeight="1" x14ac:dyDescent="0.35">
      <c r="A28" s="103" t="s">
        <v>21</v>
      </c>
      <c r="B28" s="103"/>
      <c r="C28" s="103"/>
      <c r="D28" s="103"/>
      <c r="E28" s="115" t="str">
        <f>IF(AND(G20="Mumbai"),"Developed","Developing")</f>
        <v>Developing</v>
      </c>
      <c r="F28" s="115"/>
      <c r="G28" s="115"/>
      <c r="H28" s="115"/>
    </row>
    <row r="29" spans="1:26" x14ac:dyDescent="0.35">
      <c r="A29" s="116" t="s">
        <v>22</v>
      </c>
      <c r="B29" s="116"/>
      <c r="C29" s="116"/>
      <c r="D29" s="116"/>
      <c r="E29" s="115" t="s">
        <v>23</v>
      </c>
      <c r="F29" s="115"/>
      <c r="G29" s="115"/>
      <c r="H29" s="115"/>
    </row>
    <row r="30" spans="1:26" ht="15.75" customHeight="1" x14ac:dyDescent="0.35">
      <c r="A30" s="116" t="s">
        <v>77</v>
      </c>
      <c r="B30" s="116"/>
      <c r="C30" s="116"/>
      <c r="D30" s="116"/>
      <c r="E30" s="115" t="s">
        <v>78</v>
      </c>
      <c r="F30" s="115"/>
      <c r="G30" s="115"/>
      <c r="H30" s="115"/>
    </row>
    <row r="31" spans="1:26" ht="15" customHeight="1" x14ac:dyDescent="0.35">
      <c r="A31" s="116" t="s">
        <v>30</v>
      </c>
      <c r="B31" s="116"/>
      <c r="C31" s="116"/>
      <c r="D31" s="116"/>
      <c r="E31" s="115"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 + Commercial</v>
      </c>
      <c r="F31" s="115"/>
      <c r="G31" s="115"/>
      <c r="H31" s="115"/>
    </row>
    <row r="32" spans="1:26" ht="15.75" customHeight="1" x14ac:dyDescent="0.35">
      <c r="A32" s="116" t="s">
        <v>89</v>
      </c>
      <c r="B32" s="116"/>
      <c r="C32" s="116"/>
      <c r="D32" s="116"/>
      <c r="E32" s="115" t="s">
        <v>31</v>
      </c>
      <c r="F32" s="115"/>
      <c r="G32" s="115"/>
      <c r="H32" s="115"/>
    </row>
    <row r="33" spans="1:19" s="19" customFormat="1" x14ac:dyDescent="0.35">
      <c r="A33" s="155" t="s">
        <v>90</v>
      </c>
      <c r="B33" s="155"/>
      <c r="C33" s="130" t="s">
        <v>170</v>
      </c>
      <c r="D33" s="130"/>
      <c r="E33" s="130"/>
      <c r="F33" s="130" t="s">
        <v>29</v>
      </c>
      <c r="G33" s="130"/>
      <c r="H33" s="130"/>
      <c r="S33" s="19" t="e">
        <f ca="1">OFFSET($S$13,1,MATCH($G20,$S$13:$W$13,0)-1,15,1)</f>
        <v>#VALUE!</v>
      </c>
    </row>
    <row r="34" spans="1:19" s="19" customFormat="1" x14ac:dyDescent="0.35">
      <c r="A34" s="152" t="s">
        <v>24</v>
      </c>
      <c r="B34" s="152" t="s">
        <v>28</v>
      </c>
      <c r="C34" s="151" t="s">
        <v>305</v>
      </c>
      <c r="D34" s="151"/>
      <c r="E34" s="151"/>
      <c r="F34" s="151" t="s">
        <v>301</v>
      </c>
      <c r="G34" s="151"/>
      <c r="H34" s="151"/>
    </row>
    <row r="35" spans="1:19" x14ac:dyDescent="0.35">
      <c r="A35" s="152" t="s">
        <v>25</v>
      </c>
      <c r="B35" s="152" t="s">
        <v>28</v>
      </c>
      <c r="C35" s="151" t="s">
        <v>305</v>
      </c>
      <c r="D35" s="151"/>
      <c r="E35" s="151"/>
      <c r="F35" s="151" t="s">
        <v>302</v>
      </c>
      <c r="G35" s="151"/>
      <c r="H35" s="151"/>
    </row>
    <row r="36" spans="1:19" s="19" customFormat="1" x14ac:dyDescent="0.35">
      <c r="A36" s="152" t="s">
        <v>27</v>
      </c>
      <c r="B36" s="152" t="s">
        <v>28</v>
      </c>
      <c r="C36" s="151" t="s">
        <v>305</v>
      </c>
      <c r="D36" s="151"/>
      <c r="E36" s="151"/>
      <c r="F36" s="151" t="s">
        <v>304</v>
      </c>
      <c r="G36" s="151"/>
      <c r="H36" s="151"/>
    </row>
    <row r="37" spans="1:19" x14ac:dyDescent="0.35">
      <c r="A37" s="152" t="s">
        <v>26</v>
      </c>
      <c r="B37" s="152" t="s">
        <v>28</v>
      </c>
      <c r="C37" s="151" t="s">
        <v>299</v>
      </c>
      <c r="D37" s="151"/>
      <c r="E37" s="151"/>
      <c r="F37" s="151" t="s">
        <v>300</v>
      </c>
      <c r="G37" s="151"/>
      <c r="H37" s="151"/>
    </row>
    <row r="38" spans="1:19" x14ac:dyDescent="0.35">
      <c r="A38" s="103" t="s">
        <v>275</v>
      </c>
      <c r="B38" s="103"/>
      <c r="C38" s="103"/>
      <c r="D38" s="103"/>
      <c r="E38" s="103"/>
      <c r="F38" s="103"/>
      <c r="G38" s="103"/>
      <c r="H38" s="103"/>
    </row>
    <row r="39" spans="1:19" ht="15.75" customHeight="1" x14ac:dyDescent="0.35">
      <c r="A39" s="103" t="s">
        <v>162</v>
      </c>
      <c r="B39" s="103"/>
      <c r="C39" s="145" t="s">
        <v>319</v>
      </c>
      <c r="D39" s="145"/>
      <c r="E39" s="145"/>
      <c r="F39" s="145"/>
      <c r="G39" s="145"/>
      <c r="H39" s="145"/>
    </row>
    <row r="40" spans="1:19" x14ac:dyDescent="0.35">
      <c r="A40" s="103" t="s">
        <v>158</v>
      </c>
      <c r="B40" s="103"/>
      <c r="C40" s="171" t="s">
        <v>303</v>
      </c>
      <c r="D40" s="115"/>
      <c r="E40" s="115"/>
      <c r="F40" s="115"/>
      <c r="G40" s="115"/>
      <c r="H40" s="115"/>
    </row>
    <row r="41" spans="1:19" x14ac:dyDescent="0.35">
      <c r="A41" s="145" t="s">
        <v>32</v>
      </c>
      <c r="B41" s="145"/>
      <c r="C41" s="145"/>
      <c r="D41" s="145"/>
      <c r="E41" s="145"/>
      <c r="F41" s="145"/>
      <c r="G41" s="145"/>
      <c r="H41" s="145"/>
    </row>
    <row r="42" spans="1:19" x14ac:dyDescent="0.35">
      <c r="A42" s="103" t="s">
        <v>33</v>
      </c>
      <c r="B42" s="103"/>
      <c r="C42" s="103"/>
      <c r="D42" s="103"/>
      <c r="E42" s="165">
        <v>2834</v>
      </c>
      <c r="F42" s="165"/>
      <c r="G42" s="165"/>
      <c r="H42" s="165"/>
    </row>
    <row r="43" spans="1:19" x14ac:dyDescent="0.35">
      <c r="A43" s="103" t="s">
        <v>34</v>
      </c>
      <c r="B43" s="103"/>
      <c r="C43" s="103"/>
      <c r="D43" s="103"/>
      <c r="E43" s="102">
        <v>1.1000000000000001</v>
      </c>
      <c r="F43" s="102"/>
      <c r="G43" s="102"/>
      <c r="H43" s="102"/>
      <c r="I43" s="87">
        <f>2985.4/E42</f>
        <v>1.0534227240649259</v>
      </c>
    </row>
    <row r="44" spans="1:19" x14ac:dyDescent="0.35">
      <c r="A44" s="103" t="s">
        <v>35</v>
      </c>
      <c r="B44" s="103"/>
      <c r="C44" s="103"/>
      <c r="D44" s="103"/>
      <c r="E44" s="102">
        <f>E46/E42-E43</f>
        <v>2.6801235003528583</v>
      </c>
      <c r="F44" s="102"/>
      <c r="G44" s="102"/>
      <c r="H44" s="102"/>
    </row>
    <row r="45" spans="1:19" x14ac:dyDescent="0.35">
      <c r="A45" s="103" t="s">
        <v>36</v>
      </c>
      <c r="B45" s="103"/>
      <c r="C45" s="103"/>
      <c r="D45" s="103"/>
      <c r="E45" s="102">
        <f>E43+E44</f>
        <v>3.7801235003528584</v>
      </c>
      <c r="F45" s="102"/>
      <c r="G45" s="102"/>
      <c r="H45" s="102"/>
    </row>
    <row r="46" spans="1:19" x14ac:dyDescent="0.35">
      <c r="A46" s="103" t="s">
        <v>88</v>
      </c>
      <c r="B46" s="103"/>
      <c r="C46" s="103"/>
      <c r="D46" s="103"/>
      <c r="E46" s="173">
        <v>10712.87</v>
      </c>
      <c r="F46" s="173"/>
      <c r="G46" s="173"/>
      <c r="H46" s="173"/>
    </row>
    <row r="47" spans="1:19" x14ac:dyDescent="0.35">
      <c r="A47" s="116" t="s">
        <v>37</v>
      </c>
      <c r="B47" s="116"/>
      <c r="C47" s="116"/>
      <c r="D47" s="116"/>
      <c r="E47" s="116" t="s">
        <v>321</v>
      </c>
      <c r="F47" s="116"/>
      <c r="G47" s="116"/>
      <c r="H47" s="116"/>
    </row>
    <row r="48" spans="1:19" x14ac:dyDescent="0.35">
      <c r="A48" s="149" t="s">
        <v>38</v>
      </c>
      <c r="B48" s="149"/>
      <c r="C48" s="149"/>
      <c r="D48" s="149"/>
      <c r="E48" s="149"/>
      <c r="F48" s="149"/>
      <c r="G48" s="149"/>
      <c r="H48" s="149"/>
    </row>
    <row r="49" spans="1:22" ht="33.75" customHeight="1" x14ac:dyDescent="0.35">
      <c r="A49" s="193" t="s">
        <v>147</v>
      </c>
      <c r="B49" s="194"/>
      <c r="C49" s="195" t="s">
        <v>256</v>
      </c>
      <c r="D49" s="196"/>
      <c r="E49" s="196"/>
      <c r="F49" s="196"/>
      <c r="G49" s="196"/>
      <c r="H49" s="197"/>
      <c r="R49" t="s">
        <v>248</v>
      </c>
      <c r="S49" t="s">
        <v>169</v>
      </c>
      <c r="T49" t="s">
        <v>174</v>
      </c>
      <c r="U49" t="s">
        <v>189</v>
      </c>
      <c r="V49" t="s">
        <v>184</v>
      </c>
    </row>
    <row r="50" spans="1:22" ht="15.75" customHeight="1" x14ac:dyDescent="0.35">
      <c r="A50" s="156" t="s">
        <v>39</v>
      </c>
      <c r="B50" s="157"/>
      <c r="C50" s="156" t="s">
        <v>335</v>
      </c>
      <c r="D50" s="158"/>
      <c r="E50" s="157"/>
      <c r="F50" s="17" t="s">
        <v>40</v>
      </c>
      <c r="G50" s="159">
        <v>45441</v>
      </c>
      <c r="H50" s="157"/>
      <c r="R50"/>
      <c r="S50" t="s">
        <v>249</v>
      </c>
      <c r="T50" t="s">
        <v>254</v>
      </c>
      <c r="U50" t="s">
        <v>265</v>
      </c>
      <c r="V50" t="s">
        <v>270</v>
      </c>
    </row>
    <row r="51" spans="1:22" x14ac:dyDescent="0.35">
      <c r="A51" s="156" t="s">
        <v>41</v>
      </c>
      <c r="B51" s="157"/>
      <c r="C51" s="156" t="str">
        <f>C50</f>
        <v>KDMCC/RB/2024/APL/00042</v>
      </c>
      <c r="D51" s="158"/>
      <c r="E51" s="157"/>
      <c r="F51" s="17" t="s">
        <v>40</v>
      </c>
      <c r="G51" s="159">
        <f>G50</f>
        <v>45441</v>
      </c>
      <c r="H51" s="157"/>
      <c r="R51"/>
      <c r="S51" t="s">
        <v>250</v>
      </c>
      <c r="T51" t="s">
        <v>255</v>
      </c>
      <c r="U51" t="s">
        <v>263</v>
      </c>
      <c r="V51" t="s">
        <v>271</v>
      </c>
    </row>
    <row r="52" spans="1:22" s="20" customFormat="1" ht="15.75" customHeight="1" x14ac:dyDescent="0.35">
      <c r="A52" s="167" t="s">
        <v>151</v>
      </c>
      <c r="B52" s="168"/>
      <c r="C52" s="156" t="str">
        <f>C51</f>
        <v>KDMCC/RB/2024/APL/00042</v>
      </c>
      <c r="D52" s="158"/>
      <c r="E52" s="157"/>
      <c r="F52" s="17" t="s">
        <v>40</v>
      </c>
      <c r="G52" s="159">
        <f>G50</f>
        <v>45441</v>
      </c>
      <c r="H52" s="157"/>
      <c r="R52"/>
      <c r="S52" t="s">
        <v>251</v>
      </c>
      <c r="T52" t="s">
        <v>256</v>
      </c>
      <c r="U52" t="s">
        <v>253</v>
      </c>
      <c r="V52" t="s">
        <v>272</v>
      </c>
    </row>
    <row r="53" spans="1:22" s="20" customFormat="1" ht="31.5" customHeight="1" x14ac:dyDescent="0.35">
      <c r="A53" s="169"/>
      <c r="B53" s="170"/>
      <c r="C53" s="156" t="s">
        <v>336</v>
      </c>
      <c r="D53" s="158"/>
      <c r="E53" s="158"/>
      <c r="F53" s="158"/>
      <c r="G53" s="158"/>
      <c r="H53" s="157"/>
      <c r="R53"/>
      <c r="S53" t="s">
        <v>252</v>
      </c>
      <c r="T53" t="s">
        <v>259</v>
      </c>
      <c r="U53" t="s">
        <v>266</v>
      </c>
    </row>
    <row r="54" spans="1:22" ht="36" customHeight="1" x14ac:dyDescent="0.35">
      <c r="A54" s="162" t="s">
        <v>42</v>
      </c>
      <c r="B54" s="163"/>
      <c r="C54" s="162" t="s">
        <v>102</v>
      </c>
      <c r="D54" s="164"/>
      <c r="E54" s="163"/>
      <c r="F54" s="40" t="s">
        <v>40</v>
      </c>
      <c r="G54" s="160" t="s">
        <v>28</v>
      </c>
      <c r="H54" s="161"/>
      <c r="R54"/>
      <c r="T54" t="s">
        <v>264</v>
      </c>
    </row>
    <row r="55" spans="1:22" x14ac:dyDescent="0.35">
      <c r="A55" s="147" t="s">
        <v>44</v>
      </c>
      <c r="B55" s="147"/>
      <c r="C55" s="147"/>
      <c r="D55" s="147"/>
      <c r="E55" s="147"/>
      <c r="F55" s="147"/>
      <c r="G55" s="147"/>
      <c r="H55" s="147"/>
      <c r="T55" t="s">
        <v>273</v>
      </c>
    </row>
    <row r="56" spans="1:22" x14ac:dyDescent="0.35">
      <c r="A56" s="146" t="s">
        <v>87</v>
      </c>
      <c r="B56" s="146"/>
      <c r="C56" s="146"/>
      <c r="D56" s="116">
        <f>E46</f>
        <v>10712.87</v>
      </c>
      <c r="E56" s="116"/>
      <c r="F56" s="116"/>
      <c r="G56" s="116"/>
      <c r="H56" s="116"/>
      <c r="R56"/>
    </row>
    <row r="57" spans="1:22" x14ac:dyDescent="0.35">
      <c r="A57" s="115" t="s">
        <v>45</v>
      </c>
      <c r="B57" s="116"/>
      <c r="C57" s="116"/>
      <c r="D57" s="116" t="s">
        <v>334</v>
      </c>
      <c r="E57" s="116"/>
      <c r="F57" s="116"/>
      <c r="G57" s="116"/>
      <c r="H57" s="116"/>
      <c r="I57" s="21"/>
      <c r="R57"/>
    </row>
    <row r="58" spans="1:22" ht="33" customHeight="1" x14ac:dyDescent="0.35">
      <c r="A58" s="174" t="s">
        <v>46</v>
      </c>
      <c r="B58" s="175"/>
      <c r="C58" s="186"/>
      <c r="D58" s="184" t="s">
        <v>343</v>
      </c>
      <c r="E58" s="185"/>
      <c r="F58" s="185"/>
      <c r="G58" s="185"/>
      <c r="H58" s="185"/>
      <c r="R58"/>
    </row>
    <row r="59" spans="1:22" ht="15.75" customHeight="1" x14ac:dyDescent="0.35">
      <c r="A59" s="174" t="s">
        <v>85</v>
      </c>
      <c r="B59" s="175"/>
      <c r="C59" s="175"/>
      <c r="D59" s="178" t="s">
        <v>341</v>
      </c>
      <c r="E59" s="179"/>
      <c r="F59" s="179"/>
      <c r="G59" s="179"/>
      <c r="H59" s="180"/>
      <c r="R59"/>
    </row>
    <row r="60" spans="1:22" ht="15.75" customHeight="1" x14ac:dyDescent="0.35">
      <c r="A60" s="176"/>
      <c r="B60" s="177"/>
      <c r="C60" s="177"/>
      <c r="D60" s="181" t="s">
        <v>342</v>
      </c>
      <c r="E60" s="182"/>
      <c r="F60" s="182"/>
      <c r="G60" s="182"/>
      <c r="H60" s="183"/>
      <c r="R60"/>
    </row>
    <row r="61" spans="1:22" ht="15.75" customHeight="1" x14ac:dyDescent="0.35">
      <c r="A61" s="103" t="s">
        <v>43</v>
      </c>
      <c r="B61" s="103"/>
      <c r="C61" s="103"/>
      <c r="D61" s="166" t="s">
        <v>306</v>
      </c>
      <c r="E61" s="166"/>
      <c r="F61" s="166"/>
      <c r="G61" s="166"/>
      <c r="H61" s="166"/>
      <c r="J61" s="22"/>
      <c r="K61" s="21"/>
      <c r="N61" s="21"/>
      <c r="S61"/>
    </row>
    <row r="62" spans="1:22" ht="15.75" customHeight="1" x14ac:dyDescent="0.35">
      <c r="A62" s="103" t="s">
        <v>83</v>
      </c>
      <c r="B62" s="103"/>
      <c r="C62" s="103"/>
      <c r="D62" s="172" t="str">
        <f>(IF(G54="NA","60 Years After Completion",IF(G54&lt;&gt;"NA",""&amp;60-ROUNDDOWN((E3-G54)/360,0)&amp;" Years"," ")))</f>
        <v>60 Years After Completion</v>
      </c>
      <c r="E62" s="172"/>
      <c r="F62" s="172"/>
      <c r="G62" s="172"/>
      <c r="H62" s="172"/>
      <c r="N62" s="21"/>
      <c r="S62"/>
    </row>
    <row r="63" spans="1:22" ht="15.75" customHeight="1" x14ac:dyDescent="0.35">
      <c r="A63" s="103" t="s">
        <v>84</v>
      </c>
      <c r="B63" s="103"/>
      <c r="C63" s="103"/>
      <c r="D63" s="146" t="s">
        <v>23</v>
      </c>
      <c r="E63" s="146"/>
      <c r="F63" s="146"/>
      <c r="G63" s="146"/>
      <c r="H63" s="146"/>
      <c r="J63" s="23"/>
      <c r="K63" s="23"/>
      <c r="S63"/>
    </row>
    <row r="64" spans="1:22" ht="31.5" customHeight="1" x14ac:dyDescent="0.35">
      <c r="A64" s="116" t="s">
        <v>327</v>
      </c>
      <c r="B64" s="116"/>
      <c r="C64" s="116"/>
      <c r="D64" s="115" t="s">
        <v>310</v>
      </c>
      <c r="E64" s="115"/>
      <c r="F64" s="115"/>
      <c r="G64" s="115"/>
      <c r="H64" s="115"/>
      <c r="S64"/>
    </row>
    <row r="65" spans="1:19" x14ac:dyDescent="0.35">
      <c r="A65" s="115" t="s">
        <v>144</v>
      </c>
      <c r="B65" s="115"/>
      <c r="C65" s="115"/>
      <c r="D65" s="115" t="s">
        <v>28</v>
      </c>
      <c r="E65" s="115"/>
      <c r="F65" s="115"/>
      <c r="G65" s="115"/>
      <c r="H65" s="115"/>
      <c r="I65" s="24"/>
      <c r="J65" s="24"/>
      <c r="K65" s="24"/>
      <c r="L65" s="24"/>
      <c r="M65" s="24"/>
      <c r="N65" s="24"/>
    </row>
    <row r="66" spans="1:19" ht="15.75" customHeight="1" x14ac:dyDescent="0.35">
      <c r="A66" s="116" t="s">
        <v>82</v>
      </c>
      <c r="B66" s="116"/>
      <c r="C66" s="116"/>
      <c r="D66" s="115" t="str">
        <f ca="1">(IF(G72&gt;95%,"Nothing",IF(G72&gt;0%,"Cement, Aggregate, Steel, etc",IF(G72=0%,"Work not yet Started"))))</f>
        <v>Cement, Aggregate, Steel, etc</v>
      </c>
      <c r="E66" s="115"/>
      <c r="F66" s="115"/>
      <c r="G66" s="115"/>
      <c r="H66" s="115"/>
      <c r="J66" s="23"/>
      <c r="S66"/>
    </row>
    <row r="67" spans="1:19" ht="33.75" customHeight="1" thickBot="1" x14ac:dyDescent="0.4">
      <c r="A67" s="115" t="s">
        <v>115</v>
      </c>
      <c r="B67" s="115"/>
      <c r="C67" s="115"/>
      <c r="D67" s="115" t="str">
        <f ca="1">(IF(D66="Nothing","Yes",IF(D66="Cement, Aggregate, Steel, etc","Under Construction",IF(D66="Work not yet Started","Work not yet Started"))))</f>
        <v>Under Construction</v>
      </c>
      <c r="E67" s="115"/>
      <c r="F67" s="115" t="str">
        <f ca="1">(IF(D66="Nothing","Yes",IF(D66="Cement, Aggregate, Steel, etc","Under Construction",IF(D66="Work not yet Started","Work not yet Started"))))</f>
        <v>Under Construction</v>
      </c>
      <c r="G67" s="115"/>
      <c r="H67" s="115"/>
      <c r="S67"/>
    </row>
    <row r="68" spans="1:19" ht="15.75" customHeight="1" x14ac:dyDescent="0.35">
      <c r="A68" s="187" t="s">
        <v>136</v>
      </c>
      <c r="B68" s="187"/>
      <c r="C68" s="187" t="str">
        <f>D59</f>
        <v>Building A = Gr/St + 1st to 15th + 16th Recreational Floor</v>
      </c>
      <c r="D68" s="187"/>
      <c r="E68" s="187"/>
      <c r="F68" s="187"/>
      <c r="G68" s="187"/>
      <c r="H68" s="187"/>
      <c r="I68" s="81" t="str">
        <f ca="1">IF(D81=100%,"All work Completed. Possession granted to the Building.",IF(D80=100%,"All work Completed, Waiting for OC",I69&amp;""&amp;I70&amp;""&amp;J69&amp;""&amp;J68&amp;" "&amp;J70))</f>
        <v>Excavation, Plinth, RCC Slab Completed, Brickwork upto 13 Floor, Internal Plaster upto 10 Floor, External Plaster upto 5 Floor Completed</v>
      </c>
      <c r="J68" s="43" t="str">
        <f ca="1">(IF(C74=(D69+F69+H69),"",IF(C74&gt;0,", RCC upto "&amp;C74&amp;" Slab","")))&amp;(IF(C75=H69,"",IF(C75&gt;0,", Brickwork upto "&amp;C75&amp;" Floor","")))&amp;(IF(C76=H69,"",IF(C76&gt;0,", Internal Plaster upto "&amp;C76&amp;" Floor","")))&amp;(IF(C77=H69,"",IF(C77&gt;0,", External Plaster upto "&amp;C77&amp;" Floor","")))&amp;(IF(C78=H69,"",IF(C78&gt;0,", Flooring upto "&amp;C78&amp;" Floor","")))&amp;(IF(C79=H69,"",IF(C79&gt;0,", Painting upto "&amp;C79&amp;" Floor","")))&amp;(IF(C80=H69,"",IF(C80&gt;0,", Finishing upto "&amp;C80&amp;" Floor","")))&amp;(IF(C81=H69,"",IF(C81&gt;0,", Possession upto "&amp;C81&amp;" Floor","")))</f>
        <v>, Brickwork upto 13 Floor, Internal Plaster upto 10 Floor, External Plaster upto 5 Floor</v>
      </c>
      <c r="S68"/>
    </row>
    <row r="69" spans="1:19" x14ac:dyDescent="0.35">
      <c r="A69" s="86" t="s">
        <v>138</v>
      </c>
      <c r="B69" s="86">
        <f>IF(AND(ISNUMBER(SEARCH("1B",C68))),1,IF(AND(ISNUMBER(SEARCH("2B",C68))),2,IF(AND(ISNUMBER(SEARCH("3B",C68))),3,IF(AND(ISNUMBER(SEARCH("4B",C68))),4,IF(ISNUMBER(SEARCH("5B",C68)),5,0)))))</f>
        <v>0</v>
      </c>
      <c r="C69" s="86" t="s">
        <v>68</v>
      </c>
      <c r="D69" s="86">
        <v>1</v>
      </c>
      <c r="E69" s="86" t="s">
        <v>67</v>
      </c>
      <c r="F69" s="86">
        <v>0</v>
      </c>
      <c r="G69" s="86" t="s">
        <v>76</v>
      </c>
      <c r="H69" s="86">
        <f ca="1">--TRIM(RIGHT(SUBSTITUTE(LEFT(C68,_xlfn.AGGREGATE(16,6,FIND({0,1,2,3,4,5,6,7,8,9},C68,ROW(INDIRECT("1:"&amp;LEN(C68)))),1))," ",REPT(" ",LEN(C68))),LEN(C68)))</f>
        <v>16</v>
      </c>
      <c r="I69" s="82" t="str">
        <f ca="1">IF(D72=100%,"Excavation","")&amp;IF(D73=100%,", Plinth","")&amp;IF(D74=100%,", RCC Slab","")&amp;IF(D75=100%,", Brickwork","")&amp;IF(D76=100%,", Internal Plaster","")&amp;IF(D77=100%,", External Plaster","")&amp;IF(D78=100%,", Flooring","")&amp;IF(D79=100%,", Painting","")&amp;IF(D80=100%,", Building common Amenities","")</f>
        <v>Excavation, Plinth, RCC Slab</v>
      </c>
      <c r="J69" s="45" t="str">
        <f ca="1">(IF(C72=0,"Work not yet Started.",IF(D72=25%,"Piling work in process",IF(D72=50%,"Excavation work in process",IF(D72=100%,"","0")))))&amp;(IF(C73=0%,"",IF(C73=J74,", Footing work is process",IF(C73=J75,", Footing work Completed",IF(C73=J76,", 1st Basement Completed",IF(C73=J77,", 1st &amp; 2nd Basement Completed",IF(C73=J78,", 1st to 3rd Basement Completed",IF(C73=J79,", 1st to 4th Basement Completed",IF(C73=J80,", Plinth work is process",IF(C73=J81,"","0"))))))))))</f>
        <v/>
      </c>
      <c r="S69"/>
    </row>
    <row r="70" spans="1:19" ht="31" customHeight="1" x14ac:dyDescent="0.35">
      <c r="A70" s="149" t="s">
        <v>86</v>
      </c>
      <c r="B70" s="149"/>
      <c r="C70" s="187" t="str">
        <f ca="1">I68</f>
        <v>Excavation, Plinth, RCC Slab Completed, Brickwork upto 13 Floor, Internal Plaster upto 10 Floor, External Plaster upto 5 Floor Completed</v>
      </c>
      <c r="D70" s="187"/>
      <c r="E70" s="187"/>
      <c r="F70" s="187"/>
      <c r="G70" s="187"/>
      <c r="H70" s="187"/>
      <c r="I70" s="82" t="str">
        <f ca="1">IF(I69&lt;&gt;""," Completed","")</f>
        <v xml:space="preserve"> Completed</v>
      </c>
      <c r="J70" s="45" t="str">
        <f ca="1">IF(J68&lt;&gt;"","Completed","")</f>
        <v>Completed</v>
      </c>
      <c r="S70"/>
    </row>
    <row r="71" spans="1:19" ht="15.75" customHeight="1" x14ac:dyDescent="0.35">
      <c r="A71" s="106" t="s">
        <v>47</v>
      </c>
      <c r="B71" s="106"/>
      <c r="C71" s="85" t="s">
        <v>135</v>
      </c>
      <c r="D71" s="85" t="s">
        <v>79</v>
      </c>
      <c r="E71" s="106" t="s">
        <v>81</v>
      </c>
      <c r="F71" s="106"/>
      <c r="G71" s="106" t="s">
        <v>80</v>
      </c>
      <c r="H71" s="106"/>
      <c r="I71" s="13" t="s">
        <v>137</v>
      </c>
      <c r="J71" s="25">
        <f ca="1">H69*25%</f>
        <v>4</v>
      </c>
      <c r="S71"/>
    </row>
    <row r="72" spans="1:19" x14ac:dyDescent="0.35">
      <c r="A72" s="106" t="s">
        <v>124</v>
      </c>
      <c r="B72" s="106"/>
      <c r="C72" s="85">
        <f ca="1">J73</f>
        <v>16</v>
      </c>
      <c r="D72" s="73">
        <f ca="1">((100/H69)*C72)/100</f>
        <v>1</v>
      </c>
      <c r="E72" s="192">
        <f ca="1">(((C73/H69*10)+(40/(D69+F69+H69)*C74)+(7.5/(H69)*C75)+(7.5/(H69)*C76)+(10/H69*C77)+(10/H69*C78)+(5/H69*C79)+(5/H69*C80)+(5/H69*C81))/100)</f>
        <v>0.63906249999999998</v>
      </c>
      <c r="F72" s="192"/>
      <c r="G72" s="192">
        <f ca="1">((((C72/H69)*20)+((C73/H69)*25)+(30/(H69+F69+D69)*C74)+(5/H69*C75)+(5/H69*C76)+(5/H69*C77)+(5/H69*C78)+(0/H69*C79)+(0/H69*C80)+(5/H69*C81))/100)</f>
        <v>0.83750000000000002</v>
      </c>
      <c r="H72" s="192"/>
      <c r="I72" s="13" t="s">
        <v>97</v>
      </c>
      <c r="J72" s="26">
        <f ca="1">H69*50%</f>
        <v>8</v>
      </c>
    </row>
    <row r="73" spans="1:19" x14ac:dyDescent="0.35">
      <c r="A73" s="106" t="s">
        <v>48</v>
      </c>
      <c r="B73" s="106"/>
      <c r="C73" s="74">
        <f ca="1">J81</f>
        <v>16</v>
      </c>
      <c r="D73" s="73">
        <f ca="1">((100/H69)*C73)/100</f>
        <v>1</v>
      </c>
      <c r="E73" s="192"/>
      <c r="F73" s="192"/>
      <c r="G73" s="192"/>
      <c r="H73" s="192"/>
      <c r="I73" s="13" t="s">
        <v>98</v>
      </c>
      <c r="J73" s="26">
        <f ca="1">H69</f>
        <v>16</v>
      </c>
      <c r="S73"/>
    </row>
    <row r="74" spans="1:19" ht="15.75" customHeight="1" x14ac:dyDescent="0.35">
      <c r="A74" s="106" t="s">
        <v>125</v>
      </c>
      <c r="B74" s="106"/>
      <c r="C74" s="85">
        <v>17</v>
      </c>
      <c r="D74" s="73">
        <f ca="1">((100/(D69+F69+H69))*C74)/100</f>
        <v>1</v>
      </c>
      <c r="E74" s="192"/>
      <c r="F74" s="192"/>
      <c r="G74" s="192"/>
      <c r="H74" s="192"/>
      <c r="I74" s="13" t="s">
        <v>99</v>
      </c>
      <c r="J74" s="27">
        <f ca="1">(IF(B69&gt;1,(H69/(B69+2)),H69/4))</f>
        <v>4</v>
      </c>
      <c r="S74"/>
    </row>
    <row r="75" spans="1:19" ht="15.75" customHeight="1" x14ac:dyDescent="0.35">
      <c r="A75" s="106" t="s">
        <v>132</v>
      </c>
      <c r="B75" s="106" t="s">
        <v>126</v>
      </c>
      <c r="C75" s="85">
        <v>13</v>
      </c>
      <c r="D75" s="73">
        <f ca="1">((100/H69)*C75)/100</f>
        <v>0.8125</v>
      </c>
      <c r="E75" s="192"/>
      <c r="F75" s="192"/>
      <c r="G75" s="192"/>
      <c r="H75" s="192"/>
      <c r="I75" s="13" t="s">
        <v>100</v>
      </c>
      <c r="J75" s="27">
        <f ca="1">(IF(B69&gt;1,(H69/(B69+2)+J74),H69/4+J74))</f>
        <v>8</v>
      </c>
    </row>
    <row r="76" spans="1:19" ht="15.75" customHeight="1" x14ac:dyDescent="0.35">
      <c r="A76" s="106" t="s">
        <v>133</v>
      </c>
      <c r="B76" s="106" t="s">
        <v>126</v>
      </c>
      <c r="C76" s="85">
        <v>10</v>
      </c>
      <c r="D76" s="73">
        <f ca="1">((100/H69)*C76)/100</f>
        <v>0.625</v>
      </c>
      <c r="E76" s="192"/>
      <c r="F76" s="192"/>
      <c r="G76" s="192"/>
      <c r="H76" s="192"/>
      <c r="I76" s="13" t="s">
        <v>142</v>
      </c>
      <c r="J76" s="27">
        <f>(IF(B69&gt;1,(H69/(B69+2)+J75),0))</f>
        <v>0</v>
      </c>
    </row>
    <row r="77" spans="1:19" ht="15" customHeight="1" x14ac:dyDescent="0.35">
      <c r="A77" s="106" t="s">
        <v>131</v>
      </c>
      <c r="B77" s="106" t="s">
        <v>128</v>
      </c>
      <c r="C77" s="85">
        <v>5</v>
      </c>
      <c r="D77" s="73">
        <f ca="1">((100/(H69))*C77)/100</f>
        <v>0.3125</v>
      </c>
      <c r="E77" s="192"/>
      <c r="F77" s="192"/>
      <c r="G77" s="192"/>
      <c r="H77" s="192"/>
      <c r="I77" s="13" t="s">
        <v>139</v>
      </c>
      <c r="J77" s="27">
        <f>(IF(B69&gt;2,(H69/(B69+2)+J76),0))</f>
        <v>0</v>
      </c>
    </row>
    <row r="78" spans="1:19" ht="15.75" customHeight="1" x14ac:dyDescent="0.35">
      <c r="A78" s="106" t="s">
        <v>127</v>
      </c>
      <c r="B78" s="106" t="s">
        <v>127</v>
      </c>
      <c r="C78" s="85">
        <v>0</v>
      </c>
      <c r="D78" s="73">
        <f ca="1">((100/H69)*C78)/100</f>
        <v>0</v>
      </c>
      <c r="E78" s="192"/>
      <c r="F78" s="192"/>
      <c r="G78" s="192"/>
      <c r="H78" s="192"/>
      <c r="I78" s="13" t="s">
        <v>140</v>
      </c>
      <c r="J78" s="28">
        <f>(IF(B69&gt;3,(H69/(B69+2)+J77),0))</f>
        <v>0</v>
      </c>
    </row>
    <row r="79" spans="1:19" ht="15.75" customHeight="1" x14ac:dyDescent="0.35">
      <c r="A79" s="106" t="s">
        <v>134</v>
      </c>
      <c r="B79" s="106"/>
      <c r="C79" s="85">
        <v>0</v>
      </c>
      <c r="D79" s="73">
        <f ca="1">((100/H69)*C79)/100</f>
        <v>0</v>
      </c>
      <c r="E79" s="192"/>
      <c r="F79" s="192"/>
      <c r="G79" s="192"/>
      <c r="H79" s="192"/>
      <c r="I79" s="13" t="s">
        <v>141</v>
      </c>
      <c r="J79" s="27">
        <f>(IF(B69&gt;4,(H69/(B69+2)+J78),0))</f>
        <v>0</v>
      </c>
    </row>
    <row r="80" spans="1:19" ht="15.75" customHeight="1" x14ac:dyDescent="0.35">
      <c r="A80" s="106" t="s">
        <v>129</v>
      </c>
      <c r="B80" s="106" t="s">
        <v>129</v>
      </c>
      <c r="C80" s="85">
        <v>0</v>
      </c>
      <c r="D80" s="73">
        <f ca="1">((100/(H69))*C80)/100</f>
        <v>0</v>
      </c>
      <c r="E80" s="192"/>
      <c r="F80" s="192"/>
      <c r="G80" s="192"/>
      <c r="H80" s="192"/>
      <c r="I80" s="13" t="s">
        <v>143</v>
      </c>
      <c r="J80" s="27">
        <f ca="1">(IF(B69=1,(H69/(B69+3)+J75),IF(B69=0,(H69/4+J75),IF(B69&gt;1,0))))</f>
        <v>12</v>
      </c>
    </row>
    <row r="81" spans="1:22" ht="16" thickBot="1" x14ac:dyDescent="0.4">
      <c r="A81" s="106" t="s">
        <v>130</v>
      </c>
      <c r="B81" s="106"/>
      <c r="C81" s="85">
        <v>0</v>
      </c>
      <c r="D81" s="73">
        <f ca="1">((100/(H69))*C81)/100</f>
        <v>0</v>
      </c>
      <c r="E81" s="192"/>
      <c r="F81" s="192"/>
      <c r="G81" s="192"/>
      <c r="H81" s="192"/>
      <c r="I81" s="14" t="s">
        <v>101</v>
      </c>
      <c r="J81" s="29">
        <f ca="1">(IF(B69&gt;1.5,(H69/(B69+2)+J75+MAX(0,J76-J75)+MAX(0,J77-J76)+MAX(0,J78-J77)+MAX(0,J79-J78)+MAX(0,J80-J79)),IF(B69=1,(H69/(B69+3)+J80),IF(B69=0,H69/4+J80))))</f>
        <v>16</v>
      </c>
    </row>
    <row r="82" spans="1:22" ht="15.75" customHeight="1" x14ac:dyDescent="0.35">
      <c r="A82" s="117" t="s">
        <v>136</v>
      </c>
      <c r="B82" s="118"/>
      <c r="C82" s="119" t="str">
        <f>D60</f>
        <v>Building B = Gr/St + 1st Floor</v>
      </c>
      <c r="D82" s="120"/>
      <c r="E82" s="120"/>
      <c r="F82" s="120"/>
      <c r="G82" s="120"/>
      <c r="H82" s="121"/>
      <c r="I82" s="42" t="str">
        <f ca="1">IF(D95=100%,"All work Completed. Possession granted to the Building.",IF(D94=100%,"All work Completed, Waiting for OC",I83&amp;""&amp;I84&amp;""&amp;J83&amp;""&amp;J82&amp;" "&amp;J84))</f>
        <v xml:space="preserve">Work not yet Started. </v>
      </c>
      <c r="J82" s="43" t="str">
        <f ca="1">(IF(C88=(D83+F83+H83),"",IF(C88&gt;0,", RCC upto "&amp;C88&amp;" Slab","")))&amp;(IF(C89=H83,"",IF(C89&gt;0,", Brickwork upto "&amp;C89&amp;" Floor","")))&amp;(IF(C90=H83,"",IF(C90&gt;0,", Internal Plaster upto "&amp;C90&amp;" Floor","")))&amp;(IF(C91=H83,"",IF(C91&gt;0,", External Plaster upto "&amp;C91&amp;" Floor","")))&amp;(IF(C92=H83,"",IF(C92&gt;0,", Flooring upto "&amp;C92&amp;" Floor","")))&amp;(IF(C93=H83,"",IF(C93&gt;0,", Painting upto "&amp;C93&amp;" Floor","")))&amp;(IF(C94=H83,"",IF(C94&gt;0,", Finishing upto "&amp;C94&amp;" Floor","")))&amp;(IF(C95=H83,"",IF(C95&gt;0,", Possession upto "&amp;C95&amp;" Floor","")))</f>
        <v/>
      </c>
    </row>
    <row r="83" spans="1:22" x14ac:dyDescent="0.35">
      <c r="A83" s="15" t="s">
        <v>138</v>
      </c>
      <c r="B83" s="46">
        <f>IF(AND(ISNUMBER(SEARCH("1B",C82))),1,IF(AND(ISNUMBER(SEARCH("2B",C82))),2,IF(AND(ISNUMBER(SEARCH("3B",C82))),3,IF(AND(ISNUMBER(SEARCH("4B",C82))),4,IF(ISNUMBER(SEARCH("5B",C82)),5,0)))))</f>
        <v>0</v>
      </c>
      <c r="C83" s="46" t="s">
        <v>68</v>
      </c>
      <c r="D83" s="46">
        <v>1</v>
      </c>
      <c r="E83" s="46" t="s">
        <v>67</v>
      </c>
      <c r="F83" s="46">
        <v>0</v>
      </c>
      <c r="G83" s="46" t="s">
        <v>76</v>
      </c>
      <c r="H83" s="16">
        <f ca="1">--TRIM(RIGHT(SUBSTITUTE(LEFT(C82,_xlfn.AGGREGATE(16,6,FIND({0,1,2,3,4,5,6,7,8,9},C82,ROW(INDIRECT("1:"&amp;LEN(C82)))),1))," ",REPT(" ",LEN(C82))),LEN(C82)))</f>
        <v>1</v>
      </c>
      <c r="I83" s="44" t="str">
        <f ca="1">IF(D86=100%,"Excavation","")&amp;IF(D87=100%,", Plinth","")&amp;IF(D88=100%,", RCC Slab","")&amp;IF(D89=100%,", Brickwork","")&amp;IF(D90=100%,", Internal Plaster","")&amp;IF(D91=100%,", External Plaster","")&amp;IF(D92=100%,", Flooring","")&amp;IF(D93=100%,", Painting","")&amp;IF(D94=100%,", Building common Amenities","")</f>
        <v/>
      </c>
      <c r="J83" s="45" t="str">
        <f>(IF(C86=0,"Work not yet Started.",IF(D86=25%,"Piling work in process",IF(D86=50%,"Excavation work in process",IF(D86=100%,"","0")))))&amp;(IF(C87=0%,"",IF(C87=J88,", Footing work is process",IF(C87=J89,", Footing work Completed",IF(C87=J90,", 1st Basement Completed",IF(C87=J91,", 1st &amp; 2nd Basement Completed",IF(C87=J92,", 1st to 3rd Basement Completed",IF(C87=J93,", 1st to 4th Basement Completed",IF(C87=J94,", Plinth work is process",IF(C87=J95,"","0"))))))))))</f>
        <v>Work not yet Started.</v>
      </c>
    </row>
    <row r="84" spans="1:22" x14ac:dyDescent="0.35">
      <c r="A84" s="154" t="s">
        <v>86</v>
      </c>
      <c r="B84" s="149"/>
      <c r="C84" s="187" t="str">
        <f ca="1">(IF($G$54="NA",I82,"All work Completed. OC Received."))</f>
        <v xml:space="preserve">Work not yet Started. </v>
      </c>
      <c r="D84" s="187"/>
      <c r="E84" s="187"/>
      <c r="F84" s="187"/>
      <c r="G84" s="187"/>
      <c r="H84" s="188"/>
      <c r="I84" s="44" t="str">
        <f ca="1">IF(I83&lt;&gt;""," Completed","")</f>
        <v/>
      </c>
      <c r="J84" s="45" t="str">
        <f ca="1">IF(J82&lt;&gt;"","Completed","")</f>
        <v/>
      </c>
    </row>
    <row r="85" spans="1:22" ht="15.75" customHeight="1" x14ac:dyDescent="0.35">
      <c r="A85" s="114" t="s">
        <v>47</v>
      </c>
      <c r="B85" s="106"/>
      <c r="C85" s="72" t="s">
        <v>135</v>
      </c>
      <c r="D85" s="72" t="s">
        <v>79</v>
      </c>
      <c r="E85" s="106" t="s">
        <v>81</v>
      </c>
      <c r="F85" s="106"/>
      <c r="G85" s="106" t="s">
        <v>80</v>
      </c>
      <c r="H85" s="107"/>
      <c r="I85" s="13" t="s">
        <v>137</v>
      </c>
      <c r="J85" s="25">
        <f ca="1">H83*25%</f>
        <v>0.25</v>
      </c>
    </row>
    <row r="86" spans="1:22" x14ac:dyDescent="0.35">
      <c r="A86" s="114" t="s">
        <v>124</v>
      </c>
      <c r="B86" s="106"/>
      <c r="C86" s="72">
        <v>0</v>
      </c>
      <c r="D86" s="73">
        <f ca="1">((100/H83)*C86)/100</f>
        <v>0</v>
      </c>
      <c r="E86" s="108">
        <f ca="1">(((C87/H83*10)+(40/(D83+F83+H83)*C88)+(7.5/(H83)*C89)+(7.5/(H83)*C90)+(10/H83*C91)+(10/H83*C92)+(5/H83*C93)+(5/H83*C94)+(5/H83*C95))/100)</f>
        <v>0</v>
      </c>
      <c r="F86" s="109"/>
      <c r="G86" s="108">
        <f ca="1">((((C86/H83)*20)+((C87/H83)*25)+(30/(H83+F83+D83)*C88)+(5/H83*C89)+(5/H83*C90)+(5/H83*C91)+(5/H83*C92)+(0/H83*C93)+(0/H83*C94)+(5/H83*C95))/100)</f>
        <v>0</v>
      </c>
      <c r="H86" s="198"/>
      <c r="I86" s="13" t="s">
        <v>97</v>
      </c>
      <c r="J86" s="26">
        <f ca="1">H83*50%</f>
        <v>0.5</v>
      </c>
    </row>
    <row r="87" spans="1:22" x14ac:dyDescent="0.35">
      <c r="A87" s="114" t="s">
        <v>48</v>
      </c>
      <c r="B87" s="106"/>
      <c r="C87" s="74">
        <v>0</v>
      </c>
      <c r="D87" s="73">
        <f ca="1">((100/H83)*C87)/100</f>
        <v>0</v>
      </c>
      <c r="E87" s="110"/>
      <c r="F87" s="111"/>
      <c r="G87" s="110"/>
      <c r="H87" s="199"/>
      <c r="I87" s="13" t="s">
        <v>98</v>
      </c>
      <c r="J87" s="26">
        <f ca="1">H83</f>
        <v>1</v>
      </c>
    </row>
    <row r="88" spans="1:22" ht="15.75" customHeight="1" x14ac:dyDescent="0.35">
      <c r="A88" s="114" t="s">
        <v>125</v>
      </c>
      <c r="B88" s="106"/>
      <c r="C88" s="72">
        <v>0</v>
      </c>
      <c r="D88" s="73">
        <f ca="1">((100/(D83+F83+H83))*C88)/100</f>
        <v>0</v>
      </c>
      <c r="E88" s="110"/>
      <c r="F88" s="111"/>
      <c r="G88" s="110"/>
      <c r="H88" s="199"/>
      <c r="I88" s="13" t="s">
        <v>99</v>
      </c>
      <c r="J88" s="27">
        <f ca="1">(IF(B83&gt;1,(H83/(B83+2)),H83/4))</f>
        <v>0.25</v>
      </c>
    </row>
    <row r="89" spans="1:22" ht="15.75" customHeight="1" x14ac:dyDescent="0.35">
      <c r="A89" s="114" t="s">
        <v>132</v>
      </c>
      <c r="B89" s="106" t="s">
        <v>126</v>
      </c>
      <c r="C89" s="72">
        <v>0</v>
      </c>
      <c r="D89" s="73">
        <f ca="1">((100/H83)*C89)/100</f>
        <v>0</v>
      </c>
      <c r="E89" s="110"/>
      <c r="F89" s="111"/>
      <c r="G89" s="110"/>
      <c r="H89" s="199"/>
      <c r="I89" s="13" t="s">
        <v>100</v>
      </c>
      <c r="J89" s="27">
        <f ca="1">(IF(B83&gt;1,(H83/(B83+2)+J88),H83/4+J88))</f>
        <v>0.5</v>
      </c>
    </row>
    <row r="90" spans="1:22" ht="15.75" customHeight="1" x14ac:dyDescent="0.35">
      <c r="A90" s="114" t="s">
        <v>133</v>
      </c>
      <c r="B90" s="106" t="s">
        <v>126</v>
      </c>
      <c r="C90" s="72">
        <v>0</v>
      </c>
      <c r="D90" s="73">
        <f ca="1">((100/H83)*C90)/100</f>
        <v>0</v>
      </c>
      <c r="E90" s="110"/>
      <c r="F90" s="111"/>
      <c r="G90" s="110"/>
      <c r="H90" s="199"/>
      <c r="I90" s="13" t="s">
        <v>142</v>
      </c>
      <c r="J90" s="27">
        <f>(IF(B83&gt;1,(H83/(B83+2)+J89),0))</f>
        <v>0</v>
      </c>
    </row>
    <row r="91" spans="1:22" ht="15" customHeight="1" x14ac:dyDescent="0.35">
      <c r="A91" s="114" t="s">
        <v>131</v>
      </c>
      <c r="B91" s="106" t="s">
        <v>128</v>
      </c>
      <c r="C91" s="72">
        <v>0</v>
      </c>
      <c r="D91" s="73">
        <f ca="1">((100/(H83))*C91)/100</f>
        <v>0</v>
      </c>
      <c r="E91" s="110"/>
      <c r="F91" s="111"/>
      <c r="G91" s="110"/>
      <c r="H91" s="199"/>
      <c r="I91" s="13" t="s">
        <v>139</v>
      </c>
      <c r="J91" s="27">
        <f>(IF(B83&gt;2,(H83/(B83+2)+J90),0))</f>
        <v>0</v>
      </c>
    </row>
    <row r="92" spans="1:22" ht="15.75" customHeight="1" x14ac:dyDescent="0.35">
      <c r="A92" s="114" t="s">
        <v>127</v>
      </c>
      <c r="B92" s="106" t="s">
        <v>127</v>
      </c>
      <c r="C92" s="72">
        <v>0</v>
      </c>
      <c r="D92" s="73">
        <f ca="1">((100/H83)*C92)/100</f>
        <v>0</v>
      </c>
      <c r="E92" s="110"/>
      <c r="F92" s="111"/>
      <c r="G92" s="110"/>
      <c r="H92" s="199"/>
      <c r="I92" s="13" t="s">
        <v>140</v>
      </c>
      <c r="J92" s="28">
        <f>(IF(B83&gt;3,(H83/(B83+2)+J91),0))</f>
        <v>0</v>
      </c>
    </row>
    <row r="93" spans="1:22" ht="15.75" customHeight="1" x14ac:dyDescent="0.35">
      <c r="A93" s="114" t="s">
        <v>134</v>
      </c>
      <c r="B93" s="106"/>
      <c r="C93" s="72">
        <v>0</v>
      </c>
      <c r="D93" s="73">
        <f ca="1">((100/H83)*C93)/100</f>
        <v>0</v>
      </c>
      <c r="E93" s="110"/>
      <c r="F93" s="111"/>
      <c r="G93" s="110"/>
      <c r="H93" s="199"/>
      <c r="I93" s="13" t="s">
        <v>141</v>
      </c>
      <c r="J93" s="27">
        <f>(IF(B83&gt;4,(H83/(B83+2)+J92),0))</f>
        <v>0</v>
      </c>
    </row>
    <row r="94" spans="1:22" ht="15.75" customHeight="1" x14ac:dyDescent="0.35">
      <c r="A94" s="114" t="s">
        <v>129</v>
      </c>
      <c r="B94" s="106" t="s">
        <v>129</v>
      </c>
      <c r="C94" s="72">
        <v>0</v>
      </c>
      <c r="D94" s="73">
        <f ca="1">((100/(H83))*C94)/100</f>
        <v>0</v>
      </c>
      <c r="E94" s="110"/>
      <c r="F94" s="111"/>
      <c r="G94" s="110"/>
      <c r="H94" s="199"/>
      <c r="I94" s="13" t="s">
        <v>143</v>
      </c>
      <c r="J94" s="27">
        <f ca="1">(IF(B83=1,(H83/(B83+3)+J89),IF(B83=0,(H83/4+J89),IF(B83&gt;1,0))))</f>
        <v>0.75</v>
      </c>
    </row>
    <row r="95" spans="1:22" ht="16" thickBot="1" x14ac:dyDescent="0.4">
      <c r="A95" s="190" t="s">
        <v>130</v>
      </c>
      <c r="B95" s="191"/>
      <c r="C95" s="75">
        <v>0</v>
      </c>
      <c r="D95" s="76">
        <f ca="1">((100/(H83))*C95)/100</f>
        <v>0</v>
      </c>
      <c r="E95" s="112"/>
      <c r="F95" s="113"/>
      <c r="G95" s="112"/>
      <c r="H95" s="200"/>
      <c r="I95" s="14" t="s">
        <v>101</v>
      </c>
      <c r="J95" s="29">
        <f ca="1">(IF(B83&gt;1.5,(H83/(B83+2)+J89+MAX(0,J90-J89)+MAX(0,J91-J90)+MAX(0,J92-J91)+MAX(0,J93-J92)+MAX(0,J94-J93)),IF(B83=1,(H83/(B83+3)+J94),IF(B83=0,H83/4+J94))))</f>
        <v>1</v>
      </c>
    </row>
    <row r="96" spans="1:22" x14ac:dyDescent="0.35">
      <c r="A96" s="201" t="s">
        <v>153</v>
      </c>
      <c r="B96" s="201"/>
      <c r="C96" s="201"/>
      <c r="D96" s="201"/>
      <c r="E96" s="201"/>
      <c r="F96" s="189" t="s">
        <v>157</v>
      </c>
      <c r="G96" s="189"/>
      <c r="H96" s="189"/>
      <c r="R96" t="s">
        <v>248</v>
      </c>
      <c r="S96" t="s">
        <v>169</v>
      </c>
      <c r="T96" t="s">
        <v>174</v>
      </c>
      <c r="U96" t="s">
        <v>189</v>
      </c>
      <c r="V96" t="s">
        <v>184</v>
      </c>
    </row>
    <row r="97" spans="1:22" x14ac:dyDescent="0.35">
      <c r="A97" s="103" t="s">
        <v>155</v>
      </c>
      <c r="B97" s="103"/>
      <c r="C97" s="103"/>
      <c r="D97" s="103"/>
      <c r="E97" s="103"/>
      <c r="F97" s="101">
        <v>6300</v>
      </c>
      <c r="G97" s="101"/>
      <c r="H97" s="101"/>
      <c r="R97"/>
      <c r="S97">
        <v>800000</v>
      </c>
      <c r="T97">
        <v>300000</v>
      </c>
      <c r="U97">
        <v>100000</v>
      </c>
      <c r="V97">
        <v>100000</v>
      </c>
    </row>
    <row r="98" spans="1:22" x14ac:dyDescent="0.35">
      <c r="A98" s="103" t="s">
        <v>154</v>
      </c>
      <c r="B98" s="103"/>
      <c r="C98" s="103"/>
      <c r="D98" s="103"/>
      <c r="E98" s="103"/>
      <c r="F98" s="101">
        <v>12000</v>
      </c>
      <c r="G98" s="101"/>
      <c r="H98" s="101"/>
      <c r="R98"/>
      <c r="S98">
        <v>900000</v>
      </c>
      <c r="T98">
        <v>350000</v>
      </c>
      <c r="U98">
        <v>150000</v>
      </c>
      <c r="V98">
        <v>150000</v>
      </c>
    </row>
    <row r="99" spans="1:22" x14ac:dyDescent="0.35">
      <c r="A99" s="103" t="s">
        <v>156</v>
      </c>
      <c r="B99" s="103"/>
      <c r="C99" s="103"/>
      <c r="D99" s="103"/>
      <c r="E99" s="103"/>
      <c r="F99" s="101">
        <v>10000</v>
      </c>
      <c r="G99" s="101"/>
      <c r="H99" s="101"/>
      <c r="R99"/>
      <c r="S99">
        <v>1000000</v>
      </c>
      <c r="T99">
        <v>400000</v>
      </c>
      <c r="U99">
        <v>200000</v>
      </c>
      <c r="V99">
        <v>200000</v>
      </c>
    </row>
    <row r="100" spans="1:22" s="30" customFormat="1" hidden="1" x14ac:dyDescent="0.35">
      <c r="A100" s="103" t="s">
        <v>171</v>
      </c>
      <c r="B100" s="103"/>
      <c r="C100" s="103"/>
      <c r="D100" s="103"/>
      <c r="E100" s="103"/>
      <c r="F100" s="101"/>
      <c r="G100" s="101"/>
      <c r="H100" s="101"/>
      <c r="R100"/>
      <c r="S100">
        <v>1100000</v>
      </c>
      <c r="T100">
        <v>500000</v>
      </c>
      <c r="U100">
        <v>250000</v>
      </c>
      <c r="V100" s="20">
        <v>250000</v>
      </c>
    </row>
    <row r="101" spans="1:22" s="30" customFormat="1" hidden="1" x14ac:dyDescent="0.35">
      <c r="A101" s="103" t="s">
        <v>91</v>
      </c>
      <c r="B101" s="103"/>
      <c r="C101" s="103"/>
      <c r="D101" s="103"/>
      <c r="E101" s="103"/>
      <c r="F101" s="101"/>
      <c r="G101" s="101"/>
      <c r="H101" s="101"/>
      <c r="R101"/>
      <c r="S101">
        <v>1200000</v>
      </c>
      <c r="T101">
        <v>600000</v>
      </c>
      <c r="U101">
        <v>300000</v>
      </c>
      <c r="V101">
        <v>300000</v>
      </c>
    </row>
    <row r="102" spans="1:22" s="30" customFormat="1" hidden="1" x14ac:dyDescent="0.35">
      <c r="A102" s="103" t="s">
        <v>92</v>
      </c>
      <c r="B102" s="103"/>
      <c r="C102" s="103"/>
      <c r="D102" s="103"/>
      <c r="E102" s="103"/>
      <c r="F102" s="101"/>
      <c r="G102" s="101"/>
      <c r="H102" s="101"/>
      <c r="R102"/>
      <c r="S102">
        <v>1300000</v>
      </c>
      <c r="T102">
        <v>700000</v>
      </c>
      <c r="U102">
        <v>350000</v>
      </c>
      <c r="V102" s="20">
        <v>400000</v>
      </c>
    </row>
    <row r="103" spans="1:22" s="30" customFormat="1" hidden="1" x14ac:dyDescent="0.35">
      <c r="A103" s="103" t="s">
        <v>93</v>
      </c>
      <c r="B103" s="103"/>
      <c r="C103" s="103"/>
      <c r="D103" s="103"/>
      <c r="E103" s="103"/>
      <c r="F103" s="101"/>
      <c r="G103" s="101"/>
      <c r="H103" s="101"/>
      <c r="R103"/>
      <c r="S103">
        <v>1400000</v>
      </c>
      <c r="T103">
        <v>800000</v>
      </c>
      <c r="U103">
        <v>400000</v>
      </c>
      <c r="V103"/>
    </row>
    <row r="104" spans="1:22" s="30" customFormat="1" hidden="1" x14ac:dyDescent="0.35">
      <c r="A104" s="103" t="s">
        <v>94</v>
      </c>
      <c r="B104" s="103"/>
      <c r="C104" s="103"/>
      <c r="D104" s="103"/>
      <c r="E104" s="103"/>
      <c r="F104" s="101"/>
      <c r="G104" s="101"/>
      <c r="H104" s="101"/>
      <c r="R104"/>
      <c r="S104">
        <v>1500000</v>
      </c>
      <c r="T104">
        <v>900000</v>
      </c>
      <c r="U104">
        <v>500000</v>
      </c>
      <c r="V104" s="20"/>
    </row>
    <row r="105" spans="1:22" s="30" customFormat="1" hidden="1" x14ac:dyDescent="0.35">
      <c r="A105" s="103" t="s">
        <v>95</v>
      </c>
      <c r="B105" s="103"/>
      <c r="C105" s="103"/>
      <c r="D105" s="103"/>
      <c r="E105" s="103"/>
      <c r="F105" s="101"/>
      <c r="G105" s="101"/>
      <c r="H105" s="101"/>
      <c r="R105"/>
      <c r="S105">
        <v>1600000</v>
      </c>
      <c r="T105">
        <v>1000000</v>
      </c>
      <c r="U105">
        <v>600000</v>
      </c>
      <c r="V105"/>
    </row>
    <row r="106" spans="1:22" s="30" customFormat="1" hidden="1" x14ac:dyDescent="0.35">
      <c r="A106" s="103" t="s">
        <v>96</v>
      </c>
      <c r="B106" s="103"/>
      <c r="C106" s="103"/>
      <c r="D106" s="103"/>
      <c r="E106" s="103"/>
      <c r="F106" s="101"/>
      <c r="G106" s="101"/>
      <c r="H106" s="101"/>
      <c r="R106"/>
      <c r="S106">
        <v>1700000</v>
      </c>
      <c r="T106"/>
      <c r="U106"/>
      <c r="V106" s="20"/>
    </row>
    <row r="107" spans="1:22" x14ac:dyDescent="0.35">
      <c r="A107" s="103" t="s">
        <v>49</v>
      </c>
      <c r="B107" s="103"/>
      <c r="C107" s="103"/>
      <c r="D107" s="103"/>
      <c r="E107" s="103"/>
      <c r="F107" s="101">
        <v>400000</v>
      </c>
      <c r="G107" s="101"/>
      <c r="H107" s="101"/>
      <c r="R107"/>
      <c r="S107">
        <v>1800000</v>
      </c>
      <c r="T107"/>
      <c r="U107"/>
    </row>
    <row r="108" spans="1:22" s="31" customFormat="1" x14ac:dyDescent="0.35">
      <c r="A108" s="145" t="s">
        <v>50</v>
      </c>
      <c r="B108" s="145"/>
      <c r="C108" s="145"/>
      <c r="D108" s="145"/>
      <c r="E108" s="145"/>
      <c r="F108" s="101">
        <f>F97*0.8</f>
        <v>5040</v>
      </c>
      <c r="G108" s="101"/>
      <c r="H108" s="101"/>
      <c r="R108" s="18"/>
      <c r="S108" s="18"/>
      <c r="T108"/>
      <c r="U108"/>
      <c r="V108" s="18"/>
    </row>
    <row r="109" spans="1:22" s="32" customFormat="1" ht="15.75" customHeight="1" x14ac:dyDescent="0.35">
      <c r="A109" s="131" t="s">
        <v>71</v>
      </c>
      <c r="B109" s="131"/>
      <c r="C109" s="131"/>
      <c r="D109" s="131"/>
      <c r="E109" s="131"/>
      <c r="F109" s="131"/>
      <c r="G109" s="131"/>
      <c r="H109" s="131"/>
      <c r="R109"/>
      <c r="S109" s="18"/>
      <c r="T109"/>
      <c r="U109"/>
      <c r="V109" s="18"/>
    </row>
    <row r="110" spans="1:22" s="32" customFormat="1" ht="15.75" customHeight="1" x14ac:dyDescent="0.35">
      <c r="A110" s="127" t="s">
        <v>51</v>
      </c>
      <c r="B110" s="127"/>
      <c r="C110" s="126" t="s">
        <v>74</v>
      </c>
      <c r="D110" s="126"/>
      <c r="E110" s="104" t="s">
        <v>52</v>
      </c>
      <c r="F110" s="104"/>
      <c r="G110" s="127" t="s">
        <v>53</v>
      </c>
      <c r="H110" s="127"/>
      <c r="R110"/>
      <c r="S110" s="18"/>
      <c r="T110"/>
      <c r="U110" s="18"/>
      <c r="V110" s="18"/>
    </row>
    <row r="111" spans="1:22" s="32" customFormat="1" x14ac:dyDescent="0.35">
      <c r="A111" s="95" t="s">
        <v>337</v>
      </c>
      <c r="B111" s="80" t="s">
        <v>324</v>
      </c>
      <c r="C111" s="93">
        <f>COUNT(D125:D127)</f>
        <v>3</v>
      </c>
      <c r="D111" s="94"/>
      <c r="E111" s="93">
        <f>SUM(F125:F127)</f>
        <v>472.75488000000001</v>
      </c>
      <c r="F111" s="94"/>
      <c r="G111" s="93">
        <f>SUM(H125:H127)</f>
        <v>709.13232000000005</v>
      </c>
      <c r="H111" s="94"/>
      <c r="R111"/>
      <c r="S111" s="18"/>
      <c r="T111"/>
      <c r="U111" s="18"/>
      <c r="V111" s="18"/>
    </row>
    <row r="112" spans="1:22" s="32" customFormat="1" x14ac:dyDescent="0.35">
      <c r="A112" s="95"/>
      <c r="B112" s="80" t="s">
        <v>316</v>
      </c>
      <c r="C112" s="93">
        <f>COUNT(D129)</f>
        <v>1</v>
      </c>
      <c r="D112" s="94"/>
      <c r="E112" s="93">
        <f>SUM(F129)</f>
        <v>471.67847999999998</v>
      </c>
      <c r="F112" s="94"/>
      <c r="G112" s="93">
        <f>SUM(H129)</f>
        <v>707.51771999999994</v>
      </c>
      <c r="H112" s="94"/>
      <c r="R112"/>
      <c r="S112" s="18"/>
      <c r="T112"/>
      <c r="U112" s="18"/>
      <c r="V112" s="18"/>
    </row>
    <row r="113" spans="1:22" s="32" customFormat="1" x14ac:dyDescent="0.35">
      <c r="A113" s="131" t="s">
        <v>146</v>
      </c>
      <c r="B113" s="131"/>
      <c r="C113" s="132">
        <f>SUM(C111:C112)</f>
        <v>4</v>
      </c>
      <c r="D113" s="126"/>
      <c r="E113" s="133">
        <f>SUM(E111:E112)</f>
        <v>944.43335999999999</v>
      </c>
      <c r="F113" s="104"/>
      <c r="G113" s="127">
        <f>SUM(G111:G112)</f>
        <v>1416.65004</v>
      </c>
      <c r="H113" s="127"/>
      <c r="R113"/>
      <c r="S113" s="18"/>
      <c r="T113"/>
      <c r="U113" s="18"/>
      <c r="V113" s="18"/>
    </row>
    <row r="114" spans="1:22" s="32" customFormat="1" x14ac:dyDescent="0.35">
      <c r="A114" s="131" t="s">
        <v>325</v>
      </c>
      <c r="B114" s="131"/>
      <c r="C114" s="131"/>
      <c r="D114" s="131"/>
      <c r="E114" s="131"/>
      <c r="F114" s="131"/>
      <c r="G114" s="131"/>
      <c r="H114" s="131"/>
      <c r="T114"/>
    </row>
    <row r="115" spans="1:22" s="32" customFormat="1" ht="15.75" customHeight="1" x14ac:dyDescent="0.35">
      <c r="A115" s="127" t="s">
        <v>51</v>
      </c>
      <c r="B115" s="127"/>
      <c r="C115" s="126" t="s">
        <v>74</v>
      </c>
      <c r="D115" s="126"/>
      <c r="E115" s="104" t="s">
        <v>52</v>
      </c>
      <c r="F115" s="104"/>
      <c r="G115" s="127" t="s">
        <v>53</v>
      </c>
      <c r="H115" s="127"/>
      <c r="T115"/>
    </row>
    <row r="116" spans="1:22" s="32" customFormat="1" x14ac:dyDescent="0.35">
      <c r="A116" s="95" t="s">
        <v>338</v>
      </c>
      <c r="B116" s="95"/>
      <c r="C116" s="93">
        <f>COUNT(F136:F145)*13+COUNT(F148:F156)*2</f>
        <v>148</v>
      </c>
      <c r="D116" s="93"/>
      <c r="E116" s="93">
        <f>SUM(F136:F145)*13+SUM(F148:F156)*2</f>
        <v>86358.926160000003</v>
      </c>
      <c r="F116" s="93"/>
      <c r="G116" s="93">
        <f>SUM(H136:H145)*13+SUM(H148:H156)*2</f>
        <v>129538.38924</v>
      </c>
      <c r="H116" s="93"/>
      <c r="T116"/>
    </row>
    <row r="117" spans="1:22" s="32" customFormat="1" x14ac:dyDescent="0.35">
      <c r="A117" s="131" t="s">
        <v>146</v>
      </c>
      <c r="B117" s="131"/>
      <c r="C117" s="126">
        <f>SUM(C116)</f>
        <v>148</v>
      </c>
      <c r="D117" s="126"/>
      <c r="E117" s="93">
        <f>SUM(E116)</f>
        <v>86358.926160000003</v>
      </c>
      <c r="F117" s="94"/>
      <c r="G117" s="127">
        <f>SUM(G116)</f>
        <v>129538.38924</v>
      </c>
      <c r="H117" s="127"/>
    </row>
    <row r="118" spans="1:22" s="32" customFormat="1" x14ac:dyDescent="0.35">
      <c r="A118" s="131" t="s">
        <v>163</v>
      </c>
      <c r="B118" s="131"/>
      <c r="C118" s="132">
        <f>C113+C117</f>
        <v>152</v>
      </c>
      <c r="D118" s="126"/>
      <c r="E118" s="133">
        <f>E113+E117</f>
        <v>87303.359519999998</v>
      </c>
      <c r="F118" s="104"/>
      <c r="G118" s="127">
        <f>G113+G117</f>
        <v>130955.03928</v>
      </c>
      <c r="H118" s="127"/>
    </row>
    <row r="119" spans="1:22" s="31" customFormat="1" x14ac:dyDescent="0.35">
      <c r="A119" s="105" t="s">
        <v>54</v>
      </c>
      <c r="B119" s="105"/>
      <c r="C119" s="105"/>
      <c r="D119" s="105"/>
      <c r="E119" s="105"/>
      <c r="F119" s="105"/>
      <c r="G119" s="105"/>
      <c r="H119" s="105"/>
      <c r="T119" s="32"/>
    </row>
    <row r="120" spans="1:22" x14ac:dyDescent="0.35">
      <c r="A120" s="130" t="s">
        <v>317</v>
      </c>
      <c r="B120" s="130"/>
      <c r="C120" s="130"/>
      <c r="D120" s="130"/>
      <c r="E120" s="130"/>
      <c r="F120" s="130"/>
      <c r="G120" s="130"/>
      <c r="H120" s="130"/>
      <c r="T120" s="32"/>
    </row>
    <row r="121" spans="1:22" ht="47.25" customHeight="1" x14ac:dyDescent="0.35">
      <c r="A121" s="135" t="s">
        <v>116</v>
      </c>
      <c r="B121" s="135" t="s">
        <v>172</v>
      </c>
      <c r="C121" s="135" t="s">
        <v>55</v>
      </c>
      <c r="D121" s="135" t="s">
        <v>227</v>
      </c>
      <c r="E121" s="134" t="s">
        <v>152</v>
      </c>
      <c r="F121" s="135" t="s">
        <v>56</v>
      </c>
      <c r="G121" s="134" t="s">
        <v>57</v>
      </c>
      <c r="H121" s="83" t="s">
        <v>145</v>
      </c>
      <c r="T121" s="32"/>
    </row>
    <row r="122" spans="1:22" s="34" customFormat="1" x14ac:dyDescent="0.35">
      <c r="A122" s="135"/>
      <c r="B122" s="135"/>
      <c r="C122" s="135"/>
      <c r="D122" s="135"/>
      <c r="E122" s="134"/>
      <c r="F122" s="135"/>
      <c r="G122" s="134"/>
      <c r="H122" s="84">
        <v>0.5</v>
      </c>
      <c r="T122" s="31"/>
    </row>
    <row r="123" spans="1:22" s="62" customFormat="1" x14ac:dyDescent="0.35">
      <c r="A123" s="96" t="s">
        <v>337</v>
      </c>
      <c r="B123" s="97"/>
      <c r="C123" s="97"/>
      <c r="D123" s="97"/>
      <c r="E123" s="97"/>
      <c r="F123" s="97"/>
      <c r="G123" s="97"/>
      <c r="H123" s="98"/>
      <c r="J123" s="33"/>
      <c r="T123" s="18"/>
    </row>
    <row r="124" spans="1:22" s="31" customFormat="1" x14ac:dyDescent="0.35">
      <c r="A124" s="189" t="s">
        <v>322</v>
      </c>
      <c r="B124" s="189"/>
      <c r="C124" s="189"/>
      <c r="D124" s="189"/>
      <c r="E124" s="189"/>
      <c r="F124" s="189"/>
      <c r="G124" s="189"/>
      <c r="H124" s="189"/>
      <c r="T124" s="32"/>
    </row>
    <row r="125" spans="1:22" s="34" customFormat="1" ht="15.75" customHeight="1" x14ac:dyDescent="0.35">
      <c r="A125" s="90">
        <v>1</v>
      </c>
      <c r="B125" s="91"/>
      <c r="C125" s="39" t="s">
        <v>315</v>
      </c>
      <c r="D125" s="65">
        <f>((17.38))*(10.764)</f>
        <v>187.07831999999999</v>
      </c>
      <c r="E125" s="39">
        <v>0</v>
      </c>
      <c r="F125" s="39">
        <f>D125+E125</f>
        <v>187.07831999999999</v>
      </c>
      <c r="G125" s="49">
        <v>0</v>
      </c>
      <c r="H125" s="49">
        <f>(D125+E125)*(($H$122)+1)</f>
        <v>280.61748</v>
      </c>
      <c r="I125" s="33">
        <f>3.85*4.3</f>
        <v>16.555</v>
      </c>
      <c r="J125" s="65">
        <f>10.764</f>
        <v>10.763999999999999</v>
      </c>
      <c r="L125" s="89"/>
      <c r="M125" s="89"/>
      <c r="N125" s="33"/>
      <c r="T125" s="18"/>
    </row>
    <row r="126" spans="1:22" s="34" customFormat="1" ht="15.75" customHeight="1" x14ac:dyDescent="0.35">
      <c r="A126" s="90">
        <f>A125+1</f>
        <v>2</v>
      </c>
      <c r="B126" s="91"/>
      <c r="C126" s="39" t="s">
        <v>315</v>
      </c>
      <c r="D126" s="65">
        <f>((13.27))*(10.764)</f>
        <v>142.83828</v>
      </c>
      <c r="E126" s="39">
        <v>0</v>
      </c>
      <c r="F126" s="70">
        <f>D126+E126</f>
        <v>142.83828</v>
      </c>
      <c r="G126" s="49">
        <v>0</v>
      </c>
      <c r="H126" s="49">
        <f>(D126+E126)*(($H$122)+1)</f>
        <v>214.25742</v>
      </c>
      <c r="I126" s="33"/>
      <c r="L126" s="89"/>
      <c r="M126" s="89"/>
      <c r="N126" s="33"/>
    </row>
    <row r="127" spans="1:22" s="34" customFormat="1" ht="15.75" customHeight="1" x14ac:dyDescent="0.35">
      <c r="A127" s="90">
        <f>A126+1</f>
        <v>3</v>
      </c>
      <c r="B127" s="91"/>
      <c r="C127" s="39" t="s">
        <v>315</v>
      </c>
      <c r="D127" s="65">
        <f>((13.27))*(10.764)</f>
        <v>142.83828</v>
      </c>
      <c r="E127" s="39">
        <v>0</v>
      </c>
      <c r="F127" s="49">
        <f>D127+E127</f>
        <v>142.83828</v>
      </c>
      <c r="G127" s="49">
        <v>0</v>
      </c>
      <c r="H127" s="49">
        <f>(D127+E127)*(($H$122)+1)</f>
        <v>214.25742</v>
      </c>
      <c r="I127" s="33"/>
      <c r="L127" s="89"/>
      <c r="M127" s="89"/>
      <c r="N127" s="33"/>
    </row>
    <row r="128" spans="1:22" s="31" customFormat="1" x14ac:dyDescent="0.35">
      <c r="A128" s="189" t="s">
        <v>332</v>
      </c>
      <c r="B128" s="189"/>
      <c r="C128" s="189"/>
      <c r="D128" s="189"/>
      <c r="E128" s="189"/>
      <c r="F128" s="189"/>
      <c r="G128" s="189"/>
      <c r="H128" s="189"/>
      <c r="T128" s="32"/>
    </row>
    <row r="129" spans="1:20" s="69" customFormat="1" ht="15.75" customHeight="1" x14ac:dyDescent="0.35">
      <c r="A129" s="90">
        <v>1</v>
      </c>
      <c r="B129" s="91"/>
      <c r="C129" s="70" t="s">
        <v>316</v>
      </c>
      <c r="D129" s="65">
        <f>(43.82)*(10.764)</f>
        <v>471.67847999999998</v>
      </c>
      <c r="E129" s="70">
        <v>0</v>
      </c>
      <c r="F129" s="70">
        <f>D129+E129</f>
        <v>471.67847999999998</v>
      </c>
      <c r="G129" s="70">
        <v>0</v>
      </c>
      <c r="H129" s="70">
        <f>(D129+E129)*(($H$122)+1)</f>
        <v>707.51771999999994</v>
      </c>
      <c r="I129" s="66">
        <f>10.15*4.3</f>
        <v>43.645000000000003</v>
      </c>
      <c r="J129" s="65">
        <f>10.764</f>
        <v>10.763999999999999</v>
      </c>
      <c r="L129" s="89"/>
      <c r="M129" s="89"/>
      <c r="N129" s="33"/>
      <c r="T129" s="18"/>
    </row>
    <row r="130" spans="1:20" x14ac:dyDescent="0.35">
      <c r="A130" s="130" t="s">
        <v>318</v>
      </c>
      <c r="B130" s="130"/>
      <c r="C130" s="130"/>
      <c r="D130" s="130"/>
      <c r="E130" s="130"/>
      <c r="F130" s="130"/>
      <c r="G130" s="130"/>
      <c r="H130" s="130"/>
      <c r="T130" s="32"/>
    </row>
    <row r="131" spans="1:20" ht="47.25" customHeight="1" x14ac:dyDescent="0.35">
      <c r="A131" s="122" t="s">
        <v>117</v>
      </c>
      <c r="B131" s="124" t="s">
        <v>173</v>
      </c>
      <c r="C131" s="124" t="s">
        <v>55</v>
      </c>
      <c r="D131" s="124" t="s">
        <v>227</v>
      </c>
      <c r="E131" s="124" t="s">
        <v>312</v>
      </c>
      <c r="F131" s="124" t="s">
        <v>56</v>
      </c>
      <c r="G131" s="202" t="s">
        <v>57</v>
      </c>
      <c r="H131" s="50" t="s">
        <v>145</v>
      </c>
      <c r="I131" s="33"/>
      <c r="T131" s="34"/>
    </row>
    <row r="132" spans="1:20" s="34" customFormat="1" x14ac:dyDescent="0.35">
      <c r="A132" s="123"/>
      <c r="B132" s="125"/>
      <c r="C132" s="125"/>
      <c r="D132" s="125"/>
      <c r="E132" s="125"/>
      <c r="F132" s="125"/>
      <c r="G132" s="203"/>
      <c r="H132" s="71">
        <v>0.5</v>
      </c>
      <c r="I132" s="33"/>
      <c r="L132" s="65">
        <f>10.674</f>
        <v>10.673999999999999</v>
      </c>
    </row>
    <row r="133" spans="1:20" s="69" customFormat="1" x14ac:dyDescent="0.35">
      <c r="A133" s="96" t="s">
        <v>338</v>
      </c>
      <c r="B133" s="97"/>
      <c r="C133" s="97"/>
      <c r="D133" s="97"/>
      <c r="E133" s="97"/>
      <c r="F133" s="97"/>
      <c r="G133" s="97"/>
      <c r="H133" s="98"/>
      <c r="J133" s="33"/>
      <c r="T133" s="18"/>
    </row>
    <row r="134" spans="1:20" s="69" customFormat="1" x14ac:dyDescent="0.35">
      <c r="A134" s="96" t="s">
        <v>323</v>
      </c>
      <c r="B134" s="97"/>
      <c r="C134" s="97"/>
      <c r="D134" s="97"/>
      <c r="E134" s="97"/>
      <c r="F134" s="97"/>
      <c r="G134" s="97"/>
      <c r="H134" s="98"/>
      <c r="J134" s="33"/>
      <c r="T134" s="18"/>
    </row>
    <row r="135" spans="1:20" s="34" customFormat="1" ht="15.5" customHeight="1" x14ac:dyDescent="0.35">
      <c r="A135" s="96" t="s">
        <v>330</v>
      </c>
      <c r="B135" s="97"/>
      <c r="C135" s="97"/>
      <c r="D135" s="97"/>
      <c r="E135" s="97"/>
      <c r="F135" s="97"/>
      <c r="G135" s="97"/>
      <c r="H135" s="98"/>
      <c r="J135" s="33"/>
    </row>
    <row r="136" spans="1:20" s="34" customFormat="1" ht="15.75" customHeight="1" x14ac:dyDescent="0.35">
      <c r="A136" s="90">
        <v>1</v>
      </c>
      <c r="B136" s="91"/>
      <c r="C136" s="39" t="s">
        <v>311</v>
      </c>
      <c r="D136" s="65">
        <f>(43.8)*(10.764)</f>
        <v>471.46319999999992</v>
      </c>
      <c r="E136" s="65">
        <f t="shared" ref="E136:E140" si="0">((3*1.22+2.44*1+3*1))*(10.764)</f>
        <v>97.952399999999997</v>
      </c>
      <c r="F136" s="63">
        <f t="shared" ref="F136:F143" si="1">D136+E136</f>
        <v>569.41559999999993</v>
      </c>
      <c r="G136" s="61">
        <v>0</v>
      </c>
      <c r="H136" s="61">
        <f>F136*($H$132+1)+(IF(G136&lt;101,G136,IF(G136&lt;201,G136/2,IF(G136&lt;=301,G136/3,G136/4))))</f>
        <v>854.12339999999995</v>
      </c>
      <c r="I136" s="88">
        <f>3*4.88+3.19*0.41+2.44*2.44+3*3.5+2.13*1.22+1.22*2.13+2.44*0.9</f>
        <v>39.794699999999992</v>
      </c>
      <c r="J136" s="67">
        <f>1.22*3+2.44*1+3*1</f>
        <v>9.1</v>
      </c>
      <c r="K136" s="68">
        <f>I136+J136</f>
        <v>48.894699999999993</v>
      </c>
      <c r="L136" s="89">
        <f>43.8</f>
        <v>43.8</v>
      </c>
      <c r="M136" s="89"/>
      <c r="N136" s="66">
        <f>L136-I136</f>
        <v>4.0053000000000054</v>
      </c>
      <c r="T136" s="18"/>
    </row>
    <row r="137" spans="1:20" s="34" customFormat="1" ht="15.75" customHeight="1" x14ac:dyDescent="0.35">
      <c r="A137" s="90">
        <v>2</v>
      </c>
      <c r="B137" s="91"/>
      <c r="C137" s="39" t="s">
        <v>311</v>
      </c>
      <c r="D137" s="65">
        <f>(43.8)*(10.764)</f>
        <v>471.46319999999992</v>
      </c>
      <c r="E137" s="65">
        <f>((3*1.22+2.44*1+3*1))*(10.764)</f>
        <v>97.952399999999997</v>
      </c>
      <c r="F137" s="49">
        <f t="shared" si="1"/>
        <v>569.41559999999993</v>
      </c>
      <c r="G137" s="79">
        <v>0</v>
      </c>
      <c r="H137" s="56">
        <f>F137*($H$132+1)+(IF(G137&lt;101,G137,IF(G137&lt;201,G137/2,IF(G137&lt;=301,G137/3,G137/4))))</f>
        <v>854.12339999999995</v>
      </c>
      <c r="I137" s="33"/>
      <c r="L137" s="89"/>
      <c r="M137" s="89"/>
      <c r="N137" s="66">
        <f t="shared" ref="N137:N139" si="2">L137-I137</f>
        <v>0</v>
      </c>
    </row>
    <row r="138" spans="1:20" s="34" customFormat="1" ht="15.75" customHeight="1" x14ac:dyDescent="0.35">
      <c r="A138" s="90">
        <v>3</v>
      </c>
      <c r="B138" s="91"/>
      <c r="C138" s="39" t="s">
        <v>311</v>
      </c>
      <c r="D138" s="65">
        <f>(43.34)*(10.764)</f>
        <v>466.51175999999998</v>
      </c>
      <c r="E138" s="65">
        <f>((3*1.22+2.44*1+3*1))*(10.764)</f>
        <v>97.952399999999997</v>
      </c>
      <c r="F138" s="49">
        <f t="shared" si="1"/>
        <v>564.46415999999999</v>
      </c>
      <c r="G138" s="79">
        <v>0</v>
      </c>
      <c r="H138" s="56">
        <f t="shared" ref="H138:H139" si="3">F138*($H$132+1)+(IF(G138&lt;101,G138,IF(G138&lt;201,G138/2,IF(G138&lt;=301,G138/3,G138/4))))</f>
        <v>846.69623999999999</v>
      </c>
      <c r="I138" s="33">
        <f>3*4.88+2.44*2.44+3*3.27+2.13*1.22+1.22*2+2*0.41+2.44*0.91</f>
        <v>38.482599999999998</v>
      </c>
      <c r="J138" s="34">
        <f>3*1.22+2.44+3</f>
        <v>9.1</v>
      </c>
      <c r="K138" s="33">
        <f>I138+J138</f>
        <v>47.582599999999999</v>
      </c>
      <c r="L138" s="89">
        <f>43.34</f>
        <v>43.34</v>
      </c>
      <c r="M138" s="89"/>
      <c r="N138" s="66">
        <f t="shared" si="2"/>
        <v>4.8574000000000055</v>
      </c>
    </row>
    <row r="139" spans="1:20" s="34" customFormat="1" ht="15.75" customHeight="1" x14ac:dyDescent="0.35">
      <c r="A139" s="90">
        <v>4</v>
      </c>
      <c r="B139" s="91"/>
      <c r="C139" s="39" t="s">
        <v>311</v>
      </c>
      <c r="D139" s="65">
        <f>(43.34)*(10.764)</f>
        <v>466.51175999999998</v>
      </c>
      <c r="E139" s="65">
        <f>((3*1.22+2.44*1+3*1))*(10.764)</f>
        <v>97.952399999999997</v>
      </c>
      <c r="F139" s="49">
        <f t="shared" si="1"/>
        <v>564.46415999999999</v>
      </c>
      <c r="G139" s="79">
        <v>0</v>
      </c>
      <c r="H139" s="56">
        <f t="shared" si="3"/>
        <v>846.69623999999999</v>
      </c>
      <c r="I139" s="33"/>
      <c r="K139" s="33"/>
      <c r="L139" s="89"/>
      <c r="M139" s="89"/>
      <c r="N139" s="66">
        <f t="shared" si="2"/>
        <v>0</v>
      </c>
    </row>
    <row r="140" spans="1:20" s="64" customFormat="1" ht="15.75" customHeight="1" x14ac:dyDescent="0.35">
      <c r="A140" s="90">
        <v>5</v>
      </c>
      <c r="B140" s="91"/>
      <c r="C140" s="63" t="s">
        <v>311</v>
      </c>
      <c r="D140" s="65">
        <f>(43.51)*(10.764)</f>
        <v>468.34163999999993</v>
      </c>
      <c r="E140" s="65">
        <f t="shared" si="0"/>
        <v>97.952399999999997</v>
      </c>
      <c r="F140" s="63">
        <f t="shared" si="1"/>
        <v>566.29403999999988</v>
      </c>
      <c r="G140" s="79">
        <v>0</v>
      </c>
      <c r="H140" s="63">
        <f>F140*($H$132+1)+(IF(G140&lt;101,G140,IF(G140&lt;201,G140/2,IF(G140&lt;=301,G140/3,G140/4))))</f>
        <v>849.44105999999988</v>
      </c>
      <c r="I140" s="33">
        <f>3*4.88+3.19*0.41+2.44*2.44+3*3.5+2.13*1.22+1.22*2.13+2.44*0.9</f>
        <v>39.794699999999992</v>
      </c>
      <c r="J140" s="67">
        <f>1.22*3+2.44*1+3*1</f>
        <v>9.1</v>
      </c>
      <c r="K140" s="68">
        <f>I140+J140</f>
        <v>48.894699999999993</v>
      </c>
      <c r="L140" s="89">
        <f>43.8</f>
        <v>43.8</v>
      </c>
      <c r="M140" s="89"/>
      <c r="N140" s="66">
        <f>L140-I140</f>
        <v>4.0053000000000054</v>
      </c>
      <c r="T140" s="18"/>
    </row>
    <row r="141" spans="1:20" s="64" customFormat="1" ht="15.75" customHeight="1" x14ac:dyDescent="0.35">
      <c r="A141" s="90">
        <v>6</v>
      </c>
      <c r="B141" s="91"/>
      <c r="C141" s="63" t="s">
        <v>311</v>
      </c>
      <c r="D141" s="65">
        <f>(43.8)*(10.764)</f>
        <v>471.46319999999992</v>
      </c>
      <c r="E141" s="65">
        <f>((3*1.22+2.44*1+3*1))*(10.764)</f>
        <v>97.952399999999997</v>
      </c>
      <c r="F141" s="63">
        <f t="shared" si="1"/>
        <v>569.41559999999993</v>
      </c>
      <c r="G141" s="79">
        <v>0</v>
      </c>
      <c r="H141" s="63">
        <f>F141*($H$132+1)+(IF(G141&lt;101,G141,IF(G141&lt;201,G141/2,IF(G141&lt;=301,G141/3,G141/4))))</f>
        <v>854.12339999999995</v>
      </c>
      <c r="I141" s="33"/>
      <c r="L141" s="89"/>
      <c r="M141" s="89"/>
      <c r="N141" s="66">
        <f t="shared" ref="N141" si="4">L141-I141</f>
        <v>0</v>
      </c>
    </row>
    <row r="142" spans="1:20" s="34" customFormat="1" x14ac:dyDescent="0.35">
      <c r="A142" s="90">
        <v>7</v>
      </c>
      <c r="B142" s="91"/>
      <c r="C142" s="39" t="s">
        <v>311</v>
      </c>
      <c r="D142" s="65">
        <f>(44.14)*(10.764)</f>
        <v>475.12295999999998</v>
      </c>
      <c r="E142" s="65">
        <f>((3*1.22+2.42*1.05+2.85*1.25))*(10.764)</f>
        <v>105.094314</v>
      </c>
      <c r="F142" s="49">
        <f t="shared" si="1"/>
        <v>580.21727399999997</v>
      </c>
      <c r="G142" s="79">
        <v>0</v>
      </c>
      <c r="H142" s="56">
        <f t="shared" ref="H142:H145" si="5">F142*($H$132+1)+(IF(G142&lt;101,G142,IF(G142&lt;201,G142/2,IF(G142&lt;=301,G142/3,G142/4))))</f>
        <v>870.32591099999991</v>
      </c>
      <c r="I142" s="33"/>
      <c r="N142" s="33"/>
    </row>
    <row r="143" spans="1:20" s="34" customFormat="1" x14ac:dyDescent="0.35">
      <c r="A143" s="90">
        <v>8</v>
      </c>
      <c r="B143" s="91"/>
      <c r="C143" s="39" t="s">
        <v>313</v>
      </c>
      <c r="D143" s="65">
        <f>(55.29)*(10.764)</f>
        <v>595.14155999999991</v>
      </c>
      <c r="E143" s="65">
        <f>((3*1.22+2.85*1.25+1*2.4+1*2.85))*(10.764)</f>
        <v>134.25398999999999</v>
      </c>
      <c r="F143" s="49">
        <f t="shared" si="1"/>
        <v>729.39554999999996</v>
      </c>
      <c r="G143" s="79">
        <v>0</v>
      </c>
      <c r="H143" s="56">
        <f t="shared" si="5"/>
        <v>1094.0933249999998</v>
      </c>
      <c r="I143" s="33"/>
      <c r="N143" s="33"/>
    </row>
    <row r="144" spans="1:20" s="34" customFormat="1" x14ac:dyDescent="0.35">
      <c r="A144" s="129">
        <f>A143+1</f>
        <v>9</v>
      </c>
      <c r="B144" s="129"/>
      <c r="C144" s="39" t="s">
        <v>311</v>
      </c>
      <c r="D144" s="65">
        <f>(41.89)*(10.764)</f>
        <v>450.90395999999998</v>
      </c>
      <c r="E144" s="65">
        <f>((3*1.37+2.44*1+2.74*1))*(10.764)</f>
        <v>99.997560000000007</v>
      </c>
      <c r="F144" s="49">
        <f>D145+E144</f>
        <v>550.90152</v>
      </c>
      <c r="G144" s="79">
        <v>0</v>
      </c>
      <c r="H144" s="56">
        <f t="shared" si="5"/>
        <v>826.35228000000006</v>
      </c>
      <c r="I144" s="33"/>
      <c r="N144" s="33"/>
    </row>
    <row r="145" spans="1:20" s="34" customFormat="1" x14ac:dyDescent="0.35">
      <c r="A145" s="129">
        <f>A144+1</f>
        <v>10</v>
      </c>
      <c r="B145" s="129"/>
      <c r="C145" s="39" t="s">
        <v>311</v>
      </c>
      <c r="D145" s="65">
        <f>(41.89)*(10.764)</f>
        <v>450.90395999999998</v>
      </c>
      <c r="E145" s="65">
        <f>((3*1.37+2.44*1+2.74*1))*(10.764)</f>
        <v>99.997560000000007</v>
      </c>
      <c r="F145" s="63">
        <f>D145+E145</f>
        <v>550.90152</v>
      </c>
      <c r="G145" s="79">
        <v>0</v>
      </c>
      <c r="H145" s="56">
        <f t="shared" si="5"/>
        <v>826.35228000000006</v>
      </c>
      <c r="I145" s="33"/>
      <c r="N145" s="33"/>
    </row>
    <row r="146" spans="1:20" s="78" customFormat="1" ht="15.5" customHeight="1" x14ac:dyDescent="0.35">
      <c r="A146" s="96" t="s">
        <v>331</v>
      </c>
      <c r="B146" s="97"/>
      <c r="C146" s="97"/>
      <c r="D146" s="97"/>
      <c r="E146" s="97"/>
      <c r="F146" s="97"/>
      <c r="G146" s="97"/>
      <c r="H146" s="98"/>
      <c r="J146" s="33"/>
    </row>
    <row r="147" spans="1:20" s="78" customFormat="1" ht="15.75" customHeight="1" x14ac:dyDescent="0.35">
      <c r="A147" s="90">
        <v>1</v>
      </c>
      <c r="B147" s="91"/>
      <c r="C147" s="90" t="s">
        <v>314</v>
      </c>
      <c r="D147" s="92"/>
      <c r="E147" s="92"/>
      <c r="F147" s="92"/>
      <c r="G147" s="92"/>
      <c r="H147" s="91"/>
      <c r="I147" s="33"/>
      <c r="J147" s="67"/>
      <c r="K147" s="68"/>
      <c r="L147" s="89"/>
      <c r="M147" s="89"/>
      <c r="N147" s="66"/>
      <c r="T147" s="18"/>
    </row>
    <row r="148" spans="1:20" s="78" customFormat="1" ht="15.75" customHeight="1" x14ac:dyDescent="0.35">
      <c r="A148" s="90">
        <v>2</v>
      </c>
      <c r="B148" s="91"/>
      <c r="C148" s="79" t="s">
        <v>313</v>
      </c>
      <c r="D148" s="65">
        <f>(57.66)*(10.764)</f>
        <v>620.65223999999989</v>
      </c>
      <c r="E148" s="65">
        <f>((3*1.22+2.44*1+3*1+3*1))*(10.764)</f>
        <v>130.24439999999998</v>
      </c>
      <c r="F148" s="79">
        <f t="shared" ref="F148:F154" si="6">D148+E148</f>
        <v>750.89663999999993</v>
      </c>
      <c r="G148" s="79">
        <v>0</v>
      </c>
      <c r="H148" s="79">
        <f>F148*($H$132+1)+(IF(G148&lt;101,G148,IF(G148&lt;201,G148/2,IF(G148&lt;=301,G148/3,G148/4))))</f>
        <v>1126.3449599999999</v>
      </c>
      <c r="I148" s="88">
        <f>3*4.88+2.44*2.44+3*2.44+3*3.5+2.13*1.22+2.13*1.22+1.78*3.19+0.91*4.25</f>
        <v>53.156500000000001</v>
      </c>
      <c r="L148" s="89"/>
      <c r="M148" s="89"/>
      <c r="N148" s="66"/>
    </row>
    <row r="149" spans="1:20" s="78" customFormat="1" ht="15.75" customHeight="1" x14ac:dyDescent="0.35">
      <c r="A149" s="90">
        <v>3</v>
      </c>
      <c r="B149" s="91"/>
      <c r="C149" s="79" t="s">
        <v>311</v>
      </c>
      <c r="D149" s="65">
        <f>(42.45)*(10.764)</f>
        <v>456.93180000000001</v>
      </c>
      <c r="E149" s="65">
        <f>((3*1.22+2.44*1+3*1))*(10.764)</f>
        <v>97.952399999999997</v>
      </c>
      <c r="F149" s="79">
        <f t="shared" si="6"/>
        <v>554.88419999999996</v>
      </c>
      <c r="G149" s="79">
        <v>0</v>
      </c>
      <c r="H149" s="79">
        <f t="shared" ref="H149:H150" si="7">F149*($H$132+1)+(IF(G149&lt;101,G149,IF(G149&lt;201,G149/2,IF(G149&lt;=301,G149/3,G149/4))))</f>
        <v>832.32629999999995</v>
      </c>
      <c r="I149" s="33"/>
      <c r="K149" s="33"/>
      <c r="L149" s="89"/>
      <c r="M149" s="89"/>
      <c r="N149" s="66"/>
    </row>
    <row r="150" spans="1:20" s="78" customFormat="1" ht="15.75" customHeight="1" x14ac:dyDescent="0.35">
      <c r="A150" s="90">
        <v>4</v>
      </c>
      <c r="B150" s="91"/>
      <c r="C150" s="79" t="s">
        <v>311</v>
      </c>
      <c r="D150" s="65">
        <f>(42.45)*(10.764)</f>
        <v>456.93180000000001</v>
      </c>
      <c r="E150" s="65">
        <f>((3*1.22+2.44*1+3*1))*(10.764)</f>
        <v>97.952399999999997</v>
      </c>
      <c r="F150" s="79">
        <f t="shared" si="6"/>
        <v>554.88419999999996</v>
      </c>
      <c r="G150" s="79">
        <v>0</v>
      </c>
      <c r="H150" s="79">
        <f t="shared" si="7"/>
        <v>832.32629999999995</v>
      </c>
      <c r="I150" s="33"/>
      <c r="K150" s="33"/>
      <c r="L150" s="89"/>
      <c r="M150" s="89"/>
      <c r="N150" s="66"/>
    </row>
    <row r="151" spans="1:20" s="78" customFormat="1" ht="15.75" customHeight="1" x14ac:dyDescent="0.35">
      <c r="A151" s="90">
        <v>5</v>
      </c>
      <c r="B151" s="91"/>
      <c r="C151" s="79" t="s">
        <v>311</v>
      </c>
      <c r="D151" s="65">
        <f>(43.07)*(10.764)</f>
        <v>463.60548</v>
      </c>
      <c r="E151" s="65">
        <f>((3*1.22+2.44*1+3*1))*(10.764)</f>
        <v>97.952399999999997</v>
      </c>
      <c r="F151" s="79">
        <f t="shared" si="6"/>
        <v>561.55787999999995</v>
      </c>
      <c r="G151" s="79">
        <v>0</v>
      </c>
      <c r="H151" s="79">
        <f>F151*($H$132+1)+(IF(G151&lt;101,G151,IF(G151&lt;201,G151/2,IF(G151&lt;=301,G151/3,G151/4))))</f>
        <v>842.33681999999999</v>
      </c>
      <c r="I151" s="33"/>
      <c r="J151" s="67"/>
      <c r="K151" s="68"/>
      <c r="L151" s="89"/>
      <c r="M151" s="89"/>
      <c r="N151" s="66"/>
      <c r="T151" s="18"/>
    </row>
    <row r="152" spans="1:20" s="78" customFormat="1" ht="15.75" customHeight="1" x14ac:dyDescent="0.35">
      <c r="A152" s="90">
        <v>6</v>
      </c>
      <c r="B152" s="91"/>
      <c r="C152" s="79" t="s">
        <v>311</v>
      </c>
      <c r="D152" s="65">
        <f>(43.37)*(10.764)</f>
        <v>466.83467999999993</v>
      </c>
      <c r="E152" s="65">
        <f>((3*1.22+2.44*1+3*1))*(10.764)</f>
        <v>97.952399999999997</v>
      </c>
      <c r="F152" s="79">
        <f t="shared" si="6"/>
        <v>564.78707999999995</v>
      </c>
      <c r="G152" s="79">
        <v>0</v>
      </c>
      <c r="H152" s="79">
        <f>F152*($H$132+1)+(IF(G152&lt;101,G152,IF(G152&lt;201,G152/2,IF(G152&lt;=301,G152/3,G152/4))))</f>
        <v>847.18061999999986</v>
      </c>
      <c r="I152" s="33"/>
      <c r="L152" s="89"/>
      <c r="M152" s="89"/>
      <c r="N152" s="66"/>
    </row>
    <row r="153" spans="1:20" s="78" customFormat="1" x14ac:dyDescent="0.35">
      <c r="A153" s="90">
        <v>7</v>
      </c>
      <c r="B153" s="91"/>
      <c r="C153" s="79" t="s">
        <v>311</v>
      </c>
      <c r="D153" s="65">
        <f>(44.14)*(10.764)</f>
        <v>475.12295999999998</v>
      </c>
      <c r="E153" s="65">
        <f>((3*1.22+2.42*1.05+1.25*2.85))*(10.764)</f>
        <v>105.094314</v>
      </c>
      <c r="F153" s="79">
        <f t="shared" si="6"/>
        <v>580.21727399999997</v>
      </c>
      <c r="G153" s="79">
        <v>0</v>
      </c>
      <c r="H153" s="79">
        <f t="shared" ref="H153:H156" si="8">F153*($H$132+1)+(IF(G153&lt;101,G153,IF(G153&lt;201,G153/2,IF(G153&lt;=301,G153/3,G153/4))))</f>
        <v>870.32591099999991</v>
      </c>
      <c r="I153" s="33"/>
      <c r="N153" s="33"/>
    </row>
    <row r="154" spans="1:20" s="78" customFormat="1" x14ac:dyDescent="0.35">
      <c r="A154" s="90">
        <v>8</v>
      </c>
      <c r="B154" s="91"/>
      <c r="C154" s="79" t="s">
        <v>313</v>
      </c>
      <c r="D154" s="65">
        <f>(55.29)*(10.764)</f>
        <v>595.14155999999991</v>
      </c>
      <c r="E154" s="65">
        <f>((3*1.22+2.4*1+1.25*2.85+1*2.85))*(10.764)</f>
        <v>134.25398999999999</v>
      </c>
      <c r="F154" s="79">
        <f t="shared" si="6"/>
        <v>729.39554999999996</v>
      </c>
      <c r="G154" s="79">
        <v>0</v>
      </c>
      <c r="H154" s="79">
        <f t="shared" si="8"/>
        <v>1094.0933249999998</v>
      </c>
      <c r="I154" s="33"/>
      <c r="N154" s="33"/>
    </row>
    <row r="155" spans="1:20" s="78" customFormat="1" x14ac:dyDescent="0.35">
      <c r="A155" s="129">
        <f>A154+1</f>
        <v>9</v>
      </c>
      <c r="B155" s="129"/>
      <c r="C155" s="79" t="s">
        <v>311</v>
      </c>
      <c r="D155" s="65">
        <f>(41.16)*(10.764)</f>
        <v>443.04623999999995</v>
      </c>
      <c r="E155" s="65">
        <f>((3*1.37+2.44*1+2.74*1))*(10.764)</f>
        <v>99.997560000000007</v>
      </c>
      <c r="F155" s="79">
        <f>D156+E155</f>
        <v>543.04379999999992</v>
      </c>
      <c r="G155" s="79">
        <v>0</v>
      </c>
      <c r="H155" s="79">
        <f t="shared" si="8"/>
        <v>814.56569999999988</v>
      </c>
      <c r="I155" s="33"/>
      <c r="N155" s="33"/>
    </row>
    <row r="156" spans="1:20" s="78" customFormat="1" x14ac:dyDescent="0.35">
      <c r="A156" s="129">
        <f>A155+1</f>
        <v>10</v>
      </c>
      <c r="B156" s="129"/>
      <c r="C156" s="79" t="s">
        <v>311</v>
      </c>
      <c r="D156" s="65">
        <f>(41.16)*(10.764)</f>
        <v>443.04623999999995</v>
      </c>
      <c r="E156" s="65">
        <f>((3*1.37+2.44*1+2.74*1))*(10.764)</f>
        <v>99.997560000000007</v>
      </c>
      <c r="F156" s="79">
        <f>D156+E156</f>
        <v>543.04379999999992</v>
      </c>
      <c r="G156" s="79">
        <v>0</v>
      </c>
      <c r="H156" s="79">
        <f t="shared" si="8"/>
        <v>814.56569999999988</v>
      </c>
      <c r="I156" s="33"/>
      <c r="N156" s="33"/>
    </row>
    <row r="157" spans="1:20" s="78" customFormat="1" ht="15.5" customHeight="1" x14ac:dyDescent="0.35">
      <c r="A157" s="96" t="s">
        <v>333</v>
      </c>
      <c r="B157" s="97"/>
      <c r="C157" s="97"/>
      <c r="D157" s="97"/>
      <c r="E157" s="97"/>
      <c r="F157" s="97"/>
      <c r="G157" s="97"/>
      <c r="H157" s="98"/>
      <c r="J157" s="33"/>
    </row>
    <row r="158" spans="1:20" s="32" customFormat="1" x14ac:dyDescent="0.35">
      <c r="A158" s="142" t="s">
        <v>65</v>
      </c>
      <c r="B158" s="142"/>
      <c r="C158" s="142"/>
      <c r="D158" s="142"/>
      <c r="E158" s="142"/>
      <c r="F158" s="142"/>
      <c r="G158" s="142"/>
      <c r="H158" s="142"/>
      <c r="T158" s="34"/>
    </row>
    <row r="159" spans="1:20" s="32" customFormat="1" ht="34" customHeight="1" x14ac:dyDescent="0.35">
      <c r="A159" s="41" t="s">
        <v>149</v>
      </c>
      <c r="B159" s="136" t="s">
        <v>344</v>
      </c>
      <c r="C159" s="137"/>
      <c r="D159" s="137"/>
      <c r="E159" s="137"/>
      <c r="F159" s="137"/>
      <c r="G159" s="137"/>
      <c r="H159" s="138"/>
      <c r="T159" s="34"/>
    </row>
    <row r="160" spans="1:20" s="32" customFormat="1" x14ac:dyDescent="0.35">
      <c r="A160" s="41" t="s">
        <v>149</v>
      </c>
      <c r="B160" s="136" t="str">
        <f>(IF(H131="Saleable area Loading :","We have considered Saleable area of Flats as per our Calculation.","We considered Saleable area of Flat as per Builder area Sheet."))</f>
        <v>We have considered Saleable area of Flats as per our Calculation.</v>
      </c>
      <c r="C160" s="137"/>
      <c r="D160" s="137"/>
      <c r="E160" s="137"/>
      <c r="F160" s="137"/>
      <c r="G160" s="137"/>
      <c r="H160" s="138"/>
      <c r="T160" s="34"/>
    </row>
    <row r="161" spans="1:20" s="32" customFormat="1" x14ac:dyDescent="0.35">
      <c r="A161" s="41" t="s">
        <v>149</v>
      </c>
      <c r="B161" s="136" t="str">
        <f>(IF(H121="Saleable area Loading :","We have considered Saleable area of Commercial as per our Calculation.","We considered Saleable area of Commercial as per Builder area Sheet."))</f>
        <v>We have considered Saleable area of Commercial as per our Calculation.</v>
      </c>
      <c r="C161" s="137"/>
      <c r="D161" s="137"/>
      <c r="E161" s="137"/>
      <c r="F161" s="137"/>
      <c r="G161" s="137"/>
      <c r="H161" s="138"/>
    </row>
    <row r="162" spans="1:20" s="32" customFormat="1" x14ac:dyDescent="0.35">
      <c r="A162" s="41" t="s">
        <v>149</v>
      </c>
      <c r="B162" s="139" t="s">
        <v>119</v>
      </c>
      <c r="C162" s="140"/>
      <c r="D162" s="140"/>
      <c r="E162" s="140"/>
      <c r="F162" s="140"/>
      <c r="G162" s="140"/>
      <c r="H162" s="141"/>
    </row>
    <row r="163" spans="1:20" s="32" customFormat="1" x14ac:dyDescent="0.35">
      <c r="A163" s="41" t="s">
        <v>149</v>
      </c>
      <c r="B163" s="139" t="s">
        <v>345</v>
      </c>
      <c r="C163" s="140"/>
      <c r="D163" s="140"/>
      <c r="E163" s="140"/>
      <c r="F163" s="140"/>
      <c r="G163" s="140"/>
      <c r="H163" s="141"/>
    </row>
    <row r="164" spans="1:20" s="32" customFormat="1" x14ac:dyDescent="0.35">
      <c r="A164" s="41" t="s">
        <v>149</v>
      </c>
      <c r="B164" s="139" t="s">
        <v>148</v>
      </c>
      <c r="C164" s="140"/>
      <c r="D164" s="140"/>
      <c r="E164" s="140"/>
      <c r="F164" s="140"/>
      <c r="G164" s="140"/>
      <c r="H164" s="141"/>
    </row>
    <row r="165" spans="1:20" s="32" customFormat="1" x14ac:dyDescent="0.35">
      <c r="A165" s="41" t="s">
        <v>149</v>
      </c>
      <c r="B165" s="139" t="s">
        <v>120</v>
      </c>
      <c r="C165" s="140"/>
      <c r="D165" s="140"/>
      <c r="E165" s="140"/>
      <c r="F165" s="140"/>
      <c r="G165" s="140"/>
      <c r="H165" s="141"/>
    </row>
    <row r="166" spans="1:20" s="32" customFormat="1" ht="34.5" customHeight="1" x14ac:dyDescent="0.35">
      <c r="A166" s="41" t="s">
        <v>149</v>
      </c>
      <c r="B166" s="139" t="s">
        <v>150</v>
      </c>
      <c r="C166" s="140"/>
      <c r="D166" s="140"/>
      <c r="E166" s="140"/>
      <c r="F166" s="140"/>
      <c r="G166" s="140"/>
      <c r="H166" s="141"/>
    </row>
    <row r="167" spans="1:20" s="32" customFormat="1" x14ac:dyDescent="0.35">
      <c r="A167" s="41" t="s">
        <v>149</v>
      </c>
      <c r="B167" s="139" t="s">
        <v>121</v>
      </c>
      <c r="C167" s="140"/>
      <c r="D167" s="140"/>
      <c r="E167" s="140"/>
      <c r="F167" s="140"/>
      <c r="G167" s="140"/>
      <c r="H167" s="141"/>
    </row>
    <row r="168" spans="1:20" s="32" customFormat="1" ht="32" customHeight="1" x14ac:dyDescent="0.35">
      <c r="A168" s="77" t="s">
        <v>149</v>
      </c>
      <c r="B168" s="139" t="s">
        <v>340</v>
      </c>
      <c r="C168" s="140"/>
      <c r="D168" s="140"/>
      <c r="E168" s="140"/>
      <c r="F168" s="140"/>
      <c r="G168" s="140"/>
      <c r="H168" s="141"/>
    </row>
    <row r="169" spans="1:20" s="32" customFormat="1" ht="32.5" customHeight="1" x14ac:dyDescent="0.35">
      <c r="A169" s="77" t="s">
        <v>149</v>
      </c>
      <c r="B169" s="139" t="s">
        <v>339</v>
      </c>
      <c r="C169" s="140"/>
      <c r="D169" s="140"/>
      <c r="E169" s="140"/>
      <c r="F169" s="140"/>
      <c r="G169" s="140"/>
      <c r="H169" s="141"/>
    </row>
    <row r="170" spans="1:20" x14ac:dyDescent="0.35">
      <c r="A170" s="147" t="s">
        <v>58</v>
      </c>
      <c r="B170" s="147"/>
      <c r="C170" s="147"/>
      <c r="D170" s="147"/>
      <c r="E170" s="147"/>
      <c r="F170" s="147"/>
      <c r="G170" s="147"/>
      <c r="H170" s="147"/>
      <c r="T170" s="32"/>
    </row>
    <row r="171" spans="1:20" x14ac:dyDescent="0.35">
      <c r="A171" s="103" t="s">
        <v>59</v>
      </c>
      <c r="B171" s="103"/>
      <c r="C171" s="103"/>
      <c r="D171" s="103"/>
      <c r="E171" s="103"/>
      <c r="F171" s="103"/>
      <c r="G171" s="103"/>
      <c r="H171" s="103"/>
      <c r="T171" s="32"/>
    </row>
    <row r="172" spans="1:20" ht="15.75" customHeight="1" x14ac:dyDescent="0.35">
      <c r="A172" s="128" t="s">
        <v>60</v>
      </c>
      <c r="B172" s="128"/>
      <c r="C172" s="128"/>
      <c r="D172" s="128"/>
      <c r="E172" s="128"/>
      <c r="F172" s="128"/>
      <c r="G172" s="128"/>
      <c r="H172" s="128"/>
      <c r="T172" s="32"/>
    </row>
    <row r="173" spans="1:20" x14ac:dyDescent="0.35">
      <c r="A173" s="103" t="s">
        <v>61</v>
      </c>
      <c r="B173" s="103"/>
      <c r="C173" s="103"/>
      <c r="D173" s="103"/>
      <c r="E173" s="103"/>
      <c r="F173" s="103"/>
      <c r="G173" s="103"/>
      <c r="H173" s="103"/>
    </row>
    <row r="174" spans="1:20" x14ac:dyDescent="0.35">
      <c r="A174" s="103" t="s">
        <v>62</v>
      </c>
      <c r="B174" s="103"/>
      <c r="C174" s="103"/>
      <c r="D174" s="103"/>
      <c r="E174" s="103"/>
      <c r="F174" s="103"/>
      <c r="G174" s="103"/>
      <c r="H174" s="103"/>
    </row>
    <row r="175" spans="1:20" x14ac:dyDescent="0.35">
      <c r="A175" s="103" t="s">
        <v>122</v>
      </c>
      <c r="B175" s="103"/>
      <c r="C175" s="103"/>
      <c r="D175" s="103"/>
      <c r="E175" s="103"/>
      <c r="F175" s="103"/>
      <c r="G175" s="103"/>
      <c r="H175" s="103"/>
    </row>
    <row r="176" spans="1:20" ht="34" customHeight="1" x14ac:dyDescent="0.35">
      <c r="A176" s="146" t="s">
        <v>123</v>
      </c>
      <c r="B176" s="146"/>
      <c r="C176" s="146"/>
      <c r="D176" s="146"/>
      <c r="E176" s="146"/>
      <c r="F176" s="146"/>
      <c r="G176" s="146"/>
      <c r="H176" s="146"/>
    </row>
    <row r="177" spans="1:8" x14ac:dyDescent="0.35">
      <c r="A177" s="144" t="s">
        <v>73</v>
      </c>
      <c r="B177" s="144"/>
      <c r="C177" s="144" t="s">
        <v>346</v>
      </c>
      <c r="D177" s="144"/>
      <c r="E177" s="144" t="s">
        <v>103</v>
      </c>
      <c r="F177" s="144"/>
      <c r="G177" s="144" t="s">
        <v>329</v>
      </c>
      <c r="H177" s="144"/>
    </row>
    <row r="178" spans="1:8" x14ac:dyDescent="0.35">
      <c r="A178" s="143" t="s">
        <v>75</v>
      </c>
      <c r="B178" s="143"/>
      <c r="C178" s="143"/>
      <c r="D178" s="143"/>
      <c r="E178" s="143"/>
      <c r="F178" s="143"/>
      <c r="G178" s="143"/>
      <c r="H178" s="143"/>
    </row>
    <row r="179" spans="1:8" x14ac:dyDescent="0.35">
      <c r="A179" s="143"/>
      <c r="B179" s="143"/>
      <c r="C179" s="143"/>
      <c r="D179" s="143"/>
      <c r="E179" s="143"/>
      <c r="F179" s="143"/>
      <c r="G179" s="143"/>
      <c r="H179" s="143"/>
    </row>
    <row r="180" spans="1:8" x14ac:dyDescent="0.35">
      <c r="A180" s="143"/>
      <c r="B180" s="143"/>
      <c r="C180" s="143"/>
      <c r="D180" s="143"/>
      <c r="E180" s="143"/>
      <c r="F180" s="143"/>
      <c r="G180" s="143"/>
      <c r="H180" s="143"/>
    </row>
    <row r="181" spans="1:8" x14ac:dyDescent="0.35">
      <c r="A181" s="143"/>
      <c r="B181" s="143"/>
      <c r="C181" s="143"/>
      <c r="D181" s="143"/>
      <c r="E181" s="143"/>
      <c r="F181" s="143"/>
      <c r="G181" s="143"/>
      <c r="H181" s="143"/>
    </row>
    <row r="182" spans="1:8" x14ac:dyDescent="0.35">
      <c r="A182" s="35" t="s">
        <v>63</v>
      </c>
      <c r="B182" s="36"/>
      <c r="C182" s="36"/>
      <c r="D182" s="35" t="str">
        <f>E9</f>
        <v>Rutu Apartments</v>
      </c>
      <c r="F182" s="36"/>
      <c r="G182" s="36"/>
      <c r="H182" s="36"/>
    </row>
    <row r="183" spans="1:8" x14ac:dyDescent="0.35">
      <c r="A183" s="36"/>
      <c r="B183" s="36"/>
      <c r="C183" s="36"/>
      <c r="D183" s="36"/>
      <c r="E183" s="36"/>
      <c r="F183" s="36"/>
      <c r="G183" s="36"/>
      <c r="H183" s="36"/>
    </row>
    <row r="184" spans="1:8" x14ac:dyDescent="0.35">
      <c r="A184" s="36"/>
      <c r="B184" s="36"/>
      <c r="C184" s="36"/>
      <c r="D184" s="36"/>
      <c r="E184" s="36"/>
      <c r="F184" s="36"/>
      <c r="G184" s="36"/>
      <c r="H184" s="36"/>
    </row>
    <row r="185" spans="1:8" ht="15" customHeight="1" x14ac:dyDescent="0.35"/>
    <row r="225" spans="1:1" x14ac:dyDescent="0.35">
      <c r="A225" s="38" t="s">
        <v>160</v>
      </c>
    </row>
    <row r="268" spans="1:1" x14ac:dyDescent="0.35">
      <c r="A268" s="38" t="s">
        <v>64</v>
      </c>
    </row>
  </sheetData>
  <mergeCells count="329">
    <mergeCell ref="L129:M129"/>
    <mergeCell ref="C111:D111"/>
    <mergeCell ref="E111:F111"/>
    <mergeCell ref="B121:B122"/>
    <mergeCell ref="A121:A122"/>
    <mergeCell ref="C131:C132"/>
    <mergeCell ref="G131:G132"/>
    <mergeCell ref="A125:B125"/>
    <mergeCell ref="A124:H124"/>
    <mergeCell ref="A63:C63"/>
    <mergeCell ref="B166:H166"/>
    <mergeCell ref="A145:B145"/>
    <mergeCell ref="A49:B49"/>
    <mergeCell ref="C49:H49"/>
    <mergeCell ref="B164:H164"/>
    <mergeCell ref="G86:H95"/>
    <mergeCell ref="A87:B87"/>
    <mergeCell ref="A88:B88"/>
    <mergeCell ref="A89:B89"/>
    <mergeCell ref="F98:H98"/>
    <mergeCell ref="A98:E98"/>
    <mergeCell ref="D121:D122"/>
    <mergeCell ref="A100:E100"/>
    <mergeCell ref="A99:E99"/>
    <mergeCell ref="A96:E96"/>
    <mergeCell ref="F100:H100"/>
    <mergeCell ref="A137:B137"/>
    <mergeCell ref="A138:B138"/>
    <mergeCell ref="A139:B139"/>
    <mergeCell ref="D63:H63"/>
    <mergeCell ref="C70:H70"/>
    <mergeCell ref="A73:B73"/>
    <mergeCell ref="A75:B75"/>
    <mergeCell ref="A65:C65"/>
    <mergeCell ref="D66:H66"/>
    <mergeCell ref="A72:B72"/>
    <mergeCell ref="G71:H71"/>
    <mergeCell ref="F96:H96"/>
    <mergeCell ref="F101:H101"/>
    <mergeCell ref="A127:B127"/>
    <mergeCell ref="E85:F85"/>
    <mergeCell ref="G118:H118"/>
    <mergeCell ref="A71:B71"/>
    <mergeCell ref="A70:B70"/>
    <mergeCell ref="A68:B68"/>
    <mergeCell ref="C68:H68"/>
    <mergeCell ref="A76:B76"/>
    <mergeCell ref="E71:F71"/>
    <mergeCell ref="A101:E101"/>
    <mergeCell ref="A95:B95"/>
    <mergeCell ref="A117:B117"/>
    <mergeCell ref="E72:F81"/>
    <mergeCell ref="G72:H81"/>
    <mergeCell ref="A80:B80"/>
    <mergeCell ref="A81:B81"/>
    <mergeCell ref="A77:B77"/>
    <mergeCell ref="A85:B85"/>
    <mergeCell ref="A64:C64"/>
    <mergeCell ref="D64:H64"/>
    <mergeCell ref="A67:C67"/>
    <mergeCell ref="D67:H67"/>
    <mergeCell ref="A39:B39"/>
    <mergeCell ref="C39:H39"/>
    <mergeCell ref="A46:D46"/>
    <mergeCell ref="L127:M127"/>
    <mergeCell ref="L126:M126"/>
    <mergeCell ref="L125:M125"/>
    <mergeCell ref="A79:B79"/>
    <mergeCell ref="C116:D116"/>
    <mergeCell ref="E116:F116"/>
    <mergeCell ref="G116:H116"/>
    <mergeCell ref="A97:E97"/>
    <mergeCell ref="E121:E122"/>
    <mergeCell ref="A86:B86"/>
    <mergeCell ref="A47:D47"/>
    <mergeCell ref="A48:H48"/>
    <mergeCell ref="D58:H58"/>
    <mergeCell ref="A58:C58"/>
    <mergeCell ref="A78:B78"/>
    <mergeCell ref="C84:H84"/>
    <mergeCell ref="A45:D45"/>
    <mergeCell ref="A38:H38"/>
    <mergeCell ref="A37:B37"/>
    <mergeCell ref="C37:E37"/>
    <mergeCell ref="A42:D42"/>
    <mergeCell ref="E42:H42"/>
    <mergeCell ref="A41:H41"/>
    <mergeCell ref="A61:C61"/>
    <mergeCell ref="A62:C62"/>
    <mergeCell ref="D61:H61"/>
    <mergeCell ref="G51:H51"/>
    <mergeCell ref="A52:B53"/>
    <mergeCell ref="C53:H53"/>
    <mergeCell ref="C52:E52"/>
    <mergeCell ref="A40:B40"/>
    <mergeCell ref="C40:H40"/>
    <mergeCell ref="D62:H62"/>
    <mergeCell ref="A44:D44"/>
    <mergeCell ref="E44:H44"/>
    <mergeCell ref="E45:H45"/>
    <mergeCell ref="E46:H46"/>
    <mergeCell ref="A59:C60"/>
    <mergeCell ref="D59:H59"/>
    <mergeCell ref="D60:H60"/>
    <mergeCell ref="C51:E51"/>
    <mergeCell ref="A50:B50"/>
    <mergeCell ref="C50:E50"/>
    <mergeCell ref="G50:H50"/>
    <mergeCell ref="G52:H52"/>
    <mergeCell ref="A51:B51"/>
    <mergeCell ref="A55:H55"/>
    <mergeCell ref="A56:C56"/>
    <mergeCell ref="A57:C57"/>
    <mergeCell ref="D57:H57"/>
    <mergeCell ref="G54:H54"/>
    <mergeCell ref="A54:B54"/>
    <mergeCell ref="C54:E54"/>
    <mergeCell ref="D56:H56"/>
    <mergeCell ref="E47:H47"/>
    <mergeCell ref="A84:B8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B161:H161"/>
    <mergeCell ref="B159:H159"/>
    <mergeCell ref="B160:H160"/>
    <mergeCell ref="B162:H162"/>
    <mergeCell ref="B163:H163"/>
    <mergeCell ref="A158:H158"/>
    <mergeCell ref="A178:H181"/>
    <mergeCell ref="A177:B177"/>
    <mergeCell ref="E177:F177"/>
    <mergeCell ref="C177:D177"/>
    <mergeCell ref="G177:H177"/>
    <mergeCell ref="A173:H173"/>
    <mergeCell ref="A176:H176"/>
    <mergeCell ref="A174:H174"/>
    <mergeCell ref="A170:H170"/>
    <mergeCell ref="A171:H171"/>
    <mergeCell ref="B168:H168"/>
    <mergeCell ref="B169:H169"/>
    <mergeCell ref="B167:H167"/>
    <mergeCell ref="B165:H165"/>
    <mergeCell ref="A175:H175"/>
    <mergeCell ref="A172:H172"/>
    <mergeCell ref="A142:B142"/>
    <mergeCell ref="A115:B115"/>
    <mergeCell ref="D131:D132"/>
    <mergeCell ref="E131:E132"/>
    <mergeCell ref="A146:H146"/>
    <mergeCell ref="A147:B147"/>
    <mergeCell ref="A153:B153"/>
    <mergeCell ref="A154:B154"/>
    <mergeCell ref="A155:B155"/>
    <mergeCell ref="A156:B156"/>
    <mergeCell ref="A157:H157"/>
    <mergeCell ref="A120:H120"/>
    <mergeCell ref="A126:B126"/>
    <mergeCell ref="C115:D115"/>
    <mergeCell ref="A118:B118"/>
    <mergeCell ref="C118:D118"/>
    <mergeCell ref="E118:F118"/>
    <mergeCell ref="E117:F117"/>
    <mergeCell ref="G121:G122"/>
    <mergeCell ref="A143:B143"/>
    <mergeCell ref="A144:B144"/>
    <mergeCell ref="A140:B140"/>
    <mergeCell ref="A92:B92"/>
    <mergeCell ref="F97:H97"/>
    <mergeCell ref="G111:H111"/>
    <mergeCell ref="F103:H103"/>
    <mergeCell ref="C110:D110"/>
    <mergeCell ref="C117:D117"/>
    <mergeCell ref="F105:H105"/>
    <mergeCell ref="E110:F110"/>
    <mergeCell ref="A110:B110"/>
    <mergeCell ref="A109:H109"/>
    <mergeCell ref="A107:E107"/>
    <mergeCell ref="F107:H107"/>
    <mergeCell ref="A108:E108"/>
    <mergeCell ref="F108:H108"/>
    <mergeCell ref="A116:B116"/>
    <mergeCell ref="A114:H114"/>
    <mergeCell ref="G115:H115"/>
    <mergeCell ref="A106:E106"/>
    <mergeCell ref="G117:H117"/>
    <mergeCell ref="A113:B113"/>
    <mergeCell ref="C113:D113"/>
    <mergeCell ref="E113:F113"/>
    <mergeCell ref="G113:H113"/>
    <mergeCell ref="G110:H110"/>
    <mergeCell ref="I15:P15"/>
    <mergeCell ref="F106:H106"/>
    <mergeCell ref="F104:H104"/>
    <mergeCell ref="E43:H43"/>
    <mergeCell ref="A43:D43"/>
    <mergeCell ref="E115:F115"/>
    <mergeCell ref="A119:H119"/>
    <mergeCell ref="G85:H85"/>
    <mergeCell ref="A102:E102"/>
    <mergeCell ref="F102:H102"/>
    <mergeCell ref="A104:E104"/>
    <mergeCell ref="F99:H99"/>
    <mergeCell ref="A103:E103"/>
    <mergeCell ref="E86:F95"/>
    <mergeCell ref="A93:B93"/>
    <mergeCell ref="A94:B94"/>
    <mergeCell ref="A105:E105"/>
    <mergeCell ref="D65:H65"/>
    <mergeCell ref="A66:C66"/>
    <mergeCell ref="A82:B82"/>
    <mergeCell ref="C82:H82"/>
    <mergeCell ref="A74:B74"/>
    <mergeCell ref="A90:B90"/>
    <mergeCell ref="A91:B91"/>
    <mergeCell ref="C112:D112"/>
    <mergeCell ref="E112:F112"/>
    <mergeCell ref="G112:H112"/>
    <mergeCell ref="A111:A112"/>
    <mergeCell ref="A123:H123"/>
    <mergeCell ref="L140:M140"/>
    <mergeCell ref="L141:M141"/>
    <mergeCell ref="L139:M139"/>
    <mergeCell ref="L136:M136"/>
    <mergeCell ref="L137:M137"/>
    <mergeCell ref="A135:H135"/>
    <mergeCell ref="A131:A132"/>
    <mergeCell ref="F131:F132"/>
    <mergeCell ref="F121:F122"/>
    <mergeCell ref="A130:H130"/>
    <mergeCell ref="A133:H133"/>
    <mergeCell ref="A134:H134"/>
    <mergeCell ref="C121:C122"/>
    <mergeCell ref="B131:B132"/>
    <mergeCell ref="A136:B136"/>
    <mergeCell ref="A141:B141"/>
    <mergeCell ref="L138:M138"/>
    <mergeCell ref="A128:H128"/>
    <mergeCell ref="A129:B129"/>
    <mergeCell ref="L147:M147"/>
    <mergeCell ref="A148:B148"/>
    <mergeCell ref="L148:M148"/>
    <mergeCell ref="L149:M149"/>
    <mergeCell ref="A150:B150"/>
    <mergeCell ref="L150:M150"/>
    <mergeCell ref="L151:M151"/>
    <mergeCell ref="A152:B152"/>
    <mergeCell ref="L152:M152"/>
    <mergeCell ref="C147:H147"/>
    <mergeCell ref="A149:B149"/>
    <mergeCell ref="A151:B151"/>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1:E122">
      <formula1>"Attached Loft area,Attached Otla area,Attached Mezzanine area"</formula1>
    </dataValidation>
    <dataValidation type="list" allowBlank="1" showInputMessage="1" showErrorMessage="1" sqref="G177:H177">
      <formula1>"Kunal Kadam,Pranita Mhatre,Shruti Fule,Pooja Kawale,Neha Dhokale,Anjali Kamble, Hitakshi Mhatre, Sachin Sawant"</formula1>
    </dataValidation>
    <dataValidation type="list" allowBlank="1" showInputMessage="1" showErrorMessage="1" sqref="F96:H96">
      <formula1>"On Saleable Area,On Builtup Area,On Carpet Area,On Plot Area"</formula1>
    </dataValidation>
    <dataValidation type="list" allowBlank="1" showInputMessage="1" showErrorMessage="1" sqref="F107:H107">
      <formula1>OFFSET($S$96,1,MATCH($G20,$S$96:$W$96,0)-1,15,1)</formula1>
    </dataValidation>
    <dataValidation type="list" allowBlank="1" showInputMessage="1" showErrorMessage="1" sqref="B121:B122">
      <formula1>"Shop No. (Sale Plan),Sale / Rehab,Sale / Mhada"</formula1>
    </dataValidation>
    <dataValidation type="list" allowBlank="1" showInputMessage="1" showErrorMessage="1" sqref="B131:B13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1:E132">
      <formula1>"Fungible area,Balcony Area,Chajja Area,Cornice Area,AP Area,WS Area"</formula1>
    </dataValidation>
    <dataValidation type="list" allowBlank="1" showInputMessage="1" showErrorMessage="1" sqref="H122 H13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67" max="16383" man="1"/>
    <brk id="113" max="16383" man="1"/>
    <brk id="181" max="16383" man="1"/>
    <brk id="224" max="16383" man="1"/>
    <brk id="26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04" t="s">
        <v>104</v>
      </c>
      <c r="C3" s="204"/>
      <c r="D3" s="204"/>
      <c r="E3" s="204"/>
      <c r="F3" s="204"/>
      <c r="G3" s="204"/>
      <c r="H3" s="204"/>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7"/>
      <c r="C4" s="47" t="s">
        <v>11</v>
      </c>
      <c r="D4" s="48" t="s">
        <v>174</v>
      </c>
      <c r="E4" s="48" t="s">
        <v>184</v>
      </c>
      <c r="F4" s="48" t="s">
        <v>169</v>
      </c>
      <c r="G4" s="48" t="s">
        <v>189</v>
      </c>
      <c r="H4" s="48" t="s">
        <v>207</v>
      </c>
      <c r="J4" t="s">
        <v>189</v>
      </c>
      <c r="K4" t="s">
        <v>205</v>
      </c>
    </row>
    <row r="5" spans="2:11" x14ac:dyDescent="0.35">
      <c r="B5" s="47"/>
      <c r="C5" s="47"/>
      <c r="D5" s="48" t="s">
        <v>175</v>
      </c>
      <c r="E5" s="48" t="s">
        <v>182</v>
      </c>
      <c r="F5" s="48" t="s">
        <v>204</v>
      </c>
      <c r="G5" s="48" t="s">
        <v>190</v>
      </c>
      <c r="H5" s="48" t="s">
        <v>208</v>
      </c>
    </row>
    <row r="6" spans="2:11" x14ac:dyDescent="0.35">
      <c r="B6" s="47"/>
      <c r="C6" s="47"/>
      <c r="D6" s="48" t="s">
        <v>176</v>
      </c>
      <c r="E6" s="48" t="s">
        <v>183</v>
      </c>
      <c r="F6" s="48" t="s">
        <v>205</v>
      </c>
      <c r="G6" s="48" t="s">
        <v>191</v>
      </c>
      <c r="H6" s="48" t="s">
        <v>221</v>
      </c>
    </row>
    <row r="7" spans="2:11" x14ac:dyDescent="0.35">
      <c r="B7" s="47"/>
      <c r="C7" s="47"/>
      <c r="D7" s="48" t="s">
        <v>177</v>
      </c>
      <c r="E7" s="48" t="s">
        <v>185</v>
      </c>
      <c r="F7" s="48" t="s">
        <v>206</v>
      </c>
      <c r="G7" s="48" t="s">
        <v>192</v>
      </c>
      <c r="H7" s="48" t="s">
        <v>209</v>
      </c>
    </row>
    <row r="8" spans="2:11" x14ac:dyDescent="0.35">
      <c r="B8" s="47"/>
      <c r="C8" s="47"/>
      <c r="D8" s="48" t="s">
        <v>178</v>
      </c>
      <c r="E8" s="48" t="s">
        <v>186</v>
      </c>
      <c r="F8" s="48"/>
      <c r="G8" s="48" t="s">
        <v>193</v>
      </c>
      <c r="H8" s="48" t="s">
        <v>210</v>
      </c>
    </row>
    <row r="9" spans="2:11" x14ac:dyDescent="0.35">
      <c r="B9" s="47"/>
      <c r="C9" s="47"/>
      <c r="D9" s="48" t="s">
        <v>179</v>
      </c>
      <c r="E9" s="48" t="s">
        <v>184</v>
      </c>
      <c r="F9" s="48"/>
      <c r="G9" s="48" t="s">
        <v>194</v>
      </c>
      <c r="H9" s="48" t="s">
        <v>211</v>
      </c>
    </row>
    <row r="10" spans="2:11" x14ac:dyDescent="0.35">
      <c r="B10" s="47"/>
      <c r="C10" s="47"/>
      <c r="D10" s="48" t="s">
        <v>180</v>
      </c>
      <c r="E10" s="48" t="s">
        <v>187</v>
      </c>
      <c r="F10" s="48"/>
      <c r="G10" s="48" t="s">
        <v>195</v>
      </c>
      <c r="H10" s="48" t="s">
        <v>212</v>
      </c>
    </row>
    <row r="11" spans="2:11" x14ac:dyDescent="0.35">
      <c r="B11" s="47"/>
      <c r="C11" s="47"/>
      <c r="D11" s="48" t="s">
        <v>181</v>
      </c>
      <c r="E11" s="48" t="s">
        <v>188</v>
      </c>
      <c r="F11" s="48"/>
      <c r="G11" s="48" t="s">
        <v>196</v>
      </c>
      <c r="H11" s="48" t="s">
        <v>213</v>
      </c>
    </row>
    <row r="12" spans="2:11" x14ac:dyDescent="0.35">
      <c r="B12" s="47"/>
      <c r="C12" s="47"/>
      <c r="D12" s="48"/>
      <c r="E12" s="48"/>
      <c r="F12" s="48"/>
      <c r="G12" s="48" t="s">
        <v>197</v>
      </c>
      <c r="H12" s="48" t="s">
        <v>214</v>
      </c>
    </row>
    <row r="13" spans="2:11" x14ac:dyDescent="0.35">
      <c r="B13" s="47"/>
      <c r="C13" s="47"/>
      <c r="D13" s="48"/>
      <c r="E13" s="48"/>
      <c r="F13" s="48"/>
      <c r="G13" s="48" t="s">
        <v>198</v>
      </c>
      <c r="H13" s="48" t="s">
        <v>215</v>
      </c>
    </row>
    <row r="14" spans="2:11" x14ac:dyDescent="0.35">
      <c r="B14" s="47"/>
      <c r="C14" s="47"/>
      <c r="D14" s="48"/>
      <c r="E14" s="48"/>
      <c r="F14" s="48"/>
      <c r="G14" s="48" t="s">
        <v>199</v>
      </c>
      <c r="H14" s="48" t="s">
        <v>216</v>
      </c>
    </row>
    <row r="15" spans="2:11" x14ac:dyDescent="0.35">
      <c r="B15" s="47"/>
      <c r="C15" s="47"/>
      <c r="D15" s="48"/>
      <c r="E15" s="48"/>
      <c r="F15" s="48"/>
      <c r="G15" s="48" t="s">
        <v>200</v>
      </c>
      <c r="H15" s="48" t="s">
        <v>217</v>
      </c>
    </row>
    <row r="16" spans="2:11" x14ac:dyDescent="0.35">
      <c r="B16" s="47"/>
      <c r="C16" s="47"/>
      <c r="D16" s="48"/>
      <c r="E16" s="48"/>
      <c r="F16" s="48"/>
      <c r="G16" s="48" t="s">
        <v>201</v>
      </c>
      <c r="H16" s="48" t="s">
        <v>218</v>
      </c>
    </row>
    <row r="17" spans="2:8" x14ac:dyDescent="0.35">
      <c r="B17" s="47"/>
      <c r="C17" s="47"/>
      <c r="D17" s="48"/>
      <c r="E17" s="48"/>
      <c r="F17" s="48"/>
      <c r="G17" s="48" t="s">
        <v>202</v>
      </c>
      <c r="H17" s="48" t="s">
        <v>219</v>
      </c>
    </row>
    <row r="18" spans="2:8" x14ac:dyDescent="0.35">
      <c r="B18" s="47"/>
      <c r="C18" s="47"/>
      <c r="D18" s="48"/>
      <c r="E18" s="48"/>
      <c r="F18" s="48"/>
      <c r="G18" s="48" t="s">
        <v>203</v>
      </c>
      <c r="H18" s="48" t="s">
        <v>220</v>
      </c>
    </row>
    <row r="24" spans="2:8" x14ac:dyDescent="0.35">
      <c r="C24" t="s">
        <v>166</v>
      </c>
    </row>
    <row r="25" spans="2:8" x14ac:dyDescent="0.35">
      <c r="C25" t="s">
        <v>222</v>
      </c>
    </row>
    <row r="26" spans="2:8" x14ac:dyDescent="0.35">
      <c r="C26" t="s">
        <v>223</v>
      </c>
    </row>
    <row r="27" spans="2:8" x14ac:dyDescent="0.35">
      <c r="C27" t="s">
        <v>224</v>
      </c>
    </row>
    <row r="28" spans="2:8" x14ac:dyDescent="0.35">
      <c r="C28" t="s">
        <v>225</v>
      </c>
    </row>
    <row r="29" spans="2:8" x14ac:dyDescent="0.35">
      <c r="C29" t="s">
        <v>226</v>
      </c>
    </row>
    <row r="30" spans="2:8" x14ac:dyDescent="0.35">
      <c r="C30" t="s">
        <v>166</v>
      </c>
    </row>
    <row r="33" spans="3:11" x14ac:dyDescent="0.35">
      <c r="J33">
        <v>1</v>
      </c>
      <c r="K33">
        <v>2</v>
      </c>
    </row>
    <row r="34" spans="3:11" x14ac:dyDescent="0.35">
      <c r="C34" s="51" t="s">
        <v>231</v>
      </c>
      <c r="D34" s="48" t="s">
        <v>229</v>
      </c>
      <c r="E34" s="48" t="s">
        <v>234</v>
      </c>
      <c r="F34" s="48" t="s">
        <v>232</v>
      </c>
      <c r="G34" s="48" t="s">
        <v>233</v>
      </c>
      <c r="H34" s="48" t="s">
        <v>235</v>
      </c>
      <c r="J34" t="s">
        <v>189</v>
      </c>
      <c r="K34" t="s">
        <v>205</v>
      </c>
    </row>
    <row r="35" spans="3:11" x14ac:dyDescent="0.35">
      <c r="C35" s="47" t="s">
        <v>230</v>
      </c>
      <c r="D35" s="48" t="s">
        <v>167</v>
      </c>
      <c r="E35" s="48" t="s">
        <v>239</v>
      </c>
      <c r="F35" s="48" t="s">
        <v>241</v>
      </c>
      <c r="G35" s="48" t="s">
        <v>243</v>
      </c>
      <c r="H35" s="48"/>
    </row>
    <row r="36" spans="3:11" x14ac:dyDescent="0.35">
      <c r="C36" s="47"/>
      <c r="D36" s="48" t="s">
        <v>236</v>
      </c>
      <c r="E36" s="48" t="s">
        <v>240</v>
      </c>
      <c r="F36" s="48" t="s">
        <v>242</v>
      </c>
      <c r="G36" s="48" t="s">
        <v>244</v>
      </c>
      <c r="H36" s="48"/>
    </row>
    <row r="37" spans="3:11" x14ac:dyDescent="0.35">
      <c r="C37" s="47"/>
      <c r="D37" s="48" t="s">
        <v>237</v>
      </c>
      <c r="E37" s="48"/>
      <c r="F37" s="48"/>
      <c r="G37" s="48" t="s">
        <v>245</v>
      </c>
      <c r="H37" s="48"/>
    </row>
    <row r="38" spans="3:11" x14ac:dyDescent="0.35">
      <c r="C38" s="47"/>
      <c r="D38" s="48" t="s">
        <v>238</v>
      </c>
      <c r="E38" s="48"/>
      <c r="F38" s="48"/>
      <c r="G38" s="48" t="s">
        <v>245</v>
      </c>
      <c r="H38" s="48"/>
    </row>
    <row r="39" spans="3:11" x14ac:dyDescent="0.35">
      <c r="C39" s="47"/>
      <c r="D39" s="48"/>
      <c r="E39" s="48"/>
      <c r="F39" s="48"/>
      <c r="G39" s="48" t="s">
        <v>246</v>
      </c>
      <c r="H39" s="48"/>
    </row>
    <row r="40" spans="3:11" x14ac:dyDescent="0.35">
      <c r="C40" s="47"/>
      <c r="D40" s="48"/>
      <c r="E40" s="48"/>
      <c r="F40" s="48"/>
      <c r="G40" s="48" t="s">
        <v>247</v>
      </c>
      <c r="H40" s="48"/>
    </row>
    <row r="41" spans="3:11" x14ac:dyDescent="0.35">
      <c r="C41" s="47"/>
      <c r="D41" s="48"/>
      <c r="E41" s="48"/>
      <c r="F41" s="48"/>
      <c r="G41" s="48"/>
      <c r="H41" s="48"/>
    </row>
    <row r="43" spans="3:11" x14ac:dyDescent="0.35">
      <c r="C43" t="s">
        <v>248</v>
      </c>
    </row>
    <row r="44" spans="3:11" x14ac:dyDescent="0.35">
      <c r="C44" t="s">
        <v>169</v>
      </c>
      <c r="D44" t="s">
        <v>249</v>
      </c>
    </row>
    <row r="45" spans="3:11" x14ac:dyDescent="0.35">
      <c r="D45" t="s">
        <v>250</v>
      </c>
    </row>
    <row r="46" spans="3:11" x14ac:dyDescent="0.35">
      <c r="D46" t="s">
        <v>251</v>
      </c>
    </row>
    <row r="47" spans="3:11" x14ac:dyDescent="0.35">
      <c r="D47" t="s">
        <v>252</v>
      </c>
    </row>
    <row r="48" spans="3:11" x14ac:dyDescent="0.35">
      <c r="D48" t="s">
        <v>253</v>
      </c>
    </row>
    <row r="49" spans="3:4" x14ac:dyDescent="0.35">
      <c r="C49" t="s">
        <v>174</v>
      </c>
      <c r="D49" t="s">
        <v>254</v>
      </c>
    </row>
    <row r="50" spans="3:4" x14ac:dyDescent="0.35">
      <c r="D50" t="s">
        <v>255</v>
      </c>
    </row>
    <row r="51" spans="3:4" x14ac:dyDescent="0.35">
      <c r="D51" t="s">
        <v>256</v>
      </c>
    </row>
    <row r="52" spans="3:4" x14ac:dyDescent="0.35">
      <c r="D52" t="s">
        <v>259</v>
      </c>
    </row>
    <row r="53" spans="3:4" x14ac:dyDescent="0.35">
      <c r="D53" t="s">
        <v>257</v>
      </c>
    </row>
    <row r="54" spans="3:4" x14ac:dyDescent="0.35">
      <c r="D54" t="s">
        <v>258</v>
      </c>
    </row>
    <row r="55" spans="3:4" x14ac:dyDescent="0.35">
      <c r="D55" t="s">
        <v>260</v>
      </c>
    </row>
    <row r="56" spans="3:4" x14ac:dyDescent="0.35">
      <c r="D56" t="s">
        <v>261</v>
      </c>
    </row>
    <row r="57" spans="3:4" x14ac:dyDescent="0.35">
      <c r="D57" t="s">
        <v>262</v>
      </c>
    </row>
    <row r="58" spans="3:4" x14ac:dyDescent="0.35">
      <c r="D58" t="s">
        <v>264</v>
      </c>
    </row>
    <row r="59" spans="3:4" x14ac:dyDescent="0.35">
      <c r="D59" t="s">
        <v>273</v>
      </c>
    </row>
    <row r="60" spans="3:4" x14ac:dyDescent="0.35">
      <c r="C60" t="s">
        <v>189</v>
      </c>
      <c r="D60" t="s">
        <v>265</v>
      </c>
    </row>
    <row r="61" spans="3:4" x14ac:dyDescent="0.35">
      <c r="D61" t="s">
        <v>263</v>
      </c>
    </row>
    <row r="62" spans="3:4" x14ac:dyDescent="0.35">
      <c r="D62" t="s">
        <v>253</v>
      </c>
    </row>
    <row r="63" spans="3:4" x14ac:dyDescent="0.35">
      <c r="D63" t="s">
        <v>266</v>
      </c>
    </row>
    <row r="64" spans="3:4" x14ac:dyDescent="0.35">
      <c r="D64" t="s">
        <v>267</v>
      </c>
    </row>
    <row r="65" spans="3:4" x14ac:dyDescent="0.35">
      <c r="D65" t="s">
        <v>268</v>
      </c>
    </row>
    <row r="66" spans="3:4" x14ac:dyDescent="0.35">
      <c r="D66" t="s">
        <v>269</v>
      </c>
    </row>
    <row r="67" spans="3:4" x14ac:dyDescent="0.35">
      <c r="C67" t="s">
        <v>184</v>
      </c>
      <c r="D67" t="s">
        <v>270</v>
      </c>
    </row>
    <row r="68" spans="3:4" x14ac:dyDescent="0.35">
      <c r="D68" t="s">
        <v>271</v>
      </c>
    </row>
    <row r="69" spans="3:4" x14ac:dyDescent="0.35">
      <c r="D69" t="s">
        <v>272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7"/>
  <sheetViews>
    <sheetView workbookViewId="0">
      <selection activeCell="E8" sqref="E8"/>
    </sheetView>
  </sheetViews>
  <sheetFormatPr defaultRowHeight="14.5" x14ac:dyDescent="0.35"/>
  <cols>
    <col min="2" max="2" width="3" bestFit="1" customWidth="1"/>
    <col min="3" max="3" width="147.81640625" customWidth="1"/>
  </cols>
  <sheetData>
    <row r="2" spans="2:3" ht="15" customHeight="1" x14ac:dyDescent="0.35">
      <c r="B2" s="52">
        <v>1</v>
      </c>
      <c r="C2" s="55" t="s">
        <v>276</v>
      </c>
    </row>
    <row r="3" spans="2:3" x14ac:dyDescent="0.35">
      <c r="B3" s="52">
        <v>2</v>
      </c>
      <c r="C3" s="53" t="s">
        <v>277</v>
      </c>
    </row>
    <row r="4" spans="2:3" x14ac:dyDescent="0.35">
      <c r="B4" s="52">
        <v>3</v>
      </c>
      <c r="C4" s="54" t="s">
        <v>278</v>
      </c>
    </row>
    <row r="5" spans="2:3" x14ac:dyDescent="0.35">
      <c r="B5" s="52">
        <v>4</v>
      </c>
      <c r="C5" s="53" t="s">
        <v>279</v>
      </c>
    </row>
    <row r="6" spans="2:3" x14ac:dyDescent="0.35">
      <c r="B6" s="52">
        <v>5</v>
      </c>
      <c r="C6" s="54" t="s">
        <v>280</v>
      </c>
    </row>
    <row r="7" spans="2:3" ht="29" x14ac:dyDescent="0.35">
      <c r="B7" s="52">
        <v>6</v>
      </c>
      <c r="C7" s="53" t="s">
        <v>281</v>
      </c>
    </row>
    <row r="8" spans="2:3" ht="83.25" customHeight="1" x14ac:dyDescent="0.35">
      <c r="B8" s="60">
        <v>7</v>
      </c>
      <c r="C8" s="59" t="s">
        <v>282</v>
      </c>
    </row>
    <row r="9" spans="2:3" x14ac:dyDescent="0.35">
      <c r="B9" s="52">
        <v>8</v>
      </c>
      <c r="C9" s="54" t="s">
        <v>283</v>
      </c>
    </row>
    <row r="10" spans="2:3" x14ac:dyDescent="0.35">
      <c r="B10" s="52">
        <v>9</v>
      </c>
      <c r="C10" s="54" t="s">
        <v>284</v>
      </c>
    </row>
    <row r="11" spans="2:3" x14ac:dyDescent="0.35">
      <c r="B11" s="52">
        <v>10</v>
      </c>
      <c r="C11" s="54" t="s">
        <v>285</v>
      </c>
    </row>
    <row r="12" spans="2:3" x14ac:dyDescent="0.35">
      <c r="B12" s="52">
        <v>11</v>
      </c>
      <c r="C12" s="54" t="s">
        <v>286</v>
      </c>
    </row>
    <row r="13" spans="2:3" x14ac:dyDescent="0.35">
      <c r="B13" s="52">
        <v>12</v>
      </c>
      <c r="C13" s="54" t="s">
        <v>287</v>
      </c>
    </row>
    <row r="14" spans="2:3" x14ac:dyDescent="0.35">
      <c r="B14" s="52">
        <v>13</v>
      </c>
      <c r="C14" s="54" t="s">
        <v>288</v>
      </c>
    </row>
    <row r="15" spans="2:3" x14ac:dyDescent="0.35">
      <c r="B15" s="52">
        <v>14</v>
      </c>
      <c r="C15" s="54" t="s">
        <v>289</v>
      </c>
    </row>
    <row r="16" spans="2:3" x14ac:dyDescent="0.35">
      <c r="B16" s="52">
        <v>15</v>
      </c>
      <c r="C16" s="54" t="s">
        <v>290</v>
      </c>
    </row>
    <row r="17" spans="2:3" x14ac:dyDescent="0.35">
      <c r="B17" s="57">
        <v>16</v>
      </c>
      <c r="C17" s="58" t="s">
        <v>291</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2025-06-27T14:07:38Z</cp:lastPrinted>
  <dcterms:created xsi:type="dcterms:W3CDTF">2019-07-16T09:29:46Z</dcterms:created>
  <dcterms:modified xsi:type="dcterms:W3CDTF">2025-09-13T09:54:09Z</dcterms:modified>
</cp:coreProperties>
</file>