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9" i="1" l="1"/>
  <c r="N158" i="1"/>
  <c r="D152" i="1"/>
  <c r="D151" i="1"/>
  <c r="D177" i="1"/>
  <c r="D175" i="1"/>
  <c r="D174" i="1"/>
  <c r="D169" i="1"/>
  <c r="I114" i="1"/>
  <c r="E40" i="1"/>
  <c r="A172" i="1"/>
  <c r="G107" i="1" l="1"/>
  <c r="G106" i="1"/>
  <c r="D188" i="1"/>
  <c r="D187" i="1"/>
  <c r="D186" i="1"/>
  <c r="D185" i="1"/>
  <c r="D184" i="1"/>
  <c r="D182" i="1"/>
  <c r="G181" i="1"/>
  <c r="D181" i="1"/>
  <c r="A181" i="1"/>
  <c r="A182" i="1" s="1"/>
  <c r="A183" i="1" s="1"/>
  <c r="A184" i="1" s="1"/>
  <c r="A185" i="1" s="1"/>
  <c r="A186" i="1" s="1"/>
  <c r="A187" i="1" s="1"/>
  <c r="A188" i="1" s="1"/>
  <c r="G151" i="1"/>
  <c r="D144" i="1"/>
  <c r="D142" i="1"/>
  <c r="D168" i="1"/>
  <c r="D166" i="1"/>
  <c r="D165" i="1"/>
  <c r="D131" i="1"/>
  <c r="D132" i="1"/>
  <c r="D133" i="1"/>
  <c r="D134" i="1"/>
  <c r="D135" i="1"/>
  <c r="D136" i="1"/>
  <c r="D137" i="1"/>
  <c r="A173" i="1"/>
  <c r="D179" i="1" l="1"/>
  <c r="D178" i="1"/>
  <c r="D176" i="1"/>
  <c r="D173" i="1"/>
  <c r="D172" i="1"/>
  <c r="D147" i="1"/>
  <c r="D146" i="1"/>
  <c r="D145" i="1"/>
  <c r="D149" i="1"/>
  <c r="D148" i="1"/>
  <c r="D143" i="1"/>
  <c r="D141" i="1"/>
  <c r="D170" i="1"/>
  <c r="D167" i="1"/>
  <c r="D164" i="1"/>
  <c r="D163" i="1"/>
  <c r="K132" i="1"/>
  <c r="K131" i="1"/>
  <c r="G49" i="1"/>
  <c r="A174" i="1"/>
  <c r="C107" i="1" l="1"/>
  <c r="E107" i="1"/>
  <c r="E3" i="1"/>
  <c r="A175" i="1"/>
  <c r="J173" i="1" l="1"/>
  <c r="J164" i="1"/>
  <c r="A176" i="1"/>
  <c r="D159" i="1" l="1"/>
  <c r="J159" i="1" s="1"/>
  <c r="D158" i="1"/>
  <c r="J158" i="1" s="1"/>
  <c r="D157" i="1"/>
  <c r="J157" i="1" s="1"/>
  <c r="D155" i="1"/>
  <c r="J155" i="1" s="1"/>
  <c r="D154" i="1"/>
  <c r="J154" i="1" s="1"/>
  <c r="D153" i="1"/>
  <c r="J153" i="1" s="1"/>
  <c r="J152" i="1"/>
  <c r="J151" i="1"/>
  <c r="J179" i="1"/>
  <c r="J178" i="1"/>
  <c r="J177" i="1"/>
  <c r="J176" i="1"/>
  <c r="J175" i="1"/>
  <c r="J174" i="1"/>
  <c r="J172" i="1"/>
  <c r="J170" i="1"/>
  <c r="J169" i="1"/>
  <c r="J168" i="1"/>
  <c r="J167" i="1"/>
  <c r="J163" i="1"/>
  <c r="J166" i="1"/>
  <c r="J165" i="1"/>
  <c r="J147" i="1"/>
  <c r="J146" i="1"/>
  <c r="J145" i="1"/>
  <c r="J144" i="1"/>
  <c r="J149" i="1"/>
  <c r="J148" i="1"/>
  <c r="J143" i="1"/>
  <c r="J142" i="1"/>
  <c r="J141" i="1"/>
  <c r="J131" i="1"/>
  <c r="D139" i="1"/>
  <c r="J139" i="1" s="1"/>
  <c r="D138" i="1"/>
  <c r="J133" i="1"/>
  <c r="J132" i="1"/>
  <c r="E137" i="1"/>
  <c r="E136" i="1"/>
  <c r="J136" i="1" s="1"/>
  <c r="E135" i="1"/>
  <c r="J135" i="1" s="1"/>
  <c r="E134" i="1"/>
  <c r="J134" i="1" s="1"/>
  <c r="G131" i="1"/>
  <c r="A131" i="1"/>
  <c r="A132" i="1" s="1"/>
  <c r="A133" i="1" s="1"/>
  <c r="A134" i="1" s="1"/>
  <c r="A135" i="1" s="1"/>
  <c r="A136" i="1" s="1"/>
  <c r="A137" i="1" s="1"/>
  <c r="A138" i="1" s="1"/>
  <c r="A139" i="1" s="1"/>
  <c r="I112" i="1"/>
  <c r="D126" i="1"/>
  <c r="J126" i="1" s="1"/>
  <c r="D125" i="1"/>
  <c r="J125" i="1" s="1"/>
  <c r="D124" i="1"/>
  <c r="J124" i="1" s="1"/>
  <c r="D123" i="1"/>
  <c r="J123" i="1" s="1"/>
  <c r="D122" i="1"/>
  <c r="J122" i="1" s="1"/>
  <c r="D121" i="1"/>
  <c r="J121" i="1" s="1"/>
  <c r="D120" i="1"/>
  <c r="J120" i="1" s="1"/>
  <c r="D119" i="1"/>
  <c r="J119" i="1" s="1"/>
  <c r="D118" i="1"/>
  <c r="J118" i="1" s="1"/>
  <c r="D117" i="1"/>
  <c r="J117" i="1" s="1"/>
  <c r="D116" i="1"/>
  <c r="J116" i="1" s="1"/>
  <c r="D115" i="1"/>
  <c r="J115" i="1" s="1"/>
  <c r="D114" i="1"/>
  <c r="J114" i="1" s="1"/>
  <c r="E28" i="1"/>
  <c r="A177" i="1"/>
  <c r="C106" i="1" l="1"/>
  <c r="E106" i="1"/>
  <c r="J138" i="1"/>
  <c r="J137" i="1"/>
  <c r="C103" i="1"/>
  <c r="E103" i="1"/>
  <c r="F100" i="1"/>
  <c r="A178" i="1"/>
  <c r="C108" i="1" l="1"/>
  <c r="E108" i="1"/>
  <c r="G103" i="1"/>
  <c r="B191" i="1"/>
  <c r="A179" i="1"/>
  <c r="A141" i="1"/>
  <c r="C14" i="1" l="1"/>
  <c r="A142" i="1"/>
  <c r="B192" i="1" l="1"/>
  <c r="A143" i="1"/>
  <c r="G108" i="1" l="1"/>
  <c r="F11" i="5"/>
  <c r="G11" i="5" s="1"/>
  <c r="F10" i="5"/>
  <c r="G10" i="5" s="1"/>
  <c r="F9" i="5"/>
  <c r="G9" i="5" s="1"/>
  <c r="G8" i="5"/>
  <c r="G7" i="5"/>
  <c r="F6" i="5"/>
  <c r="G6" i="5" s="1"/>
  <c r="G5" i="5"/>
  <c r="G12" i="5" s="1"/>
  <c r="D215" i="1"/>
  <c r="G172" i="1"/>
  <c r="G141" i="1"/>
  <c r="G163" i="1"/>
  <c r="A163" i="1"/>
  <c r="A164" i="1" s="1"/>
  <c r="A165" i="1" s="1"/>
  <c r="A166" i="1" s="1"/>
  <c r="A167" i="1" s="1"/>
  <c r="A168" i="1" s="1"/>
  <c r="A169" i="1" s="1"/>
  <c r="A170" i="1" s="1"/>
  <c r="A115" i="1"/>
  <c r="A116" i="1" s="1"/>
  <c r="A117" i="1" s="1"/>
  <c r="G114" i="1"/>
  <c r="J90" i="1"/>
  <c r="J89" i="1"/>
  <c r="J88" i="1"/>
  <c r="J87" i="1"/>
  <c r="C79" i="1"/>
  <c r="J76" i="1"/>
  <c r="J75" i="1"/>
  <c r="J74" i="1"/>
  <c r="J73" i="1"/>
  <c r="C65" i="1"/>
  <c r="D53" i="1"/>
  <c r="E41" i="1"/>
  <c r="E42" i="1" s="1"/>
  <c r="E25" i="1"/>
  <c r="E23" i="1"/>
  <c r="E7" i="1"/>
  <c r="H80" i="1"/>
  <c r="H66" i="1"/>
  <c r="A144" i="1"/>
  <c r="A118" i="1" l="1"/>
  <c r="A119" i="1" s="1"/>
  <c r="A120" i="1" s="1"/>
  <c r="A121" i="1" s="1"/>
  <c r="D59" i="1"/>
  <c r="D90" i="1"/>
  <c r="D91" i="1"/>
  <c r="D92" i="1"/>
  <c r="D86" i="1"/>
  <c r="D87" i="1"/>
  <c r="D88" i="1"/>
  <c r="D89" i="1"/>
  <c r="J79" i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85" i="1"/>
  <c r="J83" i="1"/>
  <c r="J84" i="1"/>
  <c r="C83" i="1" s="1"/>
  <c r="J82" i="1"/>
  <c r="A145" i="1"/>
  <c r="J86" i="1" l="1"/>
  <c r="J91" i="1" s="1"/>
  <c r="J92" i="1" s="1"/>
  <c r="C84" i="1" s="1"/>
  <c r="E83" i="1" s="1"/>
  <c r="J78" i="1"/>
  <c r="E69" i="1"/>
  <c r="A122" i="1"/>
  <c r="A123" i="1" s="1"/>
  <c r="A124" i="1" s="1"/>
  <c r="A125" i="1" s="1"/>
  <c r="D85" i="1"/>
  <c r="J81" i="1"/>
  <c r="D71" i="1"/>
  <c r="J67" i="1"/>
  <c r="D69" i="1"/>
  <c r="D83" i="1"/>
  <c r="A146" i="1"/>
  <c r="G83" i="1" l="1"/>
  <c r="D63" i="1" s="1"/>
  <c r="D84" i="1"/>
  <c r="I80" i="1" s="1"/>
  <c r="I81" i="1" s="1"/>
  <c r="G69" i="1"/>
  <c r="D70" i="1"/>
  <c r="I66" i="1" s="1"/>
  <c r="J66" i="1"/>
  <c r="A126" i="1"/>
  <c r="J80" i="1"/>
  <c r="A147" i="1"/>
  <c r="F64" i="1" l="1"/>
  <c r="D64" i="1"/>
  <c r="I79" i="1"/>
  <c r="C81" i="1" s="1"/>
  <c r="I67" i="1"/>
  <c r="I65" i="1" s="1"/>
  <c r="C67" i="1" s="1"/>
  <c r="A148" i="1"/>
  <c r="A149" i="1" l="1"/>
</calcChain>
</file>

<file path=xl/sharedStrings.xml><?xml version="1.0" encoding="utf-8"?>
<sst xmlns="http://schemas.openxmlformats.org/spreadsheetml/2006/main" count="379" uniqueCount="236">
  <si>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</si>
  <si>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</si>
  <si>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</si>
  <si>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</si>
  <si>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</si>
  <si>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</si>
  <si>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</si>
  <si>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</si>
  <si>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</si>
  <si>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</si>
  <si>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</si>
  <si>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</si>
  <si>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</si>
  <si>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</si>
  <si>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</si>
  <si>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</si>
  <si>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</si>
  <si>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</si>
  <si>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</si>
  <si>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</si>
  <si>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</si>
  <si>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</si>
  <si>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</si>
  <si>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</si>
  <si>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</si>
  <si>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</si>
  <si>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</si>
  <si>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</si>
  <si>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</si>
  <si>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</si>
  <si>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</si>
  <si>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</si>
  <si>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</si>
  <si>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</si>
  <si>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</si>
  <si>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</si>
  <si>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</si>
  <si>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</si>
  <si>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</si>
  <si>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</si>
  <si>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</si>
  <si>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</si>
  <si>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</si>
  <si>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</si>
  <si>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</si>
  <si>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</si>
  <si>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</si>
  <si>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</si>
  <si>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</si>
  <si>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</si>
  <si>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</si>
  <si>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</si>
  <si>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</si>
  <si>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</si>
  <si>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</si>
  <si>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</si>
  <si>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</si>
  <si>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</si>
  <si>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</si>
  <si>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</si>
  <si>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</si>
  <si>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</si>
  <si>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</si>
  <si>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</si>
  <si>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</si>
  <si>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</si>
  <si>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</si>
  <si>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</si>
  <si>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</si>
  <si>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</si>
  <si>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</si>
  <si>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</si>
  <si>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</si>
  <si>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</si>
  <si>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</si>
  <si>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</si>
  <si>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</si>
  <si>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</si>
  <si>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</si>
  <si>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</si>
  <si>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</si>
  <si>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</si>
  <si>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</si>
  <si>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</si>
  <si>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</si>
  <si>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</si>
  <si>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</si>
  <si>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</si>
  <si>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</si>
  <si>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</si>
  <si>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</si>
  <si>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</si>
  <si>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</si>
  <si>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</si>
  <si>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</si>
  <si>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</si>
  <si>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</si>
  <si>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</si>
  <si>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</si>
  <si>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</si>
  <si>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</si>
  <si>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</si>
  <si>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</si>
  <si>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</si>
  <si>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</si>
  <si>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</si>
  <si>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</si>
  <si>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</si>
  <si>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</si>
  <si>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</si>
  <si>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</si>
  <si>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</si>
  <si>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</si>
  <si>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</si>
  <si>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</si>
  <si>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</si>
  <si>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</si>
  <si>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</si>
  <si>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</si>
  <si>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</si>
  <si>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</si>
  <si>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</si>
  <si>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</si>
  <si>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</si>
  <si>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</si>
  <si>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</si>
  <si>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</si>
  <si>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</si>
  <si>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</si>
  <si>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</si>
  <si>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</si>
  <si>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</si>
  <si>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</si>
  <si>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</si>
  <si>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</si>
  <si>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</si>
  <si>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</si>
  <si>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</si>
  <si>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</si>
  <si>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</si>
  <si>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</si>
  <si>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</si>
  <si>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</si>
  <si>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</si>
  <si>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</si>
  <si>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</si>
  <si>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</si>
  <si>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</si>
  <si>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</si>
  <si>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</si>
  <si>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</si>
  <si>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</si>
  <si>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</si>
  <si>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</si>
  <si>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</si>
  <si>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</si>
  <si>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</si>
  <si>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</si>
  <si>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Axis Sanpada</t>
  </si>
  <si>
    <t>Pine View</t>
  </si>
  <si>
    <t>M/s. Satya Developers</t>
  </si>
  <si>
    <t>P51700033505</t>
  </si>
  <si>
    <t>A &amp; B Wing</t>
  </si>
  <si>
    <t>Gut No</t>
  </si>
  <si>
    <t xml:space="preserve">153 Hissa No.6/1, Gut No.153 Hissa No.6/2, Gut No.153 Hissa No.7, Gut No.156 Hissa No.1 </t>
  </si>
  <si>
    <t>Village</t>
  </si>
  <si>
    <t>Valivali</t>
  </si>
  <si>
    <t>2.4 KM from Badlapur Railway Station</t>
  </si>
  <si>
    <t>Thane</t>
  </si>
  <si>
    <t>Ambarnath</t>
  </si>
  <si>
    <t>Deep Angan CHS Road</t>
  </si>
  <si>
    <t>Open Land</t>
  </si>
  <si>
    <t>Deep Angan CHS</t>
  </si>
  <si>
    <t>Building</t>
  </si>
  <si>
    <t xml:space="preserve">Kulgaon Badlapur Nagar Parishad
</t>
  </si>
  <si>
    <t xml:space="preserve">Commencement-CC No
Valid Up to: </t>
  </si>
  <si>
    <t>As per RERA -  31/03/2028</t>
  </si>
  <si>
    <t>Shop</t>
  </si>
  <si>
    <t>Ground Floor For Parking</t>
  </si>
  <si>
    <t>B Wing</t>
  </si>
  <si>
    <t>A Wing</t>
  </si>
  <si>
    <t>1BHK</t>
  </si>
  <si>
    <t>2BHK</t>
  </si>
  <si>
    <t>A Wing Shops</t>
  </si>
  <si>
    <t>A Wing Flats</t>
  </si>
  <si>
    <t>B Wing Flats</t>
  </si>
  <si>
    <t>We considered Gross carpet area = Net carpet + Enclose balcony + E.P Area.</t>
  </si>
  <si>
    <t>Builder Saleable area</t>
  </si>
  <si>
    <t>1bhk</t>
  </si>
  <si>
    <t>2bhk</t>
  </si>
  <si>
    <t>Housing</t>
  </si>
  <si>
    <t>bhk</t>
  </si>
  <si>
    <t>Badlapur West</t>
  </si>
  <si>
    <t>On Site, we meet Ms.Anita (Sale) - 8422050006.</t>
  </si>
  <si>
    <t>1st Floor for Residential</t>
  </si>
  <si>
    <t>Grill Charges</t>
  </si>
  <si>
    <t>MSEB &amp; Water Connection</t>
  </si>
  <si>
    <t xml:space="preserve"> Other charges</t>
  </si>
  <si>
    <t>costsheet</t>
  </si>
  <si>
    <t>Rushikesh Nikam</t>
  </si>
  <si>
    <t xml:space="preserve">1. Vitrified tiles flooring 2. Granite Kitchen Platform 3. Decorative
Enternace etc.
</t>
  </si>
  <si>
    <t>Location Link</t>
  </si>
  <si>
    <t>https://goo.gl/maps/ynMbPApWCcUXqUMQA?coh=178572&amp;entry=tt</t>
  </si>
  <si>
    <t>19.182701,  73.237665</t>
  </si>
  <si>
    <t>Latitude &amp; Longitude</t>
  </si>
  <si>
    <t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</t>
  </si>
  <si>
    <t>A Wing = G + 1st to 12th Floor</t>
  </si>
  <si>
    <t>KBNP/NRV/BD/979/206</t>
  </si>
  <si>
    <t>KBNP/NRV/BD/979/2022-2023 
Unique No.206</t>
  </si>
  <si>
    <t>B Wing = G + 1st to 12th Floor</t>
  </si>
  <si>
    <t>A Wing = G + 1st to 12th Floor
B Wing = G + 1st to 12th Floor</t>
  </si>
  <si>
    <t>2nd to 7th, 9th to 12th Floor</t>
  </si>
  <si>
    <t>Wing A</t>
  </si>
  <si>
    <t>Ground Floor For Fitness Center, Drivers Room, Parking &amp; Commercial</t>
  </si>
  <si>
    <t>2nd to 7th, 9th to 12th Floor For Residential</t>
  </si>
  <si>
    <t>-</t>
  </si>
  <si>
    <t>8th Floor ( Part Refuge Area)</t>
  </si>
  <si>
    <t>Refuge Area</t>
  </si>
  <si>
    <t>Flats - 202, Shops - 13</t>
  </si>
  <si>
    <t>Layout:</t>
  </si>
  <si>
    <t>Other Plot</t>
  </si>
  <si>
    <t>Layout Approval No</t>
  </si>
  <si>
    <t xml:space="preserve">Approved Floor plan No. </t>
  </si>
  <si>
    <t>801 area is given diferent in the sheet but dimensions are same as typical floor plan so I am not changing the area of this flat</t>
  </si>
  <si>
    <t>Site Person - Contact Details ( Name &amp; Contact No.)</t>
  </si>
  <si>
    <t xml:space="preserve">We have updated revised plans &amp; CC (on 20/11/2023).
</t>
  </si>
  <si>
    <t>2 Buildings</t>
  </si>
  <si>
    <t xml:space="preserve">We have updated revised approved plans (on 05/04/2024).
</t>
  </si>
  <si>
    <t>4500 to 4600</t>
  </si>
  <si>
    <t>rushikesh</t>
  </si>
  <si>
    <t xml:space="preserve">Recommended Rates/Other Charges of the Property have been revised on 07/05/2024.
</t>
  </si>
  <si>
    <t>Ms. Tejashri 9137000636</t>
  </si>
  <si>
    <t>Sudhir</t>
  </si>
  <si>
    <t>Ms. Shweta - 8422050006</t>
  </si>
  <si>
    <t>Pooja Kawale</t>
  </si>
  <si>
    <t>Wing A = All work Completed. Please provide OC.
Wing B = Finishing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</si>
</sst>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b/>
      <i/>
      <sz val="12"/>
      <color rgb="FF00000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72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8" xfId="0" applyFont="1" applyBorder="1" applyProtection="1">
      <protection hidden="1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26" fillId="0" borderId="21" xfId="0" applyFont="1" applyBorder="1"/>
    <xf numFmtId="0" fontId="26" fillId="0" borderId="1" xfId="0" applyFont="1" applyBorder="1"/>
    <xf numFmtId="0" fontId="26" fillId="0" borderId="4" xfId="0" applyFont="1" applyBorder="1"/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0" fontId="25" fillId="0" borderId="20" xfId="0" applyFont="1" applyBorder="1"/>
    <xf numFmtId="2" fontId="8" fillId="0" borderId="0" xfId="1" applyNumberFormat="1" applyFont="1" applyAlignment="1">
      <alignment horizontal="center" vertical="center"/>
    </xf>
    <xf numFmtId="0" fontId="8" fillId="2" borderId="0" xfId="1" applyFont="1" applyFill="1"/>
    <xf numFmtId="14" fontId="8" fillId="2" borderId="0" xfId="1" applyNumberFormat="1" applyFont="1" applyFill="1"/>
    <xf numFmtId="0" fontId="27" fillId="2" borderId="0" xfId="0" applyFont="1" applyFill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0" xfId="0" applyFont="1" applyBorder="1"/>
    <xf numFmtId="0" fontId="26" fillId="0" borderId="6" xfId="0" applyFont="1" applyBorder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9" fillId="0" borderId="5" xfId="0" applyNumberFormat="1" applyFont="1" applyBorder="1" applyAlignment="1" applyProtection="1">
      <alignment vertical="top" wrapText="1"/>
      <protection locked="0"/>
    </xf>
    <xf numFmtId="1" fontId="9" fillId="0" borderId="16" xfId="0" applyNumberFormat="1" applyFont="1" applyBorder="1" applyAlignment="1" applyProtection="1">
      <alignment vertical="top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1" fontId="11" fillId="0" borderId="5" xfId="0" applyNumberFormat="1" applyFont="1" applyBorder="1" applyAlignment="1" applyProtection="1">
      <alignment vertical="top" wrapText="1"/>
      <protection locked="0"/>
    </xf>
    <xf numFmtId="1" fontId="11" fillId="0" borderId="16" xfId="0" applyNumberFormat="1" applyFont="1" applyBorder="1" applyAlignment="1" applyProtection="1">
      <alignment vertical="top" wrapText="1"/>
      <protection locked="0"/>
    </xf>
    <xf numFmtId="1" fontId="11" fillId="0" borderId="6" xfId="0" applyNumberFormat="1" applyFont="1" applyBorder="1" applyAlignment="1" applyProtection="1">
      <alignment vertical="top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0" xfId="1" applyFont="1" applyAlignment="1">
      <alignment horizontal="center" vertical="center"/>
    </xf>
    <xf numFmtId="1" fontId="7" fillId="0" borderId="12" xfId="1" applyNumberFormat="1" applyFont="1" applyBorder="1" applyAlignment="1" applyProtection="1">
      <alignment horizontal="center" vertical="center" wrapText="1"/>
      <protection locked="0"/>
    </xf>
    <xf numFmtId="1" fontId="7" fillId="0" borderId="13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14" xfId="1" applyNumberFormat="1" applyFont="1" applyBorder="1" applyAlignment="1" applyProtection="1">
      <alignment horizontal="center" vertical="center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2" xfId="1" applyNumberFormat="1" applyFont="1" applyBorder="1" applyAlignment="1" applyProtection="1">
      <alignment horizontal="center" vertical="top" wrapText="1"/>
      <protection locked="0"/>
    </xf>
    <xf numFmtId="1" fontId="9" fillId="0" borderId="13" xfId="1" applyNumberFormat="1" applyFont="1" applyBorder="1" applyAlignment="1" applyProtection="1">
      <alignment horizontal="center" vertical="top" wrapText="1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9" fillId="0" borderId="5" xfId="1" applyNumberFormat="1" applyFont="1" applyBorder="1" applyAlignment="1" applyProtection="1">
      <alignment horizontal="center" vertical="center" wrapText="1"/>
      <protection locked="0"/>
    </xf>
    <xf numFmtId="1" fontId="9" fillId="0" borderId="16" xfId="1" applyNumberFormat="1" applyFont="1" applyBorder="1" applyAlignment="1" applyProtection="1">
      <alignment horizontal="center" vertical="center" wrapText="1"/>
      <protection locked="0"/>
    </xf>
    <xf numFmtId="1" fontId="9" fillId="0" borderId="6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14" fontId="7" fillId="0" borderId="5" xfId="1" applyNumberFormat="1" applyFont="1" applyBorder="1" applyAlignment="1" applyProtection="1">
      <alignment horizontal="left" vertical="top" wrapText="1"/>
      <protection locked="0"/>
    </xf>
    <xf numFmtId="14" fontId="7" fillId="0" borderId="6" xfId="1" applyNumberFormat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 wrapText="1"/>
      <protection locked="0"/>
    </xf>
    <xf numFmtId="0" fontId="9" fillId="0" borderId="6" xfId="1" applyFont="1" applyBorder="1" applyAlignment="1" applyProtection="1">
      <alignment horizontal="left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/>
      <protection locked="0"/>
    </xf>
    <xf numFmtId="0" fontId="9" fillId="0" borderId="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28" fillId="0" borderId="1" xfId="10" applyFill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9" fontId="8" fillId="0" borderId="1" xfId="8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14" fillId="0" borderId="5" xfId="0" applyNumberFormat="1" applyFont="1" applyBorder="1" applyAlignment="1" applyProtection="1">
      <alignment vertical="top" wrapText="1"/>
      <protection locked="0"/>
    </xf>
    <xf numFmtId="1" fontId="14" fillId="0" borderId="16" xfId="0" applyNumberFormat="1" applyFont="1" applyBorder="1" applyAlignment="1" applyProtection="1">
      <alignment vertical="top" wrapText="1"/>
      <protection locked="0"/>
    </xf>
    <xf numFmtId="1" fontId="14" fillId="0" borderId="6" xfId="0" applyNumberFormat="1" applyFont="1" applyBorder="1" applyAlignment="1" applyProtection="1">
      <alignment vertical="top" wrapText="1"/>
      <protection locked="0"/>
    </xf>
    <xf numFmtId="0" fontId="9" fillId="0" borderId="11" xfId="1" applyFont="1" applyBorder="1" applyAlignment="1" applyProtection="1">
      <alignment horizontal="left" vertical="top"/>
      <protection locked="0"/>
    </xf>
    <xf numFmtId="0" fontId="9" fillId="0" borderId="11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0" fillId="0" borderId="1" xfId="5" applyFont="1" applyBorder="1" applyAlignment="1">
      <alignment horizontal="left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337858</xdr:colOff>
      <xdr:row>298</xdr:row>
      <xdr:rowOff>177721</xdr:rowOff>
    </xdr:from>
    <xdr:to>
      <xdr:col>6</xdr:col>
      <xdr:colOff>373587</xdr:colOff>
      <xdr:row>316</xdr:row>
      <xdr:rowOff>177270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9858" y="63524574"/>
          <a:ext cx="4193111" cy="36302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371475</xdr:colOff>
      <xdr:row>216</xdr:row>
      <xdr:rowOff>19050</xdr:rowOff>
    </xdr:from>
    <xdr:to>
      <xdr:col>14</xdr:col>
      <xdr:colOff>226520</xdr:colOff>
      <xdr:row>234</xdr:row>
      <xdr:rowOff>28127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43624500"/>
          <a:ext cx="48651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750794</xdr:colOff>
      <xdr:row>257</xdr:row>
      <xdr:rowOff>22410</xdr:rowOff>
    </xdr:from>
    <xdr:to>
      <xdr:col>5</xdr:col>
      <xdr:colOff>547972</xdr:colOff>
      <xdr:row>274</xdr:row>
      <xdr:rowOff>193410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794" y="55099322"/>
          <a:ext cx="317014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526676</xdr:colOff>
      <xdr:row>275</xdr:row>
      <xdr:rowOff>121694</xdr:rowOff>
    </xdr:from>
    <xdr:to>
      <xdr:col>5</xdr:col>
      <xdr:colOff>764920</xdr:colOff>
      <xdr:row>296</xdr:row>
      <xdr:rowOff>25869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8676" y="58829312"/>
          <a:ext cx="3611215" cy="41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145676</xdr:colOff>
      <xdr:row>259</xdr:row>
      <xdr:rowOff>56030</xdr:rowOff>
    </xdr:from>
    <xdr:to>
      <xdr:col>2</xdr:col>
      <xdr:colOff>145676</xdr:colOff>
      <xdr:row>262</xdr:row>
      <xdr:rowOff>67236</xdr:rowOff>
    </xdr:to>
    <xdr:cxnSp macro="">
      <xdr:nvCxnSpPr>
        <xdr:cNvPr id="5" name="Straight Arrow Connector 4"/>
        <xdr:cNvCxnSpPr/>
      </xdr:nvCxnSpPr>
      <xdr:spPr>
        <a:xfrm flipV="1">
          <a:off x="1703294" y="55536354"/>
          <a:ext cx="0" cy="61632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717177</xdr:colOff>
      <xdr:row>256</xdr:row>
      <xdr:rowOff>123264</xdr:rowOff>
    </xdr:from>
    <xdr:to>
      <xdr:col>2</xdr:col>
      <xdr:colOff>425823</xdr:colOff>
      <xdr:row>259</xdr:row>
      <xdr:rowOff>78440</xdr:rowOff>
    </xdr:to>
    <xdr:sp macro="" textlink="">
      <xdr:nvSpPr>
        <xdr:cNvPr id="6" name="TextBox 5"/>
        <xdr:cNvSpPr txBox="1"/>
      </xdr:nvSpPr>
      <xdr:spPr>
        <a:xfrm>
          <a:off x="1479177" y="54998470"/>
          <a:ext cx="504264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3600" b="1">
              <a:solidFill>
                <a:srgbClr val="FF0000"/>
              </a:solidFill>
            </a:rPr>
            <a:t>N</a:t>
          </a:r>
        </a:p>
      </xdr:txBody>
    </xdr:sp>
    <xdr:clientData/>
  </xdr:twoCellAnchor>
  <xdr:twoCellAnchor>
    <xdr:from>
      <xdr:col>1</xdr:col>
      <xdr:colOff>750793</xdr:colOff>
      <xdr:row>278</xdr:row>
      <xdr:rowOff>54461</xdr:rowOff>
    </xdr:from>
    <xdr:to>
      <xdr:col>1</xdr:col>
      <xdr:colOff>750793</xdr:colOff>
      <xdr:row>281</xdr:row>
      <xdr:rowOff>65666</xdr:rowOff>
    </xdr:to>
    <xdr:cxnSp macro="">
      <xdr:nvCxnSpPr>
        <xdr:cNvPr id="23" name="Straight Arrow Connector 22"/>
        <xdr:cNvCxnSpPr/>
      </xdr:nvCxnSpPr>
      <xdr:spPr>
        <a:xfrm flipV="1">
          <a:off x="1512793" y="59367196"/>
          <a:ext cx="0" cy="61632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526676</xdr:colOff>
      <xdr:row>275</xdr:row>
      <xdr:rowOff>121694</xdr:rowOff>
    </xdr:from>
    <xdr:to>
      <xdr:col>2</xdr:col>
      <xdr:colOff>235322</xdr:colOff>
      <xdr:row>278</xdr:row>
      <xdr:rowOff>76871</xdr:rowOff>
    </xdr:to>
    <xdr:sp macro="" textlink="">
      <xdr:nvSpPr>
        <xdr:cNvPr id="25" name="TextBox 24"/>
        <xdr:cNvSpPr txBox="1"/>
      </xdr:nvSpPr>
      <xdr:spPr>
        <a:xfrm>
          <a:off x="1288676" y="58829312"/>
          <a:ext cx="504264" cy="5602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3600" b="1">
              <a:solidFill>
                <a:srgbClr val="FF0000"/>
              </a:solidFill>
            </a:rPr>
            <a:t>N</a:t>
          </a:r>
        </a:p>
      </xdr:txBody>
    </xdr:sp>
    <xdr:clientData/>
  </xdr:twoCellAnchor>
  <xdr:twoCellAnchor>
    <xdr:from>
      <xdr:col>14</xdr:col>
      <xdr:colOff>239805</xdr:colOff>
      <xdr:row>227</xdr:row>
      <xdr:rowOff>194982</xdr:rowOff>
    </xdr:from>
    <xdr:to>
      <xdr:col>16</xdr:col>
      <xdr:colOff>49305</xdr:colOff>
      <xdr:row>230</xdr:row>
      <xdr:rowOff>82922</xdr:rowOff>
    </xdr:to>
    <xdr:sp macro="" textlink="">
      <xdr:nvSpPr>
        <xdr:cNvPr id="37" name="TextBox 36"/>
        <xdr:cNvSpPr txBox="1"/>
      </xdr:nvSpPr>
      <xdr:spPr>
        <a:xfrm>
          <a:off x="11793070" y="50206835"/>
          <a:ext cx="1255059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400" b="1">
              <a:solidFill>
                <a:srgbClr val="FF0000"/>
              </a:solidFill>
            </a:rPr>
            <a:t>Wing</a:t>
          </a:r>
          <a:r>
            <a:rPr lang="en-IN" sz="2400" b="1" baseline="0">
              <a:solidFill>
                <a:srgbClr val="FF0000"/>
              </a:solidFill>
            </a:rPr>
            <a:t> B</a:t>
          </a:r>
          <a:endParaRPr lang="en-IN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555812</xdr:colOff>
      <xdr:row>214</xdr:row>
      <xdr:rowOff>163605</xdr:rowOff>
    </xdr:from>
    <xdr:to>
      <xdr:col>16</xdr:col>
      <xdr:colOff>365312</xdr:colOff>
      <xdr:row>217</xdr:row>
      <xdr:rowOff>51546</xdr:rowOff>
    </xdr:to>
    <xdr:sp macro="" textlink="">
      <xdr:nvSpPr>
        <xdr:cNvPr id="39" name="TextBox 38"/>
        <xdr:cNvSpPr txBox="1"/>
      </xdr:nvSpPr>
      <xdr:spPr>
        <a:xfrm>
          <a:off x="12109077" y="47564487"/>
          <a:ext cx="1255059" cy="493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400" b="1">
              <a:solidFill>
                <a:srgbClr val="FF0000"/>
              </a:solidFill>
            </a:rPr>
            <a:t>Wing</a:t>
          </a:r>
          <a:r>
            <a:rPr lang="en-IN" sz="2400" b="1" baseline="0">
              <a:solidFill>
                <a:srgbClr val="FF0000"/>
              </a:solidFill>
            </a:rPr>
            <a:t> A</a:t>
          </a:r>
          <a:endParaRPr lang="en-IN" sz="2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593912</xdr:colOff>
      <xdr:row>317</xdr:row>
      <xdr:rowOff>123264</xdr:rowOff>
    </xdr:from>
    <xdr:to>
      <xdr:col>6</xdr:col>
      <xdr:colOff>764185</xdr:colOff>
      <xdr:row>335</xdr:row>
      <xdr:rowOff>92559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3912" y="67302529"/>
          <a:ext cx="508965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458106</xdr:colOff>
      <xdr:row>324</xdr:row>
      <xdr:rowOff>94133</xdr:rowOff>
    </xdr:from>
    <xdr:to>
      <xdr:col>3</xdr:col>
      <xdr:colOff>831500</xdr:colOff>
      <xdr:row>330</xdr:row>
      <xdr:rowOff>60917</xdr:rowOff>
    </xdr:to>
    <xdr:sp macro="" textlink="">
      <xdr:nvSpPr>
        <xdr:cNvPr id="8" name="Rectangle 7"/>
        <xdr:cNvSpPr/>
      </xdr:nvSpPr>
      <xdr:spPr>
        <a:xfrm rot="821806">
          <a:off x="2015724" y="68685339"/>
          <a:ext cx="1225041" cy="1177019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13</xdr:col>
      <xdr:colOff>46478</xdr:colOff>
      <xdr:row>242</xdr:row>
      <xdr:rowOff>86283</xdr:rowOff>
    </xdr:from>
    <xdr:to>
      <xdr:col>17</xdr:col>
      <xdr:colOff>271027</xdr:colOff>
      <xdr:row>254</xdr:row>
      <xdr:rowOff>5811</xdr:rowOff>
    </xdr:to>
    <xdr:pic>
      <xdr:nvPicPr>
        <xdr:cNvPr id="26" name="Picture 25" descr="https://vsjcllp.vsjadon.com/upload/insp-200921-1525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9302" y="52989254"/>
          <a:ext cx="3115666" cy="233999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577417</xdr:colOff>
      <xdr:row>228</xdr:row>
      <xdr:rowOff>143994</xdr:rowOff>
    </xdr:from>
    <xdr:to>
      <xdr:col>14</xdr:col>
      <xdr:colOff>176687</xdr:colOff>
      <xdr:row>241</xdr:row>
      <xdr:rowOff>113818</xdr:rowOff>
    </xdr:to>
    <xdr:pic>
      <xdr:nvPicPr>
        <xdr:cNvPr id="27" name="Picture 26" descr="https://vsjcllp.vsjadon.com/upload/insp-200921-847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652" y="50223082"/>
          <a:ext cx="1941300" cy="25920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577417</xdr:colOff>
      <xdr:row>215</xdr:row>
      <xdr:rowOff>11085</xdr:rowOff>
    </xdr:from>
    <xdr:to>
      <xdr:col>14</xdr:col>
      <xdr:colOff>176687</xdr:colOff>
      <xdr:row>227</xdr:row>
      <xdr:rowOff>193819</xdr:rowOff>
    </xdr:to>
    <xdr:pic>
      <xdr:nvPicPr>
        <xdr:cNvPr id="28" name="Picture 27" descr="https://vsjcllp.vsjadon.com/upload/insp-200921-84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652" y="47479203"/>
          <a:ext cx="1941300" cy="259199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305494</xdr:colOff>
      <xdr:row>228</xdr:row>
      <xdr:rowOff>143994</xdr:rowOff>
    </xdr:from>
    <xdr:to>
      <xdr:col>17</xdr:col>
      <xdr:colOff>196118</xdr:colOff>
      <xdr:row>241</xdr:row>
      <xdr:rowOff>113818</xdr:rowOff>
    </xdr:to>
    <xdr:pic>
      <xdr:nvPicPr>
        <xdr:cNvPr id="29" name="Picture 28" descr="https://vsjcllp.vsjadon.com/upload/insp-200921-861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759" y="50223082"/>
          <a:ext cx="1941300" cy="25920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305494</xdr:colOff>
      <xdr:row>214</xdr:row>
      <xdr:rowOff>190500</xdr:rowOff>
    </xdr:from>
    <xdr:to>
      <xdr:col>17</xdr:col>
      <xdr:colOff>196118</xdr:colOff>
      <xdr:row>227</xdr:row>
      <xdr:rowOff>171528</xdr:rowOff>
    </xdr:to>
    <xdr:pic>
      <xdr:nvPicPr>
        <xdr:cNvPr id="30" name="Picture 29" descr="https://vsjcllp.vsjadon.com/upload/insp-200921-88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759" y="47456912"/>
          <a:ext cx="1941300" cy="259199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20104</xdr:colOff>
      <xdr:row>215</xdr:row>
      <xdr:rowOff>11085</xdr:rowOff>
    </xdr:from>
    <xdr:to>
      <xdr:col>11</xdr:col>
      <xdr:colOff>448610</xdr:colOff>
      <xdr:row>227</xdr:row>
      <xdr:rowOff>193819</xdr:rowOff>
    </xdr:to>
    <xdr:pic>
      <xdr:nvPicPr>
        <xdr:cNvPr id="31" name="Picture 30" descr="https://vsjcllp.vsjadon.com/upload/insp-200921-931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8545" y="47479203"/>
          <a:ext cx="1941300" cy="259199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20104</xdr:colOff>
      <xdr:row>228</xdr:row>
      <xdr:rowOff>143994</xdr:rowOff>
    </xdr:from>
    <xdr:to>
      <xdr:col>11</xdr:col>
      <xdr:colOff>448610</xdr:colOff>
      <xdr:row>241</xdr:row>
      <xdr:rowOff>113818</xdr:rowOff>
    </xdr:to>
    <xdr:pic>
      <xdr:nvPicPr>
        <xdr:cNvPr id="32" name="Picture 31" descr="https://vsjcllp.vsjadon.com/upload/insp-200921-916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8545" y="50223082"/>
          <a:ext cx="1941300" cy="25920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1019736</xdr:colOff>
      <xdr:row>242</xdr:row>
      <xdr:rowOff>86283</xdr:rowOff>
    </xdr:from>
    <xdr:to>
      <xdr:col>12</xdr:col>
      <xdr:colOff>751225</xdr:colOff>
      <xdr:row>254</xdr:row>
      <xdr:rowOff>5811</xdr:rowOff>
    </xdr:to>
    <xdr:pic>
      <xdr:nvPicPr>
        <xdr:cNvPr id="33" name="Picture 32" descr="https://vsjcllp.vsjadon.com/upload/insp-200921-922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65" y="52989254"/>
          <a:ext cx="3115666" cy="233999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211</xdr:row>
      <xdr:rowOff>63500</xdr:rowOff>
    </xdr:from>
    <xdr:to>
      <xdr:col>8</xdr:col>
      <xdr:colOff>596574</xdr:colOff>
      <xdr:row>212</xdr:row>
      <xdr:rowOff>131210</xdr:rowOff>
    </xdr:to>
    <xdr:sp macro="" textlink="">
      <xdr:nvSpPr>
        <xdr:cNvPr id="43" name="TextBox 42"/>
        <xdr:cNvSpPr txBox="1"/>
      </xdr:nvSpPr>
      <xdr:spPr>
        <a:xfrm>
          <a:off x="6845300" y="4549775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8</xdr:col>
      <xdr:colOff>654050</xdr:colOff>
      <xdr:row>211</xdr:row>
      <xdr:rowOff>0</xdr:rowOff>
    </xdr:from>
    <xdr:to>
      <xdr:col>9</xdr:col>
      <xdr:colOff>44450</xdr:colOff>
      <xdr:row>212</xdr:row>
      <xdr:rowOff>120650</xdr:rowOff>
    </xdr:to>
    <xdr:sp macro="" textlink="">
      <xdr:nvSpPr>
        <xdr:cNvPr id="44" name="TextBox 43"/>
        <xdr:cNvSpPr txBox="1"/>
      </xdr:nvSpPr>
      <xdr:spPr>
        <a:xfrm>
          <a:off x="7499350" y="45434250"/>
          <a:ext cx="609600" cy="317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0</xdr:col>
      <xdr:colOff>190500</xdr:colOff>
      <xdr:row>215</xdr:row>
      <xdr:rowOff>120650</xdr:rowOff>
    </xdr:from>
    <xdr:to>
      <xdr:col>7</xdr:col>
      <xdr:colOff>644456</xdr:colOff>
      <xdr:row>243</xdr:row>
      <xdr:rowOff>189762</xdr:rowOff>
    </xdr:to>
    <xdr:grpSp>
      <xdr:nvGrpSpPr>
        <xdr:cNvPr id="3" name="Group 2"/>
        <xdr:cNvGrpSpPr/>
      </xdr:nvGrpSpPr>
      <xdr:grpSpPr>
        <a:xfrm>
          <a:off x="190500" y="46342300"/>
          <a:ext cx="6429306" cy="5574562"/>
          <a:chOff x="190500" y="46342300"/>
          <a:chExt cx="6429306" cy="5574562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2082" y="49180862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6342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9180862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2082" y="46342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6291" y="463423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6291" y="49180862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60"/>
          <xdr:cNvSpPr txBox="1"/>
        </xdr:nvSpPr>
        <xdr:spPr>
          <a:xfrm>
            <a:off x="977900" y="481965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3214491" y="484886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3" name="TextBox 62"/>
          <xdr:cNvSpPr txBox="1"/>
        </xdr:nvSpPr>
        <xdr:spPr>
          <a:xfrm>
            <a:off x="5374882" y="48475900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64" name="TextBox 63"/>
          <xdr:cNvSpPr txBox="1"/>
        </xdr:nvSpPr>
        <xdr:spPr>
          <a:xfrm>
            <a:off x="1022350" y="51498612"/>
            <a:ext cx="59657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2157</xdr:rowOff>
    </xdr:from>
    <xdr:to>
      <xdr:col>6</xdr:col>
      <xdr:colOff>459441</xdr:colOff>
      <xdr:row>54</xdr:row>
      <xdr:rowOff>37579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6680863"/>
          <a:ext cx="6858000" cy="36549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33</xdr:row>
      <xdr:rowOff>35422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654922"/>
        </a:xfrm>
        <a:prstGeom prst="rect">
          <a:avLst/>
        </a:prstGeom>
      </xdr:spPr>
    </xdr:pic>
    <xdr:clientData/>
  </xdr:twoCellAnchor>
  <xdr:twoCellAnchor editAs="oneCell">
    <xdr:from>
      <xdr:col>6</xdr:col>
      <xdr:colOff>692354</xdr:colOff>
      <xdr:row>14</xdr:row>
      <xdr:rowOff>0</xdr:rowOff>
    </xdr:from>
    <xdr:to>
      <xdr:col>16</xdr:col>
      <xdr:colOff>457031</xdr:colOff>
      <xdr:row>33</xdr:row>
      <xdr:rowOff>35422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3619" y="2678206"/>
          <a:ext cx="6858000" cy="365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ynMbPApWCcUXqUMQ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7" width="11.7265625" style="36" customWidth="1"/>
    <col min="8" max="8" width="12.453125" style="36" customWidth="1"/>
    <col min="9" max="9" width="17.453125" style="17" customWidth="1"/>
    <col min="10" max="10" width="11.453125" style="17" customWidth="1"/>
    <col min="11" max="11" width="11.2695312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12" ht="46.5" customHeight="1" x14ac:dyDescent="0.35">
      <c r="A1" s="139" t="s">
        <v>205</v>
      </c>
      <c r="B1" s="139"/>
      <c r="C1" s="139"/>
      <c r="D1" s="139"/>
      <c r="E1" s="139"/>
      <c r="F1" s="139"/>
      <c r="G1" s="139"/>
      <c r="H1" s="139"/>
    </row>
    <row r="2" spans="1:12" ht="16.5" customHeight="1" x14ac:dyDescent="0.3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12" x14ac:dyDescent="0.35">
      <c r="A3" s="81" t="s">
        <v>1</v>
      </c>
      <c r="B3" s="81"/>
      <c r="C3" s="81"/>
      <c r="D3" s="81"/>
      <c r="E3" s="141" t="str">
        <f ca="1">TEXT(TODAY(),"DD/MM/YYYY")</f>
        <v>13/09/2025</v>
      </c>
      <c r="F3" s="81"/>
      <c r="G3" s="81"/>
      <c r="H3" s="81"/>
    </row>
    <row r="4" spans="1:12" ht="15" customHeight="1" x14ac:dyDescent="0.35">
      <c r="A4" s="81" t="s">
        <v>2</v>
      </c>
      <c r="B4" s="81"/>
      <c r="C4" s="81"/>
      <c r="D4" s="81"/>
      <c r="E4" s="81" t="s">
        <v>158</v>
      </c>
      <c r="F4" s="81"/>
      <c r="G4" s="81"/>
      <c r="H4" s="81"/>
    </row>
    <row r="5" spans="1:12" x14ac:dyDescent="0.35">
      <c r="A5" s="81" t="s">
        <v>3</v>
      </c>
      <c r="B5" s="81"/>
      <c r="C5" s="81"/>
      <c r="D5" s="81"/>
      <c r="E5" s="141">
        <v>45905</v>
      </c>
      <c r="F5" s="81"/>
      <c r="G5" s="81"/>
      <c r="H5" s="81"/>
    </row>
    <row r="6" spans="1:12" ht="16.5" customHeight="1" x14ac:dyDescent="0.35">
      <c r="A6" s="81" t="s">
        <v>4</v>
      </c>
      <c r="B6" s="81"/>
      <c r="C6" s="81"/>
      <c r="D6" s="81"/>
      <c r="E6" s="81" t="s">
        <v>160</v>
      </c>
      <c r="F6" s="81"/>
      <c r="G6" s="81"/>
      <c r="H6" s="81"/>
    </row>
    <row r="7" spans="1:12" ht="15" customHeight="1" x14ac:dyDescent="0.35">
      <c r="A7" s="81" t="s">
        <v>5</v>
      </c>
      <c r="B7" s="81"/>
      <c r="C7" s="81"/>
      <c r="D7" s="81"/>
      <c r="E7" s="81" t="str">
        <f>E6</f>
        <v>M/s. Satya Developers</v>
      </c>
      <c r="F7" s="81"/>
      <c r="G7" s="81"/>
      <c r="H7" s="81"/>
    </row>
    <row r="8" spans="1:12" x14ac:dyDescent="0.35">
      <c r="A8" s="81" t="s">
        <v>6</v>
      </c>
      <c r="B8" s="81"/>
      <c r="C8" s="81"/>
      <c r="D8" s="81"/>
      <c r="E8" s="90" t="s">
        <v>159</v>
      </c>
      <c r="F8" s="90"/>
      <c r="G8" s="90"/>
      <c r="H8" s="90"/>
    </row>
    <row r="9" spans="1:12" x14ac:dyDescent="0.35">
      <c r="A9" s="81" t="s">
        <v>120</v>
      </c>
      <c r="B9" s="81"/>
      <c r="C9" s="81"/>
      <c r="D9" s="81"/>
      <c r="E9" s="81" t="s">
        <v>233</v>
      </c>
      <c r="F9" s="81"/>
      <c r="G9" s="81"/>
      <c r="H9" s="81"/>
    </row>
    <row r="10" spans="1:12" x14ac:dyDescent="0.35">
      <c r="A10" s="81" t="s">
        <v>224</v>
      </c>
      <c r="B10" s="81"/>
      <c r="C10" s="81"/>
      <c r="D10" s="81"/>
      <c r="E10" s="81" t="s">
        <v>30</v>
      </c>
      <c r="F10" s="81"/>
      <c r="G10" s="81"/>
      <c r="H10" s="81"/>
    </row>
    <row r="11" spans="1:12" x14ac:dyDescent="0.35">
      <c r="A11" s="81" t="s">
        <v>7</v>
      </c>
      <c r="B11" s="81"/>
      <c r="C11" s="81"/>
      <c r="D11" s="81"/>
      <c r="E11" s="81" t="s">
        <v>162</v>
      </c>
      <c r="F11" s="81"/>
      <c r="G11" s="81"/>
      <c r="H11" s="81"/>
      <c r="I11" s="81" t="s">
        <v>231</v>
      </c>
      <c r="J11" s="81"/>
      <c r="K11" s="81"/>
      <c r="L11" s="81"/>
    </row>
    <row r="12" spans="1:12" ht="32.25" customHeight="1" x14ac:dyDescent="0.35">
      <c r="A12" s="80" t="s">
        <v>8</v>
      </c>
      <c r="B12" s="80"/>
      <c r="C12" s="80"/>
      <c r="D12" s="80"/>
      <c r="E12" s="142" t="s">
        <v>101</v>
      </c>
      <c r="F12" s="142"/>
      <c r="G12" s="142"/>
      <c r="H12" s="142"/>
    </row>
    <row r="13" spans="1:12" x14ac:dyDescent="0.35">
      <c r="A13" s="80" t="s">
        <v>9</v>
      </c>
      <c r="B13" s="80"/>
      <c r="C13" s="80"/>
      <c r="D13" s="80"/>
      <c r="E13" s="142" t="s">
        <v>161</v>
      </c>
      <c r="F13" s="130"/>
      <c r="G13" s="130"/>
      <c r="H13" s="130"/>
    </row>
    <row r="14" spans="1:12" ht="48.75" customHeight="1" x14ac:dyDescent="0.35">
      <c r="A14" s="92" t="s">
        <v>10</v>
      </c>
      <c r="B14" s="92"/>
      <c r="C14" s="92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Pine View, Gut No.153 Hissa No.6/1, Gut No.153 Hissa No.6/2, Gut No.153 Hissa No.7, Gut No.156 Hissa No.1 , near Deep Angan CHS, Deep Angan CHS Road, Valivali, Badlapur West, Ambarnath, Thane - 421503.</v>
      </c>
      <c r="D14" s="92"/>
      <c r="E14" s="92"/>
      <c r="F14" s="92"/>
      <c r="G14" s="92"/>
      <c r="H14" s="92"/>
    </row>
    <row r="15" spans="1:12" ht="31.5" customHeight="1" x14ac:dyDescent="0.35">
      <c r="A15" s="142" t="s">
        <v>163</v>
      </c>
      <c r="B15" s="142"/>
      <c r="C15" s="142" t="s">
        <v>164</v>
      </c>
      <c r="D15" s="142"/>
      <c r="E15" s="142"/>
      <c r="F15" s="142"/>
      <c r="G15" s="142"/>
      <c r="H15" s="142"/>
    </row>
    <row r="16" spans="1:12" ht="15.75" customHeight="1" x14ac:dyDescent="0.35">
      <c r="A16" s="92" t="s">
        <v>11</v>
      </c>
      <c r="B16" s="92"/>
      <c r="C16" s="81" t="s">
        <v>170</v>
      </c>
      <c r="D16" s="81"/>
      <c r="E16" s="92" t="s">
        <v>165</v>
      </c>
      <c r="F16" s="92"/>
      <c r="G16" s="94" t="s">
        <v>166</v>
      </c>
      <c r="H16" s="94"/>
    </row>
    <row r="17" spans="1:8" x14ac:dyDescent="0.35">
      <c r="A17" s="80" t="s">
        <v>13</v>
      </c>
      <c r="B17" s="80"/>
      <c r="C17" s="94" t="s">
        <v>192</v>
      </c>
      <c r="D17" s="94"/>
      <c r="E17" s="92" t="s">
        <v>12</v>
      </c>
      <c r="F17" s="92"/>
      <c r="G17" s="143" t="s">
        <v>168</v>
      </c>
      <c r="H17" s="143"/>
    </row>
    <row r="18" spans="1:8" x14ac:dyDescent="0.35">
      <c r="A18" s="80" t="s">
        <v>73</v>
      </c>
      <c r="B18" s="80"/>
      <c r="C18" s="94" t="s">
        <v>169</v>
      </c>
      <c r="D18" s="94"/>
      <c r="E18" s="92" t="s">
        <v>14</v>
      </c>
      <c r="F18" s="92"/>
      <c r="G18" s="94">
        <v>421503</v>
      </c>
      <c r="H18" s="94"/>
    </row>
    <row r="19" spans="1:8" ht="32.25" customHeight="1" x14ac:dyDescent="0.35">
      <c r="A19" s="80" t="s">
        <v>121</v>
      </c>
      <c r="B19" s="80"/>
      <c r="C19" s="94" t="s">
        <v>172</v>
      </c>
      <c r="D19" s="94"/>
      <c r="E19" s="92" t="s">
        <v>15</v>
      </c>
      <c r="F19" s="92"/>
      <c r="G19" s="142" t="s">
        <v>167</v>
      </c>
      <c r="H19" s="142"/>
    </row>
    <row r="20" spans="1:8" ht="15" customHeight="1" x14ac:dyDescent="0.35">
      <c r="A20" s="92" t="s">
        <v>76</v>
      </c>
      <c r="B20" s="92"/>
      <c r="C20" s="92"/>
      <c r="D20" s="92"/>
      <c r="E20" s="81" t="s">
        <v>16</v>
      </c>
      <c r="F20" s="81"/>
      <c r="G20" s="81"/>
      <c r="H20" s="81"/>
    </row>
    <row r="21" spans="1:8" ht="18.75" customHeight="1" x14ac:dyDescent="0.35">
      <c r="A21" s="92"/>
      <c r="B21" s="92"/>
      <c r="C21" s="92"/>
      <c r="D21" s="92"/>
      <c r="E21" s="81"/>
      <c r="F21" s="81"/>
      <c r="G21" s="81"/>
      <c r="H21" s="81"/>
    </row>
    <row r="22" spans="1:8" ht="15" customHeight="1" x14ac:dyDescent="0.35">
      <c r="A22" s="92" t="s">
        <v>17</v>
      </c>
      <c r="B22" s="92"/>
      <c r="C22" s="92"/>
      <c r="D22" s="92"/>
      <c r="E22" s="94" t="s">
        <v>18</v>
      </c>
      <c r="F22" s="94"/>
      <c r="G22" s="94"/>
      <c r="H22" s="94"/>
    </row>
    <row r="23" spans="1:8" ht="15" customHeight="1" x14ac:dyDescent="0.35">
      <c r="A23" s="80" t="s">
        <v>19</v>
      </c>
      <c r="B23" s="80"/>
      <c r="C23" s="80"/>
      <c r="D23" s="80"/>
      <c r="E23" s="94" t="str">
        <f>IF(AND(G17="Mumbai"),"Upper Class","Middle Class")</f>
        <v>Middle Class</v>
      </c>
      <c r="F23" s="94"/>
      <c r="G23" s="94"/>
      <c r="H23" s="94"/>
    </row>
    <row r="24" spans="1:8" x14ac:dyDescent="0.35">
      <c r="A24" s="80" t="s">
        <v>20</v>
      </c>
      <c r="B24" s="80"/>
      <c r="C24" s="80"/>
      <c r="D24" s="80"/>
      <c r="E24" s="94" t="s">
        <v>21</v>
      </c>
      <c r="F24" s="94"/>
      <c r="G24" s="94"/>
      <c r="H24" s="94"/>
    </row>
    <row r="25" spans="1:8" ht="15.75" customHeight="1" x14ac:dyDescent="0.35">
      <c r="A25" s="80" t="s">
        <v>22</v>
      </c>
      <c r="B25" s="80"/>
      <c r="C25" s="80"/>
      <c r="D25" s="80"/>
      <c r="E25" s="94" t="str">
        <f>IF(AND(G17="Mumbai"),"Developed","Developing")</f>
        <v>Developing</v>
      </c>
      <c r="F25" s="94"/>
      <c r="G25" s="94"/>
      <c r="H25" s="94"/>
    </row>
    <row r="26" spans="1:8" x14ac:dyDescent="0.35">
      <c r="A26" s="80" t="s">
        <v>23</v>
      </c>
      <c r="B26" s="80"/>
      <c r="C26" s="80"/>
      <c r="D26" s="80"/>
      <c r="E26" s="94" t="s">
        <v>24</v>
      </c>
      <c r="F26" s="94"/>
      <c r="G26" s="94"/>
      <c r="H26" s="94"/>
    </row>
    <row r="27" spans="1:8" ht="15.75" customHeight="1" x14ac:dyDescent="0.35">
      <c r="A27" s="80" t="s">
        <v>81</v>
      </c>
      <c r="B27" s="80"/>
      <c r="C27" s="80"/>
      <c r="D27" s="80"/>
      <c r="E27" s="94" t="s">
        <v>82</v>
      </c>
      <c r="F27" s="94"/>
      <c r="G27" s="94"/>
      <c r="H27" s="94"/>
    </row>
    <row r="28" spans="1:8" ht="15" customHeight="1" x14ac:dyDescent="0.35">
      <c r="A28" s="80" t="s">
        <v>33</v>
      </c>
      <c r="B28" s="80"/>
      <c r="C28" s="80"/>
      <c r="D28" s="80"/>
      <c r="E28" s="94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Commercial",IF(AND(ISNUMBER(SEARCH("Shop",D54)),ISNUMBER(SEARCH("Office",D54))),"Commercial",IF(ISNUMBER(SEARCH("Shop",D54)),"Commercial",IF(ISNUMBER(SEARCH("Office",D54)),"Commercial",IF(ISNUMBER(SEARCH("Flat",D54)),"Residential")))))))</f>
        <v>Residential + Commercial</v>
      </c>
      <c r="F28" s="94"/>
      <c r="G28" s="94"/>
      <c r="H28" s="94"/>
    </row>
    <row r="29" spans="1:8" ht="15.75" customHeight="1" x14ac:dyDescent="0.35">
      <c r="A29" s="80" t="s">
        <v>93</v>
      </c>
      <c r="B29" s="80"/>
      <c r="C29" s="80"/>
      <c r="D29" s="80"/>
      <c r="E29" s="94" t="s">
        <v>34</v>
      </c>
      <c r="F29" s="94"/>
      <c r="G29" s="94"/>
      <c r="H29" s="94"/>
    </row>
    <row r="30" spans="1:8" s="18" customFormat="1" x14ac:dyDescent="0.35">
      <c r="A30" s="149" t="s">
        <v>94</v>
      </c>
      <c r="B30" s="149"/>
      <c r="C30" s="148" t="s">
        <v>29</v>
      </c>
      <c r="D30" s="148"/>
      <c r="E30" s="148"/>
      <c r="F30" s="148" t="s">
        <v>31</v>
      </c>
      <c r="G30" s="148"/>
      <c r="H30" s="148"/>
    </row>
    <row r="31" spans="1:8" s="18" customFormat="1" x14ac:dyDescent="0.35">
      <c r="A31" s="147" t="s">
        <v>25</v>
      </c>
      <c r="B31" s="147" t="s">
        <v>30</v>
      </c>
      <c r="C31" s="144" t="s">
        <v>11</v>
      </c>
      <c r="D31" s="144"/>
      <c r="E31" s="144"/>
      <c r="F31" s="144" t="s">
        <v>170</v>
      </c>
      <c r="G31" s="144"/>
      <c r="H31" s="144"/>
    </row>
    <row r="32" spans="1:8" x14ac:dyDescent="0.35">
      <c r="A32" s="147" t="s">
        <v>26</v>
      </c>
      <c r="B32" s="147" t="s">
        <v>30</v>
      </c>
      <c r="C32" s="144" t="s">
        <v>171</v>
      </c>
      <c r="D32" s="144"/>
      <c r="E32" s="144"/>
      <c r="F32" s="144" t="s">
        <v>171</v>
      </c>
      <c r="G32" s="144"/>
      <c r="H32" s="144"/>
    </row>
    <row r="33" spans="1:8" s="18" customFormat="1" x14ac:dyDescent="0.35">
      <c r="A33" s="147" t="s">
        <v>28</v>
      </c>
      <c r="B33" s="147" t="s">
        <v>30</v>
      </c>
      <c r="C33" s="144" t="s">
        <v>171</v>
      </c>
      <c r="D33" s="144"/>
      <c r="E33" s="144"/>
      <c r="F33" s="144" t="s">
        <v>171</v>
      </c>
      <c r="G33" s="144"/>
      <c r="H33" s="144"/>
    </row>
    <row r="34" spans="1:8" x14ac:dyDescent="0.35">
      <c r="A34" s="147" t="s">
        <v>27</v>
      </c>
      <c r="B34" s="147" t="s">
        <v>30</v>
      </c>
      <c r="C34" s="144" t="s">
        <v>220</v>
      </c>
      <c r="D34" s="144"/>
      <c r="E34" s="144"/>
      <c r="F34" s="144" t="s">
        <v>173</v>
      </c>
      <c r="G34" s="144"/>
      <c r="H34" s="144"/>
    </row>
    <row r="35" spans="1:8" x14ac:dyDescent="0.35">
      <c r="A35" s="80" t="s">
        <v>32</v>
      </c>
      <c r="B35" s="80"/>
      <c r="C35" s="80"/>
      <c r="D35" s="80"/>
      <c r="E35" s="80"/>
      <c r="F35" s="80"/>
      <c r="G35" s="80"/>
      <c r="H35" s="80"/>
    </row>
    <row r="36" spans="1:8" ht="15.75" customHeight="1" x14ac:dyDescent="0.35">
      <c r="A36" s="140" t="s">
        <v>204</v>
      </c>
      <c r="B36" s="140"/>
      <c r="C36" s="146" t="s">
        <v>203</v>
      </c>
      <c r="D36" s="146"/>
      <c r="E36" s="146"/>
      <c r="F36" s="146"/>
      <c r="G36" s="146"/>
      <c r="H36" s="146"/>
    </row>
    <row r="37" spans="1:8" ht="15.75" customHeight="1" x14ac:dyDescent="0.35">
      <c r="A37" s="140" t="s">
        <v>201</v>
      </c>
      <c r="B37" s="140"/>
      <c r="C37" s="145" t="s">
        <v>202</v>
      </c>
      <c r="D37" s="146"/>
      <c r="E37" s="146"/>
      <c r="F37" s="146"/>
      <c r="G37" s="146"/>
      <c r="H37" s="146"/>
    </row>
    <row r="38" spans="1:8" x14ac:dyDescent="0.35">
      <c r="A38" s="114" t="s">
        <v>35</v>
      </c>
      <c r="B38" s="114"/>
      <c r="C38" s="114"/>
      <c r="D38" s="114"/>
      <c r="E38" s="114"/>
      <c r="F38" s="114"/>
      <c r="G38" s="114"/>
      <c r="H38" s="114"/>
    </row>
    <row r="39" spans="1:8" x14ac:dyDescent="0.35">
      <c r="A39" s="80" t="s">
        <v>36</v>
      </c>
      <c r="B39" s="80"/>
      <c r="C39" s="80"/>
      <c r="D39" s="80"/>
      <c r="E39" s="165">
        <v>3080</v>
      </c>
      <c r="F39" s="165"/>
      <c r="G39" s="165"/>
      <c r="H39" s="165"/>
    </row>
    <row r="40" spans="1:8" x14ac:dyDescent="0.35">
      <c r="A40" s="80" t="s">
        <v>37</v>
      </c>
      <c r="B40" s="80"/>
      <c r="C40" s="80"/>
      <c r="D40" s="80"/>
      <c r="E40" s="95">
        <f>3388/E39</f>
        <v>1.1000000000000001</v>
      </c>
      <c r="F40" s="95"/>
      <c r="G40" s="95"/>
      <c r="H40" s="95"/>
    </row>
    <row r="41" spans="1:8" x14ac:dyDescent="0.35">
      <c r="A41" s="80" t="s">
        <v>38</v>
      </c>
      <c r="B41" s="80"/>
      <c r="C41" s="80"/>
      <c r="D41" s="80"/>
      <c r="E41" s="95">
        <f>E43/E39-E40</f>
        <v>2.4056363636363636</v>
      </c>
      <c r="F41" s="95"/>
      <c r="G41" s="95"/>
      <c r="H41" s="95"/>
    </row>
    <row r="42" spans="1:8" x14ac:dyDescent="0.35">
      <c r="A42" s="80" t="s">
        <v>39</v>
      </c>
      <c r="B42" s="80"/>
      <c r="C42" s="80"/>
      <c r="D42" s="80"/>
      <c r="E42" s="95">
        <f>E40+E41</f>
        <v>3.5056363636363637</v>
      </c>
      <c r="F42" s="95"/>
      <c r="G42" s="95"/>
      <c r="H42" s="95"/>
    </row>
    <row r="43" spans="1:8" x14ac:dyDescent="0.35">
      <c r="A43" s="80" t="s">
        <v>92</v>
      </c>
      <c r="B43" s="80"/>
      <c r="C43" s="80"/>
      <c r="D43" s="80"/>
      <c r="E43" s="129">
        <v>10797.36</v>
      </c>
      <c r="F43" s="129"/>
      <c r="G43" s="129"/>
      <c r="H43" s="129"/>
    </row>
    <row r="44" spans="1:8" x14ac:dyDescent="0.35">
      <c r="A44" s="81" t="s">
        <v>40</v>
      </c>
      <c r="B44" s="81"/>
      <c r="C44" s="81"/>
      <c r="D44" s="81"/>
      <c r="E44" s="130" t="s">
        <v>226</v>
      </c>
      <c r="F44" s="130"/>
      <c r="G44" s="130"/>
      <c r="H44" s="130"/>
    </row>
    <row r="45" spans="1:8" x14ac:dyDescent="0.35">
      <c r="A45" s="114" t="s">
        <v>41</v>
      </c>
      <c r="B45" s="114"/>
      <c r="C45" s="114"/>
      <c r="D45" s="114"/>
      <c r="E45" s="114"/>
      <c r="F45" s="114"/>
      <c r="G45" s="114"/>
      <c r="H45" s="114"/>
    </row>
    <row r="46" spans="1:8" ht="33.75" customHeight="1" x14ac:dyDescent="0.35">
      <c r="A46" s="120" t="s">
        <v>149</v>
      </c>
      <c r="B46" s="121"/>
      <c r="C46" s="162" t="s">
        <v>174</v>
      </c>
      <c r="D46" s="163"/>
      <c r="E46" s="163"/>
      <c r="F46" s="163"/>
      <c r="G46" s="163"/>
      <c r="H46" s="164"/>
    </row>
    <row r="47" spans="1:8" ht="32.25" customHeight="1" x14ac:dyDescent="0.35">
      <c r="A47" s="120" t="s">
        <v>221</v>
      </c>
      <c r="B47" s="121"/>
      <c r="C47" s="120" t="s">
        <v>207</v>
      </c>
      <c r="D47" s="122"/>
      <c r="E47" s="121"/>
      <c r="F47" s="15" t="s">
        <v>42</v>
      </c>
      <c r="G47" s="123">
        <v>45013</v>
      </c>
      <c r="H47" s="124"/>
    </row>
    <row r="48" spans="1:8" ht="32.25" customHeight="1" x14ac:dyDescent="0.35">
      <c r="A48" s="120" t="s">
        <v>222</v>
      </c>
      <c r="B48" s="121"/>
      <c r="C48" s="120" t="s">
        <v>207</v>
      </c>
      <c r="D48" s="122"/>
      <c r="E48" s="121"/>
      <c r="F48" s="15" t="s">
        <v>42</v>
      </c>
      <c r="G48" s="123">
        <v>45013</v>
      </c>
      <c r="H48" s="124"/>
    </row>
    <row r="49" spans="1:14" s="19" customFormat="1" ht="30" customHeight="1" x14ac:dyDescent="0.35">
      <c r="A49" s="125" t="s">
        <v>175</v>
      </c>
      <c r="B49" s="126"/>
      <c r="C49" s="120" t="s">
        <v>208</v>
      </c>
      <c r="D49" s="122"/>
      <c r="E49" s="121"/>
      <c r="F49" s="15" t="s">
        <v>42</v>
      </c>
      <c r="G49" s="123">
        <f>G48</f>
        <v>45013</v>
      </c>
      <c r="H49" s="124"/>
    </row>
    <row r="50" spans="1:14" s="19" customFormat="1" ht="34.5" customHeight="1" x14ac:dyDescent="0.35">
      <c r="A50" s="127"/>
      <c r="B50" s="128"/>
      <c r="C50" s="120" t="s">
        <v>210</v>
      </c>
      <c r="D50" s="122"/>
      <c r="E50" s="122"/>
      <c r="F50" s="122"/>
      <c r="G50" s="122"/>
      <c r="H50" s="122"/>
    </row>
    <row r="51" spans="1:14" x14ac:dyDescent="0.35">
      <c r="A51" s="134" t="s">
        <v>43</v>
      </c>
      <c r="B51" s="135"/>
      <c r="C51" s="134" t="s">
        <v>102</v>
      </c>
      <c r="D51" s="136"/>
      <c r="E51" s="135"/>
      <c r="F51" s="50" t="s">
        <v>42</v>
      </c>
      <c r="G51" s="137" t="s">
        <v>30</v>
      </c>
      <c r="H51" s="138"/>
    </row>
    <row r="52" spans="1:14" x14ac:dyDescent="0.35">
      <c r="A52" s="117" t="s">
        <v>45</v>
      </c>
      <c r="B52" s="117"/>
      <c r="C52" s="117"/>
      <c r="D52" s="117"/>
      <c r="E52" s="117"/>
      <c r="F52" s="117"/>
      <c r="G52" s="117"/>
      <c r="H52" s="117"/>
    </row>
    <row r="53" spans="1:14" x14ac:dyDescent="0.35">
      <c r="A53" s="92" t="s">
        <v>91</v>
      </c>
      <c r="B53" s="92"/>
      <c r="C53" s="92"/>
      <c r="D53" s="80">
        <f>E43</f>
        <v>10797.36</v>
      </c>
      <c r="E53" s="80"/>
      <c r="F53" s="80"/>
      <c r="G53" s="80"/>
      <c r="H53" s="80"/>
    </row>
    <row r="54" spans="1:14" x14ac:dyDescent="0.35">
      <c r="A54" s="94" t="s">
        <v>46</v>
      </c>
      <c r="B54" s="81"/>
      <c r="C54" s="81"/>
      <c r="D54" s="130" t="s">
        <v>218</v>
      </c>
      <c r="E54" s="130"/>
      <c r="F54" s="130"/>
      <c r="G54" s="130"/>
      <c r="H54" s="130"/>
      <c r="I54" s="20"/>
    </row>
    <row r="55" spans="1:14" ht="33" customHeight="1" x14ac:dyDescent="0.35">
      <c r="A55" s="108" t="s">
        <v>47</v>
      </c>
      <c r="B55" s="109"/>
      <c r="C55" s="133"/>
      <c r="D55" s="131" t="s">
        <v>210</v>
      </c>
      <c r="E55" s="132"/>
      <c r="F55" s="132"/>
      <c r="G55" s="132"/>
      <c r="H55" s="132"/>
    </row>
    <row r="56" spans="1:14" ht="15.75" customHeight="1" x14ac:dyDescent="0.35">
      <c r="A56" s="94" t="s">
        <v>89</v>
      </c>
      <c r="B56" s="94"/>
      <c r="C56" s="94"/>
      <c r="D56" s="130" t="s">
        <v>206</v>
      </c>
      <c r="E56" s="130"/>
      <c r="F56" s="130"/>
      <c r="G56" s="130"/>
      <c r="H56" s="130"/>
    </row>
    <row r="57" spans="1:14" ht="15.75" customHeight="1" x14ac:dyDescent="0.35">
      <c r="A57" s="94"/>
      <c r="B57" s="94"/>
      <c r="C57" s="94"/>
      <c r="D57" s="130" t="s">
        <v>209</v>
      </c>
      <c r="E57" s="130"/>
      <c r="F57" s="130"/>
      <c r="G57" s="130"/>
      <c r="H57" s="130"/>
    </row>
    <row r="58" spans="1:14" ht="15.75" customHeight="1" x14ac:dyDescent="0.35">
      <c r="A58" s="80" t="s">
        <v>44</v>
      </c>
      <c r="B58" s="80"/>
      <c r="C58" s="80"/>
      <c r="D58" s="92" t="s">
        <v>176</v>
      </c>
      <c r="E58" s="92"/>
      <c r="F58" s="92"/>
      <c r="G58" s="92"/>
      <c r="H58" s="92"/>
      <c r="J58" s="21"/>
      <c r="K58" s="20"/>
      <c r="N58" s="20"/>
    </row>
    <row r="59" spans="1:14" ht="15.75" customHeight="1" x14ac:dyDescent="0.35">
      <c r="A59" s="80" t="s">
        <v>87</v>
      </c>
      <c r="B59" s="80"/>
      <c r="C59" s="80"/>
      <c r="D59" s="119" t="str">
        <f>(IF(G51="NA","60 Years After Completion",IF(G51&lt;&gt;"NA",""&amp;60-ROUNDDOWN((E3-G51)/360,0)&amp;" Years"," ")))</f>
        <v>60 Years After Completion</v>
      </c>
      <c r="E59" s="119"/>
      <c r="F59" s="119"/>
      <c r="G59" s="119"/>
      <c r="H59" s="119"/>
      <c r="N59" s="20"/>
    </row>
    <row r="60" spans="1:14" ht="15.75" customHeight="1" x14ac:dyDescent="0.35">
      <c r="A60" s="80" t="s">
        <v>88</v>
      </c>
      <c r="B60" s="80"/>
      <c r="C60" s="80"/>
      <c r="D60" s="92" t="s">
        <v>24</v>
      </c>
      <c r="E60" s="92"/>
      <c r="F60" s="92"/>
      <c r="G60" s="92"/>
      <c r="H60" s="92"/>
      <c r="J60" s="22"/>
      <c r="K60" s="22"/>
    </row>
    <row r="61" spans="1:14" ht="29.25" hidden="1" customHeight="1" x14ac:dyDescent="0.35">
      <c r="A61" s="80" t="s">
        <v>74</v>
      </c>
      <c r="B61" s="80"/>
      <c r="C61" s="80"/>
      <c r="D61" s="94" t="s">
        <v>200</v>
      </c>
      <c r="E61" s="92"/>
      <c r="F61" s="92"/>
      <c r="G61" s="92"/>
      <c r="H61" s="92"/>
    </row>
    <row r="62" spans="1:14" x14ac:dyDescent="0.35">
      <c r="A62" s="92" t="s">
        <v>147</v>
      </c>
      <c r="B62" s="92"/>
      <c r="C62" s="92"/>
      <c r="D62" s="92" t="s">
        <v>30</v>
      </c>
      <c r="E62" s="92"/>
      <c r="F62" s="92"/>
      <c r="G62" s="92"/>
      <c r="H62" s="92"/>
      <c r="I62" s="23"/>
      <c r="J62" s="23"/>
      <c r="K62" s="23"/>
      <c r="L62" s="23"/>
      <c r="M62" s="23"/>
      <c r="N62" s="23"/>
    </row>
    <row r="63" spans="1:14" ht="15.75" customHeight="1" x14ac:dyDescent="0.35">
      <c r="A63" s="80" t="s">
        <v>86</v>
      </c>
      <c r="B63" s="80"/>
      <c r="C63" s="80"/>
      <c r="D63" s="94" t="str">
        <f ca="1">(IF(G83&gt;95%,"Nothing",IF(G83&gt;0%,"Cement, Aggregate, Steel, etc",IF(G83=0%,"Work not yet Started"))))</f>
        <v>Cement, Aggregate, Steel, etc</v>
      </c>
      <c r="E63" s="94"/>
      <c r="F63" s="94"/>
      <c r="G63" s="94"/>
      <c r="H63" s="94"/>
      <c r="J63" s="22"/>
    </row>
    <row r="64" spans="1:14" ht="33.75" customHeight="1" thickBot="1" x14ac:dyDescent="0.4">
      <c r="A64" s="92" t="s">
        <v>115</v>
      </c>
      <c r="B64" s="92"/>
      <c r="C64" s="92"/>
      <c r="D64" s="94" t="str">
        <f ca="1">(IF(D63="Nothing","Yes",IF(D63="Cement, Aggregate, Steel, etc","Under Construction",IF(D63="Work not yet Started","Work not yet Started"))))</f>
        <v>Under Construction</v>
      </c>
      <c r="E64" s="94"/>
      <c r="F64" s="94" t="str">
        <f ca="1">(IF(D63="Nothing","Yes",IF(D63="Cement, Aggregate, Steel, etc","Under Construction",IF(D63="Work not yet Started","Work not yet Started"))))</f>
        <v>Under Construction</v>
      </c>
      <c r="G64" s="94"/>
      <c r="H64" s="94"/>
    </row>
    <row r="65" spans="1:10" ht="15.75" customHeight="1" x14ac:dyDescent="0.35">
      <c r="A65" s="91" t="s">
        <v>139</v>
      </c>
      <c r="B65" s="91"/>
      <c r="C65" s="91" t="str">
        <f>D56</f>
        <v>A Wing = G + 1st to 12th Floor</v>
      </c>
      <c r="D65" s="91"/>
      <c r="E65" s="91"/>
      <c r="F65" s="91"/>
      <c r="G65" s="91"/>
      <c r="H65" s="91"/>
      <c r="I65" s="68" t="str">
        <f ca="1">IF(D78=100%,"All work Completed. Possession granted to the Building.",IF(D77=100%,"All work Completed, Waiting for OC",I66&amp;""&amp;I67&amp;""&amp;J66&amp;""&amp;J65&amp;" "&amp;J67))</f>
        <v>All work Completed. Possession granted to the Building.</v>
      </c>
      <c r="J65" s="3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/>
      </c>
    </row>
    <row r="66" spans="1:10" x14ac:dyDescent="0.35">
      <c r="A66" s="44" t="s">
        <v>141</v>
      </c>
      <c r="B66" s="44">
        <v>0</v>
      </c>
      <c r="C66" s="44" t="s">
        <v>72</v>
      </c>
      <c r="D66" s="44">
        <v>1</v>
      </c>
      <c r="E66" s="44" t="s">
        <v>71</v>
      </c>
      <c r="F66" s="44">
        <v>0</v>
      </c>
      <c r="G66" s="44" t="s">
        <v>80</v>
      </c>
      <c r="H66" s="44">
        <f ca="1">--TRIM(RIGHT(SUBSTITUTE(LEFT(C65,_xlfn.AGGREGATE(16,6,FIND({0,1,2,3,4,5,6,7,8,9},C65,ROW(INDIRECT("1:"&amp;LEN(C65)))),1))," ",REPT(" ",LEN(C65))),LEN(C65)))</f>
        <v>12</v>
      </c>
      <c r="I66" s="6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Painting, Building common Amenities</v>
      </c>
      <c r="J66" s="4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x14ac:dyDescent="0.35">
      <c r="A67" s="90" t="s">
        <v>90</v>
      </c>
      <c r="B67" s="90"/>
      <c r="C67" s="93" t="str">
        <f ca="1">(IF($G$51="NA",I65,"All work Completed. OC Received."))</f>
        <v>All work Completed. Possession granted to the Building.</v>
      </c>
      <c r="D67" s="93"/>
      <c r="E67" s="93"/>
      <c r="F67" s="93"/>
      <c r="G67" s="93"/>
      <c r="H67" s="93"/>
      <c r="I67" s="69" t="str">
        <f ca="1">IF(I66&lt;&gt;""," Completed","")</f>
        <v xml:space="preserve"> Completed</v>
      </c>
      <c r="J67" s="40" t="str">
        <f ca="1">IF(J65&lt;&gt;"","Completed","")</f>
        <v/>
      </c>
    </row>
    <row r="68" spans="1:10" ht="15.75" customHeight="1" x14ac:dyDescent="0.35">
      <c r="A68" s="89" t="s">
        <v>48</v>
      </c>
      <c r="B68" s="89"/>
      <c r="C68" s="71" t="s">
        <v>138</v>
      </c>
      <c r="D68" s="71" t="s">
        <v>83</v>
      </c>
      <c r="E68" s="89" t="s">
        <v>85</v>
      </c>
      <c r="F68" s="89"/>
      <c r="G68" s="89" t="s">
        <v>84</v>
      </c>
      <c r="H68" s="89"/>
      <c r="I68" s="13" t="s">
        <v>140</v>
      </c>
      <c r="J68" s="24">
        <f ca="1">H66*25%</f>
        <v>3</v>
      </c>
    </row>
    <row r="69" spans="1:10" x14ac:dyDescent="0.35">
      <c r="A69" s="89" t="s">
        <v>127</v>
      </c>
      <c r="B69" s="89"/>
      <c r="C69" s="71">
        <f ca="1">J70</f>
        <v>12</v>
      </c>
      <c r="D69" s="16">
        <f ca="1">((100/H66)*C69)/100</f>
        <v>1</v>
      </c>
      <c r="E69" s="151">
        <f ca="1">(((C70/H66*10)+(40/(D66+F66+H66)*C71)+(7.5/(H66)*C72)+(7.5/(H66)*C73)+(10/H66*C74)+(10/H66*C75)+(5/H66*C76)+(5/H66*C77)+(5/H66*C78))/100)</f>
        <v>1</v>
      </c>
      <c r="F69" s="151"/>
      <c r="G69" s="151">
        <f ca="1">((((C69/H66)*20)+((C70/H66)*25)+(30/(H66+F66+D66)*C71)+(5/H66*C72)+(5/H66*C73)+(5/H66*C74)+(5/H66*C75)+(0/H66*C76)+(0/H66*C77)+(5/H66*C78))/100)</f>
        <v>1</v>
      </c>
      <c r="H69" s="151"/>
      <c r="I69" s="13" t="s">
        <v>96</v>
      </c>
      <c r="J69" s="25">
        <f ca="1">H66*50%</f>
        <v>6</v>
      </c>
    </row>
    <row r="70" spans="1:10" x14ac:dyDescent="0.35">
      <c r="A70" s="89" t="s">
        <v>49</v>
      </c>
      <c r="B70" s="89"/>
      <c r="C70" s="47">
        <v>12</v>
      </c>
      <c r="D70" s="16">
        <f ca="1">((100/H66)*C70)/100</f>
        <v>1</v>
      </c>
      <c r="E70" s="151"/>
      <c r="F70" s="151"/>
      <c r="G70" s="151"/>
      <c r="H70" s="151"/>
      <c r="I70" s="13" t="s">
        <v>97</v>
      </c>
      <c r="J70" s="25">
        <f ca="1">H66</f>
        <v>12</v>
      </c>
    </row>
    <row r="71" spans="1:10" ht="15.75" customHeight="1" x14ac:dyDescent="0.35">
      <c r="A71" s="89" t="s">
        <v>128</v>
      </c>
      <c r="B71" s="89"/>
      <c r="C71" s="71">
        <v>13</v>
      </c>
      <c r="D71" s="16">
        <f ca="1">((100/(D66+F66+H66))*C71)/100</f>
        <v>1</v>
      </c>
      <c r="E71" s="151"/>
      <c r="F71" s="151"/>
      <c r="G71" s="151"/>
      <c r="H71" s="151"/>
      <c r="I71" s="13" t="s">
        <v>98</v>
      </c>
      <c r="J71" s="26">
        <f ca="1">(IF(B66&gt;1,(H66/(B66+2)),H66/4))</f>
        <v>3</v>
      </c>
    </row>
    <row r="72" spans="1:10" ht="15.75" customHeight="1" x14ac:dyDescent="0.35">
      <c r="A72" s="89" t="s">
        <v>135</v>
      </c>
      <c r="B72" s="89" t="s">
        <v>129</v>
      </c>
      <c r="C72" s="71">
        <v>12</v>
      </c>
      <c r="D72" s="16">
        <f ca="1">((100/H66)*C72)/100</f>
        <v>1</v>
      </c>
      <c r="E72" s="151"/>
      <c r="F72" s="151"/>
      <c r="G72" s="151"/>
      <c r="H72" s="151"/>
      <c r="I72" s="13" t="s">
        <v>99</v>
      </c>
      <c r="J72" s="26">
        <f ca="1">(IF(B66&gt;1,(H66/(B66+2)+J71),H66/4+J71))</f>
        <v>6</v>
      </c>
    </row>
    <row r="73" spans="1:10" ht="15.75" customHeight="1" x14ac:dyDescent="0.35">
      <c r="A73" s="89" t="s">
        <v>136</v>
      </c>
      <c r="B73" s="89" t="s">
        <v>129</v>
      </c>
      <c r="C73" s="71">
        <v>12</v>
      </c>
      <c r="D73" s="16">
        <f ca="1">((100/H66)*C73)/100</f>
        <v>1</v>
      </c>
      <c r="E73" s="151"/>
      <c r="F73" s="151"/>
      <c r="G73" s="151"/>
      <c r="H73" s="151"/>
      <c r="I73" s="13" t="s">
        <v>145</v>
      </c>
      <c r="J73" s="26">
        <f>(IF(B66&gt;1,(H66/(B66+2)+J72),0))</f>
        <v>0</v>
      </c>
    </row>
    <row r="74" spans="1:10" ht="15" customHeight="1" x14ac:dyDescent="0.35">
      <c r="A74" s="89" t="s">
        <v>134</v>
      </c>
      <c r="B74" s="89" t="s">
        <v>131</v>
      </c>
      <c r="C74" s="71">
        <v>12</v>
      </c>
      <c r="D74" s="16">
        <f ca="1">((100/(H66))*C74)/100</f>
        <v>1</v>
      </c>
      <c r="E74" s="151"/>
      <c r="F74" s="151"/>
      <c r="G74" s="151"/>
      <c r="H74" s="151"/>
      <c r="I74" s="13" t="s">
        <v>142</v>
      </c>
      <c r="J74" s="26">
        <f>(IF(B66&gt;2,(H66/(B66+2)+J73),0))</f>
        <v>0</v>
      </c>
    </row>
    <row r="75" spans="1:10" ht="15.75" customHeight="1" x14ac:dyDescent="0.35">
      <c r="A75" s="89" t="s">
        <v>130</v>
      </c>
      <c r="B75" s="89" t="s">
        <v>130</v>
      </c>
      <c r="C75" s="71">
        <v>12</v>
      </c>
      <c r="D75" s="16">
        <f ca="1">((100/H66)*C75)/100</f>
        <v>1</v>
      </c>
      <c r="E75" s="151"/>
      <c r="F75" s="151"/>
      <c r="G75" s="151"/>
      <c r="H75" s="151"/>
      <c r="I75" s="13" t="s">
        <v>143</v>
      </c>
      <c r="J75" s="27">
        <f>(IF(B66&gt;3,(H66/(B66+2)+J74),0))</f>
        <v>0</v>
      </c>
    </row>
    <row r="76" spans="1:10" ht="15.75" customHeight="1" x14ac:dyDescent="0.35">
      <c r="A76" s="89" t="s">
        <v>137</v>
      </c>
      <c r="B76" s="89"/>
      <c r="C76" s="71">
        <v>12</v>
      </c>
      <c r="D76" s="16">
        <f ca="1">((100/H66)*C76)/100</f>
        <v>1</v>
      </c>
      <c r="E76" s="151"/>
      <c r="F76" s="151"/>
      <c r="G76" s="151"/>
      <c r="H76" s="151"/>
      <c r="I76" s="13" t="s">
        <v>144</v>
      </c>
      <c r="J76" s="26">
        <f>(IF(B66&gt;4,(H66/(B66+2)+J75),0))</f>
        <v>0</v>
      </c>
    </row>
    <row r="77" spans="1:10" ht="15.75" customHeight="1" x14ac:dyDescent="0.35">
      <c r="A77" s="89" t="s">
        <v>132</v>
      </c>
      <c r="B77" s="89" t="s">
        <v>132</v>
      </c>
      <c r="C77" s="71">
        <v>12</v>
      </c>
      <c r="D77" s="16">
        <f ca="1">((100/(H66))*C77)/100</f>
        <v>1</v>
      </c>
      <c r="E77" s="151"/>
      <c r="F77" s="151"/>
      <c r="G77" s="151"/>
      <c r="H77" s="151"/>
      <c r="I77" s="13" t="s">
        <v>146</v>
      </c>
      <c r="J77" s="26">
        <f ca="1">(IF(B66=1,(H66/(B66+3)+J72),IF(B66=0,(H66/4+J72),IF(B66&gt;1,0))))</f>
        <v>9</v>
      </c>
    </row>
    <row r="78" spans="1:10" ht="16" thickBot="1" x14ac:dyDescent="0.4">
      <c r="A78" s="89" t="s">
        <v>133</v>
      </c>
      <c r="B78" s="89"/>
      <c r="C78" s="71">
        <v>12</v>
      </c>
      <c r="D78" s="16">
        <f ca="1">((100/(H66))*C78)/100</f>
        <v>1</v>
      </c>
      <c r="E78" s="151"/>
      <c r="F78" s="151"/>
      <c r="G78" s="151"/>
      <c r="H78" s="151"/>
      <c r="I78" s="14" t="s">
        <v>100</v>
      </c>
      <c r="J78" s="28">
        <f ca="1">(IF(B66&gt;1.5,(H66/(B66+2)+J72+MAX(0,J73-J72)+MAX(0,J74-J73)+MAX(0,J75-J74)+MAX(0,J76-J75)+MAX(0,J77-J76)),IF(B66=1,(H66/(B66+3)+J77),IF(B66=0,H66/4+J77))))</f>
        <v>12</v>
      </c>
    </row>
    <row r="79" spans="1:10" ht="15.75" customHeight="1" x14ac:dyDescent="0.35">
      <c r="A79" s="167" t="s">
        <v>139</v>
      </c>
      <c r="B79" s="168"/>
      <c r="C79" s="169" t="str">
        <f>D57</f>
        <v>B Wing = G + 1st to 12th Floor</v>
      </c>
      <c r="D79" s="170"/>
      <c r="E79" s="170"/>
      <c r="F79" s="170"/>
      <c r="G79" s="170"/>
      <c r="H79" s="171"/>
      <c r="I79" s="53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Plaster, Flooring, Painting Completed, Finishing upto 8 Floor Completed</v>
      </c>
      <c r="J79" s="38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Finishing upto 8 Floor</v>
      </c>
    </row>
    <row r="80" spans="1:10" x14ac:dyDescent="0.35">
      <c r="A80" s="43" t="s">
        <v>141</v>
      </c>
      <c r="B80" s="44">
        <v>0</v>
      </c>
      <c r="C80" s="44" t="s">
        <v>72</v>
      </c>
      <c r="D80" s="44">
        <v>1</v>
      </c>
      <c r="E80" s="44" t="s">
        <v>71</v>
      </c>
      <c r="F80" s="44">
        <v>0</v>
      </c>
      <c r="G80" s="44" t="s">
        <v>80</v>
      </c>
      <c r="H80" s="45">
        <f ca="1">--TRIM(RIGHT(SUBSTITUTE(LEFT(C79,_xlfn.AGGREGATE(16,6,FIND({0,1,2,3,4,5,6,7,8,9},C79,ROW(INDIRECT("1:"&amp;LEN(C79)))),1))," ",REPT(" ",LEN(C79))),LEN(C79)))</f>
        <v>12</v>
      </c>
      <c r="I80" s="39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Plaster, Flooring, Painting</v>
      </c>
      <c r="J80" s="40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1" ht="34" customHeight="1" x14ac:dyDescent="0.35">
      <c r="A81" s="90" t="s">
        <v>90</v>
      </c>
      <c r="B81" s="90"/>
      <c r="C81" s="93" t="str">
        <f ca="1">(IF($G$51="NA",I79,"All work Completed. OC Received."))</f>
        <v>Excavation, Plinth, RCC Slab, Brickwork, Internal Plaster, External Plaster, Flooring, Painting Completed, Finishing upto 8 Floor Completed</v>
      </c>
      <c r="D81" s="93"/>
      <c r="E81" s="93"/>
      <c r="F81" s="93"/>
      <c r="G81" s="93"/>
      <c r="H81" s="93"/>
      <c r="I81" s="69" t="str">
        <f ca="1">IF(I80&lt;&gt;""," Completed","")</f>
        <v xml:space="preserve"> Completed</v>
      </c>
      <c r="J81" s="40" t="str">
        <f ca="1">IF(J79&lt;&gt;"","Completed","")</f>
        <v>Completed</v>
      </c>
    </row>
    <row r="82" spans="1:11" ht="15.75" customHeight="1" x14ac:dyDescent="0.35">
      <c r="A82" s="89" t="s">
        <v>48</v>
      </c>
      <c r="B82" s="89"/>
      <c r="C82" s="66" t="s">
        <v>138</v>
      </c>
      <c r="D82" s="66" t="s">
        <v>83</v>
      </c>
      <c r="E82" s="89" t="s">
        <v>85</v>
      </c>
      <c r="F82" s="89"/>
      <c r="G82" s="89" t="s">
        <v>84</v>
      </c>
      <c r="H82" s="89"/>
      <c r="I82" s="13" t="s">
        <v>140</v>
      </c>
      <c r="J82" s="24">
        <f ca="1">H80*25%</f>
        <v>3</v>
      </c>
    </row>
    <row r="83" spans="1:11" x14ac:dyDescent="0.35">
      <c r="A83" s="89" t="s">
        <v>127</v>
      </c>
      <c r="B83" s="89"/>
      <c r="C83" s="66">
        <f ca="1">J84</f>
        <v>12</v>
      </c>
      <c r="D83" s="16">
        <f ca="1">((100/H80)*C83)/100</f>
        <v>1</v>
      </c>
      <c r="E83" s="151">
        <f ca="1">(((C84/H80*10)+(40/(D80+F80+H80)*C85)+(7.5/(H80)*C86)+(7.5/(H80)*C87)+(10/H80*C88)+(10/H80*C89)+(5/H80*C90)+(5/H80*C91)+(5/H80*C92))/100)</f>
        <v>0.93333333333333324</v>
      </c>
      <c r="F83" s="151"/>
      <c r="G83" s="151">
        <f ca="1">((((C83/H80)*20)+((C84/H80)*25)+(30/(H80+F80+D80)*C85)+(5/H80*C86)+(5/H80*C87)+(5/H80*C88)+(5/H80*C89)+(0/H80*C90)+(0/H80*C91)+(5/H80*C92))/100)</f>
        <v>0.95</v>
      </c>
      <c r="H83" s="151"/>
      <c r="I83" s="13" t="s">
        <v>96</v>
      </c>
      <c r="J83" s="25">
        <f ca="1">H80*50%</f>
        <v>6</v>
      </c>
    </row>
    <row r="84" spans="1:11" x14ac:dyDescent="0.35">
      <c r="A84" s="89" t="s">
        <v>49</v>
      </c>
      <c r="B84" s="89"/>
      <c r="C84" s="47">
        <f ca="1">J92</f>
        <v>12</v>
      </c>
      <c r="D84" s="16">
        <f ca="1">((100/H80)*C84)/100</f>
        <v>1</v>
      </c>
      <c r="E84" s="151"/>
      <c r="F84" s="151"/>
      <c r="G84" s="151"/>
      <c r="H84" s="151"/>
      <c r="I84" s="13" t="s">
        <v>97</v>
      </c>
      <c r="J84" s="25">
        <f ca="1">H80</f>
        <v>12</v>
      </c>
    </row>
    <row r="85" spans="1:11" ht="15.75" customHeight="1" x14ac:dyDescent="0.35">
      <c r="A85" s="89" t="s">
        <v>128</v>
      </c>
      <c r="B85" s="89"/>
      <c r="C85" s="66">
        <v>13</v>
      </c>
      <c r="D85" s="16">
        <f ca="1">((100/(D80+F80+H80))*C85)/100</f>
        <v>1</v>
      </c>
      <c r="E85" s="151"/>
      <c r="F85" s="151"/>
      <c r="G85" s="151"/>
      <c r="H85" s="151"/>
      <c r="I85" s="13" t="s">
        <v>98</v>
      </c>
      <c r="J85" s="26">
        <f ca="1">(IF(B80&gt;1,(H80/(B80+2)),H80/4))</f>
        <v>3</v>
      </c>
    </row>
    <row r="86" spans="1:11" ht="15.75" customHeight="1" x14ac:dyDescent="0.35">
      <c r="A86" s="89" t="s">
        <v>135</v>
      </c>
      <c r="B86" s="89" t="s">
        <v>129</v>
      </c>
      <c r="C86" s="66">
        <v>12</v>
      </c>
      <c r="D86" s="16">
        <f ca="1">((100/H80)*C86)/100</f>
        <v>1</v>
      </c>
      <c r="E86" s="151"/>
      <c r="F86" s="151"/>
      <c r="G86" s="151"/>
      <c r="H86" s="151"/>
      <c r="I86" s="13" t="s">
        <v>99</v>
      </c>
      <c r="J86" s="26">
        <f ca="1">(IF(B80&gt;1,(H80/(B80+2)+J85),H80/4+J85))</f>
        <v>6</v>
      </c>
    </row>
    <row r="87" spans="1:11" ht="15.75" customHeight="1" x14ac:dyDescent="0.35">
      <c r="A87" s="89" t="s">
        <v>136</v>
      </c>
      <c r="B87" s="89" t="s">
        <v>129</v>
      </c>
      <c r="C87" s="66">
        <v>12</v>
      </c>
      <c r="D87" s="16">
        <f ca="1">((100/H80)*C87)/100</f>
        <v>1</v>
      </c>
      <c r="E87" s="151"/>
      <c r="F87" s="151"/>
      <c r="G87" s="151"/>
      <c r="H87" s="151"/>
      <c r="I87" s="13" t="s">
        <v>145</v>
      </c>
      <c r="J87" s="26">
        <f>(IF(B80&gt;1,(H80/(B80+2)+J86),0))</f>
        <v>0</v>
      </c>
    </row>
    <row r="88" spans="1:11" ht="15" customHeight="1" x14ac:dyDescent="0.35">
      <c r="A88" s="89" t="s">
        <v>134</v>
      </c>
      <c r="B88" s="89" t="s">
        <v>131</v>
      </c>
      <c r="C88" s="66">
        <v>12</v>
      </c>
      <c r="D88" s="16">
        <f ca="1">((100/(H80))*C88)/100</f>
        <v>1</v>
      </c>
      <c r="E88" s="151"/>
      <c r="F88" s="151"/>
      <c r="G88" s="151"/>
      <c r="H88" s="151"/>
      <c r="I88" s="13" t="s">
        <v>142</v>
      </c>
      <c r="J88" s="26">
        <f>(IF(B80&gt;2,(H80/(B80+2)+J87),0))</f>
        <v>0</v>
      </c>
    </row>
    <row r="89" spans="1:11" ht="15.75" customHeight="1" x14ac:dyDescent="0.35">
      <c r="A89" s="89" t="s">
        <v>130</v>
      </c>
      <c r="B89" s="89" t="s">
        <v>130</v>
      </c>
      <c r="C89" s="66">
        <v>12</v>
      </c>
      <c r="D89" s="16">
        <f ca="1">((100/H80)*C89)/100</f>
        <v>1</v>
      </c>
      <c r="E89" s="151"/>
      <c r="F89" s="151"/>
      <c r="G89" s="151"/>
      <c r="H89" s="151"/>
      <c r="I89" s="13" t="s">
        <v>143</v>
      </c>
      <c r="J89" s="27">
        <f>(IF(B80&gt;3,(H80/(B80+2)+J88),0))</f>
        <v>0</v>
      </c>
    </row>
    <row r="90" spans="1:11" ht="15.75" customHeight="1" x14ac:dyDescent="0.35">
      <c r="A90" s="89" t="s">
        <v>137</v>
      </c>
      <c r="B90" s="89"/>
      <c r="C90" s="66">
        <v>12</v>
      </c>
      <c r="D90" s="16">
        <f ca="1">((100/H80)*C90)/100</f>
        <v>1</v>
      </c>
      <c r="E90" s="151"/>
      <c r="F90" s="151"/>
      <c r="G90" s="151"/>
      <c r="H90" s="151"/>
      <c r="I90" s="13" t="s">
        <v>144</v>
      </c>
      <c r="J90" s="26">
        <f>(IF(B80&gt;4,(H80/(B80+2)+J89),0))</f>
        <v>0</v>
      </c>
    </row>
    <row r="91" spans="1:11" ht="15.75" customHeight="1" x14ac:dyDescent="0.35">
      <c r="A91" s="89" t="s">
        <v>132</v>
      </c>
      <c r="B91" s="89" t="s">
        <v>132</v>
      </c>
      <c r="C91" s="66">
        <v>8</v>
      </c>
      <c r="D91" s="16">
        <f ca="1">((100/(H80))*C91)/100</f>
        <v>0.66666666666666674</v>
      </c>
      <c r="E91" s="151"/>
      <c r="F91" s="151"/>
      <c r="G91" s="151"/>
      <c r="H91" s="151"/>
      <c r="I91" s="13" t="s">
        <v>146</v>
      </c>
      <c r="J91" s="26">
        <f ca="1">(IF(B80=1,(H80/(B80+3)+J86),IF(B80=0,(H80/4+J86),IF(B80&gt;1,0))))</f>
        <v>9</v>
      </c>
    </row>
    <row r="92" spans="1:11" ht="16" thickBot="1" x14ac:dyDescent="0.4">
      <c r="A92" s="89" t="s">
        <v>133</v>
      </c>
      <c r="B92" s="89"/>
      <c r="C92" s="66">
        <v>0</v>
      </c>
      <c r="D92" s="16">
        <f ca="1">((100/(H80))*C92)/100</f>
        <v>0</v>
      </c>
      <c r="E92" s="151"/>
      <c r="F92" s="151"/>
      <c r="G92" s="151"/>
      <c r="H92" s="151"/>
      <c r="I92" s="14" t="s">
        <v>100</v>
      </c>
      <c r="J92" s="28">
        <f ca="1">(IF(B80&gt;1.5,(H80/(B80+2)+J86+MAX(0,J87-J86)+MAX(0,J88-J87)+MAX(0,J89-J88)+MAX(0,J90-J89)+MAX(0,J91-J90)),IF(B80=1,(H80/(B80+3)+J91),IF(B80=0,H80/4+J91))))</f>
        <v>12</v>
      </c>
    </row>
    <row r="93" spans="1:11" x14ac:dyDescent="0.35">
      <c r="A93" s="160" t="s">
        <v>154</v>
      </c>
      <c r="B93" s="160"/>
      <c r="C93" s="160"/>
      <c r="D93" s="160"/>
      <c r="E93" s="160"/>
      <c r="F93" s="161" t="s">
        <v>157</v>
      </c>
      <c r="G93" s="161"/>
      <c r="H93" s="161"/>
    </row>
    <row r="94" spans="1:11" x14ac:dyDescent="0.35">
      <c r="A94" s="80" t="s">
        <v>156</v>
      </c>
      <c r="B94" s="80"/>
      <c r="C94" s="80"/>
      <c r="D94" s="80"/>
      <c r="E94" s="80"/>
      <c r="F94" s="101">
        <v>4600</v>
      </c>
      <c r="G94" s="101"/>
      <c r="H94" s="101"/>
      <c r="I94" s="17" t="s">
        <v>228</v>
      </c>
      <c r="J94" s="17" t="s">
        <v>229</v>
      </c>
      <c r="K94" s="21">
        <v>45419</v>
      </c>
    </row>
    <row r="95" spans="1:11" x14ac:dyDescent="0.35">
      <c r="A95" s="80" t="s">
        <v>155</v>
      </c>
      <c r="B95" s="80"/>
      <c r="C95" s="80"/>
      <c r="D95" s="80"/>
      <c r="E95" s="80"/>
      <c r="F95" s="113">
        <v>9000</v>
      </c>
      <c r="G95" s="113"/>
      <c r="H95" s="113"/>
    </row>
    <row r="96" spans="1:11" s="29" customFormat="1" x14ac:dyDescent="0.3">
      <c r="A96" s="80" t="s">
        <v>95</v>
      </c>
      <c r="B96" s="80"/>
      <c r="C96" s="80"/>
      <c r="D96" s="80"/>
      <c r="E96" s="80"/>
      <c r="F96" s="113">
        <v>300000</v>
      </c>
      <c r="G96" s="113"/>
      <c r="H96" s="113"/>
    </row>
    <row r="97" spans="1:13" x14ac:dyDescent="0.35">
      <c r="A97" s="80" t="s">
        <v>195</v>
      </c>
      <c r="B97" s="80"/>
      <c r="C97" s="80"/>
      <c r="D97" s="80"/>
      <c r="E97" s="80"/>
      <c r="F97" s="113">
        <v>75000</v>
      </c>
      <c r="G97" s="113"/>
      <c r="H97" s="113"/>
      <c r="I97" s="55" t="s">
        <v>197</v>
      </c>
      <c r="J97" s="55" t="s">
        <v>198</v>
      </c>
      <c r="K97" s="56">
        <v>44966</v>
      </c>
      <c r="L97" s="57" t="s">
        <v>199</v>
      </c>
      <c r="M97" s="55"/>
    </row>
    <row r="98" spans="1:13" s="29" customFormat="1" x14ac:dyDescent="0.3">
      <c r="A98" s="80" t="s">
        <v>196</v>
      </c>
      <c r="B98" s="80"/>
      <c r="C98" s="80"/>
      <c r="D98" s="80"/>
      <c r="E98" s="80"/>
      <c r="F98" s="113">
        <v>50000</v>
      </c>
      <c r="G98" s="113"/>
      <c r="H98" s="113"/>
    </row>
    <row r="99" spans="1:13" x14ac:dyDescent="0.35">
      <c r="A99" s="80" t="s">
        <v>50</v>
      </c>
      <c r="B99" s="80"/>
      <c r="C99" s="80"/>
      <c r="D99" s="80"/>
      <c r="E99" s="80"/>
      <c r="F99" s="113">
        <v>150000</v>
      </c>
      <c r="G99" s="113"/>
      <c r="H99" s="113"/>
    </row>
    <row r="100" spans="1:13" s="30" customFormat="1" x14ac:dyDescent="0.35">
      <c r="A100" s="114" t="s">
        <v>51</v>
      </c>
      <c r="B100" s="114"/>
      <c r="C100" s="114"/>
      <c r="D100" s="114"/>
      <c r="E100" s="114"/>
      <c r="F100" s="113">
        <f>F94*0.8</f>
        <v>3680</v>
      </c>
      <c r="G100" s="113"/>
      <c r="H100" s="113"/>
    </row>
    <row r="101" spans="1:13" s="31" customFormat="1" ht="15.75" customHeight="1" x14ac:dyDescent="0.35">
      <c r="A101" s="112" t="s">
        <v>75</v>
      </c>
      <c r="B101" s="112"/>
      <c r="C101" s="112"/>
      <c r="D101" s="112"/>
      <c r="E101" s="112"/>
      <c r="F101" s="112"/>
      <c r="G101" s="112"/>
      <c r="H101" s="112"/>
    </row>
    <row r="102" spans="1:13" s="31" customFormat="1" ht="15.75" customHeight="1" x14ac:dyDescent="0.35">
      <c r="A102" s="98" t="s">
        <v>52</v>
      </c>
      <c r="B102" s="98"/>
      <c r="C102" s="153" t="s">
        <v>78</v>
      </c>
      <c r="D102" s="153"/>
      <c r="E102" s="118" t="s">
        <v>53</v>
      </c>
      <c r="F102" s="118"/>
      <c r="G102" s="98" t="s">
        <v>54</v>
      </c>
      <c r="H102" s="98"/>
    </row>
    <row r="103" spans="1:13" s="31" customFormat="1" x14ac:dyDescent="0.35">
      <c r="A103" s="115" t="s">
        <v>183</v>
      </c>
      <c r="B103" s="115"/>
      <c r="C103" s="150">
        <f>COUNT(D114:D126)</f>
        <v>13</v>
      </c>
      <c r="D103" s="154"/>
      <c r="E103" s="102">
        <f>SUM(D114:D126)</f>
        <v>2070.6706800000002</v>
      </c>
      <c r="F103" s="103"/>
      <c r="G103" s="102">
        <f>SUM(F114:F126)</f>
        <v>4150</v>
      </c>
      <c r="H103" s="103"/>
    </row>
    <row r="104" spans="1:13" s="31" customFormat="1" x14ac:dyDescent="0.35">
      <c r="A104" s="112" t="s">
        <v>70</v>
      </c>
      <c r="B104" s="112"/>
      <c r="C104" s="112"/>
      <c r="D104" s="112"/>
      <c r="E104" s="112"/>
      <c r="F104" s="112"/>
      <c r="G104" s="112"/>
      <c r="H104" s="112"/>
    </row>
    <row r="105" spans="1:13" s="31" customFormat="1" ht="15.75" customHeight="1" x14ac:dyDescent="0.35">
      <c r="A105" s="98" t="s">
        <v>52</v>
      </c>
      <c r="B105" s="98"/>
      <c r="C105" s="153" t="s">
        <v>78</v>
      </c>
      <c r="D105" s="153"/>
      <c r="E105" s="118" t="s">
        <v>53</v>
      </c>
      <c r="F105" s="118"/>
      <c r="G105" s="98" t="s">
        <v>54</v>
      </c>
      <c r="H105" s="98"/>
    </row>
    <row r="106" spans="1:13" s="31" customFormat="1" x14ac:dyDescent="0.35">
      <c r="A106" s="115" t="s">
        <v>184</v>
      </c>
      <c r="B106" s="115"/>
      <c r="C106" s="150">
        <f>COUNT(D131:D139)+COUNT(D141:D149)*10+COUNT(D151:D155)+COUNT(D157:D159)</f>
        <v>107</v>
      </c>
      <c r="D106" s="150"/>
      <c r="E106" s="102">
        <f>SUM(D131:D139)+SUM(D141:D149)*10+SUM(D151:D155)+SUM(D157:D159)</f>
        <v>50384.319569999992</v>
      </c>
      <c r="F106" s="102"/>
      <c r="G106" s="102">
        <f>SUM(F131:F139)+SUM(F141:F149)*10+SUM(F151:F155)+SUM(F157:F159)</f>
        <v>75786</v>
      </c>
      <c r="H106" s="102"/>
    </row>
    <row r="107" spans="1:13" s="31" customFormat="1" x14ac:dyDescent="0.35">
      <c r="A107" s="115" t="s">
        <v>185</v>
      </c>
      <c r="B107" s="115"/>
      <c r="C107" s="150">
        <f>COUNT(D163:D170)+COUNT(D172:D179)*10+COUNT(D181:D182)+COUNT(D184:D188)</f>
        <v>95</v>
      </c>
      <c r="D107" s="150"/>
      <c r="E107" s="102">
        <f>SUM(D163:D170)+SUM(D172:D179)*10+SUM(D181:D182)+SUM(D184:D188)</f>
        <v>46148.927759999991</v>
      </c>
      <c r="F107" s="102"/>
      <c r="G107" s="102">
        <f>SUM(F163:F170)+SUM(F172:F179)*10+SUM(F181:F182)+SUM(F184:F188)</f>
        <v>63270</v>
      </c>
      <c r="H107" s="102"/>
    </row>
    <row r="108" spans="1:13" s="31" customFormat="1" x14ac:dyDescent="0.35">
      <c r="A108" s="112" t="s">
        <v>148</v>
      </c>
      <c r="B108" s="112"/>
      <c r="C108" s="152">
        <f>SUM(C106:D107)</f>
        <v>202</v>
      </c>
      <c r="D108" s="152"/>
      <c r="E108" s="155">
        <f>SUM(E106:F107)</f>
        <v>96533.247329999984</v>
      </c>
      <c r="F108" s="118"/>
      <c r="G108" s="98">
        <f>SUM(G106:H107)</f>
        <v>139056</v>
      </c>
      <c r="H108" s="98"/>
    </row>
    <row r="109" spans="1:13" s="30" customFormat="1" x14ac:dyDescent="0.35">
      <c r="A109" s="140" t="s">
        <v>55</v>
      </c>
      <c r="B109" s="140"/>
      <c r="C109" s="140"/>
      <c r="D109" s="140"/>
      <c r="E109" s="140"/>
      <c r="F109" s="140"/>
      <c r="G109" s="140"/>
      <c r="H109" s="140"/>
    </row>
    <row r="110" spans="1:13" x14ac:dyDescent="0.35">
      <c r="A110" s="140" t="s">
        <v>56</v>
      </c>
      <c r="B110" s="140"/>
      <c r="C110" s="140"/>
      <c r="D110" s="140"/>
      <c r="E110" s="140"/>
      <c r="F110" s="140"/>
      <c r="G110" s="140"/>
      <c r="H110" s="140"/>
    </row>
    <row r="111" spans="1:13" ht="47.25" customHeight="1" x14ac:dyDescent="0.35">
      <c r="A111" s="41" t="s">
        <v>117</v>
      </c>
      <c r="B111" s="41" t="s">
        <v>116</v>
      </c>
      <c r="C111" s="41" t="s">
        <v>57</v>
      </c>
      <c r="D111" s="41" t="s">
        <v>58</v>
      </c>
      <c r="E111" s="42" t="s">
        <v>153</v>
      </c>
      <c r="F111" s="41" t="s">
        <v>187</v>
      </c>
      <c r="G111" s="99" t="s">
        <v>60</v>
      </c>
      <c r="H111" s="100"/>
    </row>
    <row r="112" spans="1:13" s="33" customFormat="1" x14ac:dyDescent="0.35">
      <c r="A112" s="104" t="s">
        <v>212</v>
      </c>
      <c r="B112" s="105"/>
      <c r="C112" s="105"/>
      <c r="D112" s="105"/>
      <c r="E112" s="105"/>
      <c r="F112" s="105"/>
      <c r="G112" s="105"/>
      <c r="H112" s="106"/>
      <c r="I112" s="33">
        <f>4.7*2.75</f>
        <v>12.925000000000001</v>
      </c>
      <c r="J112" s="32"/>
    </row>
    <row r="113" spans="1:14" s="33" customFormat="1" x14ac:dyDescent="0.35">
      <c r="A113" s="104" t="s">
        <v>213</v>
      </c>
      <c r="B113" s="105"/>
      <c r="C113" s="105"/>
      <c r="D113" s="105"/>
      <c r="E113" s="105"/>
      <c r="F113" s="105"/>
      <c r="G113" s="105"/>
      <c r="H113" s="106"/>
      <c r="J113" s="32"/>
    </row>
    <row r="114" spans="1:14" s="33" customFormat="1" ht="15.75" customHeight="1" x14ac:dyDescent="0.35">
      <c r="A114" s="78">
        <v>1</v>
      </c>
      <c r="B114" s="79"/>
      <c r="C114" s="48" t="s">
        <v>177</v>
      </c>
      <c r="D114" s="48">
        <f>12.92*10.764</f>
        <v>139.07087999999999</v>
      </c>
      <c r="E114" s="48">
        <v>0</v>
      </c>
      <c r="F114" s="48">
        <v>280</v>
      </c>
      <c r="G114" s="83" t="str">
        <f>A113</f>
        <v>Ground Floor For Fitness Center, Drivers Room, Parking &amp; Commercial</v>
      </c>
      <c r="H114" s="84"/>
      <c r="I114" s="54">
        <f>4.7*2.75</f>
        <v>12.925000000000001</v>
      </c>
      <c r="J114" s="54">
        <f>F114/D114</f>
        <v>2.0133618195268488</v>
      </c>
      <c r="L114" s="82"/>
      <c r="M114" s="82"/>
      <c r="N114" s="32"/>
    </row>
    <row r="115" spans="1:14" s="33" customFormat="1" ht="15.75" customHeight="1" x14ac:dyDescent="0.35">
      <c r="A115" s="78">
        <f t="shared" ref="A115:A126" si="0">A114+1</f>
        <v>2</v>
      </c>
      <c r="B115" s="79"/>
      <c r="C115" s="48" t="s">
        <v>177</v>
      </c>
      <c r="D115" s="48">
        <f>12.92*10.764</f>
        <v>139.07087999999999</v>
      </c>
      <c r="E115" s="48">
        <v>0</v>
      </c>
      <c r="F115" s="48">
        <v>280</v>
      </c>
      <c r="G115" s="85"/>
      <c r="H115" s="86"/>
      <c r="I115" s="32"/>
      <c r="J115" s="54">
        <f t="shared" ref="J115:J126" si="1">F115/D115</f>
        <v>2.0133618195268488</v>
      </c>
      <c r="L115" s="82"/>
      <c r="M115" s="82"/>
      <c r="N115" s="32"/>
    </row>
    <row r="116" spans="1:14" s="33" customFormat="1" ht="15.75" customHeight="1" x14ac:dyDescent="0.35">
      <c r="A116" s="78">
        <f t="shared" si="0"/>
        <v>3</v>
      </c>
      <c r="B116" s="79"/>
      <c r="C116" s="48" t="s">
        <v>177</v>
      </c>
      <c r="D116" s="48">
        <f>13.22*10.764</f>
        <v>142.30008000000001</v>
      </c>
      <c r="E116" s="48">
        <v>0</v>
      </c>
      <c r="F116" s="48">
        <v>285</v>
      </c>
      <c r="G116" s="85"/>
      <c r="H116" s="86"/>
      <c r="I116" s="32"/>
      <c r="J116" s="54">
        <f t="shared" si="1"/>
        <v>2.002809836789972</v>
      </c>
      <c r="L116" s="82"/>
      <c r="M116" s="82"/>
      <c r="N116" s="32"/>
    </row>
    <row r="117" spans="1:14" s="33" customFormat="1" ht="15.75" customHeight="1" x14ac:dyDescent="0.35">
      <c r="A117" s="78">
        <f t="shared" si="0"/>
        <v>4</v>
      </c>
      <c r="B117" s="79"/>
      <c r="C117" s="48" t="s">
        <v>177</v>
      </c>
      <c r="D117" s="48">
        <f>15.81*10.764</f>
        <v>170.17884000000001</v>
      </c>
      <c r="E117" s="48">
        <v>0</v>
      </c>
      <c r="F117" s="48">
        <v>340</v>
      </c>
      <c r="G117" s="85"/>
      <c r="H117" s="86"/>
      <c r="I117" s="32"/>
      <c r="J117" s="54">
        <f t="shared" si="1"/>
        <v>1.9978982110819417</v>
      </c>
      <c r="L117" s="82"/>
      <c r="M117" s="82"/>
      <c r="N117" s="32"/>
    </row>
    <row r="118" spans="1:14" s="33" customFormat="1" ht="15.75" customHeight="1" x14ac:dyDescent="0.35">
      <c r="A118" s="78">
        <f t="shared" si="0"/>
        <v>5</v>
      </c>
      <c r="B118" s="79"/>
      <c r="C118" s="48" t="s">
        <v>177</v>
      </c>
      <c r="D118" s="48">
        <f>15.81*10.764</f>
        <v>170.17884000000001</v>
      </c>
      <c r="E118" s="48">
        <v>0</v>
      </c>
      <c r="F118" s="48">
        <v>340</v>
      </c>
      <c r="G118" s="85"/>
      <c r="H118" s="86"/>
      <c r="I118" s="32"/>
      <c r="J118" s="54">
        <f t="shared" si="1"/>
        <v>1.9978982110819417</v>
      </c>
      <c r="L118" s="82"/>
      <c r="M118" s="82"/>
      <c r="N118" s="32"/>
    </row>
    <row r="119" spans="1:14" s="33" customFormat="1" ht="15.75" customHeight="1" x14ac:dyDescent="0.35">
      <c r="A119" s="78">
        <f t="shared" si="0"/>
        <v>6</v>
      </c>
      <c r="B119" s="79"/>
      <c r="C119" s="48" t="s">
        <v>177</v>
      </c>
      <c r="D119" s="48">
        <f>9.84*10.764</f>
        <v>105.91775999999999</v>
      </c>
      <c r="E119" s="48">
        <v>0</v>
      </c>
      <c r="F119" s="48">
        <v>215</v>
      </c>
      <c r="G119" s="85"/>
      <c r="H119" s="86"/>
      <c r="I119" s="32"/>
      <c r="J119" s="54">
        <f t="shared" si="1"/>
        <v>2.0298767647654183</v>
      </c>
      <c r="L119" s="82"/>
      <c r="M119" s="82"/>
      <c r="N119" s="32"/>
    </row>
    <row r="120" spans="1:14" s="33" customFormat="1" ht="15.75" customHeight="1" x14ac:dyDescent="0.35">
      <c r="A120" s="78">
        <f t="shared" si="0"/>
        <v>7</v>
      </c>
      <c r="B120" s="79"/>
      <c r="C120" s="48" t="s">
        <v>177</v>
      </c>
      <c r="D120" s="48">
        <f>15.81*10.764</f>
        <v>170.17884000000001</v>
      </c>
      <c r="E120" s="48">
        <v>0</v>
      </c>
      <c r="F120" s="48">
        <v>340</v>
      </c>
      <c r="G120" s="85"/>
      <c r="H120" s="86"/>
      <c r="I120" s="32"/>
      <c r="J120" s="54">
        <f t="shared" si="1"/>
        <v>1.9978982110819417</v>
      </c>
      <c r="L120" s="82"/>
      <c r="M120" s="82"/>
      <c r="N120" s="32"/>
    </row>
    <row r="121" spans="1:14" s="33" customFormat="1" ht="15.75" customHeight="1" x14ac:dyDescent="0.35">
      <c r="A121" s="78">
        <f t="shared" si="0"/>
        <v>8</v>
      </c>
      <c r="B121" s="79"/>
      <c r="C121" s="48" t="s">
        <v>177</v>
      </c>
      <c r="D121" s="48">
        <f>15.81*10.764</f>
        <v>170.17884000000001</v>
      </c>
      <c r="E121" s="48">
        <v>0</v>
      </c>
      <c r="F121" s="48">
        <v>340</v>
      </c>
      <c r="G121" s="85"/>
      <c r="H121" s="86"/>
      <c r="I121" s="32"/>
      <c r="J121" s="54">
        <f t="shared" si="1"/>
        <v>1.9978982110819417</v>
      </c>
      <c r="L121" s="82"/>
      <c r="M121" s="82"/>
      <c r="N121" s="32"/>
    </row>
    <row r="122" spans="1:14" s="33" customFormat="1" ht="15.75" customHeight="1" x14ac:dyDescent="0.35">
      <c r="A122" s="78">
        <f t="shared" si="0"/>
        <v>9</v>
      </c>
      <c r="B122" s="79"/>
      <c r="C122" s="48" t="s">
        <v>177</v>
      </c>
      <c r="D122" s="48">
        <f>9.84*10.764</f>
        <v>105.91775999999999</v>
      </c>
      <c r="E122" s="48">
        <v>0</v>
      </c>
      <c r="F122" s="48">
        <v>215</v>
      </c>
      <c r="G122" s="85"/>
      <c r="H122" s="86"/>
      <c r="I122" s="32"/>
      <c r="J122" s="54">
        <f t="shared" si="1"/>
        <v>2.0298767647654183</v>
      </c>
      <c r="L122" s="82"/>
      <c r="M122" s="82"/>
      <c r="N122" s="32"/>
    </row>
    <row r="123" spans="1:14" s="33" customFormat="1" ht="15.75" customHeight="1" x14ac:dyDescent="0.35">
      <c r="A123" s="78">
        <f t="shared" si="0"/>
        <v>10</v>
      </c>
      <c r="B123" s="79"/>
      <c r="C123" s="48" t="s">
        <v>177</v>
      </c>
      <c r="D123" s="48">
        <f>15.81*10.764</f>
        <v>170.17884000000001</v>
      </c>
      <c r="E123" s="48">
        <v>0</v>
      </c>
      <c r="F123" s="48">
        <v>340</v>
      </c>
      <c r="G123" s="85"/>
      <c r="H123" s="86"/>
      <c r="I123" s="32"/>
      <c r="J123" s="54">
        <f t="shared" si="1"/>
        <v>1.9978982110819417</v>
      </c>
      <c r="L123" s="82"/>
      <c r="M123" s="82"/>
      <c r="N123" s="32"/>
    </row>
    <row r="124" spans="1:14" s="33" customFormat="1" ht="15.75" customHeight="1" x14ac:dyDescent="0.35">
      <c r="A124" s="78">
        <f t="shared" si="0"/>
        <v>11</v>
      </c>
      <c r="B124" s="79"/>
      <c r="C124" s="48" t="s">
        <v>177</v>
      </c>
      <c r="D124" s="48">
        <f>15.81*10.764</f>
        <v>170.17884000000001</v>
      </c>
      <c r="E124" s="48">
        <v>0</v>
      </c>
      <c r="F124" s="48">
        <v>340</v>
      </c>
      <c r="G124" s="85"/>
      <c r="H124" s="86"/>
      <c r="I124" s="32"/>
      <c r="J124" s="54">
        <f t="shared" si="1"/>
        <v>1.9978982110819417</v>
      </c>
      <c r="L124" s="82"/>
      <c r="M124" s="82"/>
      <c r="N124" s="32"/>
    </row>
    <row r="125" spans="1:14" s="33" customFormat="1" ht="15.75" customHeight="1" x14ac:dyDescent="0.35">
      <c r="A125" s="78">
        <f t="shared" si="0"/>
        <v>12</v>
      </c>
      <c r="B125" s="79"/>
      <c r="C125" s="48" t="s">
        <v>177</v>
      </c>
      <c r="D125" s="48">
        <f>18.15*10.764</f>
        <v>195.36659999999998</v>
      </c>
      <c r="E125" s="48">
        <v>0</v>
      </c>
      <c r="F125" s="48">
        <v>390</v>
      </c>
      <c r="G125" s="85"/>
      <c r="H125" s="86"/>
      <c r="I125" s="32"/>
      <c r="J125" s="54">
        <f t="shared" si="1"/>
        <v>1.9962470555355933</v>
      </c>
      <c r="L125" s="82"/>
      <c r="M125" s="82"/>
      <c r="N125" s="32"/>
    </row>
    <row r="126" spans="1:14" s="33" customFormat="1" ht="15.75" customHeight="1" x14ac:dyDescent="0.35">
      <c r="A126" s="78">
        <f t="shared" si="0"/>
        <v>13</v>
      </c>
      <c r="B126" s="79"/>
      <c r="C126" s="48" t="s">
        <v>177</v>
      </c>
      <c r="D126" s="48">
        <f>20.62*10.764</f>
        <v>221.95367999999999</v>
      </c>
      <c r="E126" s="48">
        <v>0</v>
      </c>
      <c r="F126" s="48">
        <v>445</v>
      </c>
      <c r="G126" s="87"/>
      <c r="H126" s="88"/>
      <c r="I126" s="32"/>
      <c r="J126" s="54">
        <f t="shared" si="1"/>
        <v>2.0049228289434082</v>
      </c>
      <c r="L126" s="82"/>
      <c r="M126" s="82"/>
      <c r="N126" s="32"/>
    </row>
    <row r="127" spans="1:14" s="33" customFormat="1" x14ac:dyDescent="0.35">
      <c r="A127" s="78"/>
      <c r="B127" s="156"/>
      <c r="C127" s="156"/>
      <c r="D127" s="156"/>
      <c r="E127" s="156"/>
      <c r="F127" s="156"/>
      <c r="G127" s="156"/>
      <c r="H127" s="79"/>
      <c r="I127" s="32"/>
      <c r="N127" s="32"/>
    </row>
    <row r="128" spans="1:14" ht="47.25" customHeight="1" x14ac:dyDescent="0.35">
      <c r="A128" s="49" t="s">
        <v>118</v>
      </c>
      <c r="B128" s="49" t="s">
        <v>119</v>
      </c>
      <c r="C128" s="41" t="s">
        <v>57</v>
      </c>
      <c r="D128" s="41" t="s">
        <v>58</v>
      </c>
      <c r="E128" s="42" t="s">
        <v>59</v>
      </c>
      <c r="F128" s="41" t="s">
        <v>187</v>
      </c>
      <c r="G128" s="99" t="s">
        <v>60</v>
      </c>
      <c r="H128" s="100"/>
      <c r="I128" s="32"/>
    </row>
    <row r="129" spans="1:14" s="33" customFormat="1" x14ac:dyDescent="0.35">
      <c r="A129" s="104" t="s">
        <v>180</v>
      </c>
      <c r="B129" s="105"/>
      <c r="C129" s="105"/>
      <c r="D129" s="105"/>
      <c r="E129" s="105"/>
      <c r="F129" s="105"/>
      <c r="G129" s="105"/>
      <c r="H129" s="106"/>
      <c r="J129" s="32"/>
    </row>
    <row r="130" spans="1:14" s="33" customFormat="1" x14ac:dyDescent="0.35">
      <c r="A130" s="107" t="s">
        <v>194</v>
      </c>
      <c r="B130" s="107"/>
      <c r="C130" s="107"/>
      <c r="D130" s="107"/>
      <c r="E130" s="107"/>
      <c r="F130" s="107"/>
      <c r="G130" s="107"/>
      <c r="H130" s="107"/>
      <c r="I130" s="32"/>
      <c r="L130" s="82"/>
      <c r="M130" s="82"/>
    </row>
    <row r="131" spans="1:14" s="33" customFormat="1" ht="15.75" customHeight="1" x14ac:dyDescent="0.35">
      <c r="A131" s="97">
        <f>LEFT(A130,SUM(LEN(A130)-LEN(SUBSTITUTE(A130,{"0","1","2","3","4","5","6","7","8","9"},""))))*100+1</f>
        <v>101</v>
      </c>
      <c r="B131" s="97"/>
      <c r="C131" s="48" t="s">
        <v>181</v>
      </c>
      <c r="D131" s="48">
        <f>(37.97+(0.75*(2.75+2.3+2.75)))*10.764</f>
        <v>471.67847999999998</v>
      </c>
      <c r="E131" s="48">
        <v>0</v>
      </c>
      <c r="F131" s="48">
        <v>640</v>
      </c>
      <c r="G131" s="83" t="str">
        <f>A130</f>
        <v>1st Floor for Residential</v>
      </c>
      <c r="H131" s="84"/>
      <c r="I131" s="32"/>
      <c r="J131" s="54">
        <f>(F131-E131)/D131</f>
        <v>1.3568564756229711</v>
      </c>
      <c r="K131" s="33">
        <f>2.75*4.3+2.3*2.35+2.75*3.35+0.9*2.3+1.2*0.9+1.25*2.2</f>
        <v>32.342499999999994</v>
      </c>
      <c r="N131" s="32"/>
    </row>
    <row r="132" spans="1:14" s="33" customFormat="1" ht="15.75" customHeight="1" x14ac:dyDescent="0.35">
      <c r="A132" s="97">
        <f t="shared" ref="A132:A139" si="2">A131+1</f>
        <v>102</v>
      </c>
      <c r="B132" s="97"/>
      <c r="C132" s="48" t="s">
        <v>181</v>
      </c>
      <c r="D132" s="48">
        <f>(32.5+2.3+(0.75*(2.75+2.75)))*10.764</f>
        <v>418.98869999999994</v>
      </c>
      <c r="E132" s="48">
        <v>0</v>
      </c>
      <c r="F132" s="48">
        <v>630</v>
      </c>
      <c r="G132" s="85"/>
      <c r="H132" s="86"/>
      <c r="I132" s="32"/>
      <c r="J132" s="54">
        <f t="shared" ref="J132:J159" si="3">(F132-E132)/D132</f>
        <v>1.5036205033691841</v>
      </c>
      <c r="K132" s="60">
        <f>2.75*4.3+2.3*2.75+2.75*3.35+1.2*0.9+1.25*2.2</f>
        <v>31.192499999999995</v>
      </c>
      <c r="N132" s="32"/>
    </row>
    <row r="133" spans="1:14" s="33" customFormat="1" ht="15.75" customHeight="1" x14ac:dyDescent="0.35">
      <c r="A133" s="97">
        <f t="shared" si="2"/>
        <v>103</v>
      </c>
      <c r="B133" s="97"/>
      <c r="C133" s="48" t="s">
        <v>181</v>
      </c>
      <c r="D133" s="48">
        <f>(28.01+5.05+(0.75*(2.75)))*10.764</f>
        <v>378.05858999999998</v>
      </c>
      <c r="E133" s="48">
        <v>0</v>
      </c>
      <c r="F133" s="48">
        <v>565</v>
      </c>
      <c r="G133" s="85"/>
      <c r="H133" s="86"/>
      <c r="I133" s="32"/>
      <c r="J133" s="54">
        <f t="shared" si="3"/>
        <v>1.4944773507196332</v>
      </c>
      <c r="N133" s="32"/>
    </row>
    <row r="134" spans="1:14" s="33" customFormat="1" ht="15.75" customHeight="1" x14ac:dyDescent="0.35">
      <c r="A134" s="97">
        <f t="shared" si="2"/>
        <v>104</v>
      </c>
      <c r="B134" s="97"/>
      <c r="C134" s="48" t="s">
        <v>182</v>
      </c>
      <c r="D134" s="48">
        <f>(46.32)*10.764</f>
        <v>498.58847999999995</v>
      </c>
      <c r="E134" s="48">
        <f>(15.4)*10.764</f>
        <v>165.76560000000001</v>
      </c>
      <c r="F134" s="48">
        <v>916</v>
      </c>
      <c r="G134" s="85"/>
      <c r="H134" s="86"/>
      <c r="I134" s="32"/>
      <c r="J134" s="54">
        <f t="shared" si="3"/>
        <v>1.5047166753632177</v>
      </c>
      <c r="N134" s="32"/>
    </row>
    <row r="135" spans="1:14" s="33" customFormat="1" ht="15.75" customHeight="1" x14ac:dyDescent="0.35">
      <c r="A135" s="97">
        <f t="shared" si="2"/>
        <v>105</v>
      </c>
      <c r="B135" s="97"/>
      <c r="C135" s="48" t="s">
        <v>181</v>
      </c>
      <c r="D135" s="48">
        <f>(33.42+(0.75*(2.75+2.3)))*10.764</f>
        <v>400.50153</v>
      </c>
      <c r="E135" s="48">
        <f>5.94*10.764</f>
        <v>63.938160000000003</v>
      </c>
      <c r="F135" s="48">
        <v>660</v>
      </c>
      <c r="G135" s="85"/>
      <c r="H135" s="86"/>
      <c r="I135" s="32"/>
      <c r="J135" s="54">
        <f t="shared" si="3"/>
        <v>1.4882885466130429</v>
      </c>
      <c r="N135" s="32"/>
    </row>
    <row r="136" spans="1:14" s="33" customFormat="1" ht="15.75" customHeight="1" x14ac:dyDescent="0.35">
      <c r="A136" s="97">
        <f t="shared" si="2"/>
        <v>106</v>
      </c>
      <c r="B136" s="97"/>
      <c r="C136" s="48" t="s">
        <v>181</v>
      </c>
      <c r="D136" s="48">
        <f>(33.42+(0.75*(2.75+2.3)))*10.764</f>
        <v>400.50153</v>
      </c>
      <c r="E136" s="48">
        <f>5.94*10.764</f>
        <v>63.938160000000003</v>
      </c>
      <c r="F136" s="48">
        <v>660</v>
      </c>
      <c r="G136" s="85"/>
      <c r="H136" s="86"/>
      <c r="I136" s="32"/>
      <c r="J136" s="54">
        <f t="shared" si="3"/>
        <v>1.4882885466130429</v>
      </c>
      <c r="N136" s="32"/>
    </row>
    <row r="137" spans="1:14" s="33" customFormat="1" ht="15.75" customHeight="1" x14ac:dyDescent="0.35">
      <c r="A137" s="97">
        <f t="shared" si="2"/>
        <v>107</v>
      </c>
      <c r="B137" s="97"/>
      <c r="C137" s="48" t="s">
        <v>182</v>
      </c>
      <c r="D137" s="48">
        <f>(51.79+(0.75*(2.75+2.3)))*10.764</f>
        <v>598.23620999999991</v>
      </c>
      <c r="E137" s="48">
        <f>11.61*10.764</f>
        <v>124.97003999999998</v>
      </c>
      <c r="F137" s="48">
        <v>1025</v>
      </c>
      <c r="G137" s="85"/>
      <c r="H137" s="86"/>
      <c r="I137" s="32"/>
      <c r="J137" s="54">
        <f t="shared" si="3"/>
        <v>1.5044725560828225</v>
      </c>
      <c r="N137" s="32"/>
    </row>
    <row r="138" spans="1:14" s="33" customFormat="1" ht="15.75" customHeight="1" x14ac:dyDescent="0.35">
      <c r="A138" s="97">
        <f t="shared" si="2"/>
        <v>108</v>
      </c>
      <c r="B138" s="97"/>
      <c r="C138" s="48" t="s">
        <v>182</v>
      </c>
      <c r="D138" s="48">
        <f>(46.55+(0.75*(2.75+2.3+2.75+2.75)))*10.764</f>
        <v>586.23434999999995</v>
      </c>
      <c r="E138" s="48">
        <v>0</v>
      </c>
      <c r="F138" s="48">
        <v>880</v>
      </c>
      <c r="G138" s="85"/>
      <c r="H138" s="86"/>
      <c r="I138" s="32"/>
      <c r="J138" s="54">
        <f t="shared" si="3"/>
        <v>1.5011061702542678</v>
      </c>
      <c r="N138" s="32"/>
    </row>
    <row r="139" spans="1:14" s="33" customFormat="1" ht="15.75" customHeight="1" x14ac:dyDescent="0.35">
      <c r="A139" s="97">
        <f t="shared" si="2"/>
        <v>109</v>
      </c>
      <c r="B139" s="97"/>
      <c r="C139" s="48" t="s">
        <v>181</v>
      </c>
      <c r="D139" s="48">
        <f>(28.27+5.05)*10.764</f>
        <v>358.65647999999999</v>
      </c>
      <c r="E139" s="48">
        <v>0</v>
      </c>
      <c r="F139" s="48">
        <v>540</v>
      </c>
      <c r="G139" s="87"/>
      <c r="H139" s="88"/>
      <c r="I139" s="32"/>
      <c r="J139" s="54">
        <f t="shared" si="3"/>
        <v>1.5056189699960252</v>
      </c>
      <c r="N139" s="32"/>
    </row>
    <row r="140" spans="1:14" s="33" customFormat="1" ht="15.75" customHeight="1" x14ac:dyDescent="0.35">
      <c r="A140" s="107" t="s">
        <v>214</v>
      </c>
      <c r="B140" s="107"/>
      <c r="C140" s="107"/>
      <c r="D140" s="107"/>
      <c r="E140" s="107"/>
      <c r="F140" s="107"/>
      <c r="G140" s="107"/>
      <c r="H140" s="107"/>
      <c r="I140" s="32"/>
    </row>
    <row r="141" spans="1:14" s="33" customFormat="1" ht="15.75" customHeight="1" x14ac:dyDescent="0.35">
      <c r="A141" s="97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10^ROW(INDIRECT("1:"&amp;LEN((LEFT(A140,SUM(LEN(A140)-LEN(SUBSTITUTE(A140,{"0","1","2"},""))))))))/10))*100+1&amp;""&amp;"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",LEN(A140))),LEN(A140)))))))/10))*100+1</f>
        <v>201 ,.., 1201</v>
      </c>
      <c r="B141" s="97"/>
      <c r="C141" s="70" t="s">
        <v>181</v>
      </c>
      <c r="D141" s="70">
        <f>(33.97+(0.75*(2.75+2.3+2.75)))*10.764</f>
        <v>428.62248</v>
      </c>
      <c r="E141" s="70">
        <v>0</v>
      </c>
      <c r="F141" s="70">
        <v>640</v>
      </c>
      <c r="G141" s="97" t="str">
        <f>A140</f>
        <v>2nd to 7th, 9th to 12th Floor For Residential</v>
      </c>
      <c r="H141" s="97"/>
      <c r="I141" s="32"/>
      <c r="J141" s="54">
        <f t="shared" si="3"/>
        <v>1.4931554686539072</v>
      </c>
    </row>
    <row r="142" spans="1:14" s="33" customFormat="1" ht="15.75" customHeight="1" x14ac:dyDescent="0.35">
      <c r="A142" s="97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202 ,.., 1202</v>
      </c>
      <c r="B142" s="97"/>
      <c r="C142" s="70" t="s">
        <v>181</v>
      </c>
      <c r="D142" s="70">
        <f>(32.9+2.3+(0.75*(2.75+2.75)))*10.764</f>
        <v>423.29429999999991</v>
      </c>
      <c r="E142" s="70">
        <v>0</v>
      </c>
      <c r="F142" s="70">
        <v>630</v>
      </c>
      <c r="G142" s="97"/>
      <c r="H142" s="97"/>
      <c r="I142" s="32"/>
      <c r="J142" s="54">
        <f t="shared" si="3"/>
        <v>1.4883262070857088</v>
      </c>
    </row>
    <row r="143" spans="1:14" s="33" customFormat="1" ht="15.75" customHeight="1" x14ac:dyDescent="0.35">
      <c r="A143" s="97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,..,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203 ,.., 1203</v>
      </c>
      <c r="B143" s="97"/>
      <c r="C143" s="70" t="s">
        <v>181</v>
      </c>
      <c r="D143" s="70">
        <f>(28.01+5.05+(0.75*(2.75)))*10.764</f>
        <v>378.05858999999998</v>
      </c>
      <c r="E143" s="70">
        <v>0</v>
      </c>
      <c r="F143" s="70">
        <v>565</v>
      </c>
      <c r="G143" s="97"/>
      <c r="H143" s="97"/>
      <c r="I143" s="32"/>
      <c r="J143" s="54">
        <f t="shared" si="3"/>
        <v>1.4944773507196332</v>
      </c>
    </row>
    <row r="144" spans="1:14" s="33" customFormat="1" ht="15.75" customHeight="1" x14ac:dyDescent="0.35">
      <c r="A144" s="97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,..,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204 ,.., 1204</v>
      </c>
      <c r="B144" s="97"/>
      <c r="C144" s="70" t="s">
        <v>182</v>
      </c>
      <c r="D144" s="70">
        <f>(46.32+0.75*(2.75*3+2.1))*10.764</f>
        <v>582.14402999999993</v>
      </c>
      <c r="E144" s="70">
        <v>0</v>
      </c>
      <c r="F144" s="70">
        <v>870</v>
      </c>
      <c r="G144" s="97"/>
      <c r="H144" s="97"/>
      <c r="I144" s="32"/>
      <c r="J144" s="54">
        <f t="shared" si="3"/>
        <v>1.4944755166517814</v>
      </c>
    </row>
    <row r="145" spans="1:14" s="33" customFormat="1" ht="15.75" customHeight="1" x14ac:dyDescent="0.35">
      <c r="A145" s="97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205 ,.., 1205</v>
      </c>
      <c r="B145" s="97"/>
      <c r="C145" s="70" t="s">
        <v>181</v>
      </c>
      <c r="D145" s="70">
        <f>(33.42+(0.75*(2.75*2+2.3)))*10.764</f>
        <v>422.70228000000003</v>
      </c>
      <c r="E145" s="70">
        <v>0</v>
      </c>
      <c r="F145" s="70">
        <v>635</v>
      </c>
      <c r="G145" s="97"/>
      <c r="H145" s="97"/>
      <c r="I145" s="32"/>
      <c r="J145" s="54">
        <f t="shared" si="3"/>
        <v>1.5022393539017578</v>
      </c>
    </row>
    <row r="146" spans="1:14" s="33" customFormat="1" ht="15.75" customHeight="1" x14ac:dyDescent="0.35">
      <c r="A146" s="97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206 ,.., 1206</v>
      </c>
      <c r="B146" s="97"/>
      <c r="C146" s="70" t="s">
        <v>181</v>
      </c>
      <c r="D146" s="70">
        <f>(33.42+(0.75*(2.75*2+2.3)))*10.764</f>
        <v>422.70228000000003</v>
      </c>
      <c r="E146" s="70">
        <v>0</v>
      </c>
      <c r="F146" s="70">
        <v>635</v>
      </c>
      <c r="G146" s="97"/>
      <c r="H146" s="97"/>
      <c r="I146" s="32"/>
      <c r="J146" s="54">
        <f t="shared" si="3"/>
        <v>1.5022393539017578</v>
      </c>
    </row>
    <row r="147" spans="1:14" s="33" customFormat="1" ht="15.75" customHeight="1" x14ac:dyDescent="0.35">
      <c r="A147" s="97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,..,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207 ,.., 1207</v>
      </c>
      <c r="B147" s="97"/>
      <c r="C147" s="70" t="s">
        <v>182</v>
      </c>
      <c r="D147" s="70">
        <f>(51.79+(0.75*(2.75*3+2.3)))*10.764</f>
        <v>642.63770999999997</v>
      </c>
      <c r="E147" s="70">
        <v>0</v>
      </c>
      <c r="F147" s="70">
        <v>960</v>
      </c>
      <c r="G147" s="97"/>
      <c r="H147" s="97"/>
      <c r="I147" s="32"/>
      <c r="J147" s="54">
        <f t="shared" si="3"/>
        <v>1.4938432417854846</v>
      </c>
    </row>
    <row r="148" spans="1:14" s="33" customFormat="1" ht="15.75" customHeight="1" x14ac:dyDescent="0.35">
      <c r="A148" s="97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,..,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208 ,.., 1208</v>
      </c>
      <c r="B148" s="97"/>
      <c r="C148" s="70" t="s">
        <v>182</v>
      </c>
      <c r="D148" s="70">
        <f>(46.55+(0.75*(2.75+2.3+2.75+2.75)))*10.764</f>
        <v>586.23434999999995</v>
      </c>
      <c r="E148" s="70">
        <v>0</v>
      </c>
      <c r="F148" s="70">
        <v>880</v>
      </c>
      <c r="G148" s="97"/>
      <c r="H148" s="97"/>
      <c r="I148" s="32"/>
      <c r="J148" s="54">
        <f t="shared" si="3"/>
        <v>1.5011061702542678</v>
      </c>
    </row>
    <row r="149" spans="1:14" s="33" customFormat="1" ht="15.75" customHeight="1" x14ac:dyDescent="0.35">
      <c r="A149" s="97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,..,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209 ,.., 1209</v>
      </c>
      <c r="B149" s="97"/>
      <c r="C149" s="70" t="s">
        <v>181</v>
      </c>
      <c r="D149" s="70">
        <f>(28.27+5.05)*10.764</f>
        <v>358.65647999999999</v>
      </c>
      <c r="E149" s="70">
        <v>0</v>
      </c>
      <c r="F149" s="70">
        <v>540</v>
      </c>
      <c r="G149" s="97"/>
      <c r="H149" s="97"/>
      <c r="I149" s="32"/>
      <c r="J149" s="54">
        <f t="shared" si="3"/>
        <v>1.5056189699960252</v>
      </c>
    </row>
    <row r="150" spans="1:14" s="33" customFormat="1" ht="15.75" customHeight="1" x14ac:dyDescent="0.35">
      <c r="A150" s="107" t="s">
        <v>216</v>
      </c>
      <c r="B150" s="107"/>
      <c r="C150" s="107"/>
      <c r="D150" s="107"/>
      <c r="E150" s="107"/>
      <c r="F150" s="107"/>
      <c r="G150" s="107"/>
      <c r="H150" s="107"/>
      <c r="I150" s="32"/>
    </row>
    <row r="151" spans="1:14" s="33" customFormat="1" x14ac:dyDescent="0.35">
      <c r="A151" s="97">
        <v>801</v>
      </c>
      <c r="B151" s="97"/>
      <c r="C151" s="70" t="s">
        <v>181</v>
      </c>
      <c r="D151" s="70">
        <f>(33.97+(0.75*(2.75+2.3+2.75)))*10.764</f>
        <v>428.62248</v>
      </c>
      <c r="E151" s="70">
        <v>0</v>
      </c>
      <c r="F151" s="70">
        <v>640</v>
      </c>
      <c r="G151" s="97" t="str">
        <f>A150</f>
        <v>8th Floor ( Part Refuge Area)</v>
      </c>
      <c r="H151" s="97"/>
      <c r="I151" s="32"/>
      <c r="J151" s="54">
        <f t="shared" si="3"/>
        <v>1.4931554686539072</v>
      </c>
      <c r="K151" s="33" t="s">
        <v>223</v>
      </c>
    </row>
    <row r="152" spans="1:14" s="33" customFormat="1" x14ac:dyDescent="0.35">
      <c r="A152" s="97">
        <v>802</v>
      </c>
      <c r="B152" s="97"/>
      <c r="C152" s="70" t="s">
        <v>181</v>
      </c>
      <c r="D152" s="70">
        <f>(32.9+2.3+(0.75*(2.75+2.75)))*10.764</f>
        <v>423.29429999999991</v>
      </c>
      <c r="E152" s="70">
        <v>0</v>
      </c>
      <c r="F152" s="70">
        <v>630</v>
      </c>
      <c r="G152" s="97"/>
      <c r="H152" s="97"/>
      <c r="I152" s="32"/>
      <c r="J152" s="54">
        <f t="shared" si="3"/>
        <v>1.4883262070857088</v>
      </c>
    </row>
    <row r="153" spans="1:14" s="33" customFormat="1" ht="15.75" customHeight="1" x14ac:dyDescent="0.35">
      <c r="A153" s="97">
        <v>803</v>
      </c>
      <c r="B153" s="97"/>
      <c r="C153" s="70" t="s">
        <v>181</v>
      </c>
      <c r="D153" s="70">
        <f>(28.01+5.05+(0.75*(2.75)))*10.764</f>
        <v>378.05858999999998</v>
      </c>
      <c r="E153" s="70">
        <v>0</v>
      </c>
      <c r="F153" s="70">
        <v>565</v>
      </c>
      <c r="G153" s="97"/>
      <c r="H153" s="97"/>
      <c r="I153" s="32"/>
      <c r="J153" s="54">
        <f t="shared" si="3"/>
        <v>1.4944773507196332</v>
      </c>
    </row>
    <row r="154" spans="1:14" s="33" customFormat="1" ht="15.75" customHeight="1" x14ac:dyDescent="0.35">
      <c r="A154" s="97">
        <v>804</v>
      </c>
      <c r="B154" s="97"/>
      <c r="C154" s="70" t="s">
        <v>182</v>
      </c>
      <c r="D154" s="70">
        <f>(46.32+(0.75*(2.75+2.75+2.1+2.75)))*10.764</f>
        <v>582.14402999999993</v>
      </c>
      <c r="E154" s="70">
        <v>0</v>
      </c>
      <c r="F154" s="70">
        <v>870</v>
      </c>
      <c r="G154" s="97"/>
      <c r="H154" s="97"/>
      <c r="I154" s="32"/>
      <c r="J154" s="54">
        <f t="shared" si="3"/>
        <v>1.4944755166517814</v>
      </c>
    </row>
    <row r="155" spans="1:14" s="33" customFormat="1" ht="15.75" customHeight="1" x14ac:dyDescent="0.35">
      <c r="A155" s="97">
        <v>805</v>
      </c>
      <c r="B155" s="97"/>
      <c r="C155" s="70" t="s">
        <v>181</v>
      </c>
      <c r="D155" s="70">
        <f>(33.42+(0.75*(2.75+2.3+2.75)))*10.764</f>
        <v>422.70228000000003</v>
      </c>
      <c r="E155" s="70">
        <v>0</v>
      </c>
      <c r="F155" s="70">
        <v>635</v>
      </c>
      <c r="G155" s="97"/>
      <c r="H155" s="97"/>
      <c r="I155" s="32"/>
      <c r="J155" s="54">
        <f t="shared" si="3"/>
        <v>1.5022393539017578</v>
      </c>
    </row>
    <row r="156" spans="1:14" s="62" customFormat="1" ht="15.75" customHeight="1" x14ac:dyDescent="0.35">
      <c r="A156" s="97" t="s">
        <v>215</v>
      </c>
      <c r="B156" s="97"/>
      <c r="C156" s="97" t="s">
        <v>217</v>
      </c>
      <c r="D156" s="97"/>
      <c r="E156" s="97"/>
      <c r="F156" s="97"/>
      <c r="G156" s="97"/>
      <c r="H156" s="97"/>
      <c r="I156" s="32"/>
    </row>
    <row r="157" spans="1:14" s="33" customFormat="1" ht="15.75" customHeight="1" x14ac:dyDescent="0.35">
      <c r="A157" s="97">
        <v>806</v>
      </c>
      <c r="B157" s="97"/>
      <c r="C157" s="70" t="s">
        <v>182</v>
      </c>
      <c r="D157" s="70">
        <f>(51.79+(0.75*(2.75+2.3+2.75+2.75)))*10.764</f>
        <v>642.63770999999997</v>
      </c>
      <c r="E157" s="70">
        <v>0</v>
      </c>
      <c r="F157" s="70">
        <v>960</v>
      </c>
      <c r="G157" s="97"/>
      <c r="H157" s="97"/>
      <c r="I157" s="32"/>
      <c r="J157" s="54">
        <f t="shared" si="3"/>
        <v>1.4938432417854846</v>
      </c>
    </row>
    <row r="158" spans="1:14" s="33" customFormat="1" ht="15.75" customHeight="1" x14ac:dyDescent="0.35">
      <c r="A158" s="97">
        <v>807</v>
      </c>
      <c r="B158" s="97"/>
      <c r="C158" s="70" t="s">
        <v>182</v>
      </c>
      <c r="D158" s="70">
        <f>(46.55+(0.75*(2.75+2.3+2.75+2.75)))*10.764</f>
        <v>586.23434999999995</v>
      </c>
      <c r="E158" s="70">
        <v>0</v>
      </c>
      <c r="F158" s="70">
        <v>880</v>
      </c>
      <c r="G158" s="97"/>
      <c r="H158" s="97"/>
      <c r="I158" s="32"/>
      <c r="J158" s="54">
        <f t="shared" si="3"/>
        <v>1.5011061702542678</v>
      </c>
      <c r="N158" s="33">
        <f>9*12-1</f>
        <v>107</v>
      </c>
    </row>
    <row r="159" spans="1:14" s="33" customFormat="1" ht="15.75" customHeight="1" x14ac:dyDescent="0.35">
      <c r="A159" s="97">
        <v>808</v>
      </c>
      <c r="B159" s="97"/>
      <c r="C159" s="70" t="s">
        <v>181</v>
      </c>
      <c r="D159" s="70">
        <f>(28.27+5.05)*10.764</f>
        <v>358.65647999999999</v>
      </c>
      <c r="E159" s="70">
        <v>0</v>
      </c>
      <c r="F159" s="70">
        <v>540</v>
      </c>
      <c r="G159" s="97"/>
      <c r="H159" s="97"/>
      <c r="I159" s="32"/>
      <c r="J159" s="54">
        <f t="shared" si="3"/>
        <v>1.5056189699960252</v>
      </c>
    </row>
    <row r="160" spans="1:14" s="33" customFormat="1" x14ac:dyDescent="0.35">
      <c r="A160" s="104" t="s">
        <v>179</v>
      </c>
      <c r="B160" s="105"/>
      <c r="C160" s="105"/>
      <c r="D160" s="105"/>
      <c r="E160" s="105"/>
      <c r="F160" s="105"/>
      <c r="G160" s="105"/>
      <c r="H160" s="106"/>
      <c r="J160" s="32"/>
    </row>
    <row r="161" spans="1:14" s="33" customFormat="1" x14ac:dyDescent="0.35">
      <c r="A161" s="104" t="s">
        <v>178</v>
      </c>
      <c r="B161" s="105"/>
      <c r="C161" s="105"/>
      <c r="D161" s="105"/>
      <c r="E161" s="105"/>
      <c r="F161" s="105"/>
      <c r="G161" s="105"/>
      <c r="H161" s="106"/>
      <c r="J161" s="32"/>
    </row>
    <row r="162" spans="1:14" s="33" customFormat="1" x14ac:dyDescent="0.35">
      <c r="A162" s="107" t="s">
        <v>194</v>
      </c>
      <c r="B162" s="107"/>
      <c r="C162" s="107"/>
      <c r="D162" s="107"/>
      <c r="E162" s="107"/>
      <c r="F162" s="107"/>
      <c r="G162" s="107"/>
      <c r="H162" s="107"/>
      <c r="I162" s="32"/>
      <c r="L162" s="82"/>
      <c r="M162" s="82"/>
    </row>
    <row r="163" spans="1:14" s="33" customFormat="1" x14ac:dyDescent="0.35">
      <c r="A163" s="97">
        <f>LEFT(A162,SUM(LEN(A162)-LEN(SUBSTITUTE(A162,{"0","1","2","3","4","5","6","7","8","9"},""))))*100+1</f>
        <v>101</v>
      </c>
      <c r="B163" s="97"/>
      <c r="C163" s="48" t="s">
        <v>181</v>
      </c>
      <c r="D163" s="48">
        <f>(34.54+(1.2*(2.75+2.15+2.75)))*10.764</f>
        <v>470.60207999999994</v>
      </c>
      <c r="E163" s="48">
        <v>0</v>
      </c>
      <c r="F163" s="48">
        <v>650</v>
      </c>
      <c r="G163" s="83" t="str">
        <f>A162</f>
        <v>1st Floor for Residential</v>
      </c>
      <c r="H163" s="84"/>
      <c r="I163" s="32"/>
      <c r="J163" s="54">
        <f t="shared" ref="J163:J179" si="4">(F163-E163)/D163</f>
        <v>1.3812093648204871</v>
      </c>
      <c r="N163" s="32"/>
    </row>
    <row r="164" spans="1:14" s="33" customFormat="1" x14ac:dyDescent="0.35">
      <c r="A164" s="97">
        <f t="shared" ref="A164:A170" si="5">A163+1</f>
        <v>102</v>
      </c>
      <c r="B164" s="97"/>
      <c r="C164" s="48" t="s">
        <v>181</v>
      </c>
      <c r="D164" s="48">
        <f>(32.9+(1.2*(2.75+2.3+2.75)))*10.764</f>
        <v>454.88663999999994</v>
      </c>
      <c r="E164" s="48">
        <v>0</v>
      </c>
      <c r="F164" s="48">
        <v>635</v>
      </c>
      <c r="G164" s="85"/>
      <c r="H164" s="86"/>
      <c r="I164" s="32"/>
      <c r="J164" s="54">
        <f t="shared" si="4"/>
        <v>1.3959521871207299</v>
      </c>
      <c r="N164" s="32"/>
    </row>
    <row r="165" spans="1:14" s="33" customFormat="1" x14ac:dyDescent="0.35">
      <c r="A165" s="97">
        <f t="shared" si="5"/>
        <v>103</v>
      </c>
      <c r="B165" s="97"/>
      <c r="C165" s="48" t="s">
        <v>181</v>
      </c>
      <c r="D165" s="48">
        <f>(32.66+1.2*(2.75+2.3+2.75))*10.764</f>
        <v>452.30327999999992</v>
      </c>
      <c r="E165" s="48">
        <v>0</v>
      </c>
      <c r="F165" s="48">
        <v>570</v>
      </c>
      <c r="G165" s="85"/>
      <c r="H165" s="86"/>
      <c r="I165" s="32"/>
      <c r="J165" s="54">
        <f t="shared" si="4"/>
        <v>1.2602163751719866</v>
      </c>
      <c r="N165" s="32"/>
    </row>
    <row r="166" spans="1:14" s="33" customFormat="1" x14ac:dyDescent="0.35">
      <c r="A166" s="97">
        <f t="shared" si="5"/>
        <v>104</v>
      </c>
      <c r="B166" s="97"/>
      <c r="C166" s="48" t="s">
        <v>181</v>
      </c>
      <c r="D166" s="61">
        <f>(32.66+1.2*(2.75+2.3+2.75))*10.764</f>
        <v>452.30327999999992</v>
      </c>
      <c r="E166" s="48">
        <v>0</v>
      </c>
      <c r="F166" s="48">
        <v>570</v>
      </c>
      <c r="G166" s="85"/>
      <c r="H166" s="86"/>
      <c r="I166" s="32"/>
      <c r="J166" s="54">
        <f t="shared" si="4"/>
        <v>1.2602163751719866</v>
      </c>
      <c r="N166" s="32"/>
    </row>
    <row r="167" spans="1:14" s="33" customFormat="1" x14ac:dyDescent="0.35">
      <c r="A167" s="97">
        <f t="shared" si="5"/>
        <v>105</v>
      </c>
      <c r="B167" s="97"/>
      <c r="C167" s="48" t="s">
        <v>182</v>
      </c>
      <c r="D167" s="48">
        <f>(42.03+(1.2*(2.75+2.1+2.75+2.75)))*10.764</f>
        <v>586.09979999999996</v>
      </c>
      <c r="E167" s="48">
        <v>0</v>
      </c>
      <c r="F167" s="48">
        <v>850</v>
      </c>
      <c r="G167" s="85"/>
      <c r="H167" s="86"/>
      <c r="I167" s="32"/>
      <c r="J167" s="54">
        <f t="shared" si="4"/>
        <v>1.4502649548762856</v>
      </c>
      <c r="N167" s="32"/>
    </row>
    <row r="168" spans="1:14" s="33" customFormat="1" x14ac:dyDescent="0.35">
      <c r="A168" s="97">
        <f t="shared" si="5"/>
        <v>106</v>
      </c>
      <c r="B168" s="97"/>
      <c r="C168" s="48" t="s">
        <v>182</v>
      </c>
      <c r="D168" s="48">
        <f>(43.5+(1.2*(2.75+2.75+2.3+2.75)))*10.764</f>
        <v>604.50623999999993</v>
      </c>
      <c r="E168" s="48">
        <v>0</v>
      </c>
      <c r="F168" s="48">
        <v>800</v>
      </c>
      <c r="G168" s="85"/>
      <c r="H168" s="86"/>
      <c r="I168" s="32"/>
      <c r="J168" s="54">
        <f t="shared" si="4"/>
        <v>1.3233941141782095</v>
      </c>
      <c r="N168" s="32"/>
    </row>
    <row r="169" spans="1:14" s="33" customFormat="1" x14ac:dyDescent="0.35">
      <c r="A169" s="97">
        <f t="shared" si="5"/>
        <v>107</v>
      </c>
      <c r="B169" s="97"/>
      <c r="C169" s="48" t="s">
        <v>181</v>
      </c>
      <c r="D169" s="48">
        <f>(33.36+(1.2*(2.75+2.3)))*10.764</f>
        <v>424.31687999999997</v>
      </c>
      <c r="E169" s="48">
        <v>0</v>
      </c>
      <c r="F169" s="48">
        <v>610</v>
      </c>
      <c r="G169" s="85"/>
      <c r="H169" s="86"/>
      <c r="I169" s="32"/>
      <c r="J169" s="54">
        <f t="shared" si="4"/>
        <v>1.4376048391004383</v>
      </c>
      <c r="N169" s="32"/>
    </row>
    <row r="170" spans="1:14" s="33" customFormat="1" x14ac:dyDescent="0.35">
      <c r="A170" s="97">
        <f t="shared" si="5"/>
        <v>108</v>
      </c>
      <c r="B170" s="97"/>
      <c r="C170" s="48" t="s">
        <v>181</v>
      </c>
      <c r="D170" s="48">
        <f>(34.67+(1.2*(2.75+2.3)))*10.764</f>
        <v>438.41772000000003</v>
      </c>
      <c r="E170" s="48">
        <v>0</v>
      </c>
      <c r="F170" s="48">
        <v>635</v>
      </c>
      <c r="G170" s="87"/>
      <c r="H170" s="88"/>
      <c r="I170" s="32"/>
      <c r="J170" s="54">
        <f t="shared" si="4"/>
        <v>1.4483903615939611</v>
      </c>
      <c r="N170" s="32"/>
    </row>
    <row r="171" spans="1:14" s="33" customFormat="1" ht="15.75" customHeight="1" x14ac:dyDescent="0.35">
      <c r="A171" s="104" t="s">
        <v>211</v>
      </c>
      <c r="B171" s="105"/>
      <c r="C171" s="105"/>
      <c r="D171" s="105"/>
      <c r="E171" s="105"/>
      <c r="F171" s="105"/>
      <c r="G171" s="105"/>
      <c r="H171" s="106"/>
      <c r="I171" s="32"/>
      <c r="J171" s="54"/>
    </row>
    <row r="172" spans="1:14" s="33" customFormat="1" ht="15.75" customHeight="1" x14ac:dyDescent="0.35">
      <c r="A172" s="78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10^ROW(INDIRECT("1:"&amp;LEN((LEFT(A171,SUM(LEN(A171)-LEN(SUBSTITUTE(A171,{"0","1","2"},""))))))))/10))*100+1&amp;""&amp;"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",LEN(A171))),LEN(A171)))))))/10))*100+1</f>
        <v>201 ,.., 1201</v>
      </c>
      <c r="B172" s="79"/>
      <c r="C172" s="58" t="s">
        <v>181</v>
      </c>
      <c r="D172" s="58">
        <f>(34.54+(1.2*(2.75+2.15+2.75)))*10.764</f>
        <v>470.60207999999994</v>
      </c>
      <c r="E172" s="48">
        <v>0</v>
      </c>
      <c r="F172" s="48">
        <v>650</v>
      </c>
      <c r="G172" s="83" t="str">
        <f>A171</f>
        <v>2nd to 7th, 9th to 12th Floor</v>
      </c>
      <c r="H172" s="84"/>
      <c r="I172" s="32"/>
      <c r="J172" s="54">
        <f t="shared" si="4"/>
        <v>1.3812093648204871</v>
      </c>
    </row>
    <row r="173" spans="1:14" s="33" customFormat="1" ht="15.75" customHeight="1" x14ac:dyDescent="0.35">
      <c r="A173" s="78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202 ,.., 1202</v>
      </c>
      <c r="B173" s="79"/>
      <c r="C173" s="58" t="s">
        <v>181</v>
      </c>
      <c r="D173" s="58">
        <f>(32.9+(1.2*(2.75+2.3+2.75)))*10.764</f>
        <v>454.88663999999994</v>
      </c>
      <c r="E173" s="48">
        <v>0</v>
      </c>
      <c r="F173" s="48">
        <v>635</v>
      </c>
      <c r="G173" s="85"/>
      <c r="H173" s="86"/>
      <c r="I173" s="32"/>
      <c r="J173" s="54">
        <f t="shared" si="4"/>
        <v>1.3959521871207299</v>
      </c>
    </row>
    <row r="174" spans="1:14" s="33" customFormat="1" ht="15.75" customHeight="1" x14ac:dyDescent="0.35">
      <c r="A174" s="78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203 ,.., 1203</v>
      </c>
      <c r="B174" s="79"/>
      <c r="C174" s="58" t="s">
        <v>181</v>
      </c>
      <c r="D174" s="58">
        <f>(32.66+1.2*(2.75+2.3+2.75))*10.764</f>
        <v>452.30327999999992</v>
      </c>
      <c r="E174" s="48">
        <v>0</v>
      </c>
      <c r="F174" s="48">
        <v>570</v>
      </c>
      <c r="G174" s="85"/>
      <c r="H174" s="86"/>
      <c r="I174" s="32"/>
      <c r="J174" s="54">
        <f t="shared" si="4"/>
        <v>1.2602163751719866</v>
      </c>
    </row>
    <row r="175" spans="1:14" s="33" customFormat="1" ht="15.75" customHeight="1" x14ac:dyDescent="0.35">
      <c r="A175" s="78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204 ,.., 1204</v>
      </c>
      <c r="B175" s="79"/>
      <c r="C175" s="58" t="s">
        <v>181</v>
      </c>
      <c r="D175" s="58">
        <f>(32.66+1.2*(2.75+2.3+2.75))*10.764</f>
        <v>452.30327999999992</v>
      </c>
      <c r="E175" s="48">
        <v>0</v>
      </c>
      <c r="F175" s="48">
        <v>570</v>
      </c>
      <c r="G175" s="85"/>
      <c r="H175" s="86"/>
      <c r="I175" s="32"/>
      <c r="J175" s="54">
        <f t="shared" si="4"/>
        <v>1.2602163751719866</v>
      </c>
    </row>
    <row r="176" spans="1:14" s="33" customFormat="1" ht="15.75" customHeight="1" x14ac:dyDescent="0.35">
      <c r="A176" s="78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205 ,.., 1205</v>
      </c>
      <c r="B176" s="79"/>
      <c r="C176" s="58" t="s">
        <v>182</v>
      </c>
      <c r="D176" s="58">
        <f>(42.03+(1.2*(2.75+2.1+2.75+2.75)))*10.764</f>
        <v>586.09979999999996</v>
      </c>
      <c r="E176" s="48">
        <v>0</v>
      </c>
      <c r="F176" s="48">
        <v>850</v>
      </c>
      <c r="G176" s="85"/>
      <c r="H176" s="86"/>
      <c r="I176" s="32"/>
      <c r="J176" s="54">
        <f t="shared" si="4"/>
        <v>1.4502649548762856</v>
      </c>
    </row>
    <row r="177" spans="1:14" s="33" customFormat="1" ht="15.75" customHeight="1" x14ac:dyDescent="0.35">
      <c r="A177" s="78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206 ,.., 1206</v>
      </c>
      <c r="B177" s="79"/>
      <c r="C177" s="58" t="s">
        <v>182</v>
      </c>
      <c r="D177" s="58">
        <f>(43.5+(1.2*(2.75+2.75+2.3+2.75)))*10.764</f>
        <v>604.50623999999993</v>
      </c>
      <c r="E177" s="48">
        <v>0</v>
      </c>
      <c r="F177" s="48">
        <v>800</v>
      </c>
      <c r="G177" s="85"/>
      <c r="H177" s="86"/>
      <c r="I177" s="32"/>
      <c r="J177" s="54">
        <f t="shared" si="4"/>
        <v>1.3233941141782095</v>
      </c>
    </row>
    <row r="178" spans="1:14" s="33" customFormat="1" ht="15.75" customHeight="1" x14ac:dyDescent="0.35">
      <c r="A178" s="78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,..,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207 ,.., 1207</v>
      </c>
      <c r="B178" s="79"/>
      <c r="C178" s="58" t="s">
        <v>181</v>
      </c>
      <c r="D178" s="58">
        <f>(33.36+(1.2*(2.75+2.3)))*10.764</f>
        <v>424.31687999999997</v>
      </c>
      <c r="E178" s="48">
        <v>0</v>
      </c>
      <c r="F178" s="48">
        <v>610</v>
      </c>
      <c r="G178" s="85"/>
      <c r="H178" s="86"/>
      <c r="I178" s="32"/>
      <c r="J178" s="54">
        <f t="shared" si="4"/>
        <v>1.4376048391004383</v>
      </c>
    </row>
    <row r="179" spans="1:14" s="33" customFormat="1" ht="15.75" customHeight="1" x14ac:dyDescent="0.35">
      <c r="A179" s="78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,..,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208 ,.., 1208</v>
      </c>
      <c r="B179" s="79"/>
      <c r="C179" s="58" t="s">
        <v>181</v>
      </c>
      <c r="D179" s="58">
        <f>(34.67+(1.2*(2.75+2.3)))*10.764</f>
        <v>438.41772000000003</v>
      </c>
      <c r="E179" s="48">
        <v>0</v>
      </c>
      <c r="F179" s="48">
        <v>635</v>
      </c>
      <c r="G179" s="87"/>
      <c r="H179" s="88"/>
      <c r="I179" s="32"/>
      <c r="J179" s="54">
        <f t="shared" si="4"/>
        <v>1.4483903615939611</v>
      </c>
      <c r="M179" s="33">
        <f>8*12-1</f>
        <v>95</v>
      </c>
    </row>
    <row r="180" spans="1:14" s="62" customFormat="1" x14ac:dyDescent="0.35">
      <c r="A180" s="107" t="s">
        <v>216</v>
      </c>
      <c r="B180" s="107"/>
      <c r="C180" s="107"/>
      <c r="D180" s="107"/>
      <c r="E180" s="107"/>
      <c r="F180" s="107"/>
      <c r="G180" s="107"/>
      <c r="H180" s="107"/>
      <c r="I180" s="32"/>
      <c r="L180" s="82"/>
      <c r="M180" s="82"/>
    </row>
    <row r="181" spans="1:14" s="62" customFormat="1" x14ac:dyDescent="0.35">
      <c r="A181" s="97">
        <f>LEFT(A180,SUM(LEN(A180)-LEN(SUBSTITUTE(A180,{"0","1","2","3","4","5","6","7","8","9"},""))))*100+1</f>
        <v>801</v>
      </c>
      <c r="B181" s="97"/>
      <c r="C181" s="67" t="s">
        <v>181</v>
      </c>
      <c r="D181" s="67">
        <f>(34.54+(1.2*(2.75+2.15+2.75)))*10.764</f>
        <v>470.60207999999994</v>
      </c>
      <c r="E181" s="67">
        <v>0</v>
      </c>
      <c r="F181" s="67">
        <v>650</v>
      </c>
      <c r="G181" s="97" t="str">
        <f>A180</f>
        <v>8th Floor ( Part Refuge Area)</v>
      </c>
      <c r="H181" s="97"/>
      <c r="I181" s="32"/>
      <c r="J181" s="54"/>
      <c r="N181" s="32"/>
    </row>
    <row r="182" spans="1:14" s="62" customFormat="1" x14ac:dyDescent="0.35">
      <c r="A182" s="97">
        <f t="shared" ref="A182:A188" si="6">A181+1</f>
        <v>802</v>
      </c>
      <c r="B182" s="97"/>
      <c r="C182" s="67" t="s">
        <v>181</v>
      </c>
      <c r="D182" s="67">
        <f>(32.9+(1.2*(2.75+2.3+2.75)))*10.764</f>
        <v>454.88663999999994</v>
      </c>
      <c r="E182" s="67">
        <v>0</v>
      </c>
      <c r="F182" s="67">
        <v>635</v>
      </c>
      <c r="G182" s="97"/>
      <c r="H182" s="97"/>
      <c r="I182" s="32"/>
      <c r="J182" s="54"/>
      <c r="N182" s="32"/>
    </row>
    <row r="183" spans="1:14" s="62" customFormat="1" x14ac:dyDescent="0.35">
      <c r="A183" s="97">
        <f t="shared" si="6"/>
        <v>803</v>
      </c>
      <c r="B183" s="97"/>
      <c r="C183" s="97" t="s">
        <v>217</v>
      </c>
      <c r="D183" s="97"/>
      <c r="E183" s="97"/>
      <c r="F183" s="97"/>
      <c r="G183" s="97"/>
      <c r="H183" s="97"/>
      <c r="I183" s="32"/>
      <c r="J183" s="54"/>
      <c r="N183" s="32"/>
    </row>
    <row r="184" spans="1:14" s="62" customFormat="1" x14ac:dyDescent="0.35">
      <c r="A184" s="97">
        <f t="shared" si="6"/>
        <v>804</v>
      </c>
      <c r="B184" s="97"/>
      <c r="C184" s="67" t="s">
        <v>181</v>
      </c>
      <c r="D184" s="67">
        <f>(32.66+1.2*(2.75+2.3+2.75))*10.764</f>
        <v>452.30327999999992</v>
      </c>
      <c r="E184" s="67">
        <v>0</v>
      </c>
      <c r="F184" s="67">
        <v>570</v>
      </c>
      <c r="G184" s="97"/>
      <c r="H184" s="97"/>
      <c r="I184" s="32"/>
      <c r="J184" s="54"/>
      <c r="N184" s="32"/>
    </row>
    <row r="185" spans="1:14" s="62" customFormat="1" x14ac:dyDescent="0.35">
      <c r="A185" s="97">
        <f t="shared" si="6"/>
        <v>805</v>
      </c>
      <c r="B185" s="97"/>
      <c r="C185" s="67" t="s">
        <v>182</v>
      </c>
      <c r="D185" s="67">
        <f>(42.03+(1.2*(2.75+2.1+2.75+2.75)))*10.764</f>
        <v>586.09979999999996</v>
      </c>
      <c r="E185" s="67">
        <v>0</v>
      </c>
      <c r="F185" s="67">
        <v>850</v>
      </c>
      <c r="G185" s="97"/>
      <c r="H185" s="97"/>
      <c r="I185" s="32"/>
      <c r="J185" s="54"/>
      <c r="N185" s="32"/>
    </row>
    <row r="186" spans="1:14" s="62" customFormat="1" x14ac:dyDescent="0.35">
      <c r="A186" s="97">
        <f t="shared" si="6"/>
        <v>806</v>
      </c>
      <c r="B186" s="97"/>
      <c r="C186" s="67" t="s">
        <v>182</v>
      </c>
      <c r="D186" s="67">
        <f>(43.5+(1.2*(2.75+2.75+2.3+2.75)))*10.764</f>
        <v>604.50623999999993</v>
      </c>
      <c r="E186" s="67">
        <v>0</v>
      </c>
      <c r="F186" s="67">
        <v>800</v>
      </c>
      <c r="G186" s="97"/>
      <c r="H186" s="97"/>
      <c r="I186" s="32"/>
      <c r="J186" s="54"/>
      <c r="N186" s="32"/>
    </row>
    <row r="187" spans="1:14" s="62" customFormat="1" x14ac:dyDescent="0.35">
      <c r="A187" s="97">
        <f t="shared" si="6"/>
        <v>807</v>
      </c>
      <c r="B187" s="97"/>
      <c r="C187" s="67" t="s">
        <v>181</v>
      </c>
      <c r="D187" s="67">
        <f>(33.36+(1.2*(2.75+2.3)))*10.764</f>
        <v>424.31687999999997</v>
      </c>
      <c r="E187" s="67">
        <v>0</v>
      </c>
      <c r="F187" s="67">
        <v>610</v>
      </c>
      <c r="G187" s="97"/>
      <c r="H187" s="97"/>
      <c r="I187" s="32"/>
      <c r="J187" s="54"/>
      <c r="N187" s="32"/>
    </row>
    <row r="188" spans="1:14" s="62" customFormat="1" x14ac:dyDescent="0.35">
      <c r="A188" s="97">
        <f t="shared" si="6"/>
        <v>808</v>
      </c>
      <c r="B188" s="97"/>
      <c r="C188" s="67" t="s">
        <v>181</v>
      </c>
      <c r="D188" s="67">
        <f>(34.67+(1.2*(2.75+2.3)))*10.764</f>
        <v>438.41772000000003</v>
      </c>
      <c r="E188" s="67">
        <v>0</v>
      </c>
      <c r="F188" s="67">
        <v>635</v>
      </c>
      <c r="G188" s="97"/>
      <c r="H188" s="97"/>
      <c r="I188" s="32"/>
      <c r="J188" s="54"/>
      <c r="N188" s="32"/>
    </row>
    <row r="189" spans="1:14" s="31" customFormat="1" x14ac:dyDescent="0.35">
      <c r="A189" s="116" t="s">
        <v>68</v>
      </c>
      <c r="B189" s="116"/>
      <c r="C189" s="116"/>
      <c r="D189" s="116"/>
      <c r="E189" s="116"/>
      <c r="F189" s="116"/>
      <c r="G189" s="116"/>
      <c r="H189" s="116"/>
    </row>
    <row r="190" spans="1:14" s="31" customFormat="1" ht="32" customHeight="1" x14ac:dyDescent="0.35">
      <c r="A190" s="51" t="s">
        <v>151</v>
      </c>
      <c r="B190" s="157" t="s">
        <v>235</v>
      </c>
      <c r="C190" s="158"/>
      <c r="D190" s="158"/>
      <c r="E190" s="158"/>
      <c r="F190" s="158"/>
      <c r="G190" s="158"/>
      <c r="H190" s="159"/>
    </row>
    <row r="191" spans="1:14" s="31" customFormat="1" x14ac:dyDescent="0.35">
      <c r="A191" s="51" t="s">
        <v>151</v>
      </c>
      <c r="B191" s="157" t="str">
        <f>(IF(F128="Saleable area Loading :","We have considered Saleable area of Flats as per our Calculation.","We considered Saleable area of Flat as per Builder area Sheet."))</f>
        <v>We considered Saleable area of Flat as per Builder area Sheet.</v>
      </c>
      <c r="C191" s="158"/>
      <c r="D191" s="158"/>
      <c r="E191" s="158"/>
      <c r="F191" s="158"/>
      <c r="G191" s="158"/>
      <c r="H191" s="159"/>
    </row>
    <row r="192" spans="1:14" s="31" customFormat="1" x14ac:dyDescent="0.35">
      <c r="A192" s="51" t="s">
        <v>151</v>
      </c>
      <c r="B192" s="157" t="str">
        <f>(IF(F111="Saleable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92" s="158"/>
      <c r="D192" s="158"/>
      <c r="E192" s="158"/>
      <c r="F192" s="158"/>
      <c r="G192" s="158"/>
      <c r="H192" s="159"/>
    </row>
    <row r="193" spans="1:8" s="31" customFormat="1" x14ac:dyDescent="0.35">
      <c r="A193" s="51" t="s">
        <v>151</v>
      </c>
      <c r="B193" s="72" t="s">
        <v>122</v>
      </c>
      <c r="C193" s="73"/>
      <c r="D193" s="73"/>
      <c r="E193" s="73"/>
      <c r="F193" s="73"/>
      <c r="G193" s="73"/>
      <c r="H193" s="74"/>
    </row>
    <row r="194" spans="1:8" s="31" customFormat="1" ht="16.5" customHeight="1" x14ac:dyDescent="0.35">
      <c r="A194" s="51" t="s">
        <v>151</v>
      </c>
      <c r="B194" s="72" t="s">
        <v>186</v>
      </c>
      <c r="C194" s="73"/>
      <c r="D194" s="73"/>
      <c r="E194" s="73"/>
      <c r="F194" s="73"/>
      <c r="G194" s="73"/>
      <c r="H194" s="74"/>
    </row>
    <row r="195" spans="1:8" s="31" customFormat="1" x14ac:dyDescent="0.35">
      <c r="A195" s="51" t="s">
        <v>151</v>
      </c>
      <c r="B195" s="72" t="s">
        <v>150</v>
      </c>
      <c r="C195" s="73"/>
      <c r="D195" s="73"/>
      <c r="E195" s="73"/>
      <c r="F195" s="73"/>
      <c r="G195" s="73"/>
      <c r="H195" s="74"/>
    </row>
    <row r="196" spans="1:8" s="31" customFormat="1" x14ac:dyDescent="0.35">
      <c r="A196" s="51" t="s">
        <v>151</v>
      </c>
      <c r="B196" s="72" t="s">
        <v>123</v>
      </c>
      <c r="C196" s="73"/>
      <c r="D196" s="73"/>
      <c r="E196" s="73"/>
      <c r="F196" s="73"/>
      <c r="G196" s="73"/>
      <c r="H196" s="74"/>
    </row>
    <row r="197" spans="1:8" s="31" customFormat="1" ht="34.5" hidden="1" customHeight="1" x14ac:dyDescent="0.35">
      <c r="A197" s="51" t="s">
        <v>151</v>
      </c>
      <c r="B197" s="72" t="s">
        <v>152</v>
      </c>
      <c r="C197" s="73"/>
      <c r="D197" s="73"/>
      <c r="E197" s="73"/>
      <c r="F197" s="73"/>
      <c r="G197" s="73"/>
      <c r="H197" s="74"/>
    </row>
    <row r="198" spans="1:8" s="31" customFormat="1" x14ac:dyDescent="0.35">
      <c r="A198" s="51" t="s">
        <v>151</v>
      </c>
      <c r="B198" s="72" t="s">
        <v>124</v>
      </c>
      <c r="C198" s="73"/>
      <c r="D198" s="73"/>
      <c r="E198" s="73"/>
      <c r="F198" s="73"/>
      <c r="G198" s="73"/>
      <c r="H198" s="74"/>
    </row>
    <row r="199" spans="1:8" s="31" customFormat="1" hidden="1" x14ac:dyDescent="0.35">
      <c r="A199" s="46" t="s">
        <v>151</v>
      </c>
      <c r="B199" s="75" t="s">
        <v>193</v>
      </c>
      <c r="C199" s="76"/>
      <c r="D199" s="76"/>
      <c r="E199" s="76"/>
      <c r="F199" s="76"/>
      <c r="G199" s="76"/>
      <c r="H199" s="77"/>
    </row>
    <row r="200" spans="1:8" s="31" customFormat="1" x14ac:dyDescent="0.35">
      <c r="A200" s="63" t="s">
        <v>151</v>
      </c>
      <c r="B200" s="72" t="s">
        <v>225</v>
      </c>
      <c r="C200" s="73"/>
      <c r="D200" s="73"/>
      <c r="E200" s="73"/>
      <c r="F200" s="73"/>
      <c r="G200" s="73"/>
      <c r="H200" s="74"/>
    </row>
    <row r="201" spans="1:8" s="31" customFormat="1" x14ac:dyDescent="0.35">
      <c r="A201" s="65" t="s">
        <v>151</v>
      </c>
      <c r="B201" s="72" t="s">
        <v>227</v>
      </c>
      <c r="C201" s="73"/>
      <c r="D201" s="73"/>
      <c r="E201" s="73"/>
      <c r="F201" s="73"/>
      <c r="G201" s="73"/>
      <c r="H201" s="74"/>
    </row>
    <row r="202" spans="1:8" s="31" customFormat="1" x14ac:dyDescent="0.35">
      <c r="A202" s="59" t="s">
        <v>151</v>
      </c>
      <c r="B202" s="72" t="s">
        <v>230</v>
      </c>
      <c r="C202" s="73"/>
      <c r="D202" s="73"/>
      <c r="E202" s="73"/>
      <c r="F202" s="73"/>
      <c r="G202" s="73"/>
      <c r="H202" s="74"/>
    </row>
    <row r="203" spans="1:8" x14ac:dyDescent="0.35">
      <c r="A203" s="117" t="s">
        <v>61</v>
      </c>
      <c r="B203" s="117"/>
      <c r="C203" s="117"/>
      <c r="D203" s="117"/>
      <c r="E203" s="117"/>
      <c r="F203" s="117"/>
      <c r="G203" s="117"/>
      <c r="H203" s="117"/>
    </row>
    <row r="204" spans="1:8" x14ac:dyDescent="0.35">
      <c r="A204" s="80" t="s">
        <v>62</v>
      </c>
      <c r="B204" s="80"/>
      <c r="C204" s="80"/>
      <c r="D204" s="80"/>
      <c r="E204" s="80"/>
      <c r="F204" s="80"/>
      <c r="G204" s="80"/>
      <c r="H204" s="80"/>
    </row>
    <row r="205" spans="1:8" ht="15.75" customHeight="1" x14ac:dyDescent="0.35">
      <c r="A205" s="96" t="s">
        <v>63</v>
      </c>
      <c r="B205" s="96"/>
      <c r="C205" s="96"/>
      <c r="D205" s="96"/>
      <c r="E205" s="96"/>
      <c r="F205" s="96"/>
      <c r="G205" s="96"/>
      <c r="H205" s="96"/>
    </row>
    <row r="206" spans="1:8" x14ac:dyDescent="0.35">
      <c r="A206" s="80" t="s">
        <v>64</v>
      </c>
      <c r="B206" s="80"/>
      <c r="C206" s="80"/>
      <c r="D206" s="80"/>
      <c r="E206" s="80"/>
      <c r="F206" s="80"/>
      <c r="G206" s="80"/>
      <c r="H206" s="80"/>
    </row>
    <row r="207" spans="1:8" x14ac:dyDescent="0.35">
      <c r="A207" s="80" t="s">
        <v>65</v>
      </c>
      <c r="B207" s="80"/>
      <c r="C207" s="80"/>
      <c r="D207" s="80"/>
      <c r="E207" s="80"/>
      <c r="F207" s="80"/>
      <c r="G207" s="80"/>
      <c r="H207" s="80"/>
    </row>
    <row r="208" spans="1:8" x14ac:dyDescent="0.35">
      <c r="A208" s="80" t="s">
        <v>125</v>
      </c>
      <c r="B208" s="80"/>
      <c r="C208" s="80"/>
      <c r="D208" s="80"/>
      <c r="E208" s="80"/>
      <c r="F208" s="80"/>
      <c r="G208" s="80"/>
      <c r="H208" s="80"/>
    </row>
    <row r="209" spans="1:8" ht="35.25" customHeight="1" x14ac:dyDescent="0.35">
      <c r="A209" s="92" t="s">
        <v>126</v>
      </c>
      <c r="B209" s="92"/>
      <c r="C209" s="92"/>
      <c r="D209" s="92"/>
      <c r="E209" s="92"/>
      <c r="F209" s="92"/>
      <c r="G209" s="92"/>
      <c r="H209" s="92"/>
    </row>
    <row r="210" spans="1:8" x14ac:dyDescent="0.35">
      <c r="A210" s="111" t="s">
        <v>77</v>
      </c>
      <c r="B210" s="111"/>
      <c r="C210" s="111" t="s">
        <v>232</v>
      </c>
      <c r="D210" s="111"/>
      <c r="E210" s="111" t="s">
        <v>103</v>
      </c>
      <c r="F210" s="111"/>
      <c r="G210" s="111" t="s">
        <v>234</v>
      </c>
      <c r="H210" s="111"/>
    </row>
    <row r="211" spans="1:8" x14ac:dyDescent="0.35">
      <c r="A211" s="110" t="s">
        <v>79</v>
      </c>
      <c r="B211" s="110"/>
      <c r="C211" s="110"/>
      <c r="D211" s="110"/>
      <c r="E211" s="110"/>
      <c r="F211" s="110"/>
      <c r="G211" s="110"/>
      <c r="H211" s="110"/>
    </row>
    <row r="212" spans="1:8" x14ac:dyDescent="0.35">
      <c r="A212" s="110"/>
      <c r="B212" s="110"/>
      <c r="C212" s="110"/>
      <c r="D212" s="110"/>
      <c r="E212" s="110"/>
      <c r="F212" s="110"/>
      <c r="G212" s="110"/>
      <c r="H212" s="110"/>
    </row>
    <row r="213" spans="1:8" x14ac:dyDescent="0.35">
      <c r="A213" s="110"/>
      <c r="B213" s="110"/>
      <c r="C213" s="110"/>
      <c r="D213" s="110"/>
      <c r="E213" s="110"/>
      <c r="F213" s="110"/>
      <c r="G213" s="110"/>
      <c r="H213" s="110"/>
    </row>
    <row r="214" spans="1:8" x14ac:dyDescent="0.35">
      <c r="A214" s="110"/>
      <c r="B214" s="110"/>
      <c r="C214" s="110"/>
      <c r="D214" s="110"/>
      <c r="E214" s="110"/>
      <c r="F214" s="110"/>
      <c r="G214" s="110"/>
      <c r="H214" s="110"/>
    </row>
    <row r="215" spans="1:8" x14ac:dyDescent="0.35">
      <c r="A215" s="34" t="s">
        <v>66</v>
      </c>
      <c r="B215" s="35"/>
      <c r="C215" s="35"/>
      <c r="D215" s="34" t="str">
        <f>E8</f>
        <v>Pine View</v>
      </c>
      <c r="F215" s="35"/>
      <c r="G215" s="35"/>
      <c r="H215" s="35"/>
    </row>
    <row r="216" spans="1:8" x14ac:dyDescent="0.35">
      <c r="A216" s="35"/>
      <c r="B216" s="35"/>
      <c r="C216" s="35"/>
      <c r="D216" s="35"/>
      <c r="E216" s="35"/>
      <c r="F216" s="35"/>
      <c r="G216" s="35"/>
      <c r="H216" s="35"/>
    </row>
    <row r="217" spans="1:8" x14ac:dyDescent="0.35">
      <c r="A217" s="35"/>
      <c r="B217" s="35"/>
      <c r="C217" s="35"/>
      <c r="D217" s="35"/>
      <c r="E217" s="35"/>
      <c r="F217" s="35"/>
      <c r="G217" s="35"/>
      <c r="H217" s="35"/>
    </row>
    <row r="218" spans="1:8" ht="15" customHeight="1" x14ac:dyDescent="0.35"/>
    <row r="257" spans="1:2" x14ac:dyDescent="0.35">
      <c r="A257" s="64" t="s">
        <v>219</v>
      </c>
      <c r="B257" s="64"/>
    </row>
    <row r="298" spans="1:1" x14ac:dyDescent="0.35">
      <c r="A298" s="37" t="s">
        <v>67</v>
      </c>
    </row>
  </sheetData>
  <mergeCells count="347">
    <mergeCell ref="A98:E98"/>
    <mergeCell ref="F98:H98"/>
    <mergeCell ref="G172:H179"/>
    <mergeCell ref="B196:H196"/>
    <mergeCell ref="B192:H192"/>
    <mergeCell ref="B190:H190"/>
    <mergeCell ref="B201:H201"/>
    <mergeCell ref="L180:M180"/>
    <mergeCell ref="A181:B181"/>
    <mergeCell ref="G181:H188"/>
    <mergeCell ref="A182:B182"/>
    <mergeCell ref="A183:B183"/>
    <mergeCell ref="A184:B184"/>
    <mergeCell ref="A185:B185"/>
    <mergeCell ref="A186:B186"/>
    <mergeCell ref="A187:B187"/>
    <mergeCell ref="A188:B188"/>
    <mergeCell ref="C183:F183"/>
    <mergeCell ref="A180:H180"/>
    <mergeCell ref="B197:H197"/>
    <mergeCell ref="B195:H195"/>
    <mergeCell ref="A10:D10"/>
    <mergeCell ref="E10:H10"/>
    <mergeCell ref="A82:B82"/>
    <mergeCell ref="E82:F82"/>
    <mergeCell ref="G82:H82"/>
    <mergeCell ref="A93:E93"/>
    <mergeCell ref="F93:H93"/>
    <mergeCell ref="F96:H96"/>
    <mergeCell ref="G108:H108"/>
    <mergeCell ref="A107:B107"/>
    <mergeCell ref="C107:D107"/>
    <mergeCell ref="E107:F107"/>
    <mergeCell ref="G107:H107"/>
    <mergeCell ref="C105:D105"/>
    <mergeCell ref="G105:H105"/>
    <mergeCell ref="A108:B108"/>
    <mergeCell ref="A46:B46"/>
    <mergeCell ref="C46:H46"/>
    <mergeCell ref="G83:H92"/>
    <mergeCell ref="A58:C58"/>
    <mergeCell ref="A59:C59"/>
    <mergeCell ref="D58:H58"/>
    <mergeCell ref="A39:D39"/>
    <mergeCell ref="E39:H39"/>
    <mergeCell ref="B191:H191"/>
    <mergeCell ref="B193:H193"/>
    <mergeCell ref="B194:H194"/>
    <mergeCell ref="A81:B81"/>
    <mergeCell ref="C81:H81"/>
    <mergeCell ref="A172:B172"/>
    <mergeCell ref="A173:B173"/>
    <mergeCell ref="A174:B174"/>
    <mergeCell ref="A166:B166"/>
    <mergeCell ref="E102:F102"/>
    <mergeCell ref="A109:H109"/>
    <mergeCell ref="A102:B102"/>
    <mergeCell ref="A170:B170"/>
    <mergeCell ref="A146:B146"/>
    <mergeCell ref="A134:B134"/>
    <mergeCell ref="A135:B135"/>
    <mergeCell ref="A141:B141"/>
    <mergeCell ref="A139:B139"/>
    <mergeCell ref="A156:B156"/>
    <mergeCell ref="C156:F156"/>
    <mergeCell ref="A95:E95"/>
    <mergeCell ref="A176:B176"/>
    <mergeCell ref="A132:B132"/>
    <mergeCell ref="A114:B114"/>
    <mergeCell ref="L162:M162"/>
    <mergeCell ref="A161:H161"/>
    <mergeCell ref="A165:B165"/>
    <mergeCell ref="G131:H139"/>
    <mergeCell ref="G141:H149"/>
    <mergeCell ref="G151:H159"/>
    <mergeCell ref="G163:H170"/>
    <mergeCell ref="C102:D102"/>
    <mergeCell ref="A142:B142"/>
    <mergeCell ref="A110:H110"/>
    <mergeCell ref="G102:H102"/>
    <mergeCell ref="C103:D103"/>
    <mergeCell ref="E103:F103"/>
    <mergeCell ref="A158:B158"/>
    <mergeCell ref="A168:B168"/>
    <mergeCell ref="A169:B169"/>
    <mergeCell ref="E108:F108"/>
    <mergeCell ref="A127:H127"/>
    <mergeCell ref="A152:B152"/>
    <mergeCell ref="A131:B131"/>
    <mergeCell ref="L130:M130"/>
    <mergeCell ref="A137:B137"/>
    <mergeCell ref="A138:B138"/>
    <mergeCell ref="A133:B133"/>
    <mergeCell ref="L114:M114"/>
    <mergeCell ref="A76:B76"/>
    <mergeCell ref="C106:D106"/>
    <mergeCell ref="E106:F106"/>
    <mergeCell ref="G106:H106"/>
    <mergeCell ref="A94:E94"/>
    <mergeCell ref="A113:H113"/>
    <mergeCell ref="G111:H111"/>
    <mergeCell ref="A83:B83"/>
    <mergeCell ref="E83:F92"/>
    <mergeCell ref="A90:B90"/>
    <mergeCell ref="A91:B91"/>
    <mergeCell ref="A92:B92"/>
    <mergeCell ref="C108:D108"/>
    <mergeCell ref="E69:F78"/>
    <mergeCell ref="G69:H78"/>
    <mergeCell ref="A77:B77"/>
    <mergeCell ref="A78:B78"/>
    <mergeCell ref="A84:B84"/>
    <mergeCell ref="A85:B85"/>
    <mergeCell ref="A86:B86"/>
    <mergeCell ref="F95:H95"/>
    <mergeCell ref="A97:E97"/>
    <mergeCell ref="F97:H97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F31:H31"/>
    <mergeCell ref="F32:H32"/>
    <mergeCell ref="C30:E30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52:H52"/>
    <mergeCell ref="A53:C53"/>
    <mergeCell ref="A54:C54"/>
    <mergeCell ref="D54:H54"/>
    <mergeCell ref="G51:H5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D59:H59"/>
    <mergeCell ref="A48:B48"/>
    <mergeCell ref="C48:E48"/>
    <mergeCell ref="G48:H48"/>
    <mergeCell ref="A49:B50"/>
    <mergeCell ref="C49:E49"/>
    <mergeCell ref="G49:H49"/>
    <mergeCell ref="C50:H50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A47:B47"/>
    <mergeCell ref="C47:E47"/>
    <mergeCell ref="G47:H47"/>
    <mergeCell ref="D55:H55"/>
    <mergeCell ref="A55:C55"/>
    <mergeCell ref="A51:B51"/>
    <mergeCell ref="C51:E51"/>
    <mergeCell ref="A211:H214"/>
    <mergeCell ref="A210:B210"/>
    <mergeCell ref="E210:F210"/>
    <mergeCell ref="C210:D210"/>
    <mergeCell ref="G210:H210"/>
    <mergeCell ref="A101:H101"/>
    <mergeCell ref="A99:E99"/>
    <mergeCell ref="F99:H99"/>
    <mergeCell ref="A100:E100"/>
    <mergeCell ref="F100:H100"/>
    <mergeCell ref="A162:H162"/>
    <mergeCell ref="A106:B106"/>
    <mergeCell ref="A143:B143"/>
    <mergeCell ref="A103:B103"/>
    <mergeCell ref="A206:H206"/>
    <mergeCell ref="A104:H104"/>
    <mergeCell ref="A209:H209"/>
    <mergeCell ref="A207:H207"/>
    <mergeCell ref="A189:H189"/>
    <mergeCell ref="A171:H171"/>
    <mergeCell ref="A140:H140"/>
    <mergeCell ref="A203:H203"/>
    <mergeCell ref="A204:H204"/>
    <mergeCell ref="E105:F105"/>
    <mergeCell ref="A56:C57"/>
    <mergeCell ref="D56:H56"/>
    <mergeCell ref="D57:H57"/>
    <mergeCell ref="A177:B177"/>
    <mergeCell ref="A178:B178"/>
    <mergeCell ref="A179:B179"/>
    <mergeCell ref="A153:B153"/>
    <mergeCell ref="A154:B154"/>
    <mergeCell ref="A155:B155"/>
    <mergeCell ref="A157:B157"/>
    <mergeCell ref="A148:B148"/>
    <mergeCell ref="A149:B149"/>
    <mergeCell ref="A160:H160"/>
    <mergeCell ref="A159:B159"/>
    <mergeCell ref="A145:B145"/>
    <mergeCell ref="A144:B144"/>
    <mergeCell ref="A75:B75"/>
    <mergeCell ref="A68:B68"/>
    <mergeCell ref="A150:H150"/>
    <mergeCell ref="A151:B151"/>
    <mergeCell ref="A64:C64"/>
    <mergeCell ref="D64:H64"/>
    <mergeCell ref="A62:C62"/>
    <mergeCell ref="D62:H62"/>
    <mergeCell ref="A69:B69"/>
    <mergeCell ref="G68:H68"/>
    <mergeCell ref="E40:H40"/>
    <mergeCell ref="A40:D40"/>
    <mergeCell ref="A208:H208"/>
    <mergeCell ref="A205:H205"/>
    <mergeCell ref="A163:B163"/>
    <mergeCell ref="A105:B105"/>
    <mergeCell ref="G128:H128"/>
    <mergeCell ref="A87:B87"/>
    <mergeCell ref="A88:B88"/>
    <mergeCell ref="A89:B89"/>
    <mergeCell ref="A79:B79"/>
    <mergeCell ref="C79:H79"/>
    <mergeCell ref="A74:B74"/>
    <mergeCell ref="F94:H94"/>
    <mergeCell ref="G103:H103"/>
    <mergeCell ref="D53:H53"/>
    <mergeCell ref="A167:B167"/>
    <mergeCell ref="A164:B164"/>
    <mergeCell ref="A129:H129"/>
    <mergeCell ref="A130:H130"/>
    <mergeCell ref="A112:H112"/>
    <mergeCell ref="A122:B122"/>
    <mergeCell ref="B202:H202"/>
    <mergeCell ref="L118:M118"/>
    <mergeCell ref="A119:B119"/>
    <mergeCell ref="L119:M119"/>
    <mergeCell ref="A120:B120"/>
    <mergeCell ref="L120:M120"/>
    <mergeCell ref="A121:B121"/>
    <mergeCell ref="L121:M121"/>
    <mergeCell ref="A118:B118"/>
    <mergeCell ref="G114:H126"/>
    <mergeCell ref="L126:M126"/>
    <mergeCell ref="L122:M122"/>
    <mergeCell ref="A123:B123"/>
    <mergeCell ref="L123:M123"/>
    <mergeCell ref="A124:B124"/>
    <mergeCell ref="L124:M124"/>
    <mergeCell ref="A125:B125"/>
    <mergeCell ref="L125:M125"/>
    <mergeCell ref="A126:B126"/>
    <mergeCell ref="A147:B147"/>
    <mergeCell ref="A136:B136"/>
    <mergeCell ref="L117:M117"/>
    <mergeCell ref="L116:M116"/>
    <mergeCell ref="L115:M115"/>
    <mergeCell ref="B200:H200"/>
    <mergeCell ref="B198:H198"/>
    <mergeCell ref="B199:H199"/>
    <mergeCell ref="A175:B175"/>
    <mergeCell ref="A115:B115"/>
    <mergeCell ref="A116:B116"/>
    <mergeCell ref="A117:B117"/>
    <mergeCell ref="A96:E96"/>
    <mergeCell ref="I11:L11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3:C63"/>
    <mergeCell ref="D63:H63"/>
  </mergeCells>
  <dataValidations count="1">
    <dataValidation type="list" allowBlank="1" showInputMessage="1" showErrorMessage="1" sqref="G210:H210">
      <formula1>"Kunal Kadam,Pranita Mhatre,Shruti Fule,Pooja Kawale,Gaurav Panchal,Shruti Tathare, Hitakshi Mhatre, Sachin Sawant"</formula1>
    </dataValidation>
  </dataValidations>
  <hyperlinks>
    <hyperlink ref="C37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214" max="16383" man="1"/>
    <brk id="256" max="7" man="1"/>
    <brk id="29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6" t="s">
        <v>104</v>
      </c>
      <c r="C3" s="166"/>
      <c r="D3" s="166"/>
      <c r="E3" s="166"/>
      <c r="F3" s="166"/>
      <c r="G3" s="166"/>
      <c r="H3" s="166"/>
    </row>
    <row r="4" spans="1:9" x14ac:dyDescent="0.35">
      <c r="A4" s="2"/>
      <c r="B4" s="3" t="s">
        <v>105</v>
      </c>
      <c r="C4" s="3" t="s">
        <v>106</v>
      </c>
      <c r="D4" s="3" t="s">
        <v>69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5">
      <c r="A5" s="2"/>
      <c r="B5" s="5" t="s">
        <v>109</v>
      </c>
      <c r="C5" s="6"/>
      <c r="D5" s="52" t="s">
        <v>188</v>
      </c>
      <c r="E5" s="5">
        <v>429</v>
      </c>
      <c r="F5" s="7">
        <v>640</v>
      </c>
      <c r="G5" s="7">
        <f>H5/F5</f>
        <v>4273.4375</v>
      </c>
      <c r="H5" s="8">
        <v>2735000</v>
      </c>
    </row>
    <row r="6" spans="1:9" x14ac:dyDescent="0.3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2" t="s">
        <v>190</v>
      </c>
      <c r="C7" s="6"/>
      <c r="D7" s="52" t="s">
        <v>189</v>
      </c>
      <c r="E7" s="5">
        <v>582</v>
      </c>
      <c r="F7" s="7">
        <v>870</v>
      </c>
      <c r="G7" s="7">
        <f>H7/F7</f>
        <v>4428.7356321839079</v>
      </c>
      <c r="H7" s="8">
        <v>3853000</v>
      </c>
    </row>
    <row r="8" spans="1:9" x14ac:dyDescent="0.35">
      <c r="A8" s="2"/>
      <c r="B8" s="52" t="s">
        <v>190</v>
      </c>
      <c r="C8" s="9"/>
      <c r="D8" s="52" t="s">
        <v>191</v>
      </c>
      <c r="E8" s="5">
        <v>429</v>
      </c>
      <c r="F8" s="7">
        <v>640</v>
      </c>
      <c r="G8" s="7">
        <f>H8/F8</f>
        <v>4131.25</v>
      </c>
      <c r="H8" s="8">
        <v>2644000</v>
      </c>
    </row>
    <row r="9" spans="1:9" ht="15" customHeight="1" x14ac:dyDescent="0.3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2025-06-28T09:03:20Z</cp:lastPrinted>
  <dcterms:created xsi:type="dcterms:W3CDTF">2019-07-16T09:29:46Z</dcterms:created>
  <dcterms:modified xsi:type="dcterms:W3CDTF">2025-09-13T07:41:44Z</dcterms:modified>
</cp:coreProperties>
</file>