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7-09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Report!$A$1:$H$923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799" i="1"/>
  <c r="F770" i="1"/>
  <c r="H770" i="1" s="1"/>
  <c r="E770" i="1"/>
  <c r="D770" i="1"/>
  <c r="E769" i="1"/>
  <c r="D769" i="1"/>
  <c r="F769" i="1" s="1"/>
  <c r="H769" i="1" s="1"/>
  <c r="F768" i="1"/>
  <c r="H768" i="1" s="1"/>
  <c r="E768" i="1"/>
  <c r="D768" i="1"/>
  <c r="E767" i="1"/>
  <c r="D767" i="1"/>
  <c r="E766" i="1"/>
  <c r="D766" i="1"/>
  <c r="E765" i="1"/>
  <c r="F765" i="1" s="1"/>
  <c r="H765" i="1" s="1"/>
  <c r="D765" i="1"/>
  <c r="E764" i="1"/>
  <c r="D764" i="1"/>
  <c r="F764" i="1" s="1"/>
  <c r="H764" i="1" s="1"/>
  <c r="E763" i="1"/>
  <c r="D763" i="1"/>
  <c r="F763" i="1" s="1"/>
  <c r="H763" i="1" s="1"/>
  <c r="A763" i="1"/>
  <c r="A764" i="1" s="1"/>
  <c r="A765" i="1" s="1"/>
  <c r="A766" i="1" s="1"/>
  <c r="A767" i="1" s="1"/>
  <c r="A768" i="1" s="1"/>
  <c r="A769" i="1" s="1"/>
  <c r="A770" i="1" s="1"/>
  <c r="E762" i="1"/>
  <c r="F762" i="1" s="1"/>
  <c r="H762" i="1" s="1"/>
  <c r="D762" i="1"/>
  <c r="A762" i="1"/>
  <c r="E761" i="1"/>
  <c r="D761" i="1"/>
  <c r="F761" i="1" s="1"/>
  <c r="H761" i="1" s="1"/>
  <c r="E759" i="1"/>
  <c r="F759" i="1" s="1"/>
  <c r="H759" i="1" s="1"/>
  <c r="D759" i="1"/>
  <c r="G758" i="1"/>
  <c r="E758" i="1"/>
  <c r="D758" i="1"/>
  <c r="G757" i="1"/>
  <c r="E757" i="1"/>
  <c r="D757" i="1"/>
  <c r="G756" i="1"/>
  <c r="E756" i="1"/>
  <c r="D756" i="1"/>
  <c r="F756" i="1" s="1"/>
  <c r="H756" i="1" s="1"/>
  <c r="G755" i="1"/>
  <c r="E755" i="1"/>
  <c r="D755" i="1"/>
  <c r="F755" i="1" s="1"/>
  <c r="G754" i="1"/>
  <c r="E754" i="1"/>
  <c r="F754" i="1" s="1"/>
  <c r="D754" i="1"/>
  <c r="G753" i="1"/>
  <c r="E753" i="1"/>
  <c r="D753" i="1"/>
  <c r="F753" i="1" s="1"/>
  <c r="H753" i="1" s="1"/>
  <c r="A753" i="1"/>
  <c r="A754" i="1" s="1"/>
  <c r="A755" i="1" s="1"/>
  <c r="A756" i="1" s="1"/>
  <c r="A757" i="1" s="1"/>
  <c r="A758" i="1" s="1"/>
  <c r="A759" i="1" s="1"/>
  <c r="G752" i="1"/>
  <c r="E752" i="1"/>
  <c r="D752" i="1"/>
  <c r="F752" i="1" s="1"/>
  <c r="G751" i="1"/>
  <c r="E751" i="1"/>
  <c r="D751" i="1"/>
  <c r="F751" i="1" s="1"/>
  <c r="A751" i="1"/>
  <c r="A752" i="1" s="1"/>
  <c r="E750" i="1"/>
  <c r="D750" i="1"/>
  <c r="F750" i="1" s="1"/>
  <c r="H750" i="1" s="1"/>
  <c r="E748" i="1"/>
  <c r="D748" i="1"/>
  <c r="F748" i="1" s="1"/>
  <c r="H748" i="1" s="1"/>
  <c r="E747" i="1"/>
  <c r="D747" i="1"/>
  <c r="E746" i="1"/>
  <c r="D746" i="1"/>
  <c r="E745" i="1"/>
  <c r="D745" i="1"/>
  <c r="F745" i="1" s="1"/>
  <c r="H745" i="1" s="1"/>
  <c r="E744" i="1"/>
  <c r="D744" i="1"/>
  <c r="F744" i="1" s="1"/>
  <c r="H744" i="1" s="1"/>
  <c r="E743" i="1"/>
  <c r="D743" i="1"/>
  <c r="E742" i="1"/>
  <c r="D742" i="1"/>
  <c r="F742" i="1" s="1"/>
  <c r="H742" i="1" s="1"/>
  <c r="E741" i="1"/>
  <c r="D741" i="1"/>
  <c r="F741" i="1" s="1"/>
  <c r="H741" i="1" s="1"/>
  <c r="A741" i="1"/>
  <c r="A742" i="1" s="1"/>
  <c r="A743" i="1" s="1"/>
  <c r="A744" i="1" s="1"/>
  <c r="A745" i="1" s="1"/>
  <c r="A746" i="1" s="1"/>
  <c r="A747" i="1" s="1"/>
  <c r="A748" i="1" s="1"/>
  <c r="E740" i="1"/>
  <c r="D740" i="1"/>
  <c r="A740" i="1"/>
  <c r="E739" i="1"/>
  <c r="D739" i="1"/>
  <c r="E737" i="1"/>
  <c r="D737" i="1"/>
  <c r="F737" i="1" s="1"/>
  <c r="H737" i="1" s="1"/>
  <c r="F736" i="1"/>
  <c r="H736" i="1" s="1"/>
  <c r="E736" i="1"/>
  <c r="D736" i="1"/>
  <c r="E735" i="1"/>
  <c r="D735" i="1"/>
  <c r="F735" i="1" s="1"/>
  <c r="H735" i="1" s="1"/>
  <c r="E734" i="1"/>
  <c r="D734" i="1"/>
  <c r="F734" i="1" s="1"/>
  <c r="H734" i="1" s="1"/>
  <c r="E733" i="1"/>
  <c r="D733" i="1"/>
  <c r="E732" i="1"/>
  <c r="D732" i="1"/>
  <c r="F732" i="1" s="1"/>
  <c r="H732" i="1" s="1"/>
  <c r="E731" i="1"/>
  <c r="D731" i="1"/>
  <c r="F731" i="1" s="1"/>
  <c r="H731" i="1" s="1"/>
  <c r="E730" i="1"/>
  <c r="D730" i="1"/>
  <c r="E729" i="1"/>
  <c r="D729" i="1"/>
  <c r="F729" i="1" s="1"/>
  <c r="H729" i="1" s="1"/>
  <c r="A729" i="1"/>
  <c r="A730" i="1" s="1"/>
  <c r="A731" i="1" s="1"/>
  <c r="A732" i="1" s="1"/>
  <c r="A733" i="1" s="1"/>
  <c r="A734" i="1" s="1"/>
  <c r="A735" i="1" s="1"/>
  <c r="A736" i="1" s="1"/>
  <c r="A737" i="1" s="1"/>
  <c r="E728" i="1"/>
  <c r="D728" i="1"/>
  <c r="F728" i="1" s="1"/>
  <c r="H728" i="1" s="1"/>
  <c r="E726" i="1"/>
  <c r="D726" i="1"/>
  <c r="G725" i="1"/>
  <c r="E725" i="1"/>
  <c r="D725" i="1"/>
  <c r="F725" i="1" s="1"/>
  <c r="H725" i="1" s="1"/>
  <c r="G724" i="1"/>
  <c r="E724" i="1"/>
  <c r="D724" i="1"/>
  <c r="F724" i="1" s="1"/>
  <c r="H724" i="1" s="1"/>
  <c r="G723" i="1"/>
  <c r="E723" i="1"/>
  <c r="D723" i="1"/>
  <c r="F723" i="1" s="1"/>
  <c r="G722" i="1"/>
  <c r="E722" i="1"/>
  <c r="D722" i="1"/>
  <c r="G721" i="1"/>
  <c r="E721" i="1"/>
  <c r="D721" i="1"/>
  <c r="G720" i="1"/>
  <c r="E720" i="1"/>
  <c r="D720" i="1"/>
  <c r="F720" i="1" s="1"/>
  <c r="H720" i="1" s="1"/>
  <c r="G719" i="1"/>
  <c r="E719" i="1"/>
  <c r="D719" i="1"/>
  <c r="G718" i="1"/>
  <c r="E718" i="1"/>
  <c r="D718" i="1"/>
  <c r="F718" i="1" s="1"/>
  <c r="H718" i="1" s="1"/>
  <c r="A718" i="1"/>
  <c r="A719" i="1" s="1"/>
  <c r="A720" i="1" s="1"/>
  <c r="A721" i="1" s="1"/>
  <c r="A722" i="1" s="1"/>
  <c r="A723" i="1" s="1"/>
  <c r="A724" i="1" s="1"/>
  <c r="A725" i="1" s="1"/>
  <c r="A726" i="1" s="1"/>
  <c r="F717" i="1"/>
  <c r="H717" i="1" s="1"/>
  <c r="E717" i="1"/>
  <c r="D717" i="1"/>
  <c r="G712" i="1"/>
  <c r="E712" i="1"/>
  <c r="D712" i="1"/>
  <c r="F712" i="1" s="1"/>
  <c r="E711" i="1"/>
  <c r="D711" i="1"/>
  <c r="F711" i="1" s="1"/>
  <c r="H711" i="1" s="1"/>
  <c r="F710" i="1"/>
  <c r="H710" i="1" s="1"/>
  <c r="E710" i="1"/>
  <c r="D710" i="1"/>
  <c r="E709" i="1"/>
  <c r="D709" i="1"/>
  <c r="F709" i="1" s="1"/>
  <c r="H709" i="1" s="1"/>
  <c r="A709" i="1"/>
  <c r="A710" i="1" s="1"/>
  <c r="A711" i="1" s="1"/>
  <c r="A712" i="1" s="1"/>
  <c r="G708" i="1"/>
  <c r="E708" i="1"/>
  <c r="D708" i="1"/>
  <c r="F708" i="1" s="1"/>
  <c r="H708" i="1" s="1"/>
  <c r="G706" i="1"/>
  <c r="E706" i="1"/>
  <c r="D706" i="1"/>
  <c r="F706" i="1" s="1"/>
  <c r="H706" i="1" s="1"/>
  <c r="E705" i="1"/>
  <c r="D705" i="1"/>
  <c r="F705" i="1" s="1"/>
  <c r="H705" i="1" s="1"/>
  <c r="A705" i="1"/>
  <c r="A706" i="1" s="1"/>
  <c r="G704" i="1"/>
  <c r="E704" i="1"/>
  <c r="D704" i="1"/>
  <c r="F704" i="1" s="1"/>
  <c r="H704" i="1" s="1"/>
  <c r="A704" i="1"/>
  <c r="G703" i="1"/>
  <c r="E703" i="1"/>
  <c r="D703" i="1"/>
  <c r="A703" i="1"/>
  <c r="G702" i="1"/>
  <c r="E702" i="1"/>
  <c r="D702" i="1"/>
  <c r="G700" i="1"/>
  <c r="E700" i="1"/>
  <c r="D700" i="1"/>
  <c r="F700" i="1" s="1"/>
  <c r="H700" i="1" s="1"/>
  <c r="E699" i="1"/>
  <c r="D699" i="1"/>
  <c r="F699" i="1" s="1"/>
  <c r="H699" i="1" s="1"/>
  <c r="E698" i="1"/>
  <c r="D698" i="1"/>
  <c r="F698" i="1" s="1"/>
  <c r="H698" i="1" s="1"/>
  <c r="E697" i="1"/>
  <c r="D697" i="1"/>
  <c r="A697" i="1"/>
  <c r="A698" i="1" s="1"/>
  <c r="A699" i="1" s="1"/>
  <c r="A700" i="1" s="1"/>
  <c r="G696" i="1"/>
  <c r="E696" i="1"/>
  <c r="D696" i="1"/>
  <c r="F696" i="1" s="1"/>
  <c r="G694" i="1"/>
  <c r="E694" i="1"/>
  <c r="D694" i="1"/>
  <c r="E693" i="1"/>
  <c r="D693" i="1"/>
  <c r="F693" i="1" s="1"/>
  <c r="H693" i="1" s="1"/>
  <c r="E692" i="1"/>
  <c r="D692" i="1"/>
  <c r="F692" i="1" s="1"/>
  <c r="H692" i="1" s="1"/>
  <c r="E691" i="1"/>
  <c r="F691" i="1" s="1"/>
  <c r="H691" i="1" s="1"/>
  <c r="D691" i="1"/>
  <c r="A691" i="1"/>
  <c r="A692" i="1" s="1"/>
  <c r="A693" i="1" s="1"/>
  <c r="A694" i="1" s="1"/>
  <c r="G690" i="1"/>
  <c r="E690" i="1"/>
  <c r="D690" i="1"/>
  <c r="F690" i="1" s="1"/>
  <c r="H690" i="1" s="1"/>
  <c r="G688" i="1"/>
  <c r="E688" i="1"/>
  <c r="F688" i="1" s="1"/>
  <c r="H688" i="1" s="1"/>
  <c r="D688" i="1"/>
  <c r="E687" i="1"/>
  <c r="D687" i="1"/>
  <c r="F687" i="1" s="1"/>
  <c r="H687" i="1" s="1"/>
  <c r="G686" i="1"/>
  <c r="E686" i="1"/>
  <c r="D686" i="1"/>
  <c r="G685" i="1"/>
  <c r="E685" i="1"/>
  <c r="D685" i="1"/>
  <c r="F685" i="1" s="1"/>
  <c r="A685" i="1"/>
  <c r="A686" i="1" s="1"/>
  <c r="A687" i="1" s="1"/>
  <c r="A688" i="1" s="1"/>
  <c r="G684" i="1"/>
  <c r="E684" i="1"/>
  <c r="F684" i="1" s="1"/>
  <c r="D684" i="1"/>
  <c r="G682" i="1"/>
  <c r="E682" i="1"/>
  <c r="D682" i="1"/>
  <c r="E681" i="1"/>
  <c r="D681" i="1"/>
  <c r="E680" i="1"/>
  <c r="D680" i="1"/>
  <c r="F680" i="1" s="1"/>
  <c r="H680" i="1" s="1"/>
  <c r="E679" i="1"/>
  <c r="D679" i="1"/>
  <c r="F679" i="1" s="1"/>
  <c r="H679" i="1" s="1"/>
  <c r="A679" i="1"/>
  <c r="A680" i="1" s="1"/>
  <c r="A681" i="1" s="1"/>
  <c r="A682" i="1" s="1"/>
  <c r="G678" i="1"/>
  <c r="E678" i="1"/>
  <c r="D678" i="1"/>
  <c r="E676" i="1"/>
  <c r="D676" i="1"/>
  <c r="F676" i="1" s="1"/>
  <c r="H676" i="1" s="1"/>
  <c r="G675" i="1"/>
  <c r="E675" i="1"/>
  <c r="D675" i="1"/>
  <c r="F675" i="1" s="1"/>
  <c r="H675" i="1" s="1"/>
  <c r="G674" i="1"/>
  <c r="E674" i="1"/>
  <c r="D674" i="1"/>
  <c r="F674" i="1" s="1"/>
  <c r="H674" i="1" s="1"/>
  <c r="A674" i="1"/>
  <c r="A675" i="1" s="1"/>
  <c r="A676" i="1" s="1"/>
  <c r="G673" i="1"/>
  <c r="E673" i="1"/>
  <c r="F673" i="1" s="1"/>
  <c r="H673" i="1" s="1"/>
  <c r="D673" i="1"/>
  <c r="E669" i="1"/>
  <c r="D669" i="1"/>
  <c r="F669" i="1" s="1"/>
  <c r="H669" i="1" s="1"/>
  <c r="E668" i="1"/>
  <c r="D668" i="1"/>
  <c r="F668" i="1" s="1"/>
  <c r="H668" i="1" s="1"/>
  <c r="E667" i="1"/>
  <c r="D667" i="1"/>
  <c r="E666" i="1"/>
  <c r="D666" i="1"/>
  <c r="E665" i="1"/>
  <c r="D665" i="1"/>
  <c r="E664" i="1"/>
  <c r="D664" i="1"/>
  <c r="F664" i="1" s="1"/>
  <c r="H664" i="1" s="1"/>
  <c r="E663" i="1"/>
  <c r="D663" i="1"/>
  <c r="E662" i="1"/>
  <c r="D662" i="1"/>
  <c r="F662" i="1" s="1"/>
  <c r="H662" i="1" s="1"/>
  <c r="E661" i="1"/>
  <c r="D661" i="1"/>
  <c r="F661" i="1" s="1"/>
  <c r="H661" i="1" s="1"/>
  <c r="A661" i="1"/>
  <c r="A662" i="1" s="1"/>
  <c r="A663" i="1" s="1"/>
  <c r="A664" i="1" s="1"/>
  <c r="A665" i="1" s="1"/>
  <c r="A666" i="1" s="1"/>
  <c r="A667" i="1" s="1"/>
  <c r="A668" i="1" s="1"/>
  <c r="A669" i="1" s="1"/>
  <c r="E660" i="1"/>
  <c r="D660" i="1"/>
  <c r="F660" i="1" s="1"/>
  <c r="H660" i="1" s="1"/>
  <c r="G658" i="1"/>
  <c r="E658" i="1"/>
  <c r="D658" i="1"/>
  <c r="G657" i="1"/>
  <c r="E657" i="1"/>
  <c r="D657" i="1"/>
  <c r="F657" i="1" s="1"/>
  <c r="H657" i="1" s="1"/>
  <c r="G656" i="1"/>
  <c r="E656" i="1"/>
  <c r="D656" i="1"/>
  <c r="G655" i="1"/>
  <c r="E655" i="1"/>
  <c r="D655" i="1"/>
  <c r="G654" i="1"/>
  <c r="E654" i="1"/>
  <c r="F654" i="1" s="1"/>
  <c r="H654" i="1" s="1"/>
  <c r="D654" i="1"/>
  <c r="G653" i="1"/>
  <c r="E653" i="1"/>
  <c r="D653" i="1"/>
  <c r="F653" i="1" s="1"/>
  <c r="H653" i="1" s="1"/>
  <c r="G652" i="1"/>
  <c r="E652" i="1"/>
  <c r="D652" i="1"/>
  <c r="F652" i="1" s="1"/>
  <c r="G651" i="1"/>
  <c r="E651" i="1"/>
  <c r="D651" i="1"/>
  <c r="G650" i="1"/>
  <c r="E650" i="1"/>
  <c r="D650" i="1"/>
  <c r="A650" i="1"/>
  <c r="A651" i="1" s="1"/>
  <c r="A652" i="1" s="1"/>
  <c r="A653" i="1" s="1"/>
  <c r="A654" i="1" s="1"/>
  <c r="A655" i="1" s="1"/>
  <c r="A656" i="1" s="1"/>
  <c r="A657" i="1" s="1"/>
  <c r="A658" i="1" s="1"/>
  <c r="G649" i="1"/>
  <c r="E649" i="1"/>
  <c r="D649" i="1"/>
  <c r="F649" i="1" s="1"/>
  <c r="E647" i="1"/>
  <c r="D647" i="1"/>
  <c r="E646" i="1"/>
  <c r="D646" i="1"/>
  <c r="F646" i="1" s="1"/>
  <c r="H646" i="1" s="1"/>
  <c r="E645" i="1"/>
  <c r="D645" i="1"/>
  <c r="E644" i="1"/>
  <c r="D644" i="1"/>
  <c r="F644" i="1" s="1"/>
  <c r="H644" i="1" s="1"/>
  <c r="E643" i="1"/>
  <c r="D643" i="1"/>
  <c r="F643" i="1" s="1"/>
  <c r="H643" i="1" s="1"/>
  <c r="F642" i="1"/>
  <c r="H642" i="1" s="1"/>
  <c r="E642" i="1"/>
  <c r="D642" i="1"/>
  <c r="E641" i="1"/>
  <c r="D641" i="1"/>
  <c r="F641" i="1" s="1"/>
  <c r="H641" i="1" s="1"/>
  <c r="E640" i="1"/>
  <c r="D640" i="1"/>
  <c r="F640" i="1" s="1"/>
  <c r="H640" i="1" s="1"/>
  <c r="A640" i="1"/>
  <c r="A641" i="1" s="1"/>
  <c r="A642" i="1" s="1"/>
  <c r="A643" i="1" s="1"/>
  <c r="A644" i="1" s="1"/>
  <c r="A645" i="1" s="1"/>
  <c r="A646" i="1" s="1"/>
  <c r="A647" i="1" s="1"/>
  <c r="E639" i="1"/>
  <c r="D639" i="1"/>
  <c r="A639" i="1"/>
  <c r="E638" i="1"/>
  <c r="D638" i="1"/>
  <c r="E636" i="1"/>
  <c r="D636" i="1"/>
  <c r="E635" i="1"/>
  <c r="D635" i="1"/>
  <c r="F635" i="1" s="1"/>
  <c r="H635" i="1" s="1"/>
  <c r="E634" i="1"/>
  <c r="D634" i="1"/>
  <c r="F634" i="1" s="1"/>
  <c r="H634" i="1" s="1"/>
  <c r="F633" i="1"/>
  <c r="H633" i="1" s="1"/>
  <c r="E633" i="1"/>
  <c r="D633" i="1"/>
  <c r="E632" i="1"/>
  <c r="D632" i="1"/>
  <c r="E631" i="1"/>
  <c r="D631" i="1"/>
  <c r="F631" i="1" s="1"/>
  <c r="H631" i="1" s="1"/>
  <c r="F630" i="1"/>
  <c r="H630" i="1" s="1"/>
  <c r="E630" i="1"/>
  <c r="D630" i="1"/>
  <c r="E629" i="1"/>
  <c r="D629" i="1"/>
  <c r="F629" i="1" s="1"/>
  <c r="H629" i="1" s="1"/>
  <c r="A629" i="1"/>
  <c r="A630" i="1" s="1"/>
  <c r="A631" i="1" s="1"/>
  <c r="A632" i="1" s="1"/>
  <c r="A633" i="1" s="1"/>
  <c r="A634" i="1" s="1"/>
  <c r="A635" i="1" s="1"/>
  <c r="A636" i="1" s="1"/>
  <c r="E628" i="1"/>
  <c r="F628" i="1" s="1"/>
  <c r="H628" i="1" s="1"/>
  <c r="D628" i="1"/>
  <c r="A628" i="1"/>
  <c r="E627" i="1"/>
  <c r="D627" i="1"/>
  <c r="G625" i="1"/>
  <c r="E625" i="1"/>
  <c r="D625" i="1"/>
  <c r="G624" i="1"/>
  <c r="E624" i="1"/>
  <c r="D624" i="1"/>
  <c r="F624" i="1" s="1"/>
  <c r="G623" i="1"/>
  <c r="E623" i="1"/>
  <c r="D623" i="1"/>
  <c r="F623" i="1" s="1"/>
  <c r="H623" i="1" s="1"/>
  <c r="G622" i="1"/>
  <c r="E622" i="1"/>
  <c r="D622" i="1"/>
  <c r="F622" i="1" s="1"/>
  <c r="G621" i="1"/>
  <c r="E621" i="1"/>
  <c r="D621" i="1"/>
  <c r="F621" i="1" s="1"/>
  <c r="H621" i="1" s="1"/>
  <c r="G620" i="1"/>
  <c r="D620" i="1"/>
  <c r="F620" i="1" s="1"/>
  <c r="G619" i="1"/>
  <c r="D619" i="1"/>
  <c r="F619" i="1" s="1"/>
  <c r="H619" i="1" s="1"/>
  <c r="G618" i="1"/>
  <c r="D618" i="1"/>
  <c r="F618" i="1" s="1"/>
  <c r="H618" i="1" s="1"/>
  <c r="G617" i="1"/>
  <c r="D617" i="1"/>
  <c r="F617" i="1" s="1"/>
  <c r="H617" i="1" s="1"/>
  <c r="A617" i="1"/>
  <c r="A618" i="1" s="1"/>
  <c r="A619" i="1" s="1"/>
  <c r="A620" i="1" s="1"/>
  <c r="A621" i="1" s="1"/>
  <c r="A622" i="1" s="1"/>
  <c r="A623" i="1" s="1"/>
  <c r="A624" i="1" s="1"/>
  <c r="A625" i="1" s="1"/>
  <c r="G616" i="1"/>
  <c r="E616" i="1"/>
  <c r="D616" i="1"/>
  <c r="E614" i="1"/>
  <c r="D614" i="1"/>
  <c r="F614" i="1" s="1"/>
  <c r="H614" i="1" s="1"/>
  <c r="G613" i="1"/>
  <c r="E613" i="1"/>
  <c r="D613" i="1"/>
  <c r="G612" i="1"/>
  <c r="E612" i="1"/>
  <c r="D612" i="1"/>
  <c r="E611" i="1"/>
  <c r="D611" i="1"/>
  <c r="F611" i="1" s="1"/>
  <c r="H611" i="1" s="1"/>
  <c r="E610" i="1"/>
  <c r="D610" i="1"/>
  <c r="F610" i="1" s="1"/>
  <c r="H610" i="1" s="1"/>
  <c r="E609" i="1"/>
  <c r="D609" i="1"/>
  <c r="F609" i="1" s="1"/>
  <c r="H609" i="1" s="1"/>
  <c r="E608" i="1"/>
  <c r="F608" i="1" s="1"/>
  <c r="H608" i="1" s="1"/>
  <c r="D608" i="1"/>
  <c r="E607" i="1"/>
  <c r="D607" i="1"/>
  <c r="E606" i="1"/>
  <c r="D606" i="1"/>
  <c r="F606" i="1" s="1"/>
  <c r="H606" i="1" s="1"/>
  <c r="A606" i="1"/>
  <c r="A607" i="1" s="1"/>
  <c r="A608" i="1" s="1"/>
  <c r="A609" i="1" s="1"/>
  <c r="A610" i="1" s="1"/>
  <c r="A611" i="1" s="1"/>
  <c r="A612" i="1" s="1"/>
  <c r="A613" i="1" s="1"/>
  <c r="A614" i="1" s="1"/>
  <c r="E605" i="1"/>
  <c r="D605" i="1"/>
  <c r="G603" i="1"/>
  <c r="E603" i="1"/>
  <c r="D603" i="1"/>
  <c r="G602" i="1"/>
  <c r="E602" i="1"/>
  <c r="D602" i="1"/>
  <c r="F602" i="1" s="1"/>
  <c r="H602" i="1" s="1"/>
  <c r="A602" i="1"/>
  <c r="A603" i="1" s="1"/>
  <c r="G601" i="1"/>
  <c r="E601" i="1"/>
  <c r="D601" i="1"/>
  <c r="F601" i="1" s="1"/>
  <c r="H601" i="1" s="1"/>
  <c r="G600" i="1"/>
  <c r="F600" i="1"/>
  <c r="H600" i="1" s="1"/>
  <c r="E600" i="1"/>
  <c r="D600" i="1"/>
  <c r="G599" i="1"/>
  <c r="E599" i="1"/>
  <c r="D599" i="1"/>
  <c r="A599" i="1"/>
  <c r="A600" i="1" s="1"/>
  <c r="A601" i="1" s="1"/>
  <c r="G598" i="1"/>
  <c r="E598" i="1"/>
  <c r="D598" i="1"/>
  <c r="E594" i="1"/>
  <c r="D594" i="1"/>
  <c r="F594" i="1" s="1"/>
  <c r="H594" i="1" s="1"/>
  <c r="E593" i="1"/>
  <c r="D593" i="1"/>
  <c r="F593" i="1" s="1"/>
  <c r="H593" i="1" s="1"/>
  <c r="G592" i="1"/>
  <c r="E592" i="1"/>
  <c r="D592" i="1"/>
  <c r="E591" i="1"/>
  <c r="D591" i="1"/>
  <c r="E590" i="1"/>
  <c r="D590" i="1"/>
  <c r="F590" i="1" s="1"/>
  <c r="H590" i="1" s="1"/>
  <c r="A590" i="1"/>
  <c r="A591" i="1" s="1"/>
  <c r="A592" i="1" s="1"/>
  <c r="A593" i="1" s="1"/>
  <c r="A594" i="1" s="1"/>
  <c r="H589" i="1"/>
  <c r="F589" i="1"/>
  <c r="E589" i="1"/>
  <c r="D589" i="1"/>
  <c r="A589" i="1"/>
  <c r="G588" i="1"/>
  <c r="E588" i="1"/>
  <c r="D588" i="1"/>
  <c r="F588" i="1" s="1"/>
  <c r="H588" i="1" s="1"/>
  <c r="G586" i="1"/>
  <c r="E586" i="1"/>
  <c r="D586" i="1"/>
  <c r="G585" i="1"/>
  <c r="E585" i="1"/>
  <c r="D585" i="1"/>
  <c r="F585" i="1" s="1"/>
  <c r="H585" i="1" s="1"/>
  <c r="G584" i="1"/>
  <c r="E584" i="1"/>
  <c r="F584" i="1" s="1"/>
  <c r="H584" i="1" s="1"/>
  <c r="D584" i="1"/>
  <c r="G583" i="1"/>
  <c r="E583" i="1"/>
  <c r="F583" i="1" s="1"/>
  <c r="H583" i="1" s="1"/>
  <c r="D583" i="1"/>
  <c r="G582" i="1"/>
  <c r="E582" i="1"/>
  <c r="D582" i="1"/>
  <c r="F582" i="1" s="1"/>
  <c r="H582" i="1" s="1"/>
  <c r="A582" i="1"/>
  <c r="A583" i="1" s="1"/>
  <c r="A584" i="1" s="1"/>
  <c r="A585" i="1" s="1"/>
  <c r="A586" i="1" s="1"/>
  <c r="G581" i="1"/>
  <c r="E581" i="1"/>
  <c r="D581" i="1"/>
  <c r="F581" i="1" s="1"/>
  <c r="A581" i="1"/>
  <c r="G580" i="1"/>
  <c r="E580" i="1"/>
  <c r="D580" i="1"/>
  <c r="E578" i="1"/>
  <c r="D578" i="1"/>
  <c r="E577" i="1"/>
  <c r="D577" i="1"/>
  <c r="F577" i="1" s="1"/>
  <c r="H577" i="1" s="1"/>
  <c r="G576" i="1"/>
  <c r="E576" i="1"/>
  <c r="D576" i="1"/>
  <c r="F576" i="1" s="1"/>
  <c r="H576" i="1" s="1"/>
  <c r="E575" i="1"/>
  <c r="D575" i="1"/>
  <c r="E574" i="1"/>
  <c r="D574" i="1"/>
  <c r="F574" i="1" s="1"/>
  <c r="H574" i="1" s="1"/>
  <c r="E573" i="1"/>
  <c r="D573" i="1"/>
  <c r="F573" i="1" s="1"/>
  <c r="H573" i="1" s="1"/>
  <c r="A573" i="1"/>
  <c r="A574" i="1" s="1"/>
  <c r="A575" i="1" s="1"/>
  <c r="A576" i="1" s="1"/>
  <c r="A577" i="1" s="1"/>
  <c r="A578" i="1" s="1"/>
  <c r="G572" i="1"/>
  <c r="E572" i="1"/>
  <c r="D572" i="1"/>
  <c r="F572" i="1" s="1"/>
  <c r="H572" i="1" s="1"/>
  <c r="E570" i="1"/>
  <c r="D570" i="1"/>
  <c r="F570" i="1" s="1"/>
  <c r="H570" i="1" s="1"/>
  <c r="E569" i="1"/>
  <c r="D569" i="1"/>
  <c r="F569" i="1" s="1"/>
  <c r="H569" i="1" s="1"/>
  <c r="G568" i="1"/>
  <c r="E568" i="1"/>
  <c r="D568" i="1"/>
  <c r="E567" i="1"/>
  <c r="D567" i="1"/>
  <c r="F567" i="1" s="1"/>
  <c r="H567" i="1" s="1"/>
  <c r="E566" i="1"/>
  <c r="D566" i="1"/>
  <c r="E565" i="1"/>
  <c r="D565" i="1"/>
  <c r="F565" i="1" s="1"/>
  <c r="H565" i="1" s="1"/>
  <c r="A565" i="1"/>
  <c r="A566" i="1" s="1"/>
  <c r="A567" i="1" s="1"/>
  <c r="A568" i="1" s="1"/>
  <c r="A569" i="1" s="1"/>
  <c r="A570" i="1" s="1"/>
  <c r="G564" i="1"/>
  <c r="F564" i="1"/>
  <c r="H564" i="1" s="1"/>
  <c r="E564" i="1"/>
  <c r="D564" i="1"/>
  <c r="G562" i="1"/>
  <c r="E562" i="1"/>
  <c r="D562" i="1"/>
  <c r="G561" i="1"/>
  <c r="E561" i="1"/>
  <c r="F561" i="1" s="1"/>
  <c r="H561" i="1" s="1"/>
  <c r="D561" i="1"/>
  <c r="G560" i="1"/>
  <c r="E560" i="1"/>
  <c r="D560" i="1"/>
  <c r="F560" i="1" s="1"/>
  <c r="H560" i="1" s="1"/>
  <c r="G559" i="1"/>
  <c r="F559" i="1"/>
  <c r="E559" i="1"/>
  <c r="D559" i="1"/>
  <c r="G558" i="1"/>
  <c r="E558" i="1"/>
  <c r="D558" i="1"/>
  <c r="F558" i="1" s="1"/>
  <c r="H558" i="1" s="1"/>
  <c r="A558" i="1"/>
  <c r="A559" i="1" s="1"/>
  <c r="A560" i="1" s="1"/>
  <c r="A561" i="1" s="1"/>
  <c r="A562" i="1" s="1"/>
  <c r="G557" i="1"/>
  <c r="E557" i="1"/>
  <c r="F557" i="1" s="1"/>
  <c r="D557" i="1"/>
  <c r="A557" i="1"/>
  <c r="G556" i="1"/>
  <c r="E556" i="1"/>
  <c r="D556" i="1"/>
  <c r="F556" i="1" s="1"/>
  <c r="H556" i="1" s="1"/>
  <c r="G554" i="1"/>
  <c r="F554" i="1"/>
  <c r="H554" i="1" s="1"/>
  <c r="E554" i="1"/>
  <c r="D554" i="1"/>
  <c r="G553" i="1"/>
  <c r="E553" i="1"/>
  <c r="D553" i="1"/>
  <c r="F553" i="1" s="1"/>
  <c r="H553" i="1" s="1"/>
  <c r="G552" i="1"/>
  <c r="E552" i="1"/>
  <c r="D552" i="1"/>
  <c r="G551" i="1"/>
  <c r="E551" i="1"/>
  <c r="D551" i="1"/>
  <c r="F551" i="1" s="1"/>
  <c r="H551" i="1" s="1"/>
  <c r="G550" i="1"/>
  <c r="E550" i="1"/>
  <c r="D550" i="1"/>
  <c r="G549" i="1"/>
  <c r="E549" i="1"/>
  <c r="D549" i="1"/>
  <c r="A549" i="1"/>
  <c r="A550" i="1" s="1"/>
  <c r="A551" i="1" s="1"/>
  <c r="A552" i="1" s="1"/>
  <c r="A553" i="1" s="1"/>
  <c r="A554" i="1" s="1"/>
  <c r="G548" i="1"/>
  <c r="E548" i="1"/>
  <c r="D548" i="1"/>
  <c r="G546" i="1"/>
  <c r="E546" i="1"/>
  <c r="D546" i="1"/>
  <c r="F546" i="1" s="1"/>
  <c r="H546" i="1" s="1"/>
  <c r="G545" i="1"/>
  <c r="E545" i="1"/>
  <c r="D545" i="1"/>
  <c r="F545" i="1" s="1"/>
  <c r="H545" i="1" s="1"/>
  <c r="G544" i="1"/>
  <c r="E544" i="1"/>
  <c r="D544" i="1"/>
  <c r="G543" i="1"/>
  <c r="E543" i="1"/>
  <c r="D543" i="1"/>
  <c r="F543" i="1" s="1"/>
  <c r="A543" i="1"/>
  <c r="A544" i="1" s="1"/>
  <c r="A545" i="1" s="1"/>
  <c r="A546" i="1" s="1"/>
  <c r="G542" i="1"/>
  <c r="E542" i="1"/>
  <c r="D542" i="1"/>
  <c r="E537" i="1"/>
  <c r="D537" i="1"/>
  <c r="E536" i="1"/>
  <c r="F536" i="1" s="1"/>
  <c r="H536" i="1" s="1"/>
  <c r="D536" i="1"/>
  <c r="E535" i="1"/>
  <c r="D535" i="1"/>
  <c r="E534" i="1"/>
  <c r="D534" i="1"/>
  <c r="F534" i="1" s="1"/>
  <c r="H534" i="1" s="1"/>
  <c r="E533" i="1"/>
  <c r="D533" i="1"/>
  <c r="E532" i="1"/>
  <c r="D532" i="1"/>
  <c r="E531" i="1"/>
  <c r="D531" i="1"/>
  <c r="F531" i="1" s="1"/>
  <c r="H531" i="1" s="1"/>
  <c r="E530" i="1"/>
  <c r="D530" i="1"/>
  <c r="F530" i="1" s="1"/>
  <c r="H530" i="1" s="1"/>
  <c r="A530" i="1"/>
  <c r="A531" i="1" s="1"/>
  <c r="A532" i="1" s="1"/>
  <c r="A533" i="1" s="1"/>
  <c r="A534" i="1" s="1"/>
  <c r="A535" i="1" s="1"/>
  <c r="A536" i="1" s="1"/>
  <c r="A537" i="1" s="1"/>
  <c r="E529" i="1"/>
  <c r="F529" i="1" s="1"/>
  <c r="H529" i="1" s="1"/>
  <c r="D529" i="1"/>
  <c r="E528" i="1"/>
  <c r="D528" i="1"/>
  <c r="E527" i="1"/>
  <c r="D527" i="1"/>
  <c r="A527" i="1"/>
  <c r="A528" i="1" s="1"/>
  <c r="A529" i="1" s="1"/>
  <c r="E526" i="1"/>
  <c r="D526" i="1"/>
  <c r="F526" i="1" s="1"/>
  <c r="H526" i="1" s="1"/>
  <c r="A526" i="1"/>
  <c r="E525" i="1"/>
  <c r="D525" i="1"/>
  <c r="F525" i="1" s="1"/>
  <c r="H525" i="1" s="1"/>
  <c r="E523" i="1"/>
  <c r="F523" i="1" s="1"/>
  <c r="H523" i="1" s="1"/>
  <c r="D523" i="1"/>
  <c r="E522" i="1"/>
  <c r="D522" i="1"/>
  <c r="E521" i="1"/>
  <c r="D521" i="1"/>
  <c r="F521" i="1" s="1"/>
  <c r="H521" i="1" s="1"/>
  <c r="E520" i="1"/>
  <c r="D520" i="1"/>
  <c r="F520" i="1" s="1"/>
  <c r="H520" i="1" s="1"/>
  <c r="E519" i="1"/>
  <c r="D519" i="1"/>
  <c r="E518" i="1"/>
  <c r="D518" i="1"/>
  <c r="E517" i="1"/>
  <c r="D517" i="1"/>
  <c r="F517" i="1" s="1"/>
  <c r="H517" i="1" s="1"/>
  <c r="E516" i="1"/>
  <c r="F516" i="1" s="1"/>
  <c r="H516" i="1" s="1"/>
  <c r="D516" i="1"/>
  <c r="E515" i="1"/>
  <c r="D515" i="1"/>
  <c r="E514" i="1"/>
  <c r="D514" i="1"/>
  <c r="E513" i="1"/>
  <c r="D513" i="1"/>
  <c r="A513" i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E512" i="1"/>
  <c r="D512" i="1"/>
  <c r="F512" i="1" s="1"/>
  <c r="H512" i="1" s="1"/>
  <c r="A512" i="1"/>
  <c r="E511" i="1"/>
  <c r="D511" i="1"/>
  <c r="F511" i="1" s="1"/>
  <c r="H511" i="1" s="1"/>
  <c r="E509" i="1"/>
  <c r="D509" i="1"/>
  <c r="E508" i="1"/>
  <c r="D508" i="1"/>
  <c r="E507" i="1"/>
  <c r="D507" i="1"/>
  <c r="E506" i="1"/>
  <c r="D506" i="1"/>
  <c r="F506" i="1" s="1"/>
  <c r="H506" i="1" s="1"/>
  <c r="E505" i="1"/>
  <c r="D505" i="1"/>
  <c r="F505" i="1" s="1"/>
  <c r="H505" i="1" s="1"/>
  <c r="G504" i="1"/>
  <c r="D504" i="1"/>
  <c r="F504" i="1" s="1"/>
  <c r="G503" i="1"/>
  <c r="D503" i="1"/>
  <c r="F503" i="1" s="1"/>
  <c r="G502" i="1"/>
  <c r="D502" i="1"/>
  <c r="F502" i="1" s="1"/>
  <c r="G501" i="1"/>
  <c r="E501" i="1"/>
  <c r="D501" i="1"/>
  <c r="E500" i="1"/>
  <c r="D500" i="1"/>
  <c r="F500" i="1" s="1"/>
  <c r="H500" i="1" s="1"/>
  <c r="E499" i="1"/>
  <c r="F499" i="1" s="1"/>
  <c r="H499" i="1" s="1"/>
  <c r="D499" i="1"/>
  <c r="E498" i="1"/>
  <c r="D498" i="1"/>
  <c r="A498" i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E497" i="1"/>
  <c r="D497" i="1"/>
  <c r="G491" i="1"/>
  <c r="D491" i="1"/>
  <c r="G490" i="1"/>
  <c r="D490" i="1"/>
  <c r="F490" i="1" s="1"/>
  <c r="H490" i="1" s="1"/>
  <c r="G489" i="1"/>
  <c r="E489" i="1"/>
  <c r="D489" i="1"/>
  <c r="A489" i="1"/>
  <c r="A490" i="1" s="1"/>
  <c r="E488" i="1"/>
  <c r="D488" i="1"/>
  <c r="A488" i="1"/>
  <c r="E487" i="1"/>
  <c r="F487" i="1" s="1"/>
  <c r="H487" i="1" s="1"/>
  <c r="D487" i="1"/>
  <c r="F485" i="1"/>
  <c r="H485" i="1" s="1"/>
  <c r="F484" i="1"/>
  <c r="H484" i="1" s="1"/>
  <c r="A484" i="1"/>
  <c r="A485" i="1" s="1"/>
  <c r="F483" i="1"/>
  <c r="H483" i="1" s="1"/>
  <c r="E483" i="1"/>
  <c r="D483" i="1"/>
  <c r="A483" i="1"/>
  <c r="E482" i="1"/>
  <c r="D482" i="1"/>
  <c r="J475" i="1"/>
  <c r="F475" i="1"/>
  <c r="H475" i="1" s="1"/>
  <c r="D475" i="1"/>
  <c r="J474" i="1"/>
  <c r="D474" i="1"/>
  <c r="F474" i="1" s="1"/>
  <c r="H474" i="1" s="1"/>
  <c r="J473" i="1"/>
  <c r="D473" i="1"/>
  <c r="F473" i="1" s="1"/>
  <c r="H473" i="1" s="1"/>
  <c r="J472" i="1"/>
  <c r="D472" i="1"/>
  <c r="F472" i="1" s="1"/>
  <c r="H472" i="1" s="1"/>
  <c r="J471" i="1"/>
  <c r="D471" i="1"/>
  <c r="F471" i="1" s="1"/>
  <c r="H471" i="1" s="1"/>
  <c r="J470" i="1"/>
  <c r="D470" i="1"/>
  <c r="F470" i="1" s="1"/>
  <c r="H470" i="1" s="1"/>
  <c r="J469" i="1"/>
  <c r="D469" i="1"/>
  <c r="F469" i="1" s="1"/>
  <c r="H469" i="1" s="1"/>
  <c r="J468" i="1"/>
  <c r="D468" i="1"/>
  <c r="F468" i="1" s="1"/>
  <c r="H468" i="1" s="1"/>
  <c r="J467" i="1"/>
  <c r="D467" i="1"/>
  <c r="F467" i="1" s="1"/>
  <c r="H467" i="1" s="1"/>
  <c r="J466" i="1"/>
  <c r="H466" i="1"/>
  <c r="D466" i="1"/>
  <c r="F466" i="1" s="1"/>
  <c r="J465" i="1"/>
  <c r="D465" i="1"/>
  <c r="F465" i="1" s="1"/>
  <c r="H465" i="1" s="1"/>
  <c r="D463" i="1"/>
  <c r="F463" i="1" s="1"/>
  <c r="H463" i="1" s="1"/>
  <c r="D462" i="1"/>
  <c r="F462" i="1" s="1"/>
  <c r="H462" i="1" s="1"/>
  <c r="F461" i="1"/>
  <c r="H461" i="1" s="1"/>
  <c r="D461" i="1"/>
  <c r="D460" i="1"/>
  <c r="F460" i="1" s="1"/>
  <c r="H460" i="1" s="1"/>
  <c r="D459" i="1"/>
  <c r="F459" i="1" s="1"/>
  <c r="H459" i="1" s="1"/>
  <c r="D458" i="1"/>
  <c r="F458" i="1" s="1"/>
  <c r="H458" i="1" s="1"/>
  <c r="D457" i="1"/>
  <c r="F457" i="1" s="1"/>
  <c r="H457" i="1" s="1"/>
  <c r="D456" i="1"/>
  <c r="F456" i="1" s="1"/>
  <c r="H456" i="1" s="1"/>
  <c r="F455" i="1"/>
  <c r="H455" i="1" s="1"/>
  <c r="D455" i="1"/>
  <c r="D454" i="1"/>
  <c r="F454" i="1" s="1"/>
  <c r="H454" i="1" s="1"/>
  <c r="F453" i="1"/>
  <c r="H453" i="1" s="1"/>
  <c r="D453" i="1"/>
  <c r="D452" i="1"/>
  <c r="F452" i="1" s="1"/>
  <c r="H452" i="1" s="1"/>
  <c r="D451" i="1"/>
  <c r="F451" i="1" s="1"/>
  <c r="H451" i="1" s="1"/>
  <c r="D450" i="1"/>
  <c r="F450" i="1" s="1"/>
  <c r="H450" i="1" s="1"/>
  <c r="D449" i="1"/>
  <c r="F449" i="1" s="1"/>
  <c r="H449" i="1" s="1"/>
  <c r="D448" i="1"/>
  <c r="F448" i="1" s="1"/>
  <c r="H448" i="1" s="1"/>
  <c r="D447" i="1"/>
  <c r="F447" i="1" s="1"/>
  <c r="H447" i="1" s="1"/>
  <c r="D446" i="1"/>
  <c r="F446" i="1" s="1"/>
  <c r="H446" i="1" s="1"/>
  <c r="A446" i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D445" i="1"/>
  <c r="F445" i="1" s="1"/>
  <c r="F438" i="1"/>
  <c r="D438" i="1"/>
  <c r="D437" i="1"/>
  <c r="F437" i="1" s="1"/>
  <c r="D436" i="1"/>
  <c r="F436" i="1" s="1"/>
  <c r="D435" i="1"/>
  <c r="F435" i="1" s="1"/>
  <c r="D434" i="1"/>
  <c r="F434" i="1" s="1"/>
  <c r="D433" i="1"/>
  <c r="F433" i="1" s="1"/>
  <c r="D432" i="1"/>
  <c r="F432" i="1" s="1"/>
  <c r="D431" i="1"/>
  <c r="F431" i="1" s="1"/>
  <c r="D430" i="1"/>
  <c r="F430" i="1" s="1"/>
  <c r="G429" i="1"/>
  <c r="D429" i="1"/>
  <c r="F429" i="1" s="1"/>
  <c r="D427" i="1"/>
  <c r="F427" i="1" s="1"/>
  <c r="D426" i="1"/>
  <c r="F426" i="1" s="1"/>
  <c r="D425" i="1"/>
  <c r="F425" i="1" s="1"/>
  <c r="F424" i="1"/>
  <c r="D424" i="1"/>
  <c r="D423" i="1"/>
  <c r="F423" i="1" s="1"/>
  <c r="D422" i="1"/>
  <c r="F422" i="1" s="1"/>
  <c r="D421" i="1"/>
  <c r="F421" i="1" s="1"/>
  <c r="D420" i="1"/>
  <c r="F420" i="1" s="1"/>
  <c r="D419" i="1"/>
  <c r="F419" i="1" s="1"/>
  <c r="G418" i="1"/>
  <c r="F418" i="1"/>
  <c r="D418" i="1"/>
  <c r="D416" i="1"/>
  <c r="F416" i="1" s="1"/>
  <c r="E415" i="1"/>
  <c r="D415" i="1"/>
  <c r="E414" i="1"/>
  <c r="D414" i="1"/>
  <c r="F414" i="1" s="1"/>
  <c r="E413" i="1"/>
  <c r="D413" i="1"/>
  <c r="E412" i="1"/>
  <c r="F412" i="1" s="1"/>
  <c r="D412" i="1"/>
  <c r="E411" i="1"/>
  <c r="D411" i="1"/>
  <c r="F411" i="1" s="1"/>
  <c r="E410" i="1"/>
  <c r="D410" i="1"/>
  <c r="E409" i="1"/>
  <c r="D409" i="1"/>
  <c r="F409" i="1" s="1"/>
  <c r="E408" i="1"/>
  <c r="D408" i="1"/>
  <c r="F408" i="1" s="1"/>
  <c r="G407" i="1"/>
  <c r="D407" i="1"/>
  <c r="F407" i="1" s="1"/>
  <c r="E403" i="1"/>
  <c r="D403" i="1"/>
  <c r="D402" i="1"/>
  <c r="F402" i="1" s="1"/>
  <c r="D401" i="1"/>
  <c r="F401" i="1" s="1"/>
  <c r="D400" i="1"/>
  <c r="F400" i="1" s="1"/>
  <c r="G399" i="1"/>
  <c r="E399" i="1"/>
  <c r="D399" i="1"/>
  <c r="F399" i="1" s="1"/>
  <c r="E397" i="1"/>
  <c r="D397" i="1"/>
  <c r="D396" i="1"/>
  <c r="F396" i="1" s="1"/>
  <c r="D395" i="1"/>
  <c r="F395" i="1" s="1"/>
  <c r="D394" i="1"/>
  <c r="F394" i="1" s="1"/>
  <c r="G393" i="1"/>
  <c r="F393" i="1"/>
  <c r="E393" i="1"/>
  <c r="D393" i="1"/>
  <c r="E391" i="1"/>
  <c r="D391" i="1"/>
  <c r="D390" i="1"/>
  <c r="F390" i="1" s="1"/>
  <c r="E389" i="1"/>
  <c r="D389" i="1"/>
  <c r="F389" i="1" s="1"/>
  <c r="E388" i="1"/>
  <c r="D388" i="1"/>
  <c r="F388" i="1" s="1"/>
  <c r="G387" i="1"/>
  <c r="E387" i="1"/>
  <c r="D387" i="1"/>
  <c r="E385" i="1"/>
  <c r="D385" i="1"/>
  <c r="D384" i="1"/>
  <c r="F384" i="1" s="1"/>
  <c r="D383" i="1"/>
  <c r="F383" i="1" s="1"/>
  <c r="D382" i="1"/>
  <c r="F382" i="1" s="1"/>
  <c r="A382" i="1"/>
  <c r="A383" i="1" s="1"/>
  <c r="A384" i="1" s="1"/>
  <c r="A385" i="1" s="1"/>
  <c r="G381" i="1"/>
  <c r="E381" i="1"/>
  <c r="F381" i="1" s="1"/>
  <c r="D381" i="1"/>
  <c r="D379" i="1"/>
  <c r="F379" i="1" s="1"/>
  <c r="E378" i="1"/>
  <c r="D378" i="1"/>
  <c r="E377" i="1"/>
  <c r="D377" i="1"/>
  <c r="F377" i="1" s="1"/>
  <c r="A377" i="1"/>
  <c r="A378" i="1" s="1"/>
  <c r="A379" i="1" s="1"/>
  <c r="G376" i="1"/>
  <c r="E376" i="1"/>
  <c r="D376" i="1"/>
  <c r="D372" i="1"/>
  <c r="F372" i="1" s="1"/>
  <c r="D371" i="1"/>
  <c r="F371" i="1" s="1"/>
  <c r="D370" i="1"/>
  <c r="F370" i="1" s="1"/>
  <c r="F369" i="1"/>
  <c r="D369" i="1"/>
  <c r="D368" i="1"/>
  <c r="F368" i="1" s="1"/>
  <c r="D367" i="1"/>
  <c r="F367" i="1" s="1"/>
  <c r="D366" i="1"/>
  <c r="F366" i="1" s="1"/>
  <c r="D365" i="1"/>
  <c r="F365" i="1" s="1"/>
  <c r="F364" i="1"/>
  <c r="D364" i="1"/>
  <c r="G363" i="1"/>
  <c r="F363" i="1"/>
  <c r="D363" i="1"/>
  <c r="D361" i="1"/>
  <c r="F361" i="1" s="1"/>
  <c r="D360" i="1"/>
  <c r="F360" i="1" s="1"/>
  <c r="D359" i="1"/>
  <c r="F359" i="1" s="1"/>
  <c r="F358" i="1"/>
  <c r="D358" i="1"/>
  <c r="D357" i="1"/>
  <c r="F357" i="1" s="1"/>
  <c r="D356" i="1"/>
  <c r="F356" i="1" s="1"/>
  <c r="D355" i="1"/>
  <c r="F355" i="1" s="1"/>
  <c r="D354" i="1"/>
  <c r="F354" i="1" s="1"/>
  <c r="D353" i="1"/>
  <c r="F353" i="1" s="1"/>
  <c r="G352" i="1"/>
  <c r="D352" i="1"/>
  <c r="F352" i="1" s="1"/>
  <c r="E350" i="1"/>
  <c r="F350" i="1" s="1"/>
  <c r="D350" i="1"/>
  <c r="E349" i="1"/>
  <c r="D349" i="1"/>
  <c r="E348" i="1"/>
  <c r="F348" i="1" s="1"/>
  <c r="D348" i="1"/>
  <c r="E347" i="1"/>
  <c r="D347" i="1"/>
  <c r="F347" i="1" s="1"/>
  <c r="E346" i="1"/>
  <c r="D346" i="1"/>
  <c r="F346" i="1" s="1"/>
  <c r="E345" i="1"/>
  <c r="D345" i="1"/>
  <c r="E344" i="1"/>
  <c r="D344" i="1"/>
  <c r="F344" i="1" s="1"/>
  <c r="E343" i="1"/>
  <c r="D343" i="1"/>
  <c r="E342" i="1"/>
  <c r="D342" i="1"/>
  <c r="G341" i="1"/>
  <c r="E341" i="1"/>
  <c r="D341" i="1"/>
  <c r="F341" i="1" s="1"/>
  <c r="D339" i="1"/>
  <c r="F339" i="1" s="1"/>
  <c r="E338" i="1"/>
  <c r="D338" i="1"/>
  <c r="F338" i="1" s="1"/>
  <c r="E337" i="1"/>
  <c r="F337" i="1" s="1"/>
  <c r="D337" i="1"/>
  <c r="D336" i="1"/>
  <c r="F336" i="1" s="1"/>
  <c r="D335" i="1"/>
  <c r="F335" i="1" s="1"/>
  <c r="D334" i="1"/>
  <c r="F334" i="1" s="1"/>
  <c r="D333" i="1"/>
  <c r="F333" i="1" s="1"/>
  <c r="F332" i="1"/>
  <c r="D332" i="1"/>
  <c r="D331" i="1"/>
  <c r="F331" i="1" s="1"/>
  <c r="A331" i="1"/>
  <c r="A332" i="1" s="1"/>
  <c r="A333" i="1" s="1"/>
  <c r="A334" i="1" s="1"/>
  <c r="A335" i="1" s="1"/>
  <c r="A336" i="1" s="1"/>
  <c r="A337" i="1" s="1"/>
  <c r="A338" i="1" s="1"/>
  <c r="A339" i="1" s="1"/>
  <c r="G330" i="1"/>
  <c r="D330" i="1"/>
  <c r="F330" i="1" s="1"/>
  <c r="E328" i="1"/>
  <c r="D328" i="1"/>
  <c r="F328" i="1" s="1"/>
  <c r="E327" i="1"/>
  <c r="F327" i="1" s="1"/>
  <c r="D327" i="1"/>
  <c r="E326" i="1"/>
  <c r="D326" i="1"/>
  <c r="E325" i="1"/>
  <c r="D325" i="1"/>
  <c r="A325" i="1"/>
  <c r="A326" i="1" s="1"/>
  <c r="A327" i="1" s="1"/>
  <c r="A328" i="1" s="1"/>
  <c r="E324" i="1"/>
  <c r="D324" i="1"/>
  <c r="A324" i="1"/>
  <c r="G323" i="1"/>
  <c r="E323" i="1"/>
  <c r="D323" i="1"/>
  <c r="F323" i="1" s="1"/>
  <c r="D319" i="1"/>
  <c r="F319" i="1" s="1"/>
  <c r="F318" i="1"/>
  <c r="D318" i="1"/>
  <c r="E317" i="1"/>
  <c r="D317" i="1"/>
  <c r="D316" i="1"/>
  <c r="F316" i="1" s="1"/>
  <c r="D315" i="1"/>
  <c r="F315" i="1" s="1"/>
  <c r="D314" i="1"/>
  <c r="F314" i="1" s="1"/>
  <c r="G313" i="1"/>
  <c r="E313" i="1"/>
  <c r="D313" i="1"/>
  <c r="F313" i="1" s="1"/>
  <c r="D311" i="1"/>
  <c r="F311" i="1" s="1"/>
  <c r="D310" i="1"/>
  <c r="F310" i="1" s="1"/>
  <c r="E309" i="1"/>
  <c r="D309" i="1"/>
  <c r="F309" i="1" s="1"/>
  <c r="D308" i="1"/>
  <c r="F308" i="1" s="1"/>
  <c r="D307" i="1"/>
  <c r="F307" i="1" s="1"/>
  <c r="D306" i="1"/>
  <c r="F306" i="1" s="1"/>
  <c r="G305" i="1"/>
  <c r="E305" i="1"/>
  <c r="D305" i="1"/>
  <c r="F305" i="1" s="1"/>
  <c r="F303" i="1"/>
  <c r="E303" i="1"/>
  <c r="D303" i="1"/>
  <c r="E302" i="1"/>
  <c r="D302" i="1"/>
  <c r="F302" i="1" s="1"/>
  <c r="E301" i="1"/>
  <c r="D301" i="1"/>
  <c r="F301" i="1" s="1"/>
  <c r="E300" i="1"/>
  <c r="D300" i="1"/>
  <c r="E299" i="1"/>
  <c r="D299" i="1"/>
  <c r="F299" i="1" s="1"/>
  <c r="E298" i="1"/>
  <c r="D298" i="1"/>
  <c r="G297" i="1"/>
  <c r="F297" i="1"/>
  <c r="E297" i="1"/>
  <c r="D297" i="1"/>
  <c r="E295" i="1"/>
  <c r="D295" i="1"/>
  <c r="F295" i="1" s="1"/>
  <c r="E294" i="1"/>
  <c r="D294" i="1"/>
  <c r="E293" i="1"/>
  <c r="D293" i="1"/>
  <c r="F293" i="1" s="1"/>
  <c r="E292" i="1"/>
  <c r="F292" i="1" s="1"/>
  <c r="D292" i="1"/>
  <c r="E291" i="1"/>
  <c r="D291" i="1"/>
  <c r="F291" i="1" s="1"/>
  <c r="E290" i="1"/>
  <c r="D290" i="1"/>
  <c r="A290" i="1"/>
  <c r="A291" i="1" s="1"/>
  <c r="A292" i="1" s="1"/>
  <c r="A293" i="1" s="1"/>
  <c r="A294" i="1" s="1"/>
  <c r="A295" i="1" s="1"/>
  <c r="G289" i="1"/>
  <c r="E289" i="1"/>
  <c r="F289" i="1" s="1"/>
  <c r="D289" i="1"/>
  <c r="E287" i="1"/>
  <c r="D287" i="1"/>
  <c r="E286" i="1"/>
  <c r="D286" i="1"/>
  <c r="F286" i="1" s="1"/>
  <c r="E285" i="1"/>
  <c r="D285" i="1"/>
  <c r="A285" i="1"/>
  <c r="A286" i="1" s="1"/>
  <c r="A287" i="1" s="1"/>
  <c r="E284" i="1"/>
  <c r="D284" i="1"/>
  <c r="F284" i="1" s="1"/>
  <c r="A284" i="1"/>
  <c r="G283" i="1"/>
  <c r="E283" i="1"/>
  <c r="D283" i="1"/>
  <c r="F283" i="1" s="1"/>
  <c r="E279" i="1"/>
  <c r="D279" i="1"/>
  <c r="E278" i="1"/>
  <c r="D278" i="1"/>
  <c r="F278" i="1" s="1"/>
  <c r="E277" i="1"/>
  <c r="D277" i="1"/>
  <c r="F277" i="1" s="1"/>
  <c r="E276" i="1"/>
  <c r="D276" i="1"/>
  <c r="E275" i="1"/>
  <c r="F275" i="1" s="1"/>
  <c r="D275" i="1"/>
  <c r="E274" i="1"/>
  <c r="D274" i="1"/>
  <c r="F274" i="1" s="1"/>
  <c r="E273" i="1"/>
  <c r="D273" i="1"/>
  <c r="F273" i="1" s="1"/>
  <c r="F272" i="1"/>
  <c r="E272" i="1"/>
  <c r="D272" i="1"/>
  <c r="E271" i="1"/>
  <c r="D271" i="1"/>
  <c r="D270" i="1"/>
  <c r="F270" i="1" s="1"/>
  <c r="D269" i="1"/>
  <c r="F269" i="1" s="1"/>
  <c r="F268" i="1"/>
  <c r="E268" i="1"/>
  <c r="D268" i="1"/>
  <c r="E267" i="1"/>
  <c r="D267" i="1"/>
  <c r="F267" i="1" s="1"/>
  <c r="G266" i="1"/>
  <c r="D266" i="1"/>
  <c r="F266" i="1" s="1"/>
  <c r="E264" i="1"/>
  <c r="D264" i="1"/>
  <c r="E263" i="1"/>
  <c r="D263" i="1"/>
  <c r="F263" i="1" s="1"/>
  <c r="E262" i="1"/>
  <c r="D262" i="1"/>
  <c r="F262" i="1" s="1"/>
  <c r="E261" i="1"/>
  <c r="D261" i="1"/>
  <c r="E260" i="1"/>
  <c r="F260" i="1" s="1"/>
  <c r="D260" i="1"/>
  <c r="E259" i="1"/>
  <c r="D259" i="1"/>
  <c r="F259" i="1" s="1"/>
  <c r="E258" i="1"/>
  <c r="D258" i="1"/>
  <c r="F257" i="1"/>
  <c r="E257" i="1"/>
  <c r="D257" i="1"/>
  <c r="E256" i="1"/>
  <c r="D256" i="1"/>
  <c r="D255" i="1"/>
  <c r="F255" i="1" s="1"/>
  <c r="D254" i="1"/>
  <c r="F254" i="1" s="1"/>
  <c r="F253" i="1"/>
  <c r="E253" i="1"/>
  <c r="D253" i="1"/>
  <c r="E252" i="1"/>
  <c r="D252" i="1"/>
  <c r="F252" i="1" s="1"/>
  <c r="G251" i="1"/>
  <c r="D251" i="1"/>
  <c r="F251" i="1" s="1"/>
  <c r="D249" i="1"/>
  <c r="F249" i="1" s="1"/>
  <c r="D248" i="1"/>
  <c r="F248" i="1" s="1"/>
  <c r="D247" i="1"/>
  <c r="F247" i="1" s="1"/>
  <c r="E246" i="1"/>
  <c r="D246" i="1"/>
  <c r="F246" i="1" s="1"/>
  <c r="E245" i="1"/>
  <c r="F245" i="1" s="1"/>
  <c r="D245" i="1"/>
  <c r="D244" i="1"/>
  <c r="F244" i="1" s="1"/>
  <c r="D243" i="1"/>
  <c r="F243" i="1" s="1"/>
  <c r="E242" i="1"/>
  <c r="D242" i="1"/>
  <c r="F242" i="1" s="1"/>
  <c r="D241" i="1"/>
  <c r="F241" i="1" s="1"/>
  <c r="D240" i="1"/>
  <c r="F240" i="1" s="1"/>
  <c r="F239" i="1"/>
  <c r="E239" i="1"/>
  <c r="D239" i="1"/>
  <c r="D238" i="1"/>
  <c r="F238" i="1" s="1"/>
  <c r="D237" i="1"/>
  <c r="F237" i="1" s="1"/>
  <c r="G236" i="1"/>
  <c r="F236" i="1"/>
  <c r="E236" i="1"/>
  <c r="D236" i="1"/>
  <c r="E234" i="1"/>
  <c r="D234" i="1"/>
  <c r="F234" i="1" s="1"/>
  <c r="E233" i="1"/>
  <c r="D233" i="1"/>
  <c r="F233" i="1" s="1"/>
  <c r="E232" i="1"/>
  <c r="D232" i="1"/>
  <c r="F232" i="1" s="1"/>
  <c r="E231" i="1"/>
  <c r="F231" i="1" s="1"/>
  <c r="I231" i="1" s="1"/>
  <c r="D231" i="1"/>
  <c r="E230" i="1"/>
  <c r="D230" i="1"/>
  <c r="E229" i="1"/>
  <c r="D229" i="1"/>
  <c r="F229" i="1" s="1"/>
  <c r="E228" i="1"/>
  <c r="D228" i="1"/>
  <c r="F228" i="1" s="1"/>
  <c r="E227" i="1"/>
  <c r="D227" i="1"/>
  <c r="F227" i="1" s="1"/>
  <c r="I227" i="1" s="1"/>
  <c r="E226" i="1"/>
  <c r="D226" i="1"/>
  <c r="F226" i="1" s="1"/>
  <c r="I226" i="1" s="1"/>
  <c r="F225" i="1"/>
  <c r="I225" i="1" s="1"/>
  <c r="D225" i="1"/>
  <c r="F224" i="1"/>
  <c r="I224" i="1" s="1"/>
  <c r="D224" i="1"/>
  <c r="E223" i="1"/>
  <c r="D223" i="1"/>
  <c r="E222" i="1"/>
  <c r="D222" i="1"/>
  <c r="G221" i="1"/>
  <c r="D221" i="1"/>
  <c r="F221" i="1" s="1"/>
  <c r="I221" i="1" s="1"/>
  <c r="D219" i="1"/>
  <c r="F219" i="1" s="1"/>
  <c r="D218" i="1"/>
  <c r="F218" i="1" s="1"/>
  <c r="A218" i="1"/>
  <c r="A219" i="1" s="1"/>
  <c r="G217" i="1"/>
  <c r="D217" i="1"/>
  <c r="F217" i="1" s="1"/>
  <c r="D215" i="1"/>
  <c r="F215" i="1" s="1"/>
  <c r="F214" i="1"/>
  <c r="D214" i="1"/>
  <c r="A214" i="1"/>
  <c r="A215" i="1" s="1"/>
  <c r="G213" i="1"/>
  <c r="D213" i="1"/>
  <c r="F213" i="1" s="1"/>
  <c r="D204" i="1"/>
  <c r="F204" i="1" s="1"/>
  <c r="F203" i="1"/>
  <c r="D203" i="1"/>
  <c r="D202" i="1"/>
  <c r="F202" i="1" s="1"/>
  <c r="D201" i="1"/>
  <c r="F201" i="1" s="1"/>
  <c r="D200" i="1"/>
  <c r="F200" i="1" s="1"/>
  <c r="F199" i="1"/>
  <c r="D199" i="1"/>
  <c r="D198" i="1"/>
  <c r="F198" i="1" s="1"/>
  <c r="D197" i="1"/>
  <c r="F197" i="1" s="1"/>
  <c r="D196" i="1"/>
  <c r="F196" i="1" s="1"/>
  <c r="D195" i="1"/>
  <c r="F195" i="1" s="1"/>
  <c r="G193" i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G178" i="1"/>
  <c r="D178" i="1"/>
  <c r="F178" i="1" s="1"/>
  <c r="R167" i="1"/>
  <c r="Q167" i="1"/>
  <c r="M167" i="1"/>
  <c r="L167" i="1"/>
  <c r="F157" i="1"/>
  <c r="J140" i="1"/>
  <c r="J139" i="1"/>
  <c r="J138" i="1"/>
  <c r="J137" i="1"/>
  <c r="C129" i="1"/>
  <c r="J126" i="1"/>
  <c r="J125" i="1"/>
  <c r="J124" i="1"/>
  <c r="J123" i="1"/>
  <c r="C115" i="1"/>
  <c r="J112" i="1"/>
  <c r="J111" i="1"/>
  <c r="J110" i="1"/>
  <c r="J109" i="1"/>
  <c r="C101" i="1"/>
  <c r="J98" i="1"/>
  <c r="J97" i="1"/>
  <c r="J96" i="1"/>
  <c r="J95" i="1"/>
  <c r="C87" i="1"/>
  <c r="J84" i="1"/>
  <c r="J83" i="1"/>
  <c r="J82" i="1"/>
  <c r="J81" i="1"/>
  <c r="C73" i="1"/>
  <c r="D68" i="1"/>
  <c r="D58" i="1"/>
  <c r="G47" i="1"/>
  <c r="C47" i="1"/>
  <c r="E40" i="1"/>
  <c r="E41" i="1" s="1"/>
  <c r="I39" i="1"/>
  <c r="E24" i="1"/>
  <c r="E22" i="1"/>
  <c r="C13" i="1"/>
  <c r="E7" i="1"/>
  <c r="E3" i="1"/>
  <c r="O266" i="1"/>
  <c r="H88" i="1"/>
  <c r="P266" i="1"/>
  <c r="O393" i="1"/>
  <c r="H116" i="1"/>
  <c r="O352" i="1"/>
  <c r="O418" i="1"/>
  <c r="P251" i="1"/>
  <c r="P297" i="1"/>
  <c r="P418" i="1"/>
  <c r="O363" i="1"/>
  <c r="O313" i="1"/>
  <c r="O341" i="1"/>
  <c r="O251" i="1"/>
  <c r="O305" i="1"/>
  <c r="P313" i="1"/>
  <c r="O407" i="1"/>
  <c r="P305" i="1"/>
  <c r="O236" i="1"/>
  <c r="H130" i="1"/>
  <c r="H74" i="1"/>
  <c r="P352" i="1"/>
  <c r="O429" i="1"/>
  <c r="O399" i="1"/>
  <c r="O297" i="1"/>
  <c r="H102" i="1"/>
  <c r="P236" i="1"/>
  <c r="P341" i="1"/>
  <c r="P429" i="1"/>
  <c r="P387" i="1"/>
  <c r="O387" i="1"/>
  <c r="P407" i="1"/>
  <c r="P399" i="1"/>
  <c r="P363" i="1"/>
  <c r="P393" i="1"/>
  <c r="F385" i="1" l="1"/>
  <c r="F548" i="1"/>
  <c r="F681" i="1"/>
  <c r="H681" i="1" s="1"/>
  <c r="F757" i="1"/>
  <c r="H757" i="1" s="1"/>
  <c r="G12" i="5"/>
  <c r="F413" i="1"/>
  <c r="F733" i="1"/>
  <c r="H733" i="1" s="1"/>
  <c r="C160" i="1"/>
  <c r="F258" i="1"/>
  <c r="F410" i="1"/>
  <c r="F509" i="1"/>
  <c r="H509" i="1" s="1"/>
  <c r="H557" i="1"/>
  <c r="H559" i="1"/>
  <c r="F605" i="1"/>
  <c r="H605" i="1" s="1"/>
  <c r="F625" i="1"/>
  <c r="H625" i="1" s="1"/>
  <c r="F686" i="1"/>
  <c r="H686" i="1" s="1"/>
  <c r="F703" i="1"/>
  <c r="F746" i="1"/>
  <c r="H746" i="1" s="1"/>
  <c r="F598" i="1"/>
  <c r="H598" i="1" s="1"/>
  <c r="F636" i="1"/>
  <c r="H636" i="1" s="1"/>
  <c r="F663" i="1"/>
  <c r="H663" i="1" s="1"/>
  <c r="F667" i="1"/>
  <c r="H667" i="1" s="1"/>
  <c r="H684" i="1"/>
  <c r="F743" i="1"/>
  <c r="H743" i="1" s="1"/>
  <c r="F276" i="1"/>
  <c r="F533" i="1"/>
  <c r="H533" i="1" s="1"/>
  <c r="H548" i="1"/>
  <c r="F580" i="1"/>
  <c r="H580" i="1" s="1"/>
  <c r="H620" i="1"/>
  <c r="F223" i="1"/>
  <c r="I223" i="1" s="1"/>
  <c r="F230" i="1"/>
  <c r="I230" i="1" s="1"/>
  <c r="F256" i="1"/>
  <c r="F271" i="1"/>
  <c r="F290" i="1"/>
  <c r="F294" i="1"/>
  <c r="F298" i="1"/>
  <c r="F326" i="1"/>
  <c r="F343" i="1"/>
  <c r="F378" i="1"/>
  <c r="F387" i="1"/>
  <c r="F391" i="1"/>
  <c r="F415" i="1"/>
  <c r="F482" i="1"/>
  <c r="F501" i="1"/>
  <c r="H501" i="1" s="1"/>
  <c r="H504" i="1"/>
  <c r="F514" i="1"/>
  <c r="H514" i="1" s="1"/>
  <c r="F518" i="1"/>
  <c r="H518" i="1" s="1"/>
  <c r="F528" i="1"/>
  <c r="H528" i="1" s="1"/>
  <c r="F537" i="1"/>
  <c r="H537" i="1" s="1"/>
  <c r="H543" i="1"/>
  <c r="F549" i="1"/>
  <c r="H549" i="1" s="1"/>
  <c r="F647" i="1"/>
  <c r="H647" i="1" s="1"/>
  <c r="F655" i="1"/>
  <c r="H655" i="1" s="1"/>
  <c r="F702" i="1"/>
  <c r="H702" i="1" s="1"/>
  <c r="H751" i="1"/>
  <c r="H755" i="1"/>
  <c r="E34" i="3"/>
  <c r="F325" i="1"/>
  <c r="H503" i="1"/>
  <c r="F747" i="1"/>
  <c r="H747" i="1" s="1"/>
  <c r="C166" i="1"/>
  <c r="F627" i="1"/>
  <c r="H627" i="1" s="1"/>
  <c r="F665" i="1"/>
  <c r="H665" i="1" s="1"/>
  <c r="H696" i="1"/>
  <c r="F739" i="1"/>
  <c r="H739" i="1" s="1"/>
  <c r="F758" i="1"/>
  <c r="H758" i="1" s="1"/>
  <c r="F285" i="1"/>
  <c r="F342" i="1"/>
  <c r="F489" i="1"/>
  <c r="H489" i="1" s="1"/>
  <c r="H703" i="1"/>
  <c r="F287" i="1"/>
  <c r="F317" i="1"/>
  <c r="F376" i="1"/>
  <c r="F397" i="1"/>
  <c r="F498" i="1"/>
  <c r="H498" i="1" s="1"/>
  <c r="F508" i="1"/>
  <c r="H508" i="1" s="1"/>
  <c r="F515" i="1"/>
  <c r="H515" i="1" s="1"/>
  <c r="F519" i="1"/>
  <c r="H519" i="1" s="1"/>
  <c r="F522" i="1"/>
  <c r="H522" i="1" s="1"/>
  <c r="F568" i="1"/>
  <c r="H568" i="1" s="1"/>
  <c r="F591" i="1"/>
  <c r="H591" i="1" s="1"/>
  <c r="H622" i="1"/>
  <c r="H649" i="1"/>
  <c r="F651" i="1"/>
  <c r="H651" i="1" s="1"/>
  <c r="F658" i="1"/>
  <c r="H658" i="1" s="1"/>
  <c r="H685" i="1"/>
  <c r="H752" i="1"/>
  <c r="F767" i="1"/>
  <c r="H767" i="1" s="1"/>
  <c r="F261" i="1"/>
  <c r="F222" i="1"/>
  <c r="I222" i="1" s="1"/>
  <c r="F349" i="1"/>
  <c r="F497" i="1"/>
  <c r="H497" i="1" s="1"/>
  <c r="F650" i="1"/>
  <c r="H650" i="1" s="1"/>
  <c r="F264" i="1"/>
  <c r="F279" i="1"/>
  <c r="F300" i="1"/>
  <c r="F324" i="1"/>
  <c r="F345" i="1"/>
  <c r="F403" i="1"/>
  <c r="F488" i="1"/>
  <c r="H488" i="1" s="1"/>
  <c r="H502" i="1"/>
  <c r="F532" i="1"/>
  <c r="H532" i="1" s="1"/>
  <c r="F544" i="1"/>
  <c r="H544" i="1" s="1"/>
  <c r="F550" i="1"/>
  <c r="H550" i="1" s="1"/>
  <c r="F552" i="1"/>
  <c r="H552" i="1" s="1"/>
  <c r="F566" i="1"/>
  <c r="H566" i="1" s="1"/>
  <c r="F575" i="1"/>
  <c r="H575" i="1" s="1"/>
  <c r="F578" i="1"/>
  <c r="H578" i="1" s="1"/>
  <c r="H581" i="1"/>
  <c r="F586" i="1"/>
  <c r="H586" i="1" s="1"/>
  <c r="F592" i="1"/>
  <c r="H592" i="1" s="1"/>
  <c r="F613" i="1"/>
  <c r="H613" i="1" s="1"/>
  <c r="H624" i="1"/>
  <c r="F639" i="1"/>
  <c r="H639" i="1" s="1"/>
  <c r="F645" i="1"/>
  <c r="H645" i="1" s="1"/>
  <c r="F656" i="1"/>
  <c r="F666" i="1"/>
  <c r="H666" i="1" s="1"/>
  <c r="F678" i="1"/>
  <c r="F694" i="1"/>
  <c r="H694" i="1" s="1"/>
  <c r="F697" i="1"/>
  <c r="H697" i="1" s="1"/>
  <c r="F719" i="1"/>
  <c r="H719" i="1" s="1"/>
  <c r="F721" i="1"/>
  <c r="H721" i="1" s="1"/>
  <c r="F726" i="1"/>
  <c r="H726" i="1" s="1"/>
  <c r="F730" i="1"/>
  <c r="H730" i="1" s="1"/>
  <c r="F740" i="1"/>
  <c r="H740" i="1" s="1"/>
  <c r="H754" i="1"/>
  <c r="H445" i="1"/>
  <c r="G160" i="1" s="1"/>
  <c r="E160" i="1"/>
  <c r="F542" i="1"/>
  <c r="C165" i="1"/>
  <c r="D34" i="3"/>
  <c r="F491" i="1"/>
  <c r="H491" i="1" s="1"/>
  <c r="C164" i="1"/>
  <c r="H482" i="1"/>
  <c r="C161" i="1"/>
  <c r="C167" i="1"/>
  <c r="F535" i="1"/>
  <c r="H535" i="1" s="1"/>
  <c r="F766" i="1"/>
  <c r="H766" i="1" s="1"/>
  <c r="I34" i="3"/>
  <c r="H34" i="3" s="1"/>
  <c r="F607" i="1"/>
  <c r="H607" i="1" s="1"/>
  <c r="F612" i="1"/>
  <c r="H612" i="1" s="1"/>
  <c r="F632" i="1"/>
  <c r="H632" i="1" s="1"/>
  <c r="F638" i="1"/>
  <c r="H638" i="1" s="1"/>
  <c r="L34" i="3"/>
  <c r="K34" i="3" s="1"/>
  <c r="F507" i="1"/>
  <c r="H507" i="1" s="1"/>
  <c r="F527" i="1"/>
  <c r="H527" i="1" s="1"/>
  <c r="F562" i="1"/>
  <c r="H562" i="1" s="1"/>
  <c r="F599" i="1"/>
  <c r="F682" i="1"/>
  <c r="F722" i="1"/>
  <c r="H712" i="1"/>
  <c r="F513" i="1"/>
  <c r="H513" i="1" s="1"/>
  <c r="F603" i="1"/>
  <c r="H603" i="1" s="1"/>
  <c r="F616" i="1"/>
  <c r="H616" i="1" s="1"/>
  <c r="H652" i="1"/>
  <c r="H656" i="1"/>
  <c r="C168" i="1"/>
  <c r="H678" i="1"/>
  <c r="H723" i="1"/>
  <c r="O408" i="1"/>
  <c r="N407" i="1"/>
  <c r="A407" i="1" s="1"/>
  <c r="O400" i="1"/>
  <c r="N399" i="1"/>
  <c r="A399" i="1" s="1"/>
  <c r="D84" i="1"/>
  <c r="D80" i="1"/>
  <c r="J79" i="1"/>
  <c r="J80" i="1" s="1"/>
  <c r="J85" i="1" s="1"/>
  <c r="J86" i="1" s="1"/>
  <c r="C78" i="1" s="1"/>
  <c r="E77" i="1" s="1"/>
  <c r="D77" i="1"/>
  <c r="D83" i="1"/>
  <c r="D79" i="1"/>
  <c r="J76" i="1"/>
  <c r="J78" i="1"/>
  <c r="D82" i="1"/>
  <c r="D81" i="1"/>
  <c r="D86" i="1"/>
  <c r="D85" i="1"/>
  <c r="J77" i="1"/>
  <c r="P394" i="1"/>
  <c r="P395" i="1" s="1"/>
  <c r="P396" i="1" s="1"/>
  <c r="P397" i="1" s="1"/>
  <c r="P298" i="1"/>
  <c r="P299" i="1" s="1"/>
  <c r="P300" i="1" s="1"/>
  <c r="P301" i="1" s="1"/>
  <c r="P302" i="1" s="1"/>
  <c r="P303" i="1" s="1"/>
  <c r="P237" i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J105" i="1"/>
  <c r="D113" i="1"/>
  <c r="D109" i="1"/>
  <c r="G105" i="1"/>
  <c r="E105" i="1"/>
  <c r="D112" i="1"/>
  <c r="D108" i="1"/>
  <c r="D105" i="1"/>
  <c r="J107" i="1"/>
  <c r="J108" i="1" s="1"/>
  <c r="J113" i="1" s="1"/>
  <c r="J114" i="1" s="1"/>
  <c r="J104" i="1"/>
  <c r="J106" i="1"/>
  <c r="D111" i="1"/>
  <c r="D110" i="1"/>
  <c r="D106" i="1"/>
  <c r="D107" i="1"/>
  <c r="D114" i="1"/>
  <c r="P252" i="1"/>
  <c r="P253" i="1" s="1"/>
  <c r="P254" i="1" s="1"/>
  <c r="P255" i="1" s="1"/>
  <c r="P256" i="1" s="1"/>
  <c r="P257" i="1" s="1"/>
  <c r="P258" i="1" s="1"/>
  <c r="P259" i="1" s="1"/>
  <c r="P260" i="1" s="1"/>
  <c r="P261" i="1" s="1"/>
  <c r="P262" i="1" s="1"/>
  <c r="P263" i="1" s="1"/>
  <c r="P264" i="1" s="1"/>
  <c r="P267" i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O298" i="1"/>
  <c r="N297" i="1"/>
  <c r="A297" i="1" s="1"/>
  <c r="P314" i="1"/>
  <c r="P315" i="1" s="1"/>
  <c r="P316" i="1" s="1"/>
  <c r="P317" i="1" s="1"/>
  <c r="P318" i="1" s="1"/>
  <c r="P319" i="1" s="1"/>
  <c r="P364" i="1"/>
  <c r="P365" i="1" s="1"/>
  <c r="P366" i="1" s="1"/>
  <c r="P367" i="1" s="1"/>
  <c r="P368" i="1" s="1"/>
  <c r="P369" i="1" s="1"/>
  <c r="P370" i="1" s="1"/>
  <c r="P371" i="1" s="1"/>
  <c r="P372" i="1" s="1"/>
  <c r="N393" i="1"/>
  <c r="A393" i="1" s="1"/>
  <c r="O394" i="1"/>
  <c r="O306" i="1"/>
  <c r="N305" i="1"/>
  <c r="A305" i="1" s="1"/>
  <c r="O353" i="1"/>
  <c r="N352" i="1"/>
  <c r="A352" i="1" s="1"/>
  <c r="P400" i="1"/>
  <c r="P401" i="1" s="1"/>
  <c r="P402" i="1" s="1"/>
  <c r="P403" i="1" s="1"/>
  <c r="P408" i="1"/>
  <c r="P409" i="1" s="1"/>
  <c r="P410" i="1" s="1"/>
  <c r="P411" i="1" s="1"/>
  <c r="P412" i="1" s="1"/>
  <c r="P413" i="1" s="1"/>
  <c r="P414" i="1" s="1"/>
  <c r="P415" i="1" s="1"/>
  <c r="P416" i="1" s="1"/>
  <c r="D126" i="1"/>
  <c r="D122" i="1"/>
  <c r="D119" i="1"/>
  <c r="J121" i="1"/>
  <c r="J122" i="1" s="1"/>
  <c r="J127" i="1" s="1"/>
  <c r="J128" i="1" s="1"/>
  <c r="J118" i="1"/>
  <c r="D125" i="1"/>
  <c r="D121" i="1"/>
  <c r="J120" i="1"/>
  <c r="D128" i="1"/>
  <c r="D124" i="1"/>
  <c r="D120" i="1"/>
  <c r="D127" i="1"/>
  <c r="D123" i="1"/>
  <c r="G119" i="1"/>
  <c r="J119" i="1"/>
  <c r="E119" i="1"/>
  <c r="P306" i="1"/>
  <c r="P307" i="1" s="1"/>
  <c r="P308" i="1" s="1"/>
  <c r="P309" i="1" s="1"/>
  <c r="P310" i="1" s="1"/>
  <c r="P311" i="1" s="1"/>
  <c r="P353" i="1"/>
  <c r="P354" i="1" s="1"/>
  <c r="P355" i="1" s="1"/>
  <c r="P356" i="1" s="1"/>
  <c r="P357" i="1" s="1"/>
  <c r="P358" i="1" s="1"/>
  <c r="P359" i="1" s="1"/>
  <c r="P360" i="1" s="1"/>
  <c r="P361" i="1" s="1"/>
  <c r="N429" i="1"/>
  <c r="A429" i="1" s="1"/>
  <c r="O430" i="1"/>
  <c r="O342" i="1"/>
  <c r="N341" i="1"/>
  <c r="A341" i="1" s="1"/>
  <c r="P430" i="1"/>
  <c r="P431" i="1" s="1"/>
  <c r="P432" i="1" s="1"/>
  <c r="P433" i="1" s="1"/>
  <c r="P434" i="1" s="1"/>
  <c r="P435" i="1" s="1"/>
  <c r="P436" i="1" s="1"/>
  <c r="P437" i="1" s="1"/>
  <c r="P438" i="1" s="1"/>
  <c r="D97" i="1"/>
  <c r="D93" i="1"/>
  <c r="J92" i="1"/>
  <c r="D100" i="1"/>
  <c r="D96" i="1"/>
  <c r="D92" i="1"/>
  <c r="J91" i="1"/>
  <c r="D99" i="1"/>
  <c r="D95" i="1"/>
  <c r="G91" i="1"/>
  <c r="D98" i="1"/>
  <c r="D94" i="1"/>
  <c r="D91" i="1"/>
  <c r="E91" i="1"/>
  <c r="J90" i="1"/>
  <c r="J93" i="1"/>
  <c r="J94" i="1" s="1"/>
  <c r="J99" i="1" s="1"/>
  <c r="J100" i="1" s="1"/>
  <c r="P342" i="1"/>
  <c r="P343" i="1" s="1"/>
  <c r="P344" i="1" s="1"/>
  <c r="P345" i="1" s="1"/>
  <c r="P346" i="1" s="1"/>
  <c r="P347" i="1" s="1"/>
  <c r="P348" i="1" s="1"/>
  <c r="P349" i="1" s="1"/>
  <c r="P350" i="1" s="1"/>
  <c r="O388" i="1"/>
  <c r="N387" i="1"/>
  <c r="A387" i="1" s="1"/>
  <c r="D142" i="1"/>
  <c r="D138" i="1"/>
  <c r="D134" i="1"/>
  <c r="J133" i="1"/>
  <c r="D141" i="1"/>
  <c r="D137" i="1"/>
  <c r="E133" i="1"/>
  <c r="D140" i="1"/>
  <c r="D136" i="1"/>
  <c r="D139" i="1"/>
  <c r="D135" i="1"/>
  <c r="J132" i="1"/>
  <c r="J135" i="1"/>
  <c r="J136" i="1" s="1"/>
  <c r="J141" i="1" s="1"/>
  <c r="J142" i="1" s="1"/>
  <c r="J143" i="1" s="1"/>
  <c r="J134" i="1"/>
  <c r="C133" i="1" s="1"/>
  <c r="G133" i="1" s="1"/>
  <c r="G143" i="1" s="1"/>
  <c r="N236" i="1"/>
  <c r="A236" i="1" s="1"/>
  <c r="O237" i="1"/>
  <c r="P388" i="1"/>
  <c r="P389" i="1" s="1"/>
  <c r="P390" i="1" s="1"/>
  <c r="P391" i="1" s="1"/>
  <c r="N418" i="1"/>
  <c r="A418" i="1" s="1"/>
  <c r="O419" i="1"/>
  <c r="O252" i="1"/>
  <c r="N251" i="1"/>
  <c r="A251" i="1" s="1"/>
  <c r="O267" i="1"/>
  <c r="N266" i="1"/>
  <c r="A266" i="1" s="1"/>
  <c r="N313" i="1"/>
  <c r="A313" i="1" s="1"/>
  <c r="O314" i="1"/>
  <c r="N363" i="1"/>
  <c r="A363" i="1" s="1"/>
  <c r="O364" i="1"/>
  <c r="P419" i="1"/>
  <c r="P420" i="1" s="1"/>
  <c r="P421" i="1" s="1"/>
  <c r="P422" i="1" s="1"/>
  <c r="P423" i="1" s="1"/>
  <c r="P424" i="1" s="1"/>
  <c r="P425" i="1" s="1"/>
  <c r="P426" i="1" s="1"/>
  <c r="P427" i="1" s="1"/>
  <c r="E36" i="3" l="1"/>
  <c r="D36" i="3"/>
  <c r="G167" i="1"/>
  <c r="H682" i="1"/>
  <c r="E167" i="1"/>
  <c r="H542" i="1"/>
  <c r="G165" i="1" s="1"/>
  <c r="E165" i="1"/>
  <c r="H599" i="1"/>
  <c r="G166" i="1" s="1"/>
  <c r="E166" i="1"/>
  <c r="E164" i="1"/>
  <c r="E161" i="1"/>
  <c r="H722" i="1"/>
  <c r="G168" i="1" s="1"/>
  <c r="E168" i="1"/>
  <c r="G164" i="1"/>
  <c r="G161" i="1"/>
  <c r="C169" i="1"/>
  <c r="C170" i="1" s="1"/>
  <c r="I73" i="1"/>
  <c r="C75" i="1" s="1"/>
  <c r="D133" i="1"/>
  <c r="I101" i="1"/>
  <c r="C103" i="1" s="1"/>
  <c r="G77" i="1"/>
  <c r="D70" i="1" s="1"/>
  <c r="D72" i="1" s="1"/>
  <c r="N306" i="1"/>
  <c r="A306" i="1" s="1"/>
  <c r="O307" i="1"/>
  <c r="I87" i="1"/>
  <c r="C89" i="1" s="1"/>
  <c r="I115" i="1"/>
  <c r="C117" i="1" s="1"/>
  <c r="N394" i="1"/>
  <c r="A394" i="1" s="1"/>
  <c r="O395" i="1"/>
  <c r="D78" i="1"/>
  <c r="N314" i="1"/>
  <c r="A314" i="1" s="1"/>
  <c r="O315" i="1"/>
  <c r="O299" i="1"/>
  <c r="N298" i="1"/>
  <c r="A298" i="1" s="1"/>
  <c r="O268" i="1"/>
  <c r="N267" i="1"/>
  <c r="A267" i="1" s="1"/>
  <c r="I129" i="1"/>
  <c r="C131" i="1" s="1"/>
  <c r="C143" i="1"/>
  <c r="N400" i="1"/>
  <c r="A400" i="1" s="1"/>
  <c r="O401" i="1"/>
  <c r="N353" i="1"/>
  <c r="A353" i="1" s="1"/>
  <c r="O354" i="1"/>
  <c r="N237" i="1"/>
  <c r="A237" i="1" s="1"/>
  <c r="O238" i="1"/>
  <c r="O253" i="1"/>
  <c r="N252" i="1"/>
  <c r="A252" i="1" s="1"/>
  <c r="O343" i="1"/>
  <c r="N342" i="1"/>
  <c r="A342" i="1" s="1"/>
  <c r="N364" i="1"/>
  <c r="A364" i="1" s="1"/>
  <c r="O365" i="1"/>
  <c r="N419" i="1"/>
  <c r="A419" i="1" s="1"/>
  <c r="O420" i="1"/>
  <c r="O389" i="1"/>
  <c r="N388" i="1"/>
  <c r="A388" i="1" s="1"/>
  <c r="O431" i="1"/>
  <c r="N430" i="1"/>
  <c r="A430" i="1" s="1"/>
  <c r="O409" i="1"/>
  <c r="N408" i="1"/>
  <c r="A408" i="1" s="1"/>
  <c r="E169" i="1" l="1"/>
  <c r="E170" i="1" s="1"/>
  <c r="G169" i="1"/>
  <c r="G170" i="1" s="1"/>
  <c r="N343" i="1"/>
  <c r="A343" i="1" s="1"/>
  <c r="O344" i="1"/>
  <c r="N389" i="1"/>
  <c r="A389" i="1" s="1"/>
  <c r="O390" i="1"/>
  <c r="N395" i="1"/>
  <c r="A395" i="1" s="1"/>
  <c r="O396" i="1"/>
  <c r="O421" i="1"/>
  <c r="N420" i="1"/>
  <c r="A420" i="1" s="1"/>
  <c r="N238" i="1"/>
  <c r="A238" i="1" s="1"/>
  <c r="O239" i="1"/>
  <c r="O410" i="1"/>
  <c r="N409" i="1"/>
  <c r="A409" i="1" s="1"/>
  <c r="O300" i="1"/>
  <c r="N299" i="1"/>
  <c r="A299" i="1" s="1"/>
  <c r="N307" i="1"/>
  <c r="A307" i="1" s="1"/>
  <c r="O308" i="1"/>
  <c r="N431" i="1"/>
  <c r="A431" i="1" s="1"/>
  <c r="O432" i="1"/>
  <c r="N253" i="1"/>
  <c r="A253" i="1" s="1"/>
  <c r="O254" i="1"/>
  <c r="N268" i="1"/>
  <c r="A268" i="1" s="1"/>
  <c r="O269" i="1"/>
  <c r="N365" i="1"/>
  <c r="A365" i="1" s="1"/>
  <c r="O366" i="1"/>
  <c r="N354" i="1"/>
  <c r="A354" i="1" s="1"/>
  <c r="O355" i="1"/>
  <c r="N401" i="1"/>
  <c r="A401" i="1" s="1"/>
  <c r="O402" i="1"/>
  <c r="N315" i="1"/>
  <c r="A315" i="1" s="1"/>
  <c r="O316" i="1"/>
  <c r="O317" i="1" l="1"/>
  <c r="N316" i="1"/>
  <c r="A316" i="1" s="1"/>
  <c r="N269" i="1"/>
  <c r="A269" i="1" s="1"/>
  <c r="O270" i="1"/>
  <c r="O397" i="1"/>
  <c r="N397" i="1" s="1"/>
  <c r="A397" i="1" s="1"/>
  <c r="N396" i="1"/>
  <c r="A396" i="1" s="1"/>
  <c r="N421" i="1"/>
  <c r="A421" i="1" s="1"/>
  <c r="O422" i="1"/>
  <c r="O391" i="1"/>
  <c r="N391" i="1" s="1"/>
  <c r="A391" i="1" s="1"/>
  <c r="N390" i="1"/>
  <c r="A390" i="1" s="1"/>
  <c r="O367" i="1"/>
  <c r="N366" i="1"/>
  <c r="A366" i="1" s="1"/>
  <c r="O309" i="1"/>
  <c r="N308" i="1"/>
  <c r="A308" i="1" s="1"/>
  <c r="O301" i="1"/>
  <c r="N300" i="1"/>
  <c r="A300" i="1" s="1"/>
  <c r="O403" i="1"/>
  <c r="N403" i="1" s="1"/>
  <c r="A403" i="1" s="1"/>
  <c r="N402" i="1"/>
  <c r="A402" i="1" s="1"/>
  <c r="N254" i="1"/>
  <c r="A254" i="1" s="1"/>
  <c r="O255" i="1"/>
  <c r="O411" i="1"/>
  <c r="N410" i="1"/>
  <c r="A410" i="1" s="1"/>
  <c r="N355" i="1"/>
  <c r="A355" i="1" s="1"/>
  <c r="O356" i="1"/>
  <c r="N432" i="1"/>
  <c r="A432" i="1" s="1"/>
  <c r="O433" i="1"/>
  <c r="N239" i="1"/>
  <c r="A239" i="1" s="1"/>
  <c r="O240" i="1"/>
  <c r="O345" i="1"/>
  <c r="N344" i="1"/>
  <c r="A344" i="1" s="1"/>
  <c r="O357" i="1" l="1"/>
  <c r="N356" i="1"/>
  <c r="A356" i="1" s="1"/>
  <c r="N422" i="1"/>
  <c r="A422" i="1" s="1"/>
  <c r="O423" i="1"/>
  <c r="O346" i="1"/>
  <c r="N345" i="1"/>
  <c r="A345" i="1" s="1"/>
  <c r="O412" i="1"/>
  <c r="N411" i="1"/>
  <c r="A411" i="1" s="1"/>
  <c r="N309" i="1"/>
  <c r="A309" i="1" s="1"/>
  <c r="O310" i="1"/>
  <c r="N240" i="1"/>
  <c r="A240" i="1" s="1"/>
  <c r="O241" i="1"/>
  <c r="O256" i="1"/>
  <c r="N255" i="1"/>
  <c r="A255" i="1" s="1"/>
  <c r="O271" i="1"/>
  <c r="N270" i="1"/>
  <c r="A270" i="1" s="1"/>
  <c r="N367" i="1"/>
  <c r="A367" i="1" s="1"/>
  <c r="O368" i="1"/>
  <c r="O302" i="1"/>
  <c r="N301" i="1"/>
  <c r="A301" i="1" s="1"/>
  <c r="N433" i="1"/>
  <c r="A433" i="1" s="1"/>
  <c r="O434" i="1"/>
  <c r="N317" i="1"/>
  <c r="A317" i="1" s="1"/>
  <c r="O318" i="1"/>
  <c r="O435" i="1" l="1"/>
  <c r="N434" i="1"/>
  <c r="A434" i="1" s="1"/>
  <c r="O257" i="1"/>
  <c r="N256" i="1"/>
  <c r="A256" i="1" s="1"/>
  <c r="O347" i="1"/>
  <c r="N346" i="1"/>
  <c r="A346" i="1" s="1"/>
  <c r="N318" i="1"/>
  <c r="A318" i="1" s="1"/>
  <c r="O319" i="1"/>
  <c r="N319" i="1" s="1"/>
  <c r="A319" i="1" s="1"/>
  <c r="O242" i="1"/>
  <c r="N241" i="1"/>
  <c r="A241" i="1" s="1"/>
  <c r="N423" i="1"/>
  <c r="A423" i="1" s="1"/>
  <c r="O424" i="1"/>
  <c r="O303" i="1"/>
  <c r="N303" i="1" s="1"/>
  <c r="A303" i="1" s="1"/>
  <c r="N302" i="1"/>
  <c r="A302" i="1" s="1"/>
  <c r="O272" i="1"/>
  <c r="N271" i="1"/>
  <c r="A271" i="1" s="1"/>
  <c r="O413" i="1"/>
  <c r="N412" i="1"/>
  <c r="A412" i="1" s="1"/>
  <c r="N368" i="1"/>
  <c r="A368" i="1" s="1"/>
  <c r="O369" i="1"/>
  <c r="O311" i="1"/>
  <c r="N311" i="1" s="1"/>
  <c r="A311" i="1" s="1"/>
  <c r="N310" i="1"/>
  <c r="A310" i="1" s="1"/>
  <c r="N357" i="1"/>
  <c r="A357" i="1" s="1"/>
  <c r="O358" i="1"/>
  <c r="O273" i="1" l="1"/>
  <c r="N272" i="1"/>
  <c r="A272" i="1" s="1"/>
  <c r="O348" i="1"/>
  <c r="N347" i="1"/>
  <c r="A347" i="1" s="1"/>
  <c r="O258" i="1"/>
  <c r="N257" i="1"/>
  <c r="A257" i="1" s="1"/>
  <c r="O425" i="1"/>
  <c r="N424" i="1"/>
  <c r="A424" i="1" s="1"/>
  <c r="N358" i="1"/>
  <c r="A358" i="1" s="1"/>
  <c r="O359" i="1"/>
  <c r="N369" i="1"/>
  <c r="A369" i="1" s="1"/>
  <c r="O370" i="1"/>
  <c r="O414" i="1"/>
  <c r="N413" i="1"/>
  <c r="A413" i="1" s="1"/>
  <c r="N242" i="1"/>
  <c r="A242" i="1" s="1"/>
  <c r="O243" i="1"/>
  <c r="N435" i="1"/>
  <c r="A435" i="1" s="1"/>
  <c r="O436" i="1"/>
  <c r="O415" i="1" l="1"/>
  <c r="N414" i="1"/>
  <c r="A414" i="1" s="1"/>
  <c r="O259" i="1"/>
  <c r="N258" i="1"/>
  <c r="A258" i="1" s="1"/>
  <c r="O244" i="1"/>
  <c r="N243" i="1"/>
  <c r="A243" i="1" s="1"/>
  <c r="O349" i="1"/>
  <c r="N348" i="1"/>
  <c r="A348" i="1" s="1"/>
  <c r="N359" i="1"/>
  <c r="A359" i="1" s="1"/>
  <c r="O360" i="1"/>
  <c r="N425" i="1"/>
  <c r="A425" i="1" s="1"/>
  <c r="O426" i="1"/>
  <c r="O371" i="1"/>
  <c r="N370" i="1"/>
  <c r="A370" i="1" s="1"/>
  <c r="N436" i="1"/>
  <c r="A436" i="1" s="1"/>
  <c r="O437" i="1"/>
  <c r="O274" i="1"/>
  <c r="N273" i="1"/>
  <c r="A273" i="1" s="1"/>
  <c r="N371" i="1" l="1"/>
  <c r="A371" i="1" s="1"/>
  <c r="O372" i="1"/>
  <c r="N372" i="1" s="1"/>
  <c r="A372" i="1" s="1"/>
  <c r="O245" i="1"/>
  <c r="N244" i="1"/>
  <c r="A244" i="1" s="1"/>
  <c r="O260" i="1"/>
  <c r="N259" i="1"/>
  <c r="A259" i="1" s="1"/>
  <c r="N437" i="1"/>
  <c r="A437" i="1" s="1"/>
  <c r="O438" i="1"/>
  <c r="N438" i="1" s="1"/>
  <c r="A438" i="1" s="1"/>
  <c r="O350" i="1"/>
  <c r="N350" i="1" s="1"/>
  <c r="A350" i="1" s="1"/>
  <c r="N349" i="1"/>
  <c r="A349" i="1" s="1"/>
  <c r="N426" i="1"/>
  <c r="A426" i="1" s="1"/>
  <c r="O427" i="1"/>
  <c r="N427" i="1" s="1"/>
  <c r="A427" i="1" s="1"/>
  <c r="O361" i="1"/>
  <c r="N361" i="1" s="1"/>
  <c r="A361" i="1" s="1"/>
  <c r="N360" i="1"/>
  <c r="A360" i="1" s="1"/>
  <c r="O275" i="1"/>
  <c r="N274" i="1"/>
  <c r="A274" i="1" s="1"/>
  <c r="O416" i="1"/>
  <c r="N416" i="1" s="1"/>
  <c r="A416" i="1" s="1"/>
  <c r="N415" i="1"/>
  <c r="A415" i="1" s="1"/>
  <c r="O276" i="1" l="1"/>
  <c r="N275" i="1"/>
  <c r="A275" i="1" s="1"/>
  <c r="O261" i="1"/>
  <c r="N260" i="1"/>
  <c r="A260" i="1" s="1"/>
  <c r="O246" i="1"/>
  <c r="N245" i="1"/>
  <c r="A245" i="1" s="1"/>
  <c r="N246" i="1" l="1"/>
  <c r="A246" i="1" s="1"/>
  <c r="O247" i="1"/>
  <c r="O262" i="1"/>
  <c r="N261" i="1"/>
  <c r="A261" i="1" s="1"/>
  <c r="O277" i="1"/>
  <c r="N276" i="1"/>
  <c r="A276" i="1" s="1"/>
  <c r="O278" i="1" l="1"/>
  <c r="N277" i="1"/>
  <c r="A277" i="1" s="1"/>
  <c r="O263" i="1"/>
  <c r="N262" i="1"/>
  <c r="A262" i="1" s="1"/>
  <c r="N247" i="1"/>
  <c r="A247" i="1" s="1"/>
  <c r="O248" i="1"/>
  <c r="O264" i="1" l="1"/>
  <c r="N264" i="1" s="1"/>
  <c r="A264" i="1" s="1"/>
  <c r="N263" i="1"/>
  <c r="A263" i="1" s="1"/>
  <c r="O249" i="1"/>
  <c r="N249" i="1" s="1"/>
  <c r="A249" i="1" s="1"/>
  <c r="N248" i="1"/>
  <c r="A248" i="1" s="1"/>
  <c r="O279" i="1"/>
  <c r="N279" i="1" s="1"/>
  <c r="A279" i="1" s="1"/>
  <c r="N278" i="1"/>
  <c r="A278" i="1" s="1"/>
</calcChain>
</file>

<file path=xl/comments1.xml><?xml version="1.0" encoding="utf-8"?>
<comments xmlns="http://schemas.openxmlformats.org/spreadsheetml/2006/main">
  <authors>
    <author>SACHIN</author>
  </authors>
  <commentList>
    <comment ref="H478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<sst xmlns="http://schemas.openxmlformats.org/spreadsheetml/2006/main" count="1109" uniqueCount="334">
  <si>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</si>
  <si>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</si>
  <si>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</si>
  <si>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</si>
  <si>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</si>
  <si>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</si>
  <si>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</si>
  <si>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 xml:space="preserve">M/s. RSM Designers
</t>
  </si>
  <si>
    <t>Name of the builder company</t>
  </si>
  <si>
    <t>Name of the Project</t>
  </si>
  <si>
    <t>Unimont Imperia</t>
  </si>
  <si>
    <t>Contact Details ( Name &amp; Contact No.)</t>
  </si>
  <si>
    <t>Name / No of the Building</t>
  </si>
  <si>
    <t>Building No.1  A Wing
Building No.2  B, C &amp; D Wing
Building No.3  E Wing</t>
  </si>
  <si>
    <t>Docouments Provided</t>
  </si>
  <si>
    <t>Approved Plans, CC, Sale Plans, Cost Sheet</t>
  </si>
  <si>
    <t>RERA No.</t>
  </si>
  <si>
    <t>P52000022177</t>
  </si>
  <si>
    <t xml:space="preserve">Project location details       </t>
  </si>
  <si>
    <t>CTS No</t>
  </si>
  <si>
    <t>3528/1, 3528/2, 3528/3, 3528/4, 3530/2, S.No. 20/3, 18/2</t>
  </si>
  <si>
    <t>3528/5</t>
  </si>
  <si>
    <t>Road</t>
  </si>
  <si>
    <t>Internal Road</t>
  </si>
  <si>
    <t>Locality/Village</t>
  </si>
  <si>
    <t>Varose</t>
  </si>
  <si>
    <t>City</t>
  </si>
  <si>
    <t>Khopoli</t>
  </si>
  <si>
    <t>District</t>
  </si>
  <si>
    <t>Raigad</t>
  </si>
  <si>
    <t>Taluka</t>
  </si>
  <si>
    <t>Khalapur</t>
  </si>
  <si>
    <t>Pin Code</t>
  </si>
  <si>
    <t>Nearby Landmark</t>
  </si>
  <si>
    <t>MSEB Electric Substation</t>
  </si>
  <si>
    <t xml:space="preserve">Distance from city centre: </t>
  </si>
  <si>
    <t>1.20Km from Khopoli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</si>
  <si>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</si>
  <si>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</si>
  <si>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</si>
  <si>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</si>
  <si>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</si>
  <si>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</si>
  <si>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</si>
  <si>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</si>
  <si>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</si>
  <si>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</si>
  <si>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</si>
  <si>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</si>
  <si>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</si>
  <si>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Residential + Commercial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</si>
  <si>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</si>
  <si>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</si>
  <si>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</si>
  <si>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</si>
  <si>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</si>
  <si>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</si>
  <si>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</si>
  <si>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CTS No. 3518</t>
  </si>
  <si>
    <t>Open Plot</t>
  </si>
  <si>
    <t>West</t>
  </si>
  <si>
    <t>CTS No. 3523, 3522, 3529</t>
  </si>
  <si>
    <t>Internal Road/Open Plot</t>
  </si>
  <si>
    <t>North</t>
  </si>
  <si>
    <t>Old Mumbai Pune Highway</t>
  </si>
  <si>
    <t>National Highway 48</t>
  </si>
  <si>
    <t>South</t>
  </si>
  <si>
    <t>Other Plot</t>
  </si>
  <si>
    <t>Does the boundaries at site match, as mentioned in the Docoumentation: NA</t>
  </si>
  <si>
    <t>Latitude &amp; Longitude</t>
  </si>
  <si>
    <t>18.791637,73.337302</t>
  </si>
  <si>
    <t>Location link</t>
  </si>
  <si>
    <t>https://maps.app.goo.gl/YwECbMkt1GX3r34BA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</si>
  <si>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</si>
  <si>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</si>
  <si>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</si>
  <si>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</si>
  <si>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</si>
  <si>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</si>
  <si>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</si>
  <si>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05 Wings</t>
  </si>
  <si>
    <t xml:space="preserve">Approval Detail : Plan approval </t>
  </si>
  <si>
    <t xml:space="preserve">Layout Approval No     </t>
  </si>
  <si>
    <t>KMC/TP/BP/89</t>
  </si>
  <si>
    <t>Dated</t>
  </si>
  <si>
    <t>Approved Floor plan No.
Building No. 2  &amp; 3 = Gr + 1st to 12th Floor</t>
  </si>
  <si>
    <t>CBRKC/B/2019/APL/00098</t>
  </si>
  <si>
    <t>Approved Floor plan No.
Building No. 1 = Gr + 1 st to 14th Floor  
Building No.2 &amp; 3 = 13th + 14th Floor</t>
  </si>
  <si>
    <t xml:space="preserve">Commencement Certificate No.
Valid Up to: </t>
  </si>
  <si>
    <t>Building No.1 (A Wing) = G + 1st to 12th Floor
Building No.2 (B, C &amp; D Wing) = G + 1st to 12th Floor
Building No.3 (E Wing) = G + 1st to 12th Floor</t>
  </si>
  <si>
    <t>Building No.1 (A Wing) = Gr + 14th Floors (Resi &amp; Comm)
Building No.2 (B, C &amp; D Wing) = 13th + 14th Floor (Residential)
Building No.3 (E Wing) = 13th + 14th Floor (Residential)</t>
  </si>
  <si>
    <t>Tata Power NOC (High Tension Line)</t>
  </si>
  <si>
    <t>TLJ/REQ-407(SPP)/1531</t>
  </si>
  <si>
    <t>HPCL NOC</t>
  </si>
  <si>
    <t>ROU/NOC/2023-2024/MAR/01</t>
  </si>
  <si>
    <t xml:space="preserve">O. Certificate No.: </t>
  </si>
  <si>
    <t>NA
Approved upto : NA</t>
  </si>
  <si>
    <t xml:space="preserve">Date of approval: </t>
  </si>
  <si>
    <t>Building wise Construction details</t>
  </si>
  <si>
    <t>Approved area of building (Sq.Mt)</t>
  </si>
  <si>
    <t>Approved no of units</t>
  </si>
  <si>
    <t>Flats - 617, Shop - 30</t>
  </si>
  <si>
    <t>Approved no of Floors</t>
  </si>
  <si>
    <t>Building No.1 (A Wing) = Gr + 1st to 14th Floor
Building No.2 (B, C &amp; D Wing) = Gr + 1st to 14th Floor
Building No.3 (E Wing) = Gr + 1st to 14th Floor</t>
  </si>
  <si>
    <t>Proposed no of Floors</t>
  </si>
  <si>
    <t>Building No.1 (A Wing) = Gr + 1st to 14th Floor</t>
  </si>
  <si>
    <t>Building No.2 (B Wing) = G + 1st to 14th Floor</t>
  </si>
  <si>
    <t>Building No.2 (C Wing) = G + 1st to 14th Floor</t>
  </si>
  <si>
    <t>Building No.2 (D Wing) = G + 1st to 14th Floor</t>
  </si>
  <si>
    <t>Building No.3 (E Wing) = G + 1st to 14th Floor</t>
  </si>
  <si>
    <t>Expected Completion</t>
  </si>
  <si>
    <t>As per RERA - 28/08/2027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</si>
  <si>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</si>
  <si>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Badminton Court, Basket Ball, Cafeteria, Children's Play Area, Hill Walkway, Library, Miniplex, Spa / Sauna / Steam, Swimming Pool, Gymnasium, Yoga Room, etc.</t>
  </si>
  <si>
    <t xml:space="preserve">https://unimontimperia.in/ </t>
  </si>
  <si>
    <t>Projected life of the structure</t>
  </si>
  <si>
    <t xml:space="preserve">Quality of construction: </t>
  </si>
  <si>
    <t xml:space="preserve">Material laying at Site: </t>
  </si>
  <si>
    <t xml:space="preserve">Violations Observed if any 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</si>
  <si>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</si>
  <si>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</si>
  <si>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</si>
  <si>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</si>
  <si>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</si>
  <si>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</si>
  <si>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</si>
  <si>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</si>
  <si>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</si>
  <si>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</si>
  <si>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</si>
  <si>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</si>
  <si>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</si>
  <si>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</si>
  <si>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</si>
  <si>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</si>
  <si>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</si>
  <si>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</si>
  <si>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</si>
  <si>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</si>
  <si>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</si>
  <si>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</si>
  <si>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</si>
  <si>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</si>
  <si>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</si>
  <si>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</si>
  <si>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</si>
  <si>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</si>
  <si>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</si>
  <si>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</si>
  <si>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</si>
  <si>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</si>
  <si>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</si>
  <si>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</si>
  <si>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</si>
  <si>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</si>
  <si>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Recommended Rates of the Property :</t>
  </si>
  <si>
    <t>Recommended rate of the flat Per Sq. Ft. ( on Saleable area)</t>
  </si>
  <si>
    <t>Recommended rate of the shop Per Sq. Ft. ( on Saleable area)</t>
  </si>
  <si>
    <t>Recommended rate of the Office Per Sq. Ft. ( on Saleable area)</t>
  </si>
  <si>
    <t>Floor Rise Rate Per Sq.ft</t>
  </si>
  <si>
    <t>Society 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</si>
  <si>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</si>
  <si>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</si>
  <si>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</si>
  <si>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</si>
  <si>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</si>
  <si>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</si>
  <si>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</si>
  <si>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1,00,000/-</t>
  </si>
  <si>
    <t>Distressed valuation of the Property</t>
  </si>
  <si>
    <t>Commercial Area Details : (Shops)</t>
  </si>
  <si>
    <t>Building &amp; Wing</t>
  </si>
  <si>
    <t>No. of Units</t>
  </si>
  <si>
    <t>Total Carpet Area</t>
  </si>
  <si>
    <t>Total Saleable Area</t>
  </si>
  <si>
    <t>Building No. 1 A Wing</t>
  </si>
  <si>
    <t>Total</t>
  </si>
  <si>
    <t>Residential Area Details : (Flats)</t>
  </si>
  <si>
    <t>Building No. 2 B Wing</t>
  </si>
  <si>
    <t>Building No. 2 C Wing</t>
  </si>
  <si>
    <t>Building No. 2 D Wing</t>
  </si>
  <si>
    <t>Building No. 3 E Wing</t>
  </si>
  <si>
    <t>Grand Total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</si>
  <si>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</si>
  <si>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</si>
  <si>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</si>
  <si>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</si>
  <si>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</si>
  <si>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</si>
  <si>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Terrace area</t>
  </si>
  <si>
    <t>Saleable area
Loading :</t>
  </si>
  <si>
    <t>Floor</t>
  </si>
  <si>
    <t>Building No.01</t>
  </si>
  <si>
    <t>Wing - A</t>
  </si>
  <si>
    <t>Ground Floor for commercial, Residential &amp; Parking</t>
  </si>
  <si>
    <t>Shop</t>
  </si>
  <si>
    <t>1st Floor for commercial</t>
  </si>
  <si>
    <t>Shop (Duplex with Ground Floor)</t>
  </si>
  <si>
    <t>Office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</si>
  <si>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</si>
  <si>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</si>
  <si>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Building No.1</t>
  </si>
  <si>
    <t>Ground Floor for Residential</t>
  </si>
  <si>
    <t>2 BHK</t>
  </si>
  <si>
    <t>1 RK</t>
  </si>
  <si>
    <t>1st Floor for Residential</t>
  </si>
  <si>
    <t xml:space="preserve">2nd Floor </t>
  </si>
  <si>
    <t>1 BHK</t>
  </si>
  <si>
    <t xml:space="preserve"> 3rd, 5th, 7th, 9th, 11th Floor</t>
  </si>
  <si>
    <t xml:space="preserve"> 4th, 6th, 12th Floor</t>
  </si>
  <si>
    <t xml:space="preserve"> 8th, 10th Floor</t>
  </si>
  <si>
    <t>Wing - B</t>
  </si>
  <si>
    <t>2BHK</t>
  </si>
  <si>
    <t xml:space="preserve"> 3th, 5th, 7th, 9th &amp; 11th Floor</t>
  </si>
  <si>
    <t xml:space="preserve"> 4th, 6th &amp; 12th Floor</t>
  </si>
  <si>
    <t xml:space="preserve"> 8th &amp; 10th Floor</t>
  </si>
  <si>
    <t>Wing - C</t>
  </si>
  <si>
    <t>Ground Floor for Parking</t>
  </si>
  <si>
    <t>Wing - D</t>
  </si>
  <si>
    <t>1BHK</t>
  </si>
  <si>
    <t xml:space="preserve"> 8th &amp; 10th Floor (Part Refuge Area )</t>
  </si>
  <si>
    <t>Wing - E</t>
  </si>
  <si>
    <t>1st, 3rd, 5th, 7th, 9th, 11th Floor</t>
  </si>
  <si>
    <t xml:space="preserve">2nd, 4th, 6th &amp; 12th Floor </t>
  </si>
  <si>
    <t xml:space="preserve">Details of Residential &amp; Commercials in Building   </t>
  </si>
  <si>
    <r>
      <rPr>
        <b/>
        <sz val="12"/>
        <rFont val="Times New Roman"/>
        <family val="1"/>
      </rPr>
      <t xml:space="preserve">Shop No.
</t>
    </r>
    <r>
      <rPr>
        <b/>
        <sz val="11"/>
        <rFont val="Times New Roman"/>
        <family val="1"/>
      </rPr>
      <t>(Approved Plan)</t>
    </r>
  </si>
  <si>
    <t>Shop No. (Sale Plan)</t>
  </si>
  <si>
    <t>Carpet area</t>
  </si>
  <si>
    <t>Attached Loft area</t>
  </si>
  <si>
    <t>Saleable area Loading :</t>
  </si>
  <si>
    <t>Building No. 1</t>
  </si>
  <si>
    <t>A Wing</t>
  </si>
  <si>
    <t>Ground Floor for Commercial, Residential, Entrance Lobby, Fire Control Room, 
Meter Room &amp; Parking</t>
  </si>
  <si>
    <t>1st Floor For Commercial, Residential, Fitness Centre/Society Office, Drivers Room</t>
  </si>
  <si>
    <t>20A</t>
  </si>
  <si>
    <t>21A</t>
  </si>
  <si>
    <t>22A</t>
  </si>
  <si>
    <t>23A</t>
  </si>
  <si>
    <t>24A</t>
  </si>
  <si>
    <t>20B</t>
  </si>
  <si>
    <t>21B</t>
  </si>
  <si>
    <t>22B</t>
  </si>
  <si>
    <t>23B</t>
  </si>
  <si>
    <t>24B</t>
  </si>
  <si>
    <t>25B</t>
  </si>
  <si>
    <t>Flat No. (Sale Plan)</t>
  </si>
  <si>
    <t>Balcony + WS Area</t>
  </si>
  <si>
    <t>Ground Floor for Residential, Commercial, Entrance Lobby, Fire Control Room, 
Meter Room &amp; Parking</t>
  </si>
  <si>
    <t>1st Floor For Residential, Commercial, Fitness Centre/Society Office, Drivers Room</t>
  </si>
  <si>
    <t>3BHK</t>
  </si>
  <si>
    <t>-</t>
  </si>
  <si>
    <t>Drivers Room</t>
  </si>
  <si>
    <t>Fitness Centre/Society Office</t>
  </si>
  <si>
    <t>2nd Floor For Residential</t>
  </si>
  <si>
    <t>3rd to 7th, 9th to 12th &amp; 14th Floor</t>
  </si>
  <si>
    <t>8th &amp; 13th Floor (Refuge Balcony attached to passage)</t>
  </si>
  <si>
    <t>Building No. 2</t>
  </si>
  <si>
    <t>B Wing</t>
  </si>
  <si>
    <t>13th Floor</t>
  </si>
  <si>
    <t>14th Floor</t>
  </si>
  <si>
    <t>C Wing</t>
  </si>
  <si>
    <t>D Wing</t>
  </si>
  <si>
    <t>Building No. 3</t>
  </si>
  <si>
    <t>E Wing</t>
  </si>
  <si>
    <t xml:space="preserve">Remarks:  </t>
  </si>
  <si>
    <t>*</t>
  </si>
  <si>
    <t>We considered  Saleable area  as per our calculation.</t>
  </si>
  <si>
    <t>We considered Carpet area as per Approved Plan.</t>
  </si>
  <si>
    <t>We considered Gross carpet area = Net carpet + Balcony + WS Area.</t>
  </si>
  <si>
    <t>We have considered rate by verifying it from market inquire.</t>
  </si>
  <si>
    <t>Car parking is subjected to authentic documentation.</t>
  </si>
  <si>
    <t>On Site, we meet Mr. Ketan More : 9930508626.</t>
  </si>
  <si>
    <t>Provide revised approved Plan.</t>
  </si>
  <si>
    <t>We have updated latest CC from Rera (On 14/06/2023).</t>
  </si>
  <si>
    <t>We have updated following revised approved floor plans on 23/09/2024
Building No. 1 A Wing  = Gr + 1st to 14th Floor and 
Building No. 2 B, C &amp; D Wing = 13th &amp; 14th Floor
Building No. 3 E Wing = 13th &amp; 14th Floor</t>
  </si>
  <si>
    <t>High Tension Lines are passing from the South side of the project.</t>
  </si>
  <si>
    <t>HPCL Line passing between Building No. 1 &amp; 2.</t>
  </si>
  <si>
    <t>National Highway 48 is passing from North Side of project (at distance about 10-20Mtrs)</t>
  </si>
  <si>
    <t>As per approved plan dated 10/07/2019, CTS No. 3528/1, 3528/2, 3528/3, 3528/4, 3528/5, 3530 are mentioned.
As per approved plan dated 08/04/2022, CTS No. 3528/1, 3528/2, 3528/3, 3528/4, 3530/2 are mentioned.
And As per CC dated 08/04/2022, S.No. 20/3, 18/2 H. No. 3528/1, 3528/2, 3528/3, 3528/4, 3530/2 are mentioned.
Please check Title report for Survey No, Hissa No &amp; CTS No.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</si>
  <si>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</si>
  <si>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</si>
  <si>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</si>
  <si>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</si>
  <si>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</si>
  <si>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</si>
  <si>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</si>
  <si>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</si>
  <si>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Nitesh Patil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</si>
  <si>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</si>
  <si>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</si>
  <si>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</si>
  <si>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</si>
  <si>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</si>
  <si>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</si>
  <si>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</si>
  <si>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</si>
  <si>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</si>
  <si>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</si>
  <si>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</si>
  <si>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</si>
  <si>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</si>
  <si>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</si>
  <si>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</si>
  <si>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</si>
  <si>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</si>
  <si>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</si>
  <si>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</si>
  <si>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</si>
  <si>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</si>
  <si>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</si>
  <si>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</si>
  <si>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</si>
  <si>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</si>
  <si>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</si>
  <si>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</si>
  <si>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</si>
  <si>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</si>
  <si>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</si>
  <si>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</si>
  <si>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</si>
  <si>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</si>
  <si>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</si>
  <si>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</si>
  <si>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</si>
  <si>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</si>
  <si>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</si>
  <si>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</si>
  <si>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Wing A  = Construction work is same as last visit(11/06/2024).</t>
  </si>
  <si>
    <t>4000 to 4200</t>
  </si>
  <si>
    <t xml:space="preserve"> smith verbal</t>
  </si>
  <si>
    <t xml:space="preserve"> 06-08-2025</t>
  </si>
  <si>
    <t>Recommended Rates / Other charges of the Property have been revised on 06/08/2025.</t>
  </si>
  <si>
    <t>Wing A = Construction work is in process at the time of Visit.
Wing B, C &amp; D = Construction work is in process at the time of Visit.
Wing E = All work completed. Please provide OC.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</si>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</sst>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dd\/mm\/yyyy"/>
    <numFmt numFmtId="167" formatCode="0.0"/>
  </numFmts>
  <fonts count="25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511703848384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0">
    <xf numFmtId="0" fontId="0" fillId="0" borderId="0"/>
    <xf numFmtId="9" fontId="2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2" fillId="0" borderId="0"/>
  </cellStyleXfs>
  <cellXfs count="205">
    <xf numFmtId="0" fontId="0" fillId="0" borderId="0" xfId="0"/>
    <xf numFmtId="0" fontId="1" fillId="0" borderId="0" xfId="5"/>
    <xf numFmtId="0" fontId="2" fillId="0" borderId="0" xfId="9"/>
    <xf numFmtId="0" fontId="3" fillId="0" borderId="1" xfId="9" applyFont="1" applyBorder="1" applyAlignment="1">
      <alignment horizontal="center" vertical="top" wrapText="1"/>
    </xf>
    <xf numFmtId="0" fontId="2" fillId="0" borderId="1" xfId="9" applyBorder="1" applyAlignment="1">
      <alignment horizontal="center" vertical="center"/>
    </xf>
    <xf numFmtId="0" fontId="2" fillId="0" borderId="1" xfId="9" applyBorder="1" applyAlignment="1">
      <alignment horizontal="left" vertical="center"/>
    </xf>
    <xf numFmtId="1" fontId="2" fillId="0" borderId="1" xfId="9" applyNumberFormat="1" applyBorder="1" applyAlignment="1">
      <alignment horizontal="center" vertical="center"/>
    </xf>
    <xf numFmtId="165" fontId="2" fillId="0" borderId="1" xfId="3" applyNumberFormat="1" applyFont="1" applyBorder="1" applyAlignment="1">
      <alignment horizontal="right" vertical="center"/>
    </xf>
    <xf numFmtId="0" fontId="2" fillId="0" borderId="1" xfId="9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/>
    </xf>
    <xf numFmtId="1" fontId="4" fillId="0" borderId="1" xfId="9" applyNumberFormat="1" applyFont="1" applyBorder="1" applyAlignment="1">
      <alignment horizontal="center" vertical="center"/>
    </xf>
    <xf numFmtId="0" fontId="1" fillId="0" borderId="1" xfId="5" applyBorder="1" applyAlignment="1">
      <alignment horizontal="center" vertical="center"/>
    </xf>
    <xf numFmtId="0" fontId="5" fillId="0" borderId="0" xfId="5" applyFont="1"/>
    <xf numFmtId="0" fontId="0" fillId="2" borderId="1" xfId="0" applyFill="1" applyBorder="1"/>
    <xf numFmtId="0" fontId="0" fillId="0" borderId="2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6" fillId="0" borderId="0" xfId="7" applyFont="1"/>
    <xf numFmtId="0" fontId="7" fillId="0" borderId="0" xfId="7" applyFont="1"/>
    <xf numFmtId="0" fontId="8" fillId="0" borderId="0" xfId="7" applyFont="1"/>
    <xf numFmtId="0" fontId="9" fillId="0" borderId="0" xfId="4" applyFont="1"/>
    <xf numFmtId="0" fontId="6" fillId="0" borderId="0" xfId="0" applyFont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7" applyFont="1" applyProtection="1">
      <protection locked="0"/>
    </xf>
    <xf numFmtId="0" fontId="10" fillId="0" borderId="0" xfId="7" applyFont="1"/>
    <xf numFmtId="0" fontId="7" fillId="0" borderId="1" xfId="7" applyFont="1" applyBorder="1" applyAlignment="1" applyProtection="1">
      <alignment horizontal="center" vertical="top"/>
      <protection locked="0"/>
    </xf>
    <xf numFmtId="0" fontId="9" fillId="3" borderId="1" xfId="7" applyFont="1" applyFill="1" applyBorder="1" applyAlignment="1" applyProtection="1">
      <alignment horizontal="left" vertical="top"/>
      <protection locked="0"/>
    </xf>
    <xf numFmtId="0" fontId="7" fillId="3" borderId="1" xfId="7" applyFont="1" applyFill="1" applyBorder="1" applyAlignment="1" applyProtection="1">
      <alignment vertical="top"/>
      <protection locked="0"/>
    </xf>
    <xf numFmtId="0" fontId="12" fillId="3" borderId="1" xfId="7" applyFont="1" applyFill="1" applyBorder="1" applyAlignment="1" applyProtection="1">
      <alignment horizontal="left" vertical="top"/>
      <protection locked="0"/>
    </xf>
    <xf numFmtId="1" fontId="10" fillId="0" borderId="0" xfId="7" applyNumberFormat="1" applyFont="1"/>
    <xf numFmtId="0" fontId="7" fillId="0" borderId="19" xfId="7" applyFont="1" applyBorder="1" applyAlignment="1" applyProtection="1">
      <alignment horizontal="center" vertical="top"/>
      <protection locked="0"/>
    </xf>
    <xf numFmtId="0" fontId="7" fillId="0" borderId="20" xfId="7" applyFont="1" applyBorder="1" applyAlignment="1" applyProtection="1">
      <alignment horizontal="center" vertical="top"/>
      <protection locked="0"/>
    </xf>
    <xf numFmtId="0" fontId="10" fillId="0" borderId="1" xfId="7" applyFont="1" applyBorder="1" applyAlignment="1" applyProtection="1">
      <alignment horizontal="center" vertical="top" wrapText="1"/>
      <protection locked="0"/>
    </xf>
    <xf numFmtId="0" fontId="7" fillId="0" borderId="1" xfId="7" applyFont="1" applyBorder="1" applyAlignment="1" applyProtection="1">
      <alignment horizontal="center" vertical="top" wrapText="1"/>
      <protection locked="0"/>
    </xf>
    <xf numFmtId="0" fontId="7" fillId="0" borderId="1" xfId="7" applyFont="1" applyBorder="1" applyAlignment="1" applyProtection="1">
      <alignment horizontal="center" wrapText="1"/>
      <protection locked="0"/>
    </xf>
    <xf numFmtId="9" fontId="7" fillId="3" borderId="1" xfId="7" applyNumberFormat="1" applyFont="1" applyFill="1" applyBorder="1" applyAlignment="1" applyProtection="1">
      <alignment horizontal="center" vertical="center" wrapText="1"/>
      <protection hidden="1"/>
    </xf>
    <xf numFmtId="1" fontId="7" fillId="0" borderId="1" xfId="7" applyNumberFormat="1" applyFont="1" applyBorder="1" applyAlignment="1" applyProtection="1">
      <alignment horizontal="center" wrapText="1"/>
      <protection locked="0"/>
    </xf>
    <xf numFmtId="0" fontId="7" fillId="0" borderId="22" xfId="7" applyFont="1" applyBorder="1" applyAlignment="1" applyProtection="1">
      <alignment horizontal="center" wrapText="1"/>
      <protection locked="0"/>
    </xf>
    <xf numFmtId="9" fontId="7" fillId="3" borderId="22" xfId="7" applyNumberFormat="1" applyFont="1" applyFill="1" applyBorder="1" applyAlignment="1" applyProtection="1">
      <alignment horizontal="center" vertical="center" wrapText="1"/>
      <protection hidden="1"/>
    </xf>
    <xf numFmtId="14" fontId="10" fillId="0" borderId="0" xfId="7" applyNumberFormat="1" applyFont="1"/>
    <xf numFmtId="0" fontId="15" fillId="0" borderId="0" xfId="2"/>
    <xf numFmtId="0" fontId="10" fillId="0" borderId="0" xfId="7" applyFont="1" applyProtection="1">
      <protection hidden="1"/>
    </xf>
    <xf numFmtId="0" fontId="10" fillId="0" borderId="24" xfId="7" applyFont="1" applyBorder="1" applyProtection="1">
      <protection hidden="1"/>
    </xf>
    <xf numFmtId="0" fontId="10" fillId="0" borderId="25" xfId="7" applyFont="1" applyBorder="1" applyProtection="1">
      <protection hidden="1"/>
    </xf>
    <xf numFmtId="0" fontId="10" fillId="0" borderId="26" xfId="7" applyFont="1" applyBorder="1" applyProtection="1">
      <protection hidden="1"/>
    </xf>
    <xf numFmtId="0" fontId="16" fillId="0" borderId="0" xfId="0" applyFont="1" applyProtection="1">
      <protection hidden="1"/>
    </xf>
    <xf numFmtId="0" fontId="10" fillId="0" borderId="26" xfId="7" applyFont="1" applyBorder="1"/>
    <xf numFmtId="0" fontId="16" fillId="0" borderId="26" xfId="0" applyFont="1" applyBorder="1" applyProtection="1">
      <protection hidden="1"/>
    </xf>
    <xf numFmtId="1" fontId="0" fillId="0" borderId="26" xfId="0" applyNumberFormat="1" applyBorder="1"/>
    <xf numFmtId="1" fontId="0" fillId="0" borderId="26" xfId="0" applyNumberFormat="1" applyBorder="1" applyAlignment="1">
      <alignment horizontal="right"/>
    </xf>
    <xf numFmtId="0" fontId="16" fillId="0" borderId="27" xfId="0" applyFont="1" applyBorder="1" applyProtection="1">
      <protection hidden="1"/>
    </xf>
    <xf numFmtId="1" fontId="0" fillId="0" borderId="28" xfId="0" applyNumberFormat="1" applyBorder="1"/>
    <xf numFmtId="0" fontId="9" fillId="0" borderId="1" xfId="7" applyFont="1" applyBorder="1" applyAlignment="1" applyProtection="1">
      <alignment horizontal="center" vertical="top"/>
      <protection locked="0"/>
    </xf>
    <xf numFmtId="9" fontId="10" fillId="3" borderId="1" xfId="7" applyNumberFormat="1" applyFont="1" applyFill="1" applyBorder="1" applyAlignment="1" applyProtection="1">
      <alignment horizontal="center" vertical="center" wrapText="1"/>
      <protection hidden="1"/>
    </xf>
    <xf numFmtId="9" fontId="10" fillId="3" borderId="22" xfId="7" applyNumberFormat="1" applyFont="1" applyFill="1" applyBorder="1" applyAlignment="1" applyProtection="1">
      <alignment horizontal="center" vertical="center" wrapText="1"/>
      <protection hidden="1"/>
    </xf>
    <xf numFmtId="1" fontId="12" fillId="0" borderId="9" xfId="7" applyNumberFormat="1" applyFont="1" applyBorder="1" applyAlignment="1" applyProtection="1">
      <alignment horizontal="center" vertical="top" wrapText="1"/>
      <protection locked="0"/>
    </xf>
    <xf numFmtId="9" fontId="12" fillId="0" borderId="29" xfId="1" applyFont="1" applyFill="1" applyBorder="1" applyAlignment="1" applyProtection="1">
      <alignment horizontal="center" vertical="top" wrapText="1"/>
      <protection locked="0"/>
    </xf>
    <xf numFmtId="1" fontId="9" fillId="0" borderId="1" xfId="7" applyNumberFormat="1" applyFont="1" applyBorder="1" applyAlignment="1" applyProtection="1">
      <alignment horizontal="center" vertical="center" wrapText="1"/>
      <protection locked="0"/>
    </xf>
    <xf numFmtId="1" fontId="10" fillId="0" borderId="0" xfId="7" applyNumberFormat="1" applyFont="1" applyAlignment="1">
      <alignment horizontal="center" vertical="center"/>
    </xf>
    <xf numFmtId="1" fontId="13" fillId="0" borderId="9" xfId="7" applyNumberFormat="1" applyFont="1" applyBorder="1" applyAlignment="1" applyProtection="1">
      <alignment horizontal="center" vertical="top" wrapText="1"/>
      <protection locked="0"/>
    </xf>
    <xf numFmtId="9" fontId="13" fillId="0" borderId="29" xfId="1" applyFont="1" applyFill="1" applyBorder="1" applyAlignment="1" applyProtection="1">
      <alignment horizontal="center" vertical="top" wrapText="1"/>
      <protection locked="0"/>
    </xf>
    <xf numFmtId="1" fontId="9" fillId="0" borderId="1" xfId="7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7" applyFont="1" applyAlignment="1" applyProtection="1">
      <alignment vertical="top"/>
      <protection locked="0"/>
    </xf>
    <xf numFmtId="0" fontId="12" fillId="0" borderId="0" xfId="7" applyFont="1" applyAlignment="1" applyProtection="1">
      <alignment vertical="top" wrapText="1"/>
      <protection locked="0"/>
    </xf>
    <xf numFmtId="0" fontId="14" fillId="0" borderId="0" xfId="7" applyFont="1" applyProtection="1">
      <protection locked="0"/>
    </xf>
    <xf numFmtId="0" fontId="11" fillId="0" borderId="1" xfId="7" applyFont="1" applyBorder="1" applyAlignment="1" applyProtection="1">
      <alignment horizontal="center" vertical="top" wrapText="1"/>
      <protection locked="0"/>
    </xf>
    <xf numFmtId="0" fontId="12" fillId="0" borderId="1" xfId="7" applyFont="1" applyBorder="1" applyAlignment="1" applyProtection="1">
      <alignment horizontal="center" vertical="top"/>
      <protection locked="0"/>
    </xf>
    <xf numFmtId="0" fontId="9" fillId="0" borderId="1" xfId="7" applyFont="1" applyBorder="1" applyAlignment="1" applyProtection="1">
      <alignment horizontal="left" vertical="top"/>
      <protection locked="0"/>
    </xf>
    <xf numFmtId="166" fontId="9" fillId="0" borderId="1" xfId="7" applyNumberFormat="1" applyFont="1" applyBorder="1" applyAlignment="1" applyProtection="1">
      <alignment horizontal="left" vertical="top"/>
      <protection locked="0"/>
    </xf>
    <xf numFmtId="0" fontId="7" fillId="0" borderId="1" xfId="7" applyFont="1" applyBorder="1" applyAlignment="1" applyProtection="1">
      <alignment horizontal="left" vertical="center" wrapText="1"/>
      <protection locked="0"/>
    </xf>
    <xf numFmtId="0" fontId="9" fillId="0" borderId="1" xfId="7" applyFont="1" applyBorder="1" applyAlignment="1" applyProtection="1">
      <alignment horizontal="left" vertical="top" wrapText="1"/>
      <protection locked="0"/>
    </xf>
    <xf numFmtId="0" fontId="12" fillId="0" borderId="1" xfId="7" applyFont="1" applyBorder="1" applyAlignment="1" applyProtection="1">
      <alignment horizontal="left" vertical="top"/>
      <protection locked="0"/>
    </xf>
    <xf numFmtId="0" fontId="7" fillId="0" borderId="1" xfId="7" applyFont="1" applyBorder="1" applyAlignment="1" applyProtection="1">
      <alignment horizontal="left" vertical="top"/>
      <protection locked="0"/>
    </xf>
    <xf numFmtId="0" fontId="7" fillId="0" borderId="1" xfId="7" applyFont="1" applyBorder="1" applyAlignment="1" applyProtection="1">
      <alignment horizontal="left" vertical="top" wrapText="1"/>
      <protection locked="0"/>
    </xf>
    <xf numFmtId="0" fontId="7" fillId="0" borderId="1" xfId="7" applyFont="1" applyBorder="1" applyAlignment="1" applyProtection="1">
      <alignment horizontal="left"/>
      <protection locked="0"/>
    </xf>
    <xf numFmtId="0" fontId="9" fillId="3" borderId="1" xfId="7" applyFont="1" applyFill="1" applyBorder="1" applyAlignment="1" applyProtection="1">
      <alignment horizontal="left" vertical="top" wrapText="1"/>
      <protection locked="0"/>
    </xf>
    <xf numFmtId="0" fontId="13" fillId="0" borderId="1" xfId="7" applyFont="1" applyBorder="1" applyAlignment="1" applyProtection="1">
      <alignment horizontal="center"/>
      <protection locked="0"/>
    </xf>
    <xf numFmtId="0" fontId="13" fillId="0" borderId="1" xfId="7" applyFont="1" applyBorder="1" applyAlignment="1" applyProtection="1">
      <alignment horizontal="center" vertical="top"/>
      <protection locked="0"/>
    </xf>
    <xf numFmtId="0" fontId="7" fillId="0" borderId="1" xfId="7" applyFont="1" applyBorder="1" applyAlignment="1" applyProtection="1">
      <alignment horizontal="center"/>
      <protection locked="0"/>
    </xf>
    <xf numFmtId="0" fontId="7" fillId="0" borderId="1" xfId="7" applyFont="1" applyBorder="1" applyAlignment="1" applyProtection="1">
      <alignment horizontal="center" vertical="top"/>
      <protection locked="0"/>
    </xf>
    <xf numFmtId="0" fontId="14" fillId="0" borderId="3" xfId="7" applyFont="1" applyBorder="1" applyAlignment="1" applyProtection="1">
      <alignment horizontal="left" vertical="center"/>
      <protection locked="0"/>
    </xf>
    <xf numFmtId="0" fontId="14" fillId="0" borderId="4" xfId="7" applyFont="1" applyBorder="1" applyAlignment="1" applyProtection="1">
      <alignment horizontal="left" vertical="center"/>
      <protection locked="0"/>
    </xf>
    <xf numFmtId="0" fontId="14" fillId="0" borderId="5" xfId="7" applyFont="1" applyBorder="1" applyAlignment="1" applyProtection="1">
      <alignment horizontal="left" vertical="center"/>
      <protection locked="0"/>
    </xf>
    <xf numFmtId="0" fontId="15" fillId="0" borderId="3" xfId="2" applyBorder="1" applyAlignment="1" applyProtection="1">
      <alignment horizontal="left" vertical="center"/>
      <protection locked="0"/>
    </xf>
    <xf numFmtId="0" fontId="10" fillId="0" borderId="4" xfId="7" applyFont="1" applyBorder="1" applyAlignment="1" applyProtection="1">
      <alignment horizontal="left" vertical="center"/>
      <protection locked="0"/>
    </xf>
    <xf numFmtId="0" fontId="10" fillId="0" borderId="5" xfId="7" applyFont="1" applyBorder="1" applyAlignment="1" applyProtection="1">
      <alignment horizontal="left" vertical="center"/>
      <protection locked="0"/>
    </xf>
    <xf numFmtId="2" fontId="7" fillId="0" borderId="1" xfId="7" applyNumberFormat="1" applyFont="1" applyBorder="1" applyAlignment="1" applyProtection="1">
      <alignment horizontal="left" vertical="top" wrapText="1"/>
      <protection locked="0"/>
    </xf>
    <xf numFmtId="2" fontId="7" fillId="0" borderId="1" xfId="7" applyNumberFormat="1" applyFont="1" applyBorder="1" applyAlignment="1" applyProtection="1">
      <alignment horizontal="left" vertical="top"/>
      <protection locked="0"/>
    </xf>
    <xf numFmtId="167" fontId="7" fillId="0" borderId="1" xfId="7" applyNumberFormat="1" applyFont="1" applyBorder="1" applyAlignment="1" applyProtection="1">
      <alignment horizontal="left" vertical="top"/>
      <protection locked="0"/>
    </xf>
    <xf numFmtId="0" fontId="6" fillId="0" borderId="1" xfId="7" applyFont="1" applyBorder="1" applyAlignment="1" applyProtection="1">
      <alignment horizontal="left" vertical="top"/>
      <protection locked="0"/>
    </xf>
    <xf numFmtId="0" fontId="7" fillId="3" borderId="1" xfId="7" applyFont="1" applyFill="1" applyBorder="1" applyAlignment="1" applyProtection="1">
      <alignment horizontal="left" vertical="top" wrapText="1"/>
      <protection locked="0"/>
    </xf>
    <xf numFmtId="166" fontId="7" fillId="0" borderId="1" xfId="7" applyNumberFormat="1" applyFont="1" applyBorder="1" applyAlignment="1" applyProtection="1">
      <alignment horizontal="left" vertical="top" wrapText="1"/>
      <protection locked="0"/>
    </xf>
    <xf numFmtId="0" fontId="7" fillId="3" borderId="1" xfId="7" applyFont="1" applyFill="1" applyBorder="1" applyAlignment="1" applyProtection="1">
      <alignment horizontal="left" vertical="top"/>
      <protection locked="0"/>
    </xf>
    <xf numFmtId="0" fontId="7" fillId="3" borderId="3" xfId="7" applyFont="1" applyFill="1" applyBorder="1" applyAlignment="1" applyProtection="1">
      <alignment horizontal="left" vertical="top" wrapText="1"/>
      <protection locked="0"/>
    </xf>
    <xf numFmtId="0" fontId="7" fillId="3" borderId="4" xfId="7" applyFont="1" applyFill="1" applyBorder="1" applyAlignment="1" applyProtection="1">
      <alignment horizontal="left" vertical="top" wrapText="1"/>
      <protection locked="0"/>
    </xf>
    <xf numFmtId="0" fontId="7" fillId="3" borderId="5" xfId="7" applyFont="1" applyFill="1" applyBorder="1" applyAlignment="1" applyProtection="1">
      <alignment horizontal="left" vertical="top" wrapText="1"/>
      <protection locked="0"/>
    </xf>
    <xf numFmtId="0" fontId="12" fillId="0" borderId="1" xfId="7" applyFont="1" applyBorder="1" applyAlignment="1" applyProtection="1">
      <alignment horizontal="left" vertical="top" wrapText="1"/>
      <protection locked="0"/>
    </xf>
    <xf numFmtId="0" fontId="13" fillId="3" borderId="1" xfId="7" applyFont="1" applyFill="1" applyBorder="1" applyAlignment="1" applyProtection="1">
      <alignment horizontal="left" vertical="top" wrapText="1"/>
      <protection locked="0"/>
    </xf>
    <xf numFmtId="0" fontId="13" fillId="3" borderId="1" xfId="7" applyFont="1" applyFill="1" applyBorder="1" applyAlignment="1" applyProtection="1">
      <alignment horizontal="left" vertical="top"/>
      <protection locked="0"/>
    </xf>
    <xf numFmtId="166" fontId="13" fillId="0" borderId="1" xfId="7" applyNumberFormat="1" applyFont="1" applyBorder="1" applyAlignment="1" applyProtection="1">
      <alignment horizontal="left" vertical="top" wrapText="1"/>
      <protection locked="0"/>
    </xf>
    <xf numFmtId="0" fontId="12" fillId="0" borderId="1" xfId="7" applyFont="1" applyBorder="1" applyAlignment="1" applyProtection="1">
      <alignment vertical="top"/>
      <protection locked="0"/>
    </xf>
    <xf numFmtId="1" fontId="9" fillId="0" borderId="1" xfId="7" applyNumberFormat="1" applyFont="1" applyBorder="1" applyAlignment="1" applyProtection="1">
      <alignment horizontal="left" vertical="top" wrapText="1"/>
      <protection locked="0"/>
    </xf>
    <xf numFmtId="0" fontId="12" fillId="0" borderId="14" xfId="7" applyFont="1" applyBorder="1" applyAlignment="1" applyProtection="1">
      <alignment horizontal="left" vertical="top" wrapText="1"/>
      <protection locked="0"/>
    </xf>
    <xf numFmtId="0" fontId="12" fillId="0" borderId="15" xfId="7" applyFont="1" applyBorder="1" applyAlignment="1" applyProtection="1">
      <alignment horizontal="left" vertical="top" wrapText="1"/>
      <protection locked="0"/>
    </xf>
    <xf numFmtId="0" fontId="13" fillId="0" borderId="16" xfId="7" applyFont="1" applyBorder="1" applyAlignment="1" applyProtection="1">
      <alignment horizontal="left" vertical="top" wrapText="1"/>
      <protection locked="0"/>
    </xf>
    <xf numFmtId="0" fontId="13" fillId="0" borderId="17" xfId="7" applyFont="1" applyBorder="1" applyAlignment="1" applyProtection="1">
      <alignment horizontal="left" vertical="top" wrapText="1"/>
      <protection locked="0"/>
    </xf>
    <xf numFmtId="0" fontId="13" fillId="0" borderId="18" xfId="7" applyFont="1" applyBorder="1" applyAlignment="1" applyProtection="1">
      <alignment horizontal="left" vertical="top" wrapText="1"/>
      <protection locked="0"/>
    </xf>
    <xf numFmtId="0" fontId="13" fillId="0" borderId="19" xfId="7" applyFont="1" applyBorder="1" applyAlignment="1" applyProtection="1">
      <alignment horizontal="left" vertical="top"/>
      <protection locked="0"/>
    </xf>
    <xf numFmtId="0" fontId="13" fillId="0" borderId="1" xfId="7" applyFont="1" applyBorder="1" applyAlignment="1" applyProtection="1">
      <alignment horizontal="left" vertical="top"/>
      <protection locked="0"/>
    </xf>
    <xf numFmtId="0" fontId="13" fillId="0" borderId="1" xfId="7" applyFont="1" applyBorder="1" applyAlignment="1" applyProtection="1">
      <alignment horizontal="left" vertical="top" wrapText="1"/>
      <protection locked="0"/>
    </xf>
    <xf numFmtId="0" fontId="13" fillId="0" borderId="20" xfId="7" applyFont="1" applyBorder="1" applyAlignment="1" applyProtection="1">
      <alignment horizontal="left" vertical="top" wrapText="1"/>
      <protection locked="0"/>
    </xf>
    <xf numFmtId="0" fontId="10" fillId="0" borderId="19" xfId="7" applyFont="1" applyBorder="1" applyAlignment="1" applyProtection="1">
      <alignment horizontal="center" vertical="top" wrapText="1"/>
      <protection locked="0"/>
    </xf>
    <xf numFmtId="0" fontId="10" fillId="0" borderId="1" xfId="7" applyFont="1" applyBorder="1" applyAlignment="1" applyProtection="1">
      <alignment horizontal="center" vertical="top" wrapText="1"/>
      <protection locked="0"/>
    </xf>
    <xf numFmtId="0" fontId="7" fillId="0" borderId="1" xfId="7" applyFont="1" applyBorder="1" applyAlignment="1" applyProtection="1">
      <alignment horizontal="center" vertical="top" wrapText="1"/>
      <protection locked="0"/>
    </xf>
    <xf numFmtId="0" fontId="7" fillId="0" borderId="20" xfId="7" applyFont="1" applyBorder="1" applyAlignment="1" applyProtection="1">
      <alignment horizontal="center" vertical="top" wrapText="1"/>
      <protection locked="0"/>
    </xf>
    <xf numFmtId="0" fontId="10" fillId="0" borderId="21" xfId="7" applyFont="1" applyBorder="1" applyAlignment="1" applyProtection="1">
      <alignment horizontal="center" vertical="top" wrapText="1"/>
      <protection locked="0"/>
    </xf>
    <xf numFmtId="0" fontId="10" fillId="0" borderId="22" xfId="7" applyFont="1" applyBorder="1" applyAlignment="1" applyProtection="1">
      <alignment horizontal="center" vertical="top" wrapText="1"/>
      <protection locked="0"/>
    </xf>
    <xf numFmtId="9" fontId="7" fillId="3" borderId="1" xfId="7" applyNumberFormat="1" applyFont="1" applyFill="1" applyBorder="1" applyAlignment="1" applyProtection="1">
      <alignment horizontal="center" vertical="center" wrapText="1"/>
      <protection hidden="1"/>
    </xf>
    <xf numFmtId="9" fontId="7" fillId="3" borderId="22" xfId="7" applyNumberFormat="1" applyFont="1" applyFill="1" applyBorder="1" applyAlignment="1" applyProtection="1">
      <alignment horizontal="center" vertical="center" wrapText="1"/>
      <protection hidden="1"/>
    </xf>
    <xf numFmtId="9" fontId="7" fillId="3" borderId="20" xfId="7" applyNumberFormat="1" applyFont="1" applyFill="1" applyBorder="1" applyAlignment="1" applyProtection="1">
      <alignment horizontal="center" vertical="center" wrapText="1"/>
      <protection hidden="1"/>
    </xf>
    <xf numFmtId="9" fontId="7" fillId="3" borderId="23" xfId="7" applyNumberFormat="1" applyFont="1" applyFill="1" applyBorder="1" applyAlignment="1" applyProtection="1">
      <alignment horizontal="center" vertical="center" wrapText="1"/>
      <protection hidden="1"/>
    </xf>
    <xf numFmtId="0" fontId="10" fillId="0" borderId="20" xfId="7" applyFont="1" applyBorder="1" applyAlignment="1" applyProtection="1">
      <alignment horizontal="center" vertical="top" wrapText="1"/>
      <protection locked="0"/>
    </xf>
    <xf numFmtId="9" fontId="10" fillId="3" borderId="1" xfId="7" applyNumberFormat="1" applyFont="1" applyFill="1" applyBorder="1" applyAlignment="1" applyProtection="1">
      <alignment horizontal="center" vertical="center" wrapText="1"/>
      <protection hidden="1"/>
    </xf>
    <xf numFmtId="9" fontId="10" fillId="3" borderId="22" xfId="7" applyNumberFormat="1" applyFont="1" applyFill="1" applyBorder="1" applyAlignment="1" applyProtection="1">
      <alignment horizontal="center" vertical="center" wrapText="1"/>
      <protection hidden="1"/>
    </xf>
    <xf numFmtId="9" fontId="10" fillId="3" borderId="20" xfId="7" applyNumberFormat="1" applyFont="1" applyFill="1" applyBorder="1" applyAlignment="1" applyProtection="1">
      <alignment horizontal="center" vertical="center" wrapText="1"/>
      <protection hidden="1"/>
    </xf>
    <xf numFmtId="9" fontId="10" fillId="3" borderId="23" xfId="7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1" fontId="7" fillId="0" borderId="5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" fontId="13" fillId="0" borderId="3" xfId="0" applyNumberFormat="1" applyFont="1" applyBorder="1" applyAlignment="1" applyProtection="1">
      <alignment horizontal="center" vertical="top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7" fillId="0" borderId="5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top" wrapText="1"/>
      <protection locked="0"/>
    </xf>
    <xf numFmtId="1" fontId="12" fillId="0" borderId="3" xfId="7" applyNumberFormat="1" applyFont="1" applyBorder="1" applyAlignment="1" applyProtection="1">
      <alignment horizontal="center" vertical="center" wrapText="1"/>
      <protection locked="0"/>
    </xf>
    <xf numFmtId="1" fontId="12" fillId="0" borderId="4" xfId="7" applyNumberFormat="1" applyFont="1" applyBorder="1" applyAlignment="1" applyProtection="1">
      <alignment horizontal="center" vertical="center" wrapText="1"/>
      <protection locked="0"/>
    </xf>
    <xf numFmtId="1" fontId="12" fillId="0" borderId="5" xfId="7" applyNumberFormat="1" applyFont="1" applyBorder="1" applyAlignment="1" applyProtection="1">
      <alignment horizontal="center" vertical="center" wrapText="1"/>
      <protection locked="0"/>
    </xf>
    <xf numFmtId="1" fontId="9" fillId="0" borderId="3" xfId="7" applyNumberFormat="1" applyFont="1" applyBorder="1" applyAlignment="1" applyProtection="1">
      <alignment horizontal="center" vertical="center" wrapText="1"/>
      <protection locked="0"/>
    </xf>
    <xf numFmtId="1" fontId="9" fillId="0" borderId="5" xfId="7" applyNumberFormat="1" applyFont="1" applyBorder="1" applyAlignment="1" applyProtection="1">
      <alignment horizontal="center" vertical="center" wrapText="1"/>
      <protection locked="0"/>
    </xf>
    <xf numFmtId="0" fontId="10" fillId="0" borderId="0" xfId="7" applyFont="1" applyAlignment="1">
      <alignment horizontal="center" vertical="center"/>
    </xf>
    <xf numFmtId="1" fontId="12" fillId="0" borderId="9" xfId="7" applyNumberFormat="1" applyFont="1" applyBorder="1" applyAlignment="1" applyProtection="1">
      <alignment horizontal="center" vertical="top" wrapText="1"/>
      <protection locked="0"/>
    </xf>
    <xf numFmtId="1" fontId="12" fillId="0" borderId="29" xfId="7" applyNumberFormat="1" applyFont="1" applyBorder="1" applyAlignment="1" applyProtection="1">
      <alignment horizontal="center" vertical="top" wrapText="1"/>
      <protection locked="0"/>
    </xf>
    <xf numFmtId="1" fontId="17" fillId="0" borderId="9" xfId="7" applyNumberFormat="1" applyFont="1" applyBorder="1" applyAlignment="1" applyProtection="1">
      <alignment horizontal="center" vertical="top" wrapText="1"/>
      <protection locked="0"/>
    </xf>
    <xf numFmtId="1" fontId="17" fillId="0" borderId="29" xfId="7" applyNumberFormat="1" applyFont="1" applyBorder="1" applyAlignment="1" applyProtection="1">
      <alignment horizontal="center" vertical="top" wrapText="1"/>
      <protection locked="0"/>
    </xf>
    <xf numFmtId="1" fontId="9" fillId="0" borderId="4" xfId="7" applyNumberFormat="1" applyFont="1" applyBorder="1" applyAlignment="1" applyProtection="1">
      <alignment horizontal="center" vertical="center" wrapText="1"/>
      <protection locked="0"/>
    </xf>
    <xf numFmtId="0" fontId="12" fillId="0" borderId="3" xfId="7" applyFont="1" applyBorder="1" applyAlignment="1" applyProtection="1">
      <alignment horizontal="center" vertical="top"/>
      <protection locked="0"/>
    </xf>
    <xf numFmtId="0" fontId="12" fillId="0" borderId="4" xfId="7" applyFont="1" applyBorder="1" applyAlignment="1" applyProtection="1">
      <alignment horizontal="center" vertical="top"/>
      <protection locked="0"/>
    </xf>
    <xf numFmtId="0" fontId="12" fillId="0" borderId="5" xfId="7" applyFont="1" applyBorder="1" applyAlignment="1" applyProtection="1">
      <alignment horizontal="center" vertical="top"/>
      <protection locked="0"/>
    </xf>
    <xf numFmtId="1" fontId="12" fillId="0" borderId="6" xfId="7" applyNumberFormat="1" applyFont="1" applyBorder="1" applyAlignment="1" applyProtection="1">
      <alignment horizontal="center" vertical="top" wrapText="1"/>
      <protection locked="0"/>
    </xf>
    <xf numFmtId="1" fontId="12" fillId="0" borderId="12" xfId="7" applyNumberFormat="1" applyFont="1" applyBorder="1" applyAlignment="1" applyProtection="1">
      <alignment horizontal="center" vertical="top" wrapText="1"/>
      <protection locked="0"/>
    </xf>
    <xf numFmtId="1" fontId="12" fillId="0" borderId="8" xfId="7" applyNumberFormat="1" applyFont="1" applyBorder="1" applyAlignment="1" applyProtection="1">
      <alignment horizontal="center" vertical="top" wrapText="1"/>
      <protection locked="0"/>
    </xf>
    <xf numFmtId="1" fontId="12" fillId="0" borderId="13" xfId="7" applyNumberFormat="1" applyFont="1" applyBorder="1" applyAlignment="1" applyProtection="1">
      <alignment horizontal="center" vertical="top" wrapText="1"/>
      <protection locked="0"/>
    </xf>
    <xf numFmtId="1" fontId="9" fillId="0" borderId="1" xfId="7" applyNumberFormat="1" applyFont="1" applyBorder="1" applyAlignment="1" applyProtection="1">
      <alignment horizontal="center" vertical="center" wrapText="1"/>
      <protection locked="0"/>
    </xf>
    <xf numFmtId="1" fontId="9" fillId="0" borderId="6" xfId="7" applyNumberFormat="1" applyFont="1" applyBorder="1" applyAlignment="1" applyProtection="1">
      <alignment horizontal="center" vertical="center" wrapText="1"/>
      <protection locked="0"/>
    </xf>
    <xf numFmtId="1" fontId="9" fillId="0" borderId="8" xfId="7" applyNumberFormat="1" applyFont="1" applyBorder="1" applyAlignment="1" applyProtection="1">
      <alignment horizontal="center" vertical="center" wrapText="1"/>
      <protection locked="0"/>
    </xf>
    <xf numFmtId="1" fontId="9" fillId="0" borderId="10" xfId="7" applyNumberFormat="1" applyFont="1" applyBorder="1" applyAlignment="1" applyProtection="1">
      <alignment horizontal="center" vertical="center" wrapText="1"/>
      <protection locked="0"/>
    </xf>
    <xf numFmtId="1" fontId="9" fillId="0" borderId="11" xfId="7" applyNumberFormat="1" applyFont="1" applyBorder="1" applyAlignment="1" applyProtection="1">
      <alignment horizontal="center" vertical="center" wrapText="1"/>
      <protection locked="0"/>
    </xf>
    <xf numFmtId="1" fontId="9" fillId="0" borderId="12" xfId="7" applyNumberFormat="1" applyFont="1" applyBorder="1" applyAlignment="1" applyProtection="1">
      <alignment horizontal="center" vertical="center" wrapText="1"/>
      <protection locked="0"/>
    </xf>
    <xf numFmtId="1" fontId="9" fillId="0" borderId="13" xfId="7" applyNumberFormat="1" applyFont="1" applyBorder="1" applyAlignment="1" applyProtection="1">
      <alignment horizontal="center" vertical="center" wrapText="1"/>
      <protection locked="0"/>
    </xf>
    <xf numFmtId="0" fontId="13" fillId="0" borderId="1" xfId="7" applyFont="1" applyFill="1" applyBorder="1" applyAlignment="1" applyProtection="1">
      <alignment horizontal="center" vertical="top"/>
      <protection locked="0"/>
    </xf>
    <xf numFmtId="1" fontId="12" fillId="4" borderId="3" xfId="7" applyNumberFormat="1" applyFont="1" applyFill="1" applyBorder="1" applyAlignment="1" applyProtection="1">
      <alignment horizontal="center" vertical="center" wrapText="1"/>
      <protection locked="0"/>
    </xf>
    <xf numFmtId="1" fontId="12" fillId="4" borderId="4" xfId="7" applyNumberFormat="1" applyFont="1" applyFill="1" applyBorder="1" applyAlignment="1" applyProtection="1">
      <alignment horizontal="center" vertical="center" wrapText="1"/>
      <protection locked="0"/>
    </xf>
    <xf numFmtId="1" fontId="12" fillId="4" borderId="5" xfId="7" applyNumberFormat="1" applyFont="1" applyFill="1" applyBorder="1" applyAlignment="1" applyProtection="1">
      <alignment horizontal="center" vertical="center" wrapText="1"/>
      <protection locked="0"/>
    </xf>
    <xf numFmtId="1" fontId="12" fillId="5" borderId="3" xfId="7" applyNumberFormat="1" applyFont="1" applyFill="1" applyBorder="1" applyAlignment="1" applyProtection="1">
      <alignment horizontal="center" vertical="center" wrapText="1"/>
      <protection locked="0"/>
    </xf>
    <xf numFmtId="1" fontId="12" fillId="5" borderId="4" xfId="7" applyNumberFormat="1" applyFont="1" applyFill="1" applyBorder="1" applyAlignment="1" applyProtection="1">
      <alignment horizontal="center" vertical="center" wrapText="1"/>
      <protection locked="0"/>
    </xf>
    <xf numFmtId="1" fontId="12" fillId="5" borderId="5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9" xfId="7" applyNumberFormat="1" applyFont="1" applyBorder="1" applyAlignment="1" applyProtection="1">
      <alignment horizontal="center" vertical="top" wrapText="1"/>
      <protection locked="0"/>
    </xf>
    <xf numFmtId="1" fontId="13" fillId="0" borderId="29" xfId="7" applyNumberFormat="1" applyFont="1" applyBorder="1" applyAlignment="1" applyProtection="1">
      <alignment horizontal="center" vertical="top" wrapText="1"/>
      <protection locked="0"/>
    </xf>
    <xf numFmtId="1" fontId="18" fillId="0" borderId="9" xfId="7" applyNumberFormat="1" applyFont="1" applyBorder="1" applyAlignment="1" applyProtection="1">
      <alignment horizontal="center" vertical="top" wrapText="1"/>
      <protection locked="0"/>
    </xf>
    <xf numFmtId="1" fontId="18" fillId="0" borderId="29" xfId="7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12" fillId="0" borderId="5" xfId="0" applyNumberFormat="1" applyFont="1" applyBorder="1" applyAlignment="1" applyProtection="1">
      <alignment vertical="top" wrapText="1"/>
      <protection locked="0"/>
    </xf>
    <xf numFmtId="0" fontId="13" fillId="0" borderId="1" xfId="7" applyFont="1" applyBorder="1" applyAlignment="1" applyProtection="1">
      <alignment horizontal="center" vertical="top" wrapText="1"/>
      <protection locked="0"/>
    </xf>
    <xf numFmtId="1" fontId="9" fillId="0" borderId="7" xfId="7" applyNumberFormat="1" applyFont="1" applyBorder="1" applyAlignment="1" applyProtection="1">
      <alignment horizontal="center" vertical="center" wrapText="1"/>
      <protection locked="0"/>
    </xf>
    <xf numFmtId="1" fontId="9" fillId="0" borderId="2" xfId="7" applyNumberFormat="1" applyFont="1" applyBorder="1" applyAlignment="1" applyProtection="1">
      <alignment horizontal="center" vertical="center" wrapText="1"/>
      <protection locked="0"/>
    </xf>
    <xf numFmtId="0" fontId="9" fillId="0" borderId="1" xfId="7" applyFont="1" applyBorder="1" applyAlignment="1" applyProtection="1">
      <alignment vertical="top"/>
      <protection locked="0"/>
    </xf>
    <xf numFmtId="0" fontId="19" fillId="0" borderId="1" xfId="7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9" applyFont="1" applyBorder="1" applyAlignment="1">
      <alignment horizontal="left"/>
    </xf>
    <xf numFmtId="0" fontId="14" fillId="0" borderId="30" xfId="7" applyFont="1" applyBorder="1" applyAlignment="1" applyProtection="1">
      <alignment horizontal="center" vertical="center" wrapText="1"/>
      <protection locked="0"/>
    </xf>
    <xf numFmtId="0" fontId="14" fillId="0" borderId="31" xfId="7" applyFont="1" applyBorder="1" applyAlignment="1" applyProtection="1">
      <alignment horizontal="center" vertical="center" wrapText="1"/>
      <protection locked="0"/>
    </xf>
    <xf numFmtId="9" fontId="13" fillId="0" borderId="32" xfId="7" applyNumberFormat="1" applyFont="1" applyBorder="1" applyAlignment="1" applyProtection="1">
      <alignment horizontal="center" vertical="center" wrapText="1"/>
      <protection locked="0"/>
    </xf>
    <xf numFmtId="9" fontId="13" fillId="0" borderId="25" xfId="7" applyNumberFormat="1" applyFont="1" applyFill="1" applyBorder="1" applyAlignment="1" applyProtection="1">
      <alignment horizontal="center" vertical="center" wrapText="1"/>
      <protection locked="0"/>
    </xf>
    <xf numFmtId="9" fontId="14" fillId="3" borderId="32" xfId="7" applyNumberFormat="1" applyFont="1" applyFill="1" applyBorder="1" applyAlignment="1" applyProtection="1">
      <alignment horizontal="center" vertical="center" wrapText="1"/>
      <protection hidden="1"/>
    </xf>
    <xf numFmtId="9" fontId="14" fillId="3" borderId="25" xfId="7" applyNumberFormat="1" applyFont="1" applyFill="1" applyBorder="1" applyAlignment="1" applyProtection="1">
      <alignment horizontal="center" vertical="center" wrapText="1"/>
      <protection hidden="1"/>
    </xf>
  </cellXfs>
  <cellStyles count="10">
    <cellStyle name="Comma 2" xfId="3"/>
    <cellStyle name="Excel Built-in Normal" xfId="4"/>
    <cellStyle name="Excel Built-in Normal 2" xfId="5"/>
    <cellStyle name="Hyperlink" xfId="2" builtinId="8"/>
    <cellStyle name="Normal" xfId="0" builtinId="0"/>
    <cellStyle name="Normal 2" xfId="6"/>
    <cellStyle name="Normal 3" xfId="7"/>
    <cellStyle name="Normal 3 3" xfId="8"/>
    <cellStyle name="Normal 4" xfId="9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microsoft.com/office/2007/relationships/hdphoto" Target="../media/hdphoto1.wdp"/><Relationship Id="rId17" Type="http://schemas.microsoft.com/office/2007/relationships/hdphoto" Target="../media/hdphoto2.wdp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19" Type="http://schemas.openxmlformats.org/officeDocument/2006/relationships/image" Target="../media/image17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9</xdr:row>
      <xdr:rowOff>133350</xdr:rowOff>
    </xdr:from>
    <xdr:to>
      <xdr:col>12</xdr:col>
      <xdr:colOff>599625</xdr:colOff>
      <xdr:row>12</xdr:row>
      <xdr:rowOff>281448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6890" y="2324100"/>
          <a:ext cx="3599815" cy="1167130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14</xdr:row>
      <xdr:rowOff>95250</xdr:rowOff>
    </xdr:from>
    <xdr:to>
      <xdr:col>18</xdr:col>
      <xdr:colOff>351750</xdr:colOff>
      <xdr:row>20</xdr:row>
      <xdr:rowOff>28403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28790" y="4133850"/>
          <a:ext cx="5401945" cy="1370965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42</xdr:row>
      <xdr:rowOff>190501</xdr:rowOff>
    </xdr:from>
    <xdr:to>
      <xdr:col>11</xdr:col>
      <xdr:colOff>460650</xdr:colOff>
      <xdr:row>46</xdr:row>
      <xdr:rowOff>471181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43065" y="10039350"/>
          <a:ext cx="2881630" cy="156654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46</xdr:row>
      <xdr:rowOff>809626</xdr:rowOff>
    </xdr:from>
    <xdr:to>
      <xdr:col>17</xdr:col>
      <xdr:colOff>525150</xdr:colOff>
      <xdr:row>49</xdr:row>
      <xdr:rowOff>146903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2590" y="11944350"/>
          <a:ext cx="5039995" cy="1489710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400050</xdr:colOff>
      <xdr:row>156</xdr:row>
      <xdr:rowOff>19051</xdr:rowOff>
    </xdr:from>
    <xdr:to>
      <xdr:col>10</xdr:col>
      <xdr:colOff>636000</xdr:colOff>
      <xdr:row>438</xdr:row>
      <xdr:rowOff>133946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33565" y="34550350"/>
          <a:ext cx="2163445" cy="29146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843</xdr:row>
      <xdr:rowOff>38100</xdr:rowOff>
    </xdr:from>
    <xdr:to>
      <xdr:col>7</xdr:col>
      <xdr:colOff>695325</xdr:colOff>
      <xdr:row>874</xdr:row>
      <xdr:rowOff>28575</xdr:rowOff>
    </xdr:to>
    <xdr:grpSp>
      <xdr:nvGrpSpPr>
        <xdr:cNvPr id="28" name="Group 27"/>
        <xdr:cNvGrpSpPr/>
      </xdr:nvGrpSpPr>
      <xdr:grpSpPr>
        <a:xfrm>
          <a:off x="47625" y="120078500"/>
          <a:ext cx="6623050" cy="6092825"/>
          <a:chOff x="990600" y="1952625"/>
          <a:chExt cx="4876800" cy="5272406"/>
        </a:xfrm>
      </xdr:grpSpPr>
      <xdr:sp macro="" textlink="">
        <xdr:nvSpPr>
          <xdr:cNvPr id="42" name="Rectangle 41"/>
          <xdr:cNvSpPr/>
        </xdr:nvSpPr>
        <xdr:spPr>
          <a:xfrm>
            <a:off x="1714500" y="4248835"/>
            <a:ext cx="3429000" cy="369332"/>
          </a:xfrm>
          <a:prstGeom prst="rect">
            <a:avLst/>
          </a:prstGeom>
          <a:ln w="12700">
            <a:solidFill>
              <a:srgbClr val="FF0000"/>
            </a:solidFill>
          </a:ln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IN"/>
          </a:p>
        </xdr:txBody>
      </xdr:sp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990600" y="1952625"/>
            <a:ext cx="4876800" cy="52387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44" name="Straight Connector 43"/>
          <xdr:cNvCxnSpPr/>
        </xdr:nvCxnSpPr>
        <xdr:spPr>
          <a:xfrm>
            <a:off x="1247775" y="2028826"/>
            <a:ext cx="4476750" cy="19049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Straight Connector 44"/>
          <xdr:cNvCxnSpPr/>
        </xdr:nvCxnSpPr>
        <xdr:spPr>
          <a:xfrm>
            <a:off x="1247775" y="2543176"/>
            <a:ext cx="4476750" cy="19049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Straight Connector 45"/>
          <xdr:cNvCxnSpPr/>
        </xdr:nvCxnSpPr>
        <xdr:spPr>
          <a:xfrm flipV="1">
            <a:off x="1914525" y="2714625"/>
            <a:ext cx="2057400" cy="153421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Straight Connector 46"/>
          <xdr:cNvCxnSpPr/>
        </xdr:nvCxnSpPr>
        <xdr:spPr>
          <a:xfrm>
            <a:off x="3971925" y="2714625"/>
            <a:ext cx="485775" cy="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Straight Connector 47"/>
          <xdr:cNvCxnSpPr/>
        </xdr:nvCxnSpPr>
        <xdr:spPr>
          <a:xfrm flipV="1">
            <a:off x="2247900" y="3140076"/>
            <a:ext cx="1884363" cy="15271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Straight Connector 48"/>
          <xdr:cNvCxnSpPr/>
        </xdr:nvCxnSpPr>
        <xdr:spPr>
          <a:xfrm>
            <a:off x="4132263" y="3140075"/>
            <a:ext cx="325437" cy="158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Straight Connector 49"/>
          <xdr:cNvCxnSpPr/>
        </xdr:nvCxnSpPr>
        <xdr:spPr>
          <a:xfrm flipV="1">
            <a:off x="2343150" y="6612454"/>
            <a:ext cx="2800350" cy="124896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Straight Connector 50"/>
          <xdr:cNvCxnSpPr/>
        </xdr:nvCxnSpPr>
        <xdr:spPr>
          <a:xfrm flipV="1">
            <a:off x="2495550" y="6764854"/>
            <a:ext cx="2800350" cy="124896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Straight Connector 51"/>
          <xdr:cNvCxnSpPr/>
        </xdr:nvCxnSpPr>
        <xdr:spPr>
          <a:xfrm flipV="1">
            <a:off x="2343150" y="6929418"/>
            <a:ext cx="2800350" cy="124896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3" name="Group 52"/>
          <xdr:cNvGrpSpPr/>
        </xdr:nvGrpSpPr>
        <xdr:grpSpPr>
          <a:xfrm>
            <a:off x="2058988" y="2612411"/>
            <a:ext cx="1652192" cy="1210290"/>
            <a:chOff x="2058988" y="2612411"/>
            <a:chExt cx="1652192" cy="1210290"/>
          </a:xfrm>
        </xdr:grpSpPr>
        <xdr:cxnSp macro="">
          <xdr:nvCxnSpPr>
            <xdr:cNvPr id="65" name="Straight Connector 64"/>
            <xdr:cNvCxnSpPr/>
          </xdr:nvCxnSpPr>
          <xdr:spPr>
            <a:xfrm>
              <a:off x="2058988" y="2635250"/>
              <a:ext cx="4762" cy="1187450"/>
            </a:xfrm>
            <a:prstGeom prst="line">
              <a:avLst/>
            </a:prstGeom>
            <a:ln w="28575">
              <a:solidFill>
                <a:srgbClr val="00206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6" name="Straight Connector 65"/>
            <xdr:cNvCxnSpPr/>
          </xdr:nvCxnSpPr>
          <xdr:spPr>
            <a:xfrm flipV="1">
              <a:off x="2058988" y="2620963"/>
              <a:ext cx="1641078" cy="17462"/>
            </a:xfrm>
            <a:prstGeom prst="line">
              <a:avLst/>
            </a:prstGeom>
            <a:ln w="28575">
              <a:solidFill>
                <a:srgbClr val="00206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" name="Straight Connector 66"/>
            <xdr:cNvCxnSpPr/>
          </xdr:nvCxnSpPr>
          <xdr:spPr>
            <a:xfrm flipH="1">
              <a:off x="2427884" y="2879666"/>
              <a:ext cx="1279525" cy="886687"/>
            </a:xfrm>
            <a:prstGeom prst="line">
              <a:avLst/>
            </a:prstGeom>
            <a:ln w="28575">
              <a:solidFill>
                <a:srgbClr val="00206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" name="Straight Connector 67"/>
            <xdr:cNvCxnSpPr/>
          </xdr:nvCxnSpPr>
          <xdr:spPr>
            <a:xfrm flipV="1">
              <a:off x="2058988" y="3766353"/>
              <a:ext cx="365123" cy="56348"/>
            </a:xfrm>
            <a:prstGeom prst="line">
              <a:avLst/>
            </a:prstGeom>
            <a:ln w="28575">
              <a:solidFill>
                <a:srgbClr val="00206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" name="Straight Connector 68"/>
            <xdr:cNvCxnSpPr/>
          </xdr:nvCxnSpPr>
          <xdr:spPr>
            <a:xfrm flipH="1" flipV="1">
              <a:off x="3700066" y="2612411"/>
              <a:ext cx="11114" cy="268960"/>
            </a:xfrm>
            <a:prstGeom prst="line">
              <a:avLst/>
            </a:prstGeom>
            <a:ln w="28575">
              <a:solidFill>
                <a:srgbClr val="00206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4" name="TextBox 40"/>
          <xdr:cNvSpPr txBox="1"/>
        </xdr:nvSpPr>
        <xdr:spPr>
          <a:xfrm>
            <a:off x="2117283" y="2646977"/>
            <a:ext cx="1283141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002060"/>
                </a:solidFill>
              </a:rPr>
              <a:t>Building No. 1  </a:t>
            </a:r>
          </a:p>
          <a:p>
            <a:r>
              <a:rPr lang="en-US" sz="1200" b="1">
                <a:solidFill>
                  <a:srgbClr val="002060"/>
                </a:solidFill>
              </a:rPr>
              <a:t>A wing</a:t>
            </a:r>
            <a:endParaRPr lang="en-IN" sz="1200" b="1">
              <a:solidFill>
                <a:srgbClr val="002060"/>
              </a:solidFill>
            </a:endParaRPr>
          </a:p>
        </xdr:txBody>
      </xdr:sp>
      <xdr:sp macro="" textlink="">
        <xdr:nvSpPr>
          <xdr:cNvPr id="55" name="Rectangle 54"/>
          <xdr:cNvSpPr/>
        </xdr:nvSpPr>
        <xdr:spPr>
          <a:xfrm rot="20132869">
            <a:off x="3140014" y="3827592"/>
            <a:ext cx="1254671" cy="1581150"/>
          </a:xfrm>
          <a:prstGeom prst="rect">
            <a:avLst/>
          </a:prstGeom>
          <a:noFill/>
          <a:ln w="28575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6" name="Isosceles Triangle 55"/>
          <xdr:cNvSpPr/>
        </xdr:nvSpPr>
        <xdr:spPr>
          <a:xfrm>
            <a:off x="2828925" y="5705601"/>
            <a:ext cx="1538287" cy="748780"/>
          </a:xfrm>
          <a:prstGeom prst="triangle">
            <a:avLst/>
          </a:prstGeom>
          <a:noFill/>
          <a:ln w="28575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57" name="TextBox 43"/>
          <xdr:cNvSpPr txBox="1"/>
        </xdr:nvSpPr>
        <xdr:spPr>
          <a:xfrm rot="3879900">
            <a:off x="2919769" y="4796318"/>
            <a:ext cx="97818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002060"/>
                </a:solidFill>
              </a:rPr>
              <a:t>Building No. 2 </a:t>
            </a:r>
            <a:r>
              <a:rPr lang="en-US" sz="1200" b="1">
                <a:solidFill>
                  <a:srgbClr val="002060"/>
                </a:solidFill>
              </a:rPr>
              <a:t> </a:t>
            </a:r>
          </a:p>
        </xdr:txBody>
      </xdr:sp>
      <xdr:sp macro="" textlink="">
        <xdr:nvSpPr>
          <xdr:cNvPr id="58" name="TextBox 44"/>
          <xdr:cNvSpPr txBox="1"/>
        </xdr:nvSpPr>
        <xdr:spPr>
          <a:xfrm>
            <a:off x="3125778" y="6050449"/>
            <a:ext cx="1283141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002060"/>
                </a:solidFill>
              </a:rPr>
              <a:t>Building No. 3  </a:t>
            </a:r>
          </a:p>
          <a:p>
            <a:r>
              <a:rPr lang="en-US" sz="1000" b="1">
                <a:solidFill>
                  <a:srgbClr val="002060"/>
                </a:solidFill>
              </a:rPr>
              <a:t>E wing</a:t>
            </a:r>
            <a:endParaRPr lang="en-IN" sz="1000" b="1">
              <a:solidFill>
                <a:srgbClr val="002060"/>
              </a:solidFill>
            </a:endParaRPr>
          </a:p>
        </xdr:txBody>
      </xdr:sp>
      <xdr:sp macro="" textlink="">
        <xdr:nvSpPr>
          <xdr:cNvPr id="59" name="TextBox 45"/>
          <xdr:cNvSpPr txBox="1"/>
        </xdr:nvSpPr>
        <xdr:spPr>
          <a:xfrm rot="20262630">
            <a:off x="3131444" y="4015985"/>
            <a:ext cx="64152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002060"/>
                </a:solidFill>
              </a:rPr>
              <a:t>B Wing</a:t>
            </a:r>
            <a:endParaRPr lang="en-IN" sz="1200" b="1">
              <a:solidFill>
                <a:srgbClr val="002060"/>
              </a:solidFill>
            </a:endParaRPr>
          </a:p>
        </xdr:txBody>
      </xdr:sp>
      <xdr:sp macro="" textlink="">
        <xdr:nvSpPr>
          <xdr:cNvPr id="60" name="TextBox 46"/>
          <xdr:cNvSpPr txBox="1"/>
        </xdr:nvSpPr>
        <xdr:spPr>
          <a:xfrm rot="3536236">
            <a:off x="3886138" y="4280967"/>
            <a:ext cx="636713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002060"/>
                </a:solidFill>
              </a:rPr>
              <a:t>C Wing</a:t>
            </a:r>
            <a:endParaRPr lang="en-IN" sz="1200" b="1">
              <a:solidFill>
                <a:srgbClr val="002060"/>
              </a:solidFill>
            </a:endParaRPr>
          </a:p>
        </xdr:txBody>
      </xdr:sp>
      <xdr:sp macro="" textlink="">
        <xdr:nvSpPr>
          <xdr:cNvPr id="61" name="TextBox 47"/>
          <xdr:cNvSpPr txBox="1"/>
        </xdr:nvSpPr>
        <xdr:spPr>
          <a:xfrm rot="20225922">
            <a:off x="3916513" y="4883545"/>
            <a:ext cx="652743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002060"/>
                </a:solidFill>
              </a:rPr>
              <a:t>D Wing</a:t>
            </a:r>
            <a:endParaRPr lang="en-IN" sz="1200" b="1">
              <a:solidFill>
                <a:srgbClr val="002060"/>
              </a:solidFill>
            </a:endParaRPr>
          </a:p>
        </xdr:txBody>
      </xdr:sp>
      <xdr:sp macro="" textlink="">
        <xdr:nvSpPr>
          <xdr:cNvPr id="62" name="TextBox 48"/>
          <xdr:cNvSpPr txBox="1"/>
        </xdr:nvSpPr>
        <xdr:spPr>
          <a:xfrm>
            <a:off x="3190081" y="2213080"/>
            <a:ext cx="1724896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0000"/>
                </a:solidFill>
              </a:rPr>
              <a:t>National Highway 48</a:t>
            </a:r>
            <a:endParaRPr lang="en-IN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63" name="TextBox 49"/>
          <xdr:cNvSpPr txBox="1"/>
        </xdr:nvSpPr>
        <xdr:spPr>
          <a:xfrm rot="19398593">
            <a:off x="2810382" y="3445267"/>
            <a:ext cx="910827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0000"/>
                </a:solidFill>
              </a:rPr>
              <a:t>HPCL Line</a:t>
            </a:r>
            <a:endParaRPr lang="en-IN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64" name="TextBox 50"/>
          <xdr:cNvSpPr txBox="1"/>
        </xdr:nvSpPr>
        <xdr:spPr>
          <a:xfrm>
            <a:off x="4245722" y="6917254"/>
            <a:ext cx="1478803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solidFill>
                  <a:srgbClr val="FF0000"/>
                </a:solidFill>
              </a:rPr>
              <a:t>High Tension Line</a:t>
            </a:r>
            <a:endParaRPr lang="en-IN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742950</xdr:colOff>
      <xdr:row>882</xdr:row>
      <xdr:rowOff>180975</xdr:rowOff>
    </xdr:from>
    <xdr:to>
      <xdr:col>7</xdr:col>
      <xdr:colOff>87000</xdr:colOff>
      <xdr:row>921</xdr:row>
      <xdr:rowOff>78208</xdr:rowOff>
    </xdr:to>
    <xdr:grpSp>
      <xdr:nvGrpSpPr>
        <xdr:cNvPr id="72" name="Group 71"/>
        <xdr:cNvGrpSpPr/>
      </xdr:nvGrpSpPr>
      <xdr:grpSpPr>
        <a:xfrm>
          <a:off x="742950" y="127898525"/>
          <a:ext cx="5319400" cy="7574383"/>
          <a:chOff x="691371" y="161560"/>
          <a:chExt cx="5040000" cy="7698208"/>
        </a:xfrm>
      </xdr:grpSpPr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7"/>
          <a:srcRect l="37477" t="25793" r="19018" b="19048"/>
          <a:stretch>
            <a:fillRect/>
          </a:stretch>
        </xdr:blipFill>
        <xdr:spPr>
          <a:xfrm>
            <a:off x="871371" y="161560"/>
            <a:ext cx="4680000" cy="33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74" name="Group 73"/>
          <xdr:cNvGrpSpPr/>
        </xdr:nvGrpSpPr>
        <xdr:grpSpPr>
          <a:xfrm>
            <a:off x="691371" y="3624158"/>
            <a:ext cx="5040000" cy="4235610"/>
            <a:chOff x="691371" y="3624158"/>
            <a:chExt cx="5040000" cy="4235610"/>
          </a:xfrm>
        </xdr:grpSpPr>
        <xdr:pic>
          <xdr:nvPicPr>
            <xdr:cNvPr id="75" name="Picture 74"/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rcRect l="18961" t="26388" r="36308" b="6747"/>
            <a:stretch>
              <a:fillRect/>
            </a:stretch>
          </xdr:blipFill>
          <xdr:spPr>
            <a:xfrm>
              <a:off x="691371" y="3624158"/>
              <a:ext cx="5040000" cy="423561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76" name="Rectangle 75"/>
            <xdr:cNvSpPr/>
          </xdr:nvSpPr>
          <xdr:spPr>
            <a:xfrm rot="1959531">
              <a:off x="2290971" y="4423386"/>
              <a:ext cx="1748834" cy="3061154"/>
            </a:xfrm>
            <a:prstGeom prst="rect">
              <a:avLst/>
            </a:prstGeom>
            <a:noFill/>
            <a:ln w="28575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77" name="TextBox 4"/>
            <xdr:cNvSpPr txBox="1"/>
          </xdr:nvSpPr>
          <xdr:spPr>
            <a:xfrm rot="1669032">
              <a:off x="3940987" y="4823269"/>
              <a:ext cx="649537" cy="4001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 b="1">
                  <a:solidFill>
                    <a:srgbClr val="FFFF00"/>
                  </a:solidFill>
                </a:rPr>
                <a:t>Building </a:t>
              </a:r>
            </a:p>
            <a:p>
              <a:r>
                <a:rPr lang="en-US" sz="1000" b="1">
                  <a:solidFill>
                    <a:srgbClr val="FFFF00"/>
                  </a:solidFill>
                </a:rPr>
                <a:t>No. 1</a:t>
              </a:r>
              <a:endParaRPr lang="en-IN" sz="1000" b="1">
                <a:solidFill>
                  <a:srgbClr val="FFFF00"/>
                </a:solidFill>
              </a:endParaRPr>
            </a:p>
          </xdr:txBody>
        </xdr:sp>
        <xdr:sp macro="" textlink="">
          <xdr:nvSpPr>
            <xdr:cNvPr id="78" name="TextBox 5"/>
            <xdr:cNvSpPr txBox="1"/>
          </xdr:nvSpPr>
          <xdr:spPr>
            <a:xfrm rot="1669032">
              <a:off x="2938622" y="5402393"/>
              <a:ext cx="649537" cy="4001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 b="1">
                  <a:solidFill>
                    <a:srgbClr val="FFFF00"/>
                  </a:solidFill>
                </a:rPr>
                <a:t>Building </a:t>
              </a:r>
            </a:p>
            <a:p>
              <a:r>
                <a:rPr lang="en-US" sz="1000" b="1">
                  <a:solidFill>
                    <a:srgbClr val="FFFF00"/>
                  </a:solidFill>
                </a:rPr>
                <a:t>No. 2</a:t>
              </a:r>
              <a:endParaRPr lang="en-IN" sz="1000" b="1">
                <a:solidFill>
                  <a:srgbClr val="FFFF00"/>
                </a:solidFill>
              </a:endParaRPr>
            </a:p>
          </xdr:txBody>
        </xdr:sp>
        <xdr:sp macro="" textlink="">
          <xdr:nvSpPr>
            <xdr:cNvPr id="79" name="TextBox 6"/>
            <xdr:cNvSpPr txBox="1"/>
          </xdr:nvSpPr>
          <xdr:spPr>
            <a:xfrm rot="1669032">
              <a:off x="3222747" y="6318182"/>
              <a:ext cx="649537" cy="4001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 b="1">
                  <a:solidFill>
                    <a:srgbClr val="FFFF00"/>
                  </a:solidFill>
                </a:rPr>
                <a:t>Building </a:t>
              </a:r>
            </a:p>
            <a:p>
              <a:r>
                <a:rPr lang="en-US" sz="1000" b="1">
                  <a:solidFill>
                    <a:srgbClr val="FFFF00"/>
                  </a:solidFill>
                </a:rPr>
                <a:t>No. 3</a:t>
              </a:r>
              <a:endParaRPr lang="en-IN" sz="1000" b="1">
                <a:solidFill>
                  <a:srgbClr val="FFFF00"/>
                </a:solidFill>
              </a:endParaRPr>
            </a:p>
          </xdr:txBody>
        </xdr:sp>
        <xdr:cxnSp macro="">
          <xdr:nvCxnSpPr>
            <xdr:cNvPr id="80" name="Straight Connector 79"/>
            <xdr:cNvCxnSpPr/>
          </xdr:nvCxnSpPr>
          <xdr:spPr>
            <a:xfrm>
              <a:off x="1622320" y="6241878"/>
              <a:ext cx="2520950" cy="104775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1" name="Straight Connector 80"/>
            <xdr:cNvCxnSpPr/>
          </xdr:nvCxnSpPr>
          <xdr:spPr>
            <a:xfrm>
              <a:off x="1546120" y="6314552"/>
              <a:ext cx="2520950" cy="104775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2" name="Straight Connector 81"/>
            <xdr:cNvCxnSpPr/>
          </xdr:nvCxnSpPr>
          <xdr:spPr>
            <a:xfrm>
              <a:off x="1469920" y="6433637"/>
              <a:ext cx="2520950" cy="104775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3" name="TextBox 11"/>
            <xdr:cNvSpPr txBox="1"/>
          </xdr:nvSpPr>
          <xdr:spPr>
            <a:xfrm rot="1717273">
              <a:off x="1920237" y="6951646"/>
              <a:ext cx="1478803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High Tension Line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  <xdr:cxnSp macro="">
          <xdr:nvCxnSpPr>
            <xdr:cNvPr id="84" name="Straight Connector 83"/>
            <xdr:cNvCxnSpPr/>
          </xdr:nvCxnSpPr>
          <xdr:spPr>
            <a:xfrm>
              <a:off x="2762250" y="3624158"/>
              <a:ext cx="2876550" cy="1754292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5" name="Straight Connector 84"/>
            <xdr:cNvCxnSpPr/>
          </xdr:nvCxnSpPr>
          <xdr:spPr>
            <a:xfrm>
              <a:off x="2630371" y="3772802"/>
              <a:ext cx="2876550" cy="1754292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6" name="TextBox 15"/>
            <xdr:cNvSpPr txBox="1"/>
          </xdr:nvSpPr>
          <xdr:spPr>
            <a:xfrm rot="1986027">
              <a:off x="4762879" y="4989718"/>
              <a:ext cx="599844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NH48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  <xdr:cxnSp macro="">
          <xdr:nvCxnSpPr>
            <xdr:cNvPr id="87" name="Straight Connector 86"/>
            <xdr:cNvCxnSpPr/>
          </xdr:nvCxnSpPr>
          <xdr:spPr>
            <a:xfrm>
              <a:off x="2974405" y="4845050"/>
              <a:ext cx="1092665" cy="7620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" name="Straight Connector 87"/>
            <xdr:cNvCxnSpPr/>
          </xdr:nvCxnSpPr>
          <xdr:spPr>
            <a:xfrm>
              <a:off x="2974405" y="5023324"/>
              <a:ext cx="1016465" cy="15295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9" name="TextBox 22"/>
            <xdr:cNvSpPr txBox="1"/>
          </xdr:nvSpPr>
          <xdr:spPr>
            <a:xfrm>
              <a:off x="2885934" y="4798539"/>
              <a:ext cx="811441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solidFill>
                    <a:srgbClr val="FF0000"/>
                  </a:solidFill>
                </a:rPr>
                <a:t>HPCL Line</a:t>
              </a:r>
              <a:endParaRPr lang="en-IN" sz="1200" b="1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  <xdr:twoCellAnchor editAs="oneCell">
    <xdr:from>
      <xdr:col>8</xdr:col>
      <xdr:colOff>1009650</xdr:colOff>
      <xdr:row>50</xdr:row>
      <xdr:rowOff>247650</xdr:rowOff>
    </xdr:from>
    <xdr:to>
      <xdr:col>17</xdr:col>
      <xdr:colOff>595725</xdr:colOff>
      <xdr:row>53</xdr:row>
      <xdr:rowOff>351918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43165" y="13906500"/>
          <a:ext cx="4319905" cy="1456690"/>
        </a:xfrm>
        <a:prstGeom prst="rect">
          <a:avLst/>
        </a:prstGeom>
      </xdr:spPr>
    </xdr:pic>
    <xdr:clientData/>
  </xdr:twoCellAnchor>
  <xdr:oneCellAnchor>
    <xdr:from>
      <xdr:col>8</xdr:col>
      <xdr:colOff>1117600</xdr:colOff>
      <xdr:row>806</xdr:row>
      <xdr:rowOff>19050</xdr:rowOff>
    </xdr:from>
    <xdr:ext cx="708912" cy="311496"/>
    <xdr:sp macro="" textlink="">
      <xdr:nvSpPr>
        <xdr:cNvPr id="9" name="TextBox 8"/>
        <xdr:cNvSpPr txBox="1"/>
      </xdr:nvSpPr>
      <xdr:spPr>
        <a:xfrm>
          <a:off x="7962900" y="112776000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0</xdr:col>
      <xdr:colOff>228600</xdr:colOff>
      <xdr:row>799</xdr:row>
      <xdr:rowOff>139700</xdr:rowOff>
    </xdr:from>
    <xdr:to>
      <xdr:col>7</xdr:col>
      <xdr:colOff>670406</xdr:colOff>
      <xdr:row>836</xdr:row>
      <xdr:rowOff>106196</xdr:rowOff>
    </xdr:to>
    <xdr:grpSp>
      <xdr:nvGrpSpPr>
        <xdr:cNvPr id="11" name="Group 10"/>
        <xdr:cNvGrpSpPr/>
      </xdr:nvGrpSpPr>
      <xdr:grpSpPr>
        <a:xfrm>
          <a:off x="228600" y="111525050"/>
          <a:ext cx="6417156" cy="7243596"/>
          <a:chOff x="228600" y="111525050"/>
          <a:chExt cx="6417156" cy="7243596"/>
        </a:xfrm>
      </xdr:grpSpPr>
      <xdr:pic>
        <xdr:nvPicPr>
          <xdr:cNvPr id="90" name="Picture 8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8272" y="116608646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9" name="Picture 9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rightnessContrast bright="2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444" y="111525050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0" name="Picture 9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600" y="113796848"/>
            <a:ext cx="202218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1" name="Picture 10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26084" y="113796848"/>
            <a:ext cx="202218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2" name="Picture 10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3568" y="113796848"/>
            <a:ext cx="2022188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8" name="Picture 10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BEBA8EAE-BF5A-486C-A8C5-ECC9F3942E4B}">
                <a14:imgProps xmlns:a14="http://schemas.microsoft.com/office/drawing/2010/main">
                  <a14:imgLayer r:embed="rId17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2477" y="111525050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9" name="Picture 108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430" y="116608646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0" name="Picture 109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74851" y="116608646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1" name="TextBox 110"/>
          <xdr:cNvSpPr txBox="1"/>
        </xdr:nvSpPr>
        <xdr:spPr>
          <a:xfrm>
            <a:off x="1540644" y="112623600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112" name="TextBox 111"/>
          <xdr:cNvSpPr txBox="1"/>
        </xdr:nvSpPr>
        <xdr:spPr>
          <a:xfrm>
            <a:off x="4688027" y="112598200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113" name="TextBox 112"/>
          <xdr:cNvSpPr txBox="1"/>
        </xdr:nvSpPr>
        <xdr:spPr>
          <a:xfrm>
            <a:off x="806450" y="115600248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114" name="TextBox 113"/>
          <xdr:cNvSpPr txBox="1"/>
        </xdr:nvSpPr>
        <xdr:spPr>
          <a:xfrm>
            <a:off x="3219834" y="116076498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115" name="TextBox 114"/>
          <xdr:cNvSpPr txBox="1"/>
        </xdr:nvSpPr>
        <xdr:spPr>
          <a:xfrm>
            <a:off x="5303018" y="115238298"/>
            <a:ext cx="715517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116" name="TextBox 115"/>
          <xdr:cNvSpPr txBox="1"/>
        </xdr:nvSpPr>
        <xdr:spPr>
          <a:xfrm>
            <a:off x="1352280" y="117707196"/>
            <a:ext cx="692690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unimontimperia.in/" TargetMode="External"/><Relationship Id="rId1" Type="http://schemas.openxmlformats.org/officeDocument/2006/relationships/hyperlink" Target="https://maps.app.goo.gl/YwECbMkt1GX3r34BA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882"/>
  <sheetViews>
    <sheetView tabSelected="1" view="pageBreakPreview" topLeftCell="A588" zoomScaleNormal="100" zoomScaleSheetLayoutView="100" zoomScalePageLayoutView="85" workbookViewId="0">
      <selection activeCell="J602" sqref="J602"/>
    </sheetView>
  </sheetViews>
  <sheetFormatPr defaultColWidth="9.1796875" defaultRowHeight="15.5"/>
  <cols>
    <col min="1" max="1" width="11.453125" style="25" customWidth="1"/>
    <col min="2" max="2" width="12" style="25" customWidth="1"/>
    <col min="3" max="3" width="12.7265625" style="25" customWidth="1"/>
    <col min="4" max="4" width="14.1796875" style="25" customWidth="1"/>
    <col min="5" max="7" width="11.7265625" style="25" customWidth="1"/>
    <col min="8" max="8" width="12.453125" style="25" customWidth="1"/>
    <col min="9" max="9" width="17.453125" style="26" customWidth="1"/>
    <col min="10" max="10" width="11.453125" style="26" customWidth="1"/>
    <col min="11" max="12" width="10.54296875" style="26" customWidth="1"/>
    <col min="13" max="13" width="11.81640625" style="26" customWidth="1"/>
    <col min="14" max="14" width="12.54296875" style="26" hidden="1" customWidth="1"/>
    <col min="15" max="15" width="9.81640625" style="26" hidden="1" customWidth="1"/>
    <col min="16" max="16" width="10.453125" style="26" hidden="1" customWidth="1"/>
    <col min="17" max="247" width="9.1796875" style="26"/>
    <col min="248" max="248" width="8.7265625" style="26" customWidth="1"/>
    <col min="249" max="249" width="9.81640625" style="26" customWidth="1"/>
    <col min="250" max="250" width="14.453125" style="26" customWidth="1"/>
    <col min="251" max="251" width="7.26953125" style="26" customWidth="1"/>
    <col min="252" max="252" width="5.54296875" style="26" customWidth="1"/>
    <col min="253" max="253" width="9" style="26" customWidth="1"/>
    <col min="254" max="255" width="9.81640625" style="26" customWidth="1"/>
    <col min="256" max="256" width="11.1796875" style="26" customWidth="1"/>
    <col min="257" max="257" width="2.81640625" style="26" customWidth="1"/>
    <col min="258" max="258" width="3.54296875" style="26" customWidth="1"/>
    <col min="259" max="503" width="9.1796875" style="26"/>
    <col min="504" max="504" width="8.7265625" style="26" customWidth="1"/>
    <col min="505" max="505" width="9.81640625" style="26" customWidth="1"/>
    <col min="506" max="506" width="14.453125" style="26" customWidth="1"/>
    <col min="507" max="507" width="7.26953125" style="26" customWidth="1"/>
    <col min="508" max="508" width="5.54296875" style="26" customWidth="1"/>
    <col min="509" max="509" width="9" style="26" customWidth="1"/>
    <col min="510" max="511" width="9.81640625" style="26" customWidth="1"/>
    <col min="512" max="512" width="11.1796875" style="26" customWidth="1"/>
    <col min="513" max="513" width="2.81640625" style="26" customWidth="1"/>
    <col min="514" max="514" width="3.54296875" style="26" customWidth="1"/>
    <col min="515" max="759" width="9.1796875" style="26"/>
    <col min="760" max="760" width="8.7265625" style="26" customWidth="1"/>
    <col min="761" max="761" width="9.81640625" style="26" customWidth="1"/>
    <col min="762" max="762" width="14.453125" style="26" customWidth="1"/>
    <col min="763" max="763" width="7.26953125" style="26" customWidth="1"/>
    <col min="764" max="764" width="5.54296875" style="26" customWidth="1"/>
    <col min="765" max="765" width="9" style="26" customWidth="1"/>
    <col min="766" max="767" width="9.81640625" style="26" customWidth="1"/>
    <col min="768" max="768" width="11.1796875" style="26" customWidth="1"/>
    <col min="769" max="769" width="2.81640625" style="26" customWidth="1"/>
    <col min="770" max="770" width="3.54296875" style="26" customWidth="1"/>
    <col min="771" max="1015" width="9.1796875" style="26"/>
    <col min="1016" max="1016" width="8.7265625" style="26" customWidth="1"/>
    <col min="1017" max="1017" width="9.81640625" style="26" customWidth="1"/>
    <col min="1018" max="1018" width="14.453125" style="26" customWidth="1"/>
    <col min="1019" max="1019" width="7.26953125" style="26" customWidth="1"/>
    <col min="1020" max="1020" width="5.54296875" style="26" customWidth="1"/>
    <col min="1021" max="1021" width="9" style="26" customWidth="1"/>
    <col min="1022" max="1023" width="9.81640625" style="26" customWidth="1"/>
    <col min="1024" max="1024" width="11.1796875" style="26" customWidth="1"/>
    <col min="1025" max="1025" width="2.81640625" style="26" customWidth="1"/>
    <col min="1026" max="1026" width="3.54296875" style="26" customWidth="1"/>
    <col min="1027" max="1271" width="9.1796875" style="26"/>
    <col min="1272" max="1272" width="8.7265625" style="26" customWidth="1"/>
    <col min="1273" max="1273" width="9.81640625" style="26" customWidth="1"/>
    <col min="1274" max="1274" width="14.453125" style="26" customWidth="1"/>
    <col min="1275" max="1275" width="7.26953125" style="26" customWidth="1"/>
    <col min="1276" max="1276" width="5.54296875" style="26" customWidth="1"/>
    <col min="1277" max="1277" width="9" style="26" customWidth="1"/>
    <col min="1278" max="1279" width="9.81640625" style="26" customWidth="1"/>
    <col min="1280" max="1280" width="11.1796875" style="26" customWidth="1"/>
    <col min="1281" max="1281" width="2.81640625" style="26" customWidth="1"/>
    <col min="1282" max="1282" width="3.54296875" style="26" customWidth="1"/>
    <col min="1283" max="1527" width="9.1796875" style="26"/>
    <col min="1528" max="1528" width="8.7265625" style="26" customWidth="1"/>
    <col min="1529" max="1529" width="9.81640625" style="26" customWidth="1"/>
    <col min="1530" max="1530" width="14.453125" style="26" customWidth="1"/>
    <col min="1531" max="1531" width="7.26953125" style="26" customWidth="1"/>
    <col min="1532" max="1532" width="5.54296875" style="26" customWidth="1"/>
    <col min="1533" max="1533" width="9" style="26" customWidth="1"/>
    <col min="1534" max="1535" width="9.81640625" style="26" customWidth="1"/>
    <col min="1536" max="1536" width="11.1796875" style="26" customWidth="1"/>
    <col min="1537" max="1537" width="2.81640625" style="26" customWidth="1"/>
    <col min="1538" max="1538" width="3.54296875" style="26" customWidth="1"/>
    <col min="1539" max="1783" width="9.1796875" style="26"/>
    <col min="1784" max="1784" width="8.7265625" style="26" customWidth="1"/>
    <col min="1785" max="1785" width="9.81640625" style="26" customWidth="1"/>
    <col min="1786" max="1786" width="14.453125" style="26" customWidth="1"/>
    <col min="1787" max="1787" width="7.26953125" style="26" customWidth="1"/>
    <col min="1788" max="1788" width="5.54296875" style="26" customWidth="1"/>
    <col min="1789" max="1789" width="9" style="26" customWidth="1"/>
    <col min="1790" max="1791" width="9.81640625" style="26" customWidth="1"/>
    <col min="1792" max="1792" width="11.1796875" style="26" customWidth="1"/>
    <col min="1793" max="1793" width="2.81640625" style="26" customWidth="1"/>
    <col min="1794" max="1794" width="3.54296875" style="26" customWidth="1"/>
    <col min="1795" max="2039" width="9.1796875" style="26"/>
    <col min="2040" max="2040" width="8.7265625" style="26" customWidth="1"/>
    <col min="2041" max="2041" width="9.81640625" style="26" customWidth="1"/>
    <col min="2042" max="2042" width="14.453125" style="26" customWidth="1"/>
    <col min="2043" max="2043" width="7.26953125" style="26" customWidth="1"/>
    <col min="2044" max="2044" width="5.54296875" style="26" customWidth="1"/>
    <col min="2045" max="2045" width="9" style="26" customWidth="1"/>
    <col min="2046" max="2047" width="9.81640625" style="26" customWidth="1"/>
    <col min="2048" max="2048" width="11.1796875" style="26" customWidth="1"/>
    <col min="2049" max="2049" width="2.81640625" style="26" customWidth="1"/>
    <col min="2050" max="2050" width="3.54296875" style="26" customWidth="1"/>
    <col min="2051" max="2295" width="9.1796875" style="26"/>
    <col min="2296" max="2296" width="8.7265625" style="26" customWidth="1"/>
    <col min="2297" max="2297" width="9.81640625" style="26" customWidth="1"/>
    <col min="2298" max="2298" width="14.453125" style="26" customWidth="1"/>
    <col min="2299" max="2299" width="7.26953125" style="26" customWidth="1"/>
    <col min="2300" max="2300" width="5.54296875" style="26" customWidth="1"/>
    <col min="2301" max="2301" width="9" style="26" customWidth="1"/>
    <col min="2302" max="2303" width="9.81640625" style="26" customWidth="1"/>
    <col min="2304" max="2304" width="11.1796875" style="26" customWidth="1"/>
    <col min="2305" max="2305" width="2.81640625" style="26" customWidth="1"/>
    <col min="2306" max="2306" width="3.54296875" style="26" customWidth="1"/>
    <col min="2307" max="2551" width="9.1796875" style="26"/>
    <col min="2552" max="2552" width="8.7265625" style="26" customWidth="1"/>
    <col min="2553" max="2553" width="9.81640625" style="26" customWidth="1"/>
    <col min="2554" max="2554" width="14.453125" style="26" customWidth="1"/>
    <col min="2555" max="2555" width="7.26953125" style="26" customWidth="1"/>
    <col min="2556" max="2556" width="5.54296875" style="26" customWidth="1"/>
    <col min="2557" max="2557" width="9" style="26" customWidth="1"/>
    <col min="2558" max="2559" width="9.81640625" style="26" customWidth="1"/>
    <col min="2560" max="2560" width="11.1796875" style="26" customWidth="1"/>
    <col min="2561" max="2561" width="2.81640625" style="26" customWidth="1"/>
    <col min="2562" max="2562" width="3.54296875" style="26" customWidth="1"/>
    <col min="2563" max="2807" width="9.1796875" style="26"/>
    <col min="2808" max="2808" width="8.7265625" style="26" customWidth="1"/>
    <col min="2809" max="2809" width="9.81640625" style="26" customWidth="1"/>
    <col min="2810" max="2810" width="14.453125" style="26" customWidth="1"/>
    <col min="2811" max="2811" width="7.26953125" style="26" customWidth="1"/>
    <col min="2812" max="2812" width="5.54296875" style="26" customWidth="1"/>
    <col min="2813" max="2813" width="9" style="26" customWidth="1"/>
    <col min="2814" max="2815" width="9.81640625" style="26" customWidth="1"/>
    <col min="2816" max="2816" width="11.1796875" style="26" customWidth="1"/>
    <col min="2817" max="2817" width="2.81640625" style="26" customWidth="1"/>
    <col min="2818" max="2818" width="3.54296875" style="26" customWidth="1"/>
    <col min="2819" max="3063" width="9.1796875" style="26"/>
    <col min="3064" max="3064" width="8.7265625" style="26" customWidth="1"/>
    <col min="3065" max="3065" width="9.81640625" style="26" customWidth="1"/>
    <col min="3066" max="3066" width="14.453125" style="26" customWidth="1"/>
    <col min="3067" max="3067" width="7.26953125" style="26" customWidth="1"/>
    <col min="3068" max="3068" width="5.54296875" style="26" customWidth="1"/>
    <col min="3069" max="3069" width="9" style="26" customWidth="1"/>
    <col min="3070" max="3071" width="9.81640625" style="26" customWidth="1"/>
    <col min="3072" max="3072" width="11.1796875" style="26" customWidth="1"/>
    <col min="3073" max="3073" width="2.81640625" style="26" customWidth="1"/>
    <col min="3074" max="3074" width="3.54296875" style="26" customWidth="1"/>
    <col min="3075" max="3319" width="9.1796875" style="26"/>
    <col min="3320" max="3320" width="8.7265625" style="26" customWidth="1"/>
    <col min="3321" max="3321" width="9.81640625" style="26" customWidth="1"/>
    <col min="3322" max="3322" width="14.453125" style="26" customWidth="1"/>
    <col min="3323" max="3323" width="7.26953125" style="26" customWidth="1"/>
    <col min="3324" max="3324" width="5.54296875" style="26" customWidth="1"/>
    <col min="3325" max="3325" width="9" style="26" customWidth="1"/>
    <col min="3326" max="3327" width="9.81640625" style="26" customWidth="1"/>
    <col min="3328" max="3328" width="11.1796875" style="26" customWidth="1"/>
    <col min="3329" max="3329" width="2.81640625" style="26" customWidth="1"/>
    <col min="3330" max="3330" width="3.54296875" style="26" customWidth="1"/>
    <col min="3331" max="3575" width="9.1796875" style="26"/>
    <col min="3576" max="3576" width="8.7265625" style="26" customWidth="1"/>
    <col min="3577" max="3577" width="9.81640625" style="26" customWidth="1"/>
    <col min="3578" max="3578" width="14.453125" style="26" customWidth="1"/>
    <col min="3579" max="3579" width="7.26953125" style="26" customWidth="1"/>
    <col min="3580" max="3580" width="5.54296875" style="26" customWidth="1"/>
    <col min="3581" max="3581" width="9" style="26" customWidth="1"/>
    <col min="3582" max="3583" width="9.81640625" style="26" customWidth="1"/>
    <col min="3584" max="3584" width="11.1796875" style="26" customWidth="1"/>
    <col min="3585" max="3585" width="2.81640625" style="26" customWidth="1"/>
    <col min="3586" max="3586" width="3.54296875" style="26" customWidth="1"/>
    <col min="3587" max="3831" width="9.1796875" style="26"/>
    <col min="3832" max="3832" width="8.7265625" style="26" customWidth="1"/>
    <col min="3833" max="3833" width="9.81640625" style="26" customWidth="1"/>
    <col min="3834" max="3834" width="14.453125" style="26" customWidth="1"/>
    <col min="3835" max="3835" width="7.26953125" style="26" customWidth="1"/>
    <col min="3836" max="3836" width="5.54296875" style="26" customWidth="1"/>
    <col min="3837" max="3837" width="9" style="26" customWidth="1"/>
    <col min="3838" max="3839" width="9.81640625" style="26" customWidth="1"/>
    <col min="3840" max="3840" width="11.1796875" style="26" customWidth="1"/>
    <col min="3841" max="3841" width="2.81640625" style="26" customWidth="1"/>
    <col min="3842" max="3842" width="3.54296875" style="26" customWidth="1"/>
    <col min="3843" max="4087" width="9.1796875" style="26"/>
    <col min="4088" max="4088" width="8.7265625" style="26" customWidth="1"/>
    <col min="4089" max="4089" width="9.81640625" style="26" customWidth="1"/>
    <col min="4090" max="4090" width="14.453125" style="26" customWidth="1"/>
    <col min="4091" max="4091" width="7.26953125" style="26" customWidth="1"/>
    <col min="4092" max="4092" width="5.54296875" style="26" customWidth="1"/>
    <col min="4093" max="4093" width="9" style="26" customWidth="1"/>
    <col min="4094" max="4095" width="9.81640625" style="26" customWidth="1"/>
    <col min="4096" max="4096" width="11.1796875" style="26" customWidth="1"/>
    <col min="4097" max="4097" width="2.81640625" style="26" customWidth="1"/>
    <col min="4098" max="4098" width="3.54296875" style="26" customWidth="1"/>
    <col min="4099" max="4343" width="9.1796875" style="26"/>
    <col min="4344" max="4344" width="8.7265625" style="26" customWidth="1"/>
    <col min="4345" max="4345" width="9.81640625" style="26" customWidth="1"/>
    <col min="4346" max="4346" width="14.453125" style="26" customWidth="1"/>
    <col min="4347" max="4347" width="7.26953125" style="26" customWidth="1"/>
    <col min="4348" max="4348" width="5.54296875" style="26" customWidth="1"/>
    <col min="4349" max="4349" width="9" style="26" customWidth="1"/>
    <col min="4350" max="4351" width="9.81640625" style="26" customWidth="1"/>
    <col min="4352" max="4352" width="11.1796875" style="26" customWidth="1"/>
    <col min="4353" max="4353" width="2.81640625" style="26" customWidth="1"/>
    <col min="4354" max="4354" width="3.54296875" style="26" customWidth="1"/>
    <col min="4355" max="4599" width="9.1796875" style="26"/>
    <col min="4600" max="4600" width="8.7265625" style="26" customWidth="1"/>
    <col min="4601" max="4601" width="9.81640625" style="26" customWidth="1"/>
    <col min="4602" max="4602" width="14.453125" style="26" customWidth="1"/>
    <col min="4603" max="4603" width="7.26953125" style="26" customWidth="1"/>
    <col min="4604" max="4604" width="5.54296875" style="26" customWidth="1"/>
    <col min="4605" max="4605" width="9" style="26" customWidth="1"/>
    <col min="4606" max="4607" width="9.81640625" style="26" customWidth="1"/>
    <col min="4608" max="4608" width="11.1796875" style="26" customWidth="1"/>
    <col min="4609" max="4609" width="2.81640625" style="26" customWidth="1"/>
    <col min="4610" max="4610" width="3.54296875" style="26" customWidth="1"/>
    <col min="4611" max="4855" width="9.1796875" style="26"/>
    <col min="4856" max="4856" width="8.7265625" style="26" customWidth="1"/>
    <col min="4857" max="4857" width="9.81640625" style="26" customWidth="1"/>
    <col min="4858" max="4858" width="14.453125" style="26" customWidth="1"/>
    <col min="4859" max="4859" width="7.26953125" style="26" customWidth="1"/>
    <col min="4860" max="4860" width="5.54296875" style="26" customWidth="1"/>
    <col min="4861" max="4861" width="9" style="26" customWidth="1"/>
    <col min="4862" max="4863" width="9.81640625" style="26" customWidth="1"/>
    <col min="4864" max="4864" width="11.1796875" style="26" customWidth="1"/>
    <col min="4865" max="4865" width="2.81640625" style="26" customWidth="1"/>
    <col min="4866" max="4866" width="3.54296875" style="26" customWidth="1"/>
    <col min="4867" max="5111" width="9.1796875" style="26"/>
    <col min="5112" max="5112" width="8.7265625" style="26" customWidth="1"/>
    <col min="5113" max="5113" width="9.81640625" style="26" customWidth="1"/>
    <col min="5114" max="5114" width="14.453125" style="26" customWidth="1"/>
    <col min="5115" max="5115" width="7.26953125" style="26" customWidth="1"/>
    <col min="5116" max="5116" width="5.54296875" style="26" customWidth="1"/>
    <col min="5117" max="5117" width="9" style="26" customWidth="1"/>
    <col min="5118" max="5119" width="9.81640625" style="26" customWidth="1"/>
    <col min="5120" max="5120" width="11.1796875" style="26" customWidth="1"/>
    <col min="5121" max="5121" width="2.81640625" style="26" customWidth="1"/>
    <col min="5122" max="5122" width="3.54296875" style="26" customWidth="1"/>
    <col min="5123" max="5367" width="9.1796875" style="26"/>
    <col min="5368" max="5368" width="8.7265625" style="26" customWidth="1"/>
    <col min="5369" max="5369" width="9.81640625" style="26" customWidth="1"/>
    <col min="5370" max="5370" width="14.453125" style="26" customWidth="1"/>
    <col min="5371" max="5371" width="7.26953125" style="26" customWidth="1"/>
    <col min="5372" max="5372" width="5.54296875" style="26" customWidth="1"/>
    <col min="5373" max="5373" width="9" style="26" customWidth="1"/>
    <col min="5374" max="5375" width="9.81640625" style="26" customWidth="1"/>
    <col min="5376" max="5376" width="11.1796875" style="26" customWidth="1"/>
    <col min="5377" max="5377" width="2.81640625" style="26" customWidth="1"/>
    <col min="5378" max="5378" width="3.54296875" style="26" customWidth="1"/>
    <col min="5379" max="5623" width="9.1796875" style="26"/>
    <col min="5624" max="5624" width="8.7265625" style="26" customWidth="1"/>
    <col min="5625" max="5625" width="9.81640625" style="26" customWidth="1"/>
    <col min="5626" max="5626" width="14.453125" style="26" customWidth="1"/>
    <col min="5627" max="5627" width="7.26953125" style="26" customWidth="1"/>
    <col min="5628" max="5628" width="5.54296875" style="26" customWidth="1"/>
    <col min="5629" max="5629" width="9" style="26" customWidth="1"/>
    <col min="5630" max="5631" width="9.81640625" style="26" customWidth="1"/>
    <col min="5632" max="5632" width="11.1796875" style="26" customWidth="1"/>
    <col min="5633" max="5633" width="2.81640625" style="26" customWidth="1"/>
    <col min="5634" max="5634" width="3.54296875" style="26" customWidth="1"/>
    <col min="5635" max="5879" width="9.1796875" style="26"/>
    <col min="5880" max="5880" width="8.7265625" style="26" customWidth="1"/>
    <col min="5881" max="5881" width="9.81640625" style="26" customWidth="1"/>
    <col min="5882" max="5882" width="14.453125" style="26" customWidth="1"/>
    <col min="5883" max="5883" width="7.26953125" style="26" customWidth="1"/>
    <col min="5884" max="5884" width="5.54296875" style="26" customWidth="1"/>
    <col min="5885" max="5885" width="9" style="26" customWidth="1"/>
    <col min="5886" max="5887" width="9.81640625" style="26" customWidth="1"/>
    <col min="5888" max="5888" width="11.1796875" style="26" customWidth="1"/>
    <col min="5889" max="5889" width="2.81640625" style="26" customWidth="1"/>
    <col min="5890" max="5890" width="3.54296875" style="26" customWidth="1"/>
    <col min="5891" max="6135" width="9.1796875" style="26"/>
    <col min="6136" max="6136" width="8.7265625" style="26" customWidth="1"/>
    <col min="6137" max="6137" width="9.81640625" style="26" customWidth="1"/>
    <col min="6138" max="6138" width="14.453125" style="26" customWidth="1"/>
    <col min="6139" max="6139" width="7.26953125" style="26" customWidth="1"/>
    <col min="6140" max="6140" width="5.54296875" style="26" customWidth="1"/>
    <col min="6141" max="6141" width="9" style="26" customWidth="1"/>
    <col min="6142" max="6143" width="9.81640625" style="26" customWidth="1"/>
    <col min="6144" max="6144" width="11.1796875" style="26" customWidth="1"/>
    <col min="6145" max="6145" width="2.81640625" style="26" customWidth="1"/>
    <col min="6146" max="6146" width="3.54296875" style="26" customWidth="1"/>
    <col min="6147" max="6391" width="9.1796875" style="26"/>
    <col min="6392" max="6392" width="8.7265625" style="26" customWidth="1"/>
    <col min="6393" max="6393" width="9.81640625" style="26" customWidth="1"/>
    <col min="6394" max="6394" width="14.453125" style="26" customWidth="1"/>
    <col min="6395" max="6395" width="7.26953125" style="26" customWidth="1"/>
    <col min="6396" max="6396" width="5.54296875" style="26" customWidth="1"/>
    <col min="6397" max="6397" width="9" style="26" customWidth="1"/>
    <col min="6398" max="6399" width="9.81640625" style="26" customWidth="1"/>
    <col min="6400" max="6400" width="11.1796875" style="26" customWidth="1"/>
    <col min="6401" max="6401" width="2.81640625" style="26" customWidth="1"/>
    <col min="6402" max="6402" width="3.54296875" style="26" customWidth="1"/>
    <col min="6403" max="6647" width="9.1796875" style="26"/>
    <col min="6648" max="6648" width="8.7265625" style="26" customWidth="1"/>
    <col min="6649" max="6649" width="9.81640625" style="26" customWidth="1"/>
    <col min="6650" max="6650" width="14.453125" style="26" customWidth="1"/>
    <col min="6651" max="6651" width="7.26953125" style="26" customWidth="1"/>
    <col min="6652" max="6652" width="5.54296875" style="26" customWidth="1"/>
    <col min="6653" max="6653" width="9" style="26" customWidth="1"/>
    <col min="6654" max="6655" width="9.81640625" style="26" customWidth="1"/>
    <col min="6656" max="6656" width="11.1796875" style="26" customWidth="1"/>
    <col min="6657" max="6657" width="2.81640625" style="26" customWidth="1"/>
    <col min="6658" max="6658" width="3.54296875" style="26" customWidth="1"/>
    <col min="6659" max="6903" width="9.1796875" style="26"/>
    <col min="6904" max="6904" width="8.7265625" style="26" customWidth="1"/>
    <col min="6905" max="6905" width="9.81640625" style="26" customWidth="1"/>
    <col min="6906" max="6906" width="14.453125" style="26" customWidth="1"/>
    <col min="6907" max="6907" width="7.26953125" style="26" customWidth="1"/>
    <col min="6908" max="6908" width="5.54296875" style="26" customWidth="1"/>
    <col min="6909" max="6909" width="9" style="26" customWidth="1"/>
    <col min="6910" max="6911" width="9.81640625" style="26" customWidth="1"/>
    <col min="6912" max="6912" width="11.1796875" style="26" customWidth="1"/>
    <col min="6913" max="6913" width="2.81640625" style="26" customWidth="1"/>
    <col min="6914" max="6914" width="3.54296875" style="26" customWidth="1"/>
    <col min="6915" max="7159" width="9.1796875" style="26"/>
    <col min="7160" max="7160" width="8.7265625" style="26" customWidth="1"/>
    <col min="7161" max="7161" width="9.81640625" style="26" customWidth="1"/>
    <col min="7162" max="7162" width="14.453125" style="26" customWidth="1"/>
    <col min="7163" max="7163" width="7.26953125" style="26" customWidth="1"/>
    <col min="7164" max="7164" width="5.54296875" style="26" customWidth="1"/>
    <col min="7165" max="7165" width="9" style="26" customWidth="1"/>
    <col min="7166" max="7167" width="9.81640625" style="26" customWidth="1"/>
    <col min="7168" max="7168" width="11.1796875" style="26" customWidth="1"/>
    <col min="7169" max="7169" width="2.81640625" style="26" customWidth="1"/>
    <col min="7170" max="7170" width="3.54296875" style="26" customWidth="1"/>
    <col min="7171" max="7415" width="9.1796875" style="26"/>
    <col min="7416" max="7416" width="8.7265625" style="26" customWidth="1"/>
    <col min="7417" max="7417" width="9.81640625" style="26" customWidth="1"/>
    <col min="7418" max="7418" width="14.453125" style="26" customWidth="1"/>
    <col min="7419" max="7419" width="7.26953125" style="26" customWidth="1"/>
    <col min="7420" max="7420" width="5.54296875" style="26" customWidth="1"/>
    <col min="7421" max="7421" width="9" style="26" customWidth="1"/>
    <col min="7422" max="7423" width="9.81640625" style="26" customWidth="1"/>
    <col min="7424" max="7424" width="11.1796875" style="26" customWidth="1"/>
    <col min="7425" max="7425" width="2.81640625" style="26" customWidth="1"/>
    <col min="7426" max="7426" width="3.54296875" style="26" customWidth="1"/>
    <col min="7427" max="7671" width="9.1796875" style="26"/>
    <col min="7672" max="7672" width="8.7265625" style="26" customWidth="1"/>
    <col min="7673" max="7673" width="9.81640625" style="26" customWidth="1"/>
    <col min="7674" max="7674" width="14.453125" style="26" customWidth="1"/>
    <col min="7675" max="7675" width="7.26953125" style="26" customWidth="1"/>
    <col min="7676" max="7676" width="5.54296875" style="26" customWidth="1"/>
    <col min="7677" max="7677" width="9" style="26" customWidth="1"/>
    <col min="7678" max="7679" width="9.81640625" style="26" customWidth="1"/>
    <col min="7680" max="7680" width="11.1796875" style="26" customWidth="1"/>
    <col min="7681" max="7681" width="2.81640625" style="26" customWidth="1"/>
    <col min="7682" max="7682" width="3.54296875" style="26" customWidth="1"/>
    <col min="7683" max="7927" width="9.1796875" style="26"/>
    <col min="7928" max="7928" width="8.7265625" style="26" customWidth="1"/>
    <col min="7929" max="7929" width="9.81640625" style="26" customWidth="1"/>
    <col min="7930" max="7930" width="14.453125" style="26" customWidth="1"/>
    <col min="7931" max="7931" width="7.26953125" style="26" customWidth="1"/>
    <col min="7932" max="7932" width="5.54296875" style="26" customWidth="1"/>
    <col min="7933" max="7933" width="9" style="26" customWidth="1"/>
    <col min="7934" max="7935" width="9.81640625" style="26" customWidth="1"/>
    <col min="7936" max="7936" width="11.1796875" style="26" customWidth="1"/>
    <col min="7937" max="7937" width="2.81640625" style="26" customWidth="1"/>
    <col min="7938" max="7938" width="3.54296875" style="26" customWidth="1"/>
    <col min="7939" max="8183" width="9.1796875" style="26"/>
    <col min="8184" max="8184" width="8.7265625" style="26" customWidth="1"/>
    <col min="8185" max="8185" width="9.81640625" style="26" customWidth="1"/>
    <col min="8186" max="8186" width="14.453125" style="26" customWidth="1"/>
    <col min="8187" max="8187" width="7.26953125" style="26" customWidth="1"/>
    <col min="8188" max="8188" width="5.54296875" style="26" customWidth="1"/>
    <col min="8189" max="8189" width="9" style="26" customWidth="1"/>
    <col min="8190" max="8191" width="9.81640625" style="26" customWidth="1"/>
    <col min="8192" max="8192" width="11.1796875" style="26" customWidth="1"/>
    <col min="8193" max="8193" width="2.81640625" style="26" customWidth="1"/>
    <col min="8194" max="8194" width="3.54296875" style="26" customWidth="1"/>
    <col min="8195" max="8439" width="9.1796875" style="26"/>
    <col min="8440" max="8440" width="8.7265625" style="26" customWidth="1"/>
    <col min="8441" max="8441" width="9.81640625" style="26" customWidth="1"/>
    <col min="8442" max="8442" width="14.453125" style="26" customWidth="1"/>
    <col min="8443" max="8443" width="7.26953125" style="26" customWidth="1"/>
    <col min="8444" max="8444" width="5.54296875" style="26" customWidth="1"/>
    <col min="8445" max="8445" width="9" style="26" customWidth="1"/>
    <col min="8446" max="8447" width="9.81640625" style="26" customWidth="1"/>
    <col min="8448" max="8448" width="11.1796875" style="26" customWidth="1"/>
    <col min="8449" max="8449" width="2.81640625" style="26" customWidth="1"/>
    <col min="8450" max="8450" width="3.54296875" style="26" customWidth="1"/>
    <col min="8451" max="8695" width="9.1796875" style="26"/>
    <col min="8696" max="8696" width="8.7265625" style="26" customWidth="1"/>
    <col min="8697" max="8697" width="9.81640625" style="26" customWidth="1"/>
    <col min="8698" max="8698" width="14.453125" style="26" customWidth="1"/>
    <col min="8699" max="8699" width="7.26953125" style="26" customWidth="1"/>
    <col min="8700" max="8700" width="5.54296875" style="26" customWidth="1"/>
    <col min="8701" max="8701" width="9" style="26" customWidth="1"/>
    <col min="8702" max="8703" width="9.81640625" style="26" customWidth="1"/>
    <col min="8704" max="8704" width="11.1796875" style="26" customWidth="1"/>
    <col min="8705" max="8705" width="2.81640625" style="26" customWidth="1"/>
    <col min="8706" max="8706" width="3.54296875" style="26" customWidth="1"/>
    <col min="8707" max="8951" width="9.1796875" style="26"/>
    <col min="8952" max="8952" width="8.7265625" style="26" customWidth="1"/>
    <col min="8953" max="8953" width="9.81640625" style="26" customWidth="1"/>
    <col min="8954" max="8954" width="14.453125" style="26" customWidth="1"/>
    <col min="8955" max="8955" width="7.26953125" style="26" customWidth="1"/>
    <col min="8956" max="8956" width="5.54296875" style="26" customWidth="1"/>
    <col min="8957" max="8957" width="9" style="26" customWidth="1"/>
    <col min="8958" max="8959" width="9.81640625" style="26" customWidth="1"/>
    <col min="8960" max="8960" width="11.1796875" style="26" customWidth="1"/>
    <col min="8961" max="8961" width="2.81640625" style="26" customWidth="1"/>
    <col min="8962" max="8962" width="3.54296875" style="26" customWidth="1"/>
    <col min="8963" max="9207" width="9.1796875" style="26"/>
    <col min="9208" max="9208" width="8.7265625" style="26" customWidth="1"/>
    <col min="9209" max="9209" width="9.81640625" style="26" customWidth="1"/>
    <col min="9210" max="9210" width="14.453125" style="26" customWidth="1"/>
    <col min="9211" max="9211" width="7.26953125" style="26" customWidth="1"/>
    <col min="9212" max="9212" width="5.54296875" style="26" customWidth="1"/>
    <col min="9213" max="9213" width="9" style="26" customWidth="1"/>
    <col min="9214" max="9215" width="9.81640625" style="26" customWidth="1"/>
    <col min="9216" max="9216" width="11.1796875" style="26" customWidth="1"/>
    <col min="9217" max="9217" width="2.81640625" style="26" customWidth="1"/>
    <col min="9218" max="9218" width="3.54296875" style="26" customWidth="1"/>
    <col min="9219" max="9463" width="9.1796875" style="26"/>
    <col min="9464" max="9464" width="8.7265625" style="26" customWidth="1"/>
    <col min="9465" max="9465" width="9.81640625" style="26" customWidth="1"/>
    <col min="9466" max="9466" width="14.453125" style="26" customWidth="1"/>
    <col min="9467" max="9467" width="7.26953125" style="26" customWidth="1"/>
    <col min="9468" max="9468" width="5.54296875" style="26" customWidth="1"/>
    <col min="9469" max="9469" width="9" style="26" customWidth="1"/>
    <col min="9470" max="9471" width="9.81640625" style="26" customWidth="1"/>
    <col min="9472" max="9472" width="11.1796875" style="26" customWidth="1"/>
    <col min="9473" max="9473" width="2.81640625" style="26" customWidth="1"/>
    <col min="9474" max="9474" width="3.54296875" style="26" customWidth="1"/>
    <col min="9475" max="9719" width="9.1796875" style="26"/>
    <col min="9720" max="9720" width="8.7265625" style="26" customWidth="1"/>
    <col min="9721" max="9721" width="9.81640625" style="26" customWidth="1"/>
    <col min="9722" max="9722" width="14.453125" style="26" customWidth="1"/>
    <col min="9723" max="9723" width="7.26953125" style="26" customWidth="1"/>
    <col min="9724" max="9724" width="5.54296875" style="26" customWidth="1"/>
    <col min="9725" max="9725" width="9" style="26" customWidth="1"/>
    <col min="9726" max="9727" width="9.81640625" style="26" customWidth="1"/>
    <col min="9728" max="9728" width="11.1796875" style="26" customWidth="1"/>
    <col min="9729" max="9729" width="2.81640625" style="26" customWidth="1"/>
    <col min="9730" max="9730" width="3.54296875" style="26" customWidth="1"/>
    <col min="9731" max="9975" width="9.1796875" style="26"/>
    <col min="9976" max="9976" width="8.7265625" style="26" customWidth="1"/>
    <col min="9977" max="9977" width="9.81640625" style="26" customWidth="1"/>
    <col min="9978" max="9978" width="14.453125" style="26" customWidth="1"/>
    <col min="9979" max="9979" width="7.26953125" style="26" customWidth="1"/>
    <col min="9980" max="9980" width="5.54296875" style="26" customWidth="1"/>
    <col min="9981" max="9981" width="9" style="26" customWidth="1"/>
    <col min="9982" max="9983" width="9.81640625" style="26" customWidth="1"/>
    <col min="9984" max="9984" width="11.1796875" style="26" customWidth="1"/>
    <col min="9985" max="9985" width="2.81640625" style="26" customWidth="1"/>
    <col min="9986" max="9986" width="3.54296875" style="26" customWidth="1"/>
    <col min="9987" max="10231" width="9.1796875" style="26"/>
    <col min="10232" max="10232" width="8.7265625" style="26" customWidth="1"/>
    <col min="10233" max="10233" width="9.81640625" style="26" customWidth="1"/>
    <col min="10234" max="10234" width="14.453125" style="26" customWidth="1"/>
    <col min="10235" max="10235" width="7.26953125" style="26" customWidth="1"/>
    <col min="10236" max="10236" width="5.54296875" style="26" customWidth="1"/>
    <col min="10237" max="10237" width="9" style="26" customWidth="1"/>
    <col min="10238" max="10239" width="9.81640625" style="26" customWidth="1"/>
    <col min="10240" max="10240" width="11.1796875" style="26" customWidth="1"/>
    <col min="10241" max="10241" width="2.81640625" style="26" customWidth="1"/>
    <col min="10242" max="10242" width="3.54296875" style="26" customWidth="1"/>
    <col min="10243" max="10487" width="9.1796875" style="26"/>
    <col min="10488" max="10488" width="8.7265625" style="26" customWidth="1"/>
    <col min="10489" max="10489" width="9.81640625" style="26" customWidth="1"/>
    <col min="10490" max="10490" width="14.453125" style="26" customWidth="1"/>
    <col min="10491" max="10491" width="7.26953125" style="26" customWidth="1"/>
    <col min="10492" max="10492" width="5.54296875" style="26" customWidth="1"/>
    <col min="10493" max="10493" width="9" style="26" customWidth="1"/>
    <col min="10494" max="10495" width="9.81640625" style="26" customWidth="1"/>
    <col min="10496" max="10496" width="11.1796875" style="26" customWidth="1"/>
    <col min="10497" max="10497" width="2.81640625" style="26" customWidth="1"/>
    <col min="10498" max="10498" width="3.54296875" style="26" customWidth="1"/>
    <col min="10499" max="10743" width="9.1796875" style="26"/>
    <col min="10744" max="10744" width="8.7265625" style="26" customWidth="1"/>
    <col min="10745" max="10745" width="9.81640625" style="26" customWidth="1"/>
    <col min="10746" max="10746" width="14.453125" style="26" customWidth="1"/>
    <col min="10747" max="10747" width="7.26953125" style="26" customWidth="1"/>
    <col min="10748" max="10748" width="5.54296875" style="26" customWidth="1"/>
    <col min="10749" max="10749" width="9" style="26" customWidth="1"/>
    <col min="10750" max="10751" width="9.81640625" style="26" customWidth="1"/>
    <col min="10752" max="10752" width="11.1796875" style="26" customWidth="1"/>
    <col min="10753" max="10753" width="2.81640625" style="26" customWidth="1"/>
    <col min="10754" max="10754" width="3.54296875" style="26" customWidth="1"/>
    <col min="10755" max="10999" width="9.1796875" style="26"/>
    <col min="11000" max="11000" width="8.7265625" style="26" customWidth="1"/>
    <col min="11001" max="11001" width="9.81640625" style="26" customWidth="1"/>
    <col min="11002" max="11002" width="14.453125" style="26" customWidth="1"/>
    <col min="11003" max="11003" width="7.26953125" style="26" customWidth="1"/>
    <col min="11004" max="11004" width="5.54296875" style="26" customWidth="1"/>
    <col min="11005" max="11005" width="9" style="26" customWidth="1"/>
    <col min="11006" max="11007" width="9.81640625" style="26" customWidth="1"/>
    <col min="11008" max="11008" width="11.1796875" style="26" customWidth="1"/>
    <col min="11009" max="11009" width="2.81640625" style="26" customWidth="1"/>
    <col min="11010" max="11010" width="3.54296875" style="26" customWidth="1"/>
    <col min="11011" max="11255" width="9.1796875" style="26"/>
    <col min="11256" max="11256" width="8.7265625" style="26" customWidth="1"/>
    <col min="11257" max="11257" width="9.81640625" style="26" customWidth="1"/>
    <col min="11258" max="11258" width="14.453125" style="26" customWidth="1"/>
    <col min="11259" max="11259" width="7.26953125" style="26" customWidth="1"/>
    <col min="11260" max="11260" width="5.54296875" style="26" customWidth="1"/>
    <col min="11261" max="11261" width="9" style="26" customWidth="1"/>
    <col min="11262" max="11263" width="9.81640625" style="26" customWidth="1"/>
    <col min="11264" max="11264" width="11.1796875" style="26" customWidth="1"/>
    <col min="11265" max="11265" width="2.81640625" style="26" customWidth="1"/>
    <col min="11266" max="11266" width="3.54296875" style="26" customWidth="1"/>
    <col min="11267" max="11511" width="9.1796875" style="26"/>
    <col min="11512" max="11512" width="8.7265625" style="26" customWidth="1"/>
    <col min="11513" max="11513" width="9.81640625" style="26" customWidth="1"/>
    <col min="11514" max="11514" width="14.453125" style="26" customWidth="1"/>
    <col min="11515" max="11515" width="7.26953125" style="26" customWidth="1"/>
    <col min="11516" max="11516" width="5.54296875" style="26" customWidth="1"/>
    <col min="11517" max="11517" width="9" style="26" customWidth="1"/>
    <col min="11518" max="11519" width="9.81640625" style="26" customWidth="1"/>
    <col min="11520" max="11520" width="11.1796875" style="26" customWidth="1"/>
    <col min="11521" max="11521" width="2.81640625" style="26" customWidth="1"/>
    <col min="11522" max="11522" width="3.54296875" style="26" customWidth="1"/>
    <col min="11523" max="11767" width="9.1796875" style="26"/>
    <col min="11768" max="11768" width="8.7265625" style="26" customWidth="1"/>
    <col min="11769" max="11769" width="9.81640625" style="26" customWidth="1"/>
    <col min="11770" max="11770" width="14.453125" style="26" customWidth="1"/>
    <col min="11771" max="11771" width="7.26953125" style="26" customWidth="1"/>
    <col min="11772" max="11772" width="5.54296875" style="26" customWidth="1"/>
    <col min="11773" max="11773" width="9" style="26" customWidth="1"/>
    <col min="11774" max="11775" width="9.81640625" style="26" customWidth="1"/>
    <col min="11776" max="11776" width="11.1796875" style="26" customWidth="1"/>
    <col min="11777" max="11777" width="2.81640625" style="26" customWidth="1"/>
    <col min="11778" max="11778" width="3.54296875" style="26" customWidth="1"/>
    <col min="11779" max="12023" width="9.1796875" style="26"/>
    <col min="12024" max="12024" width="8.7265625" style="26" customWidth="1"/>
    <col min="12025" max="12025" width="9.81640625" style="26" customWidth="1"/>
    <col min="12026" max="12026" width="14.453125" style="26" customWidth="1"/>
    <col min="12027" max="12027" width="7.26953125" style="26" customWidth="1"/>
    <col min="12028" max="12028" width="5.54296875" style="26" customWidth="1"/>
    <col min="12029" max="12029" width="9" style="26" customWidth="1"/>
    <col min="12030" max="12031" width="9.81640625" style="26" customWidth="1"/>
    <col min="12032" max="12032" width="11.1796875" style="26" customWidth="1"/>
    <col min="12033" max="12033" width="2.81640625" style="26" customWidth="1"/>
    <col min="12034" max="12034" width="3.54296875" style="26" customWidth="1"/>
    <col min="12035" max="12279" width="9.1796875" style="26"/>
    <col min="12280" max="12280" width="8.7265625" style="26" customWidth="1"/>
    <col min="12281" max="12281" width="9.81640625" style="26" customWidth="1"/>
    <col min="12282" max="12282" width="14.453125" style="26" customWidth="1"/>
    <col min="12283" max="12283" width="7.26953125" style="26" customWidth="1"/>
    <col min="12284" max="12284" width="5.54296875" style="26" customWidth="1"/>
    <col min="12285" max="12285" width="9" style="26" customWidth="1"/>
    <col min="12286" max="12287" width="9.81640625" style="26" customWidth="1"/>
    <col min="12288" max="12288" width="11.1796875" style="26" customWidth="1"/>
    <col min="12289" max="12289" width="2.81640625" style="26" customWidth="1"/>
    <col min="12290" max="12290" width="3.54296875" style="26" customWidth="1"/>
    <col min="12291" max="12535" width="9.1796875" style="26"/>
    <col min="12536" max="12536" width="8.7265625" style="26" customWidth="1"/>
    <col min="12537" max="12537" width="9.81640625" style="26" customWidth="1"/>
    <col min="12538" max="12538" width="14.453125" style="26" customWidth="1"/>
    <col min="12539" max="12539" width="7.26953125" style="26" customWidth="1"/>
    <col min="12540" max="12540" width="5.54296875" style="26" customWidth="1"/>
    <col min="12541" max="12541" width="9" style="26" customWidth="1"/>
    <col min="12542" max="12543" width="9.81640625" style="26" customWidth="1"/>
    <col min="12544" max="12544" width="11.1796875" style="26" customWidth="1"/>
    <col min="12545" max="12545" width="2.81640625" style="26" customWidth="1"/>
    <col min="12546" max="12546" width="3.54296875" style="26" customWidth="1"/>
    <col min="12547" max="12791" width="9.1796875" style="26"/>
    <col min="12792" max="12792" width="8.7265625" style="26" customWidth="1"/>
    <col min="12793" max="12793" width="9.81640625" style="26" customWidth="1"/>
    <col min="12794" max="12794" width="14.453125" style="26" customWidth="1"/>
    <col min="12795" max="12795" width="7.26953125" style="26" customWidth="1"/>
    <col min="12796" max="12796" width="5.54296875" style="26" customWidth="1"/>
    <col min="12797" max="12797" width="9" style="26" customWidth="1"/>
    <col min="12798" max="12799" width="9.81640625" style="26" customWidth="1"/>
    <col min="12800" max="12800" width="11.1796875" style="26" customWidth="1"/>
    <col min="12801" max="12801" width="2.81640625" style="26" customWidth="1"/>
    <col min="12802" max="12802" width="3.54296875" style="26" customWidth="1"/>
    <col min="12803" max="13047" width="9.1796875" style="26"/>
    <col min="13048" max="13048" width="8.7265625" style="26" customWidth="1"/>
    <col min="13049" max="13049" width="9.81640625" style="26" customWidth="1"/>
    <col min="13050" max="13050" width="14.453125" style="26" customWidth="1"/>
    <col min="13051" max="13051" width="7.26953125" style="26" customWidth="1"/>
    <col min="13052" max="13052" width="5.54296875" style="26" customWidth="1"/>
    <col min="13053" max="13053" width="9" style="26" customWidth="1"/>
    <col min="13054" max="13055" width="9.81640625" style="26" customWidth="1"/>
    <col min="13056" max="13056" width="11.1796875" style="26" customWidth="1"/>
    <col min="13057" max="13057" width="2.81640625" style="26" customWidth="1"/>
    <col min="13058" max="13058" width="3.54296875" style="26" customWidth="1"/>
    <col min="13059" max="13303" width="9.1796875" style="26"/>
    <col min="13304" max="13304" width="8.7265625" style="26" customWidth="1"/>
    <col min="13305" max="13305" width="9.81640625" style="26" customWidth="1"/>
    <col min="13306" max="13306" width="14.453125" style="26" customWidth="1"/>
    <col min="13307" max="13307" width="7.26953125" style="26" customWidth="1"/>
    <col min="13308" max="13308" width="5.54296875" style="26" customWidth="1"/>
    <col min="13309" max="13309" width="9" style="26" customWidth="1"/>
    <col min="13310" max="13311" width="9.81640625" style="26" customWidth="1"/>
    <col min="13312" max="13312" width="11.1796875" style="26" customWidth="1"/>
    <col min="13313" max="13313" width="2.81640625" style="26" customWidth="1"/>
    <col min="13314" max="13314" width="3.54296875" style="26" customWidth="1"/>
    <col min="13315" max="13559" width="9.1796875" style="26"/>
    <col min="13560" max="13560" width="8.7265625" style="26" customWidth="1"/>
    <col min="13561" max="13561" width="9.81640625" style="26" customWidth="1"/>
    <col min="13562" max="13562" width="14.453125" style="26" customWidth="1"/>
    <col min="13563" max="13563" width="7.26953125" style="26" customWidth="1"/>
    <col min="13564" max="13564" width="5.54296875" style="26" customWidth="1"/>
    <col min="13565" max="13565" width="9" style="26" customWidth="1"/>
    <col min="13566" max="13567" width="9.81640625" style="26" customWidth="1"/>
    <col min="13568" max="13568" width="11.1796875" style="26" customWidth="1"/>
    <col min="13569" max="13569" width="2.81640625" style="26" customWidth="1"/>
    <col min="13570" max="13570" width="3.54296875" style="26" customWidth="1"/>
    <col min="13571" max="13815" width="9.1796875" style="26"/>
    <col min="13816" max="13816" width="8.7265625" style="26" customWidth="1"/>
    <col min="13817" max="13817" width="9.81640625" style="26" customWidth="1"/>
    <col min="13818" max="13818" width="14.453125" style="26" customWidth="1"/>
    <col min="13819" max="13819" width="7.26953125" style="26" customWidth="1"/>
    <col min="13820" max="13820" width="5.54296875" style="26" customWidth="1"/>
    <col min="13821" max="13821" width="9" style="26" customWidth="1"/>
    <col min="13822" max="13823" width="9.81640625" style="26" customWidth="1"/>
    <col min="13824" max="13824" width="11.1796875" style="26" customWidth="1"/>
    <col min="13825" max="13825" width="2.81640625" style="26" customWidth="1"/>
    <col min="13826" max="13826" width="3.54296875" style="26" customWidth="1"/>
    <col min="13827" max="14071" width="9.1796875" style="26"/>
    <col min="14072" max="14072" width="8.7265625" style="26" customWidth="1"/>
    <col min="14073" max="14073" width="9.81640625" style="26" customWidth="1"/>
    <col min="14074" max="14074" width="14.453125" style="26" customWidth="1"/>
    <col min="14075" max="14075" width="7.26953125" style="26" customWidth="1"/>
    <col min="14076" max="14076" width="5.54296875" style="26" customWidth="1"/>
    <col min="14077" max="14077" width="9" style="26" customWidth="1"/>
    <col min="14078" max="14079" width="9.81640625" style="26" customWidth="1"/>
    <col min="14080" max="14080" width="11.1796875" style="26" customWidth="1"/>
    <col min="14081" max="14081" width="2.81640625" style="26" customWidth="1"/>
    <col min="14082" max="14082" width="3.54296875" style="26" customWidth="1"/>
    <col min="14083" max="14327" width="9.1796875" style="26"/>
    <col min="14328" max="14328" width="8.7265625" style="26" customWidth="1"/>
    <col min="14329" max="14329" width="9.81640625" style="26" customWidth="1"/>
    <col min="14330" max="14330" width="14.453125" style="26" customWidth="1"/>
    <col min="14331" max="14331" width="7.26953125" style="26" customWidth="1"/>
    <col min="14332" max="14332" width="5.54296875" style="26" customWidth="1"/>
    <col min="14333" max="14333" width="9" style="26" customWidth="1"/>
    <col min="14334" max="14335" width="9.81640625" style="26" customWidth="1"/>
    <col min="14336" max="14336" width="11.1796875" style="26" customWidth="1"/>
    <col min="14337" max="14337" width="2.81640625" style="26" customWidth="1"/>
    <col min="14338" max="14338" width="3.54296875" style="26" customWidth="1"/>
    <col min="14339" max="14583" width="9.1796875" style="26"/>
    <col min="14584" max="14584" width="8.7265625" style="26" customWidth="1"/>
    <col min="14585" max="14585" width="9.81640625" style="26" customWidth="1"/>
    <col min="14586" max="14586" width="14.453125" style="26" customWidth="1"/>
    <col min="14587" max="14587" width="7.26953125" style="26" customWidth="1"/>
    <col min="14588" max="14588" width="5.54296875" style="26" customWidth="1"/>
    <col min="14589" max="14589" width="9" style="26" customWidth="1"/>
    <col min="14590" max="14591" width="9.81640625" style="26" customWidth="1"/>
    <col min="14592" max="14592" width="11.1796875" style="26" customWidth="1"/>
    <col min="14593" max="14593" width="2.81640625" style="26" customWidth="1"/>
    <col min="14594" max="14594" width="3.54296875" style="26" customWidth="1"/>
    <col min="14595" max="14839" width="9.1796875" style="26"/>
    <col min="14840" max="14840" width="8.7265625" style="26" customWidth="1"/>
    <col min="14841" max="14841" width="9.81640625" style="26" customWidth="1"/>
    <col min="14842" max="14842" width="14.453125" style="26" customWidth="1"/>
    <col min="14843" max="14843" width="7.26953125" style="26" customWidth="1"/>
    <col min="14844" max="14844" width="5.54296875" style="26" customWidth="1"/>
    <col min="14845" max="14845" width="9" style="26" customWidth="1"/>
    <col min="14846" max="14847" width="9.81640625" style="26" customWidth="1"/>
    <col min="14848" max="14848" width="11.1796875" style="26" customWidth="1"/>
    <col min="14849" max="14849" width="2.81640625" style="26" customWidth="1"/>
    <col min="14850" max="14850" width="3.54296875" style="26" customWidth="1"/>
    <col min="14851" max="15095" width="9.1796875" style="26"/>
    <col min="15096" max="15096" width="8.7265625" style="26" customWidth="1"/>
    <col min="15097" max="15097" width="9.81640625" style="26" customWidth="1"/>
    <col min="15098" max="15098" width="14.453125" style="26" customWidth="1"/>
    <col min="15099" max="15099" width="7.26953125" style="26" customWidth="1"/>
    <col min="15100" max="15100" width="5.54296875" style="26" customWidth="1"/>
    <col min="15101" max="15101" width="9" style="26" customWidth="1"/>
    <col min="15102" max="15103" width="9.81640625" style="26" customWidth="1"/>
    <col min="15104" max="15104" width="11.1796875" style="26" customWidth="1"/>
    <col min="15105" max="15105" width="2.81640625" style="26" customWidth="1"/>
    <col min="15106" max="15106" width="3.54296875" style="26" customWidth="1"/>
    <col min="15107" max="15351" width="9.1796875" style="26"/>
    <col min="15352" max="15352" width="8.7265625" style="26" customWidth="1"/>
    <col min="15353" max="15353" width="9.81640625" style="26" customWidth="1"/>
    <col min="15354" max="15354" width="14.453125" style="26" customWidth="1"/>
    <col min="15355" max="15355" width="7.26953125" style="26" customWidth="1"/>
    <col min="15356" max="15356" width="5.54296875" style="26" customWidth="1"/>
    <col min="15357" max="15357" width="9" style="26" customWidth="1"/>
    <col min="15358" max="15359" width="9.81640625" style="26" customWidth="1"/>
    <col min="15360" max="15360" width="11.1796875" style="26" customWidth="1"/>
    <col min="15361" max="15361" width="2.81640625" style="26" customWidth="1"/>
    <col min="15362" max="15362" width="3.54296875" style="26" customWidth="1"/>
    <col min="15363" max="15607" width="9.1796875" style="26"/>
    <col min="15608" max="15608" width="8.7265625" style="26" customWidth="1"/>
    <col min="15609" max="15609" width="9.81640625" style="26" customWidth="1"/>
    <col min="15610" max="15610" width="14.453125" style="26" customWidth="1"/>
    <col min="15611" max="15611" width="7.26953125" style="26" customWidth="1"/>
    <col min="15612" max="15612" width="5.54296875" style="26" customWidth="1"/>
    <col min="15613" max="15613" width="9" style="26" customWidth="1"/>
    <col min="15614" max="15615" width="9.81640625" style="26" customWidth="1"/>
    <col min="15616" max="15616" width="11.1796875" style="26" customWidth="1"/>
    <col min="15617" max="15617" width="2.81640625" style="26" customWidth="1"/>
    <col min="15618" max="15618" width="3.54296875" style="26" customWidth="1"/>
    <col min="15619" max="15863" width="9.1796875" style="26"/>
    <col min="15864" max="15864" width="8.7265625" style="26" customWidth="1"/>
    <col min="15865" max="15865" width="9.81640625" style="26" customWidth="1"/>
    <col min="15866" max="15866" width="14.453125" style="26" customWidth="1"/>
    <col min="15867" max="15867" width="7.26953125" style="26" customWidth="1"/>
    <col min="15868" max="15868" width="5.54296875" style="26" customWidth="1"/>
    <col min="15869" max="15869" width="9" style="26" customWidth="1"/>
    <col min="15870" max="15871" width="9.81640625" style="26" customWidth="1"/>
    <col min="15872" max="15872" width="11.1796875" style="26" customWidth="1"/>
    <col min="15873" max="15873" width="2.81640625" style="26" customWidth="1"/>
    <col min="15874" max="15874" width="3.54296875" style="26" customWidth="1"/>
    <col min="15875" max="16119" width="9.1796875" style="26"/>
    <col min="16120" max="16120" width="8.7265625" style="26" customWidth="1"/>
    <col min="16121" max="16121" width="9.81640625" style="26" customWidth="1"/>
    <col min="16122" max="16122" width="14.453125" style="26" customWidth="1"/>
    <col min="16123" max="16123" width="7.26953125" style="26" customWidth="1"/>
    <col min="16124" max="16124" width="5.54296875" style="26" customWidth="1"/>
    <col min="16125" max="16125" width="9" style="26" customWidth="1"/>
    <col min="16126" max="16127" width="9.81640625" style="26" customWidth="1"/>
    <col min="16128" max="16128" width="11.1796875" style="26" customWidth="1"/>
    <col min="16129" max="16129" width="2.81640625" style="26" customWidth="1"/>
    <col min="16130" max="16130" width="3.54296875" style="26" customWidth="1"/>
    <col min="16131" max="16384" width="9.1796875" style="26"/>
  </cols>
  <sheetData>
    <row r="1" spans="1:9" ht="46.5" customHeight="1">
      <c r="A1" s="68" t="s">
        <v>0</v>
      </c>
      <c r="B1" s="68"/>
      <c r="C1" s="68"/>
      <c r="D1" s="68"/>
      <c r="E1" s="68"/>
      <c r="F1" s="68"/>
      <c r="G1" s="68"/>
      <c r="H1" s="68"/>
    </row>
    <row r="2" spans="1:9" ht="16.5" customHeight="1">
      <c r="A2" s="69" t="s">
        <v>1</v>
      </c>
      <c r="B2" s="69"/>
      <c r="C2" s="69"/>
      <c r="D2" s="69"/>
      <c r="E2" s="69"/>
      <c r="F2" s="69"/>
      <c r="G2" s="69"/>
      <c r="H2" s="69"/>
    </row>
    <row r="3" spans="1:9">
      <c r="A3" s="70" t="s">
        <v>2</v>
      </c>
      <c r="B3" s="70"/>
      <c r="C3" s="70"/>
      <c r="D3" s="70"/>
      <c r="E3" s="71" t="str">
        <f ca="1">TEXT(TODAY(),"DD/MM/YYYY")</f>
        <v>17/09/2025</v>
      </c>
      <c r="F3" s="71"/>
      <c r="G3" s="71"/>
      <c r="H3" s="71"/>
    </row>
    <row r="4" spans="1:9" ht="15" customHeight="1">
      <c r="A4" s="70" t="s">
        <v>3</v>
      </c>
      <c r="B4" s="70"/>
      <c r="C4" s="70"/>
      <c r="D4" s="70"/>
      <c r="E4" s="72" t="s">
        <v>4</v>
      </c>
      <c r="F4" s="72"/>
      <c r="G4" s="72"/>
      <c r="H4" s="72"/>
    </row>
    <row r="5" spans="1:9">
      <c r="A5" s="70" t="s">
        <v>5</v>
      </c>
      <c r="B5" s="70"/>
      <c r="C5" s="70"/>
      <c r="D5" s="70"/>
      <c r="E5" s="71">
        <v>45906</v>
      </c>
      <c r="F5" s="71"/>
      <c r="G5" s="71"/>
      <c r="H5" s="71"/>
    </row>
    <row r="6" spans="1:9" ht="16.5" customHeight="1">
      <c r="A6" s="70" t="s">
        <v>6</v>
      </c>
      <c r="B6" s="70"/>
      <c r="C6" s="70"/>
      <c r="D6" s="70"/>
      <c r="E6" s="73" t="s">
        <v>7</v>
      </c>
      <c r="F6" s="73"/>
      <c r="G6" s="73"/>
      <c r="H6" s="73"/>
    </row>
    <row r="7" spans="1:9" ht="15" customHeight="1">
      <c r="A7" s="70" t="s">
        <v>8</v>
      </c>
      <c r="B7" s="70"/>
      <c r="C7" s="70"/>
      <c r="D7" s="70"/>
      <c r="E7" s="73" t="str">
        <f>E6</f>
        <v xml:space="preserve">M/s. RSM Designers
</v>
      </c>
      <c r="F7" s="73"/>
      <c r="G7" s="73"/>
      <c r="H7" s="73"/>
    </row>
    <row r="8" spans="1:9">
      <c r="A8" s="70" t="s">
        <v>9</v>
      </c>
      <c r="B8" s="70"/>
      <c r="C8" s="70"/>
      <c r="D8" s="70"/>
      <c r="E8" s="74" t="s">
        <v>10</v>
      </c>
      <c r="F8" s="74"/>
      <c r="G8" s="74"/>
      <c r="H8" s="74"/>
    </row>
    <row r="9" spans="1:9">
      <c r="A9" s="70" t="s">
        <v>11</v>
      </c>
      <c r="B9" s="70"/>
      <c r="C9" s="70"/>
      <c r="D9" s="70"/>
      <c r="E9" s="70">
        <v>9930055582</v>
      </c>
      <c r="F9" s="70"/>
      <c r="G9" s="70"/>
      <c r="H9" s="70"/>
    </row>
    <row r="10" spans="1:9" ht="48.75" customHeight="1">
      <c r="A10" s="75" t="s">
        <v>12</v>
      </c>
      <c r="B10" s="75"/>
      <c r="C10" s="75"/>
      <c r="D10" s="75"/>
      <c r="E10" s="76" t="s">
        <v>13</v>
      </c>
      <c r="F10" s="75"/>
      <c r="G10" s="75"/>
      <c r="H10" s="75"/>
    </row>
    <row r="11" spans="1:9">
      <c r="A11" s="70" t="s">
        <v>14</v>
      </c>
      <c r="B11" s="70"/>
      <c r="C11" s="70"/>
      <c r="D11" s="70"/>
      <c r="E11" s="76" t="s">
        <v>15</v>
      </c>
      <c r="F11" s="76"/>
      <c r="G11" s="76"/>
      <c r="H11" s="76"/>
    </row>
    <row r="12" spans="1:9">
      <c r="A12" s="70" t="s">
        <v>16</v>
      </c>
      <c r="B12" s="70"/>
      <c r="C12" s="70"/>
      <c r="D12" s="70"/>
      <c r="E12" s="76" t="s">
        <v>17</v>
      </c>
      <c r="F12" s="75"/>
      <c r="G12" s="75"/>
      <c r="H12" s="75"/>
    </row>
    <row r="13" spans="1:9" ht="49.5" customHeight="1">
      <c r="A13" s="73" t="s">
        <v>18</v>
      </c>
      <c r="B13" s="73"/>
      <c r="C13" s="7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Unimont Imperia, CTS No.3528/1, 3528/2, 3528/3, 3528/4, 3530/2, S.No. 20/3, 18/2, near MSEB Electric Substation, Internal Road, Varose, Khopoli, Khalapur, Raigad - 410203.</v>
      </c>
      <c r="D13" s="73"/>
      <c r="E13" s="73"/>
      <c r="F13" s="73"/>
      <c r="G13" s="73"/>
      <c r="H13" s="73"/>
    </row>
    <row r="14" spans="1:9">
      <c r="A14" s="76" t="s">
        <v>19</v>
      </c>
      <c r="B14" s="76"/>
      <c r="C14" s="76" t="s">
        <v>20</v>
      </c>
      <c r="D14" s="76"/>
      <c r="E14" s="76"/>
      <c r="F14" s="76"/>
      <c r="G14" s="76"/>
      <c r="H14" s="76"/>
      <c r="I14" s="26" t="s">
        <v>21</v>
      </c>
    </row>
    <row r="15" spans="1:9" ht="15.75" customHeight="1">
      <c r="A15" s="73" t="s">
        <v>22</v>
      </c>
      <c r="B15" s="73"/>
      <c r="C15" s="75" t="s">
        <v>23</v>
      </c>
      <c r="D15" s="75"/>
      <c r="E15" s="73" t="s">
        <v>24</v>
      </c>
      <c r="F15" s="73"/>
      <c r="G15" s="76" t="s">
        <v>25</v>
      </c>
      <c r="H15" s="76"/>
    </row>
    <row r="16" spans="1:9">
      <c r="A16" s="70" t="s">
        <v>26</v>
      </c>
      <c r="B16" s="70"/>
      <c r="C16" s="76" t="s">
        <v>27</v>
      </c>
      <c r="D16" s="76"/>
      <c r="E16" s="73" t="s">
        <v>28</v>
      </c>
      <c r="F16" s="73"/>
      <c r="G16" s="77" t="s">
        <v>29</v>
      </c>
      <c r="H16" s="77"/>
    </row>
    <row r="17" spans="1:8">
      <c r="A17" s="70" t="s">
        <v>30</v>
      </c>
      <c r="B17" s="70"/>
      <c r="C17" s="76" t="s">
        <v>31</v>
      </c>
      <c r="D17" s="76"/>
      <c r="E17" s="73" t="s">
        <v>32</v>
      </c>
      <c r="F17" s="73"/>
      <c r="G17" s="76">
        <v>410203</v>
      </c>
      <c r="H17" s="76"/>
    </row>
    <row r="18" spans="1:8" ht="32.25" customHeight="1">
      <c r="A18" s="70" t="s">
        <v>33</v>
      </c>
      <c r="B18" s="70"/>
      <c r="C18" s="78" t="s">
        <v>34</v>
      </c>
      <c r="D18" s="78"/>
      <c r="E18" s="73" t="s">
        <v>35</v>
      </c>
      <c r="F18" s="73"/>
      <c r="G18" s="76" t="s">
        <v>36</v>
      </c>
      <c r="H18" s="76"/>
    </row>
    <row r="19" spans="1:8" ht="15" customHeight="1">
      <c r="A19" s="73" t="s">
        <v>37</v>
      </c>
      <c r="B19" s="73"/>
      <c r="C19" s="73"/>
      <c r="D19" s="73"/>
      <c r="E19" s="75" t="s">
        <v>38</v>
      </c>
      <c r="F19" s="75"/>
      <c r="G19" s="75"/>
      <c r="H19" s="75"/>
    </row>
    <row r="20" spans="1:8" ht="18.75" customHeight="1">
      <c r="A20" s="73"/>
      <c r="B20" s="73"/>
      <c r="C20" s="73"/>
      <c r="D20" s="73"/>
      <c r="E20" s="75"/>
      <c r="F20" s="75"/>
      <c r="G20" s="75"/>
      <c r="H20" s="75"/>
    </row>
    <row r="21" spans="1:8" ht="15" customHeight="1">
      <c r="A21" s="73" t="s">
        <v>39</v>
      </c>
      <c r="B21" s="73"/>
      <c r="C21" s="73"/>
      <c r="D21" s="73"/>
      <c r="E21" s="76" t="s">
        <v>40</v>
      </c>
      <c r="F21" s="76"/>
      <c r="G21" s="76"/>
      <c r="H21" s="76"/>
    </row>
    <row r="22" spans="1:8" ht="15" customHeight="1">
      <c r="A22" s="70" t="s">
        <v>41</v>
      </c>
      <c r="B22" s="70"/>
      <c r="C22" s="70"/>
      <c r="D22" s="70"/>
      <c r="E22" s="76" t="str">
        <f>IF(AND(G16="Mumbai"),"Upper Class","Middle Class")</f>
        <v>Middle Class</v>
      </c>
      <c r="F22" s="76"/>
      <c r="G22" s="76"/>
      <c r="H22" s="76"/>
    </row>
    <row r="23" spans="1:8">
      <c r="A23" s="70" t="s">
        <v>42</v>
      </c>
      <c r="B23" s="70"/>
      <c r="C23" s="70"/>
      <c r="D23" s="70"/>
      <c r="E23" s="76" t="s">
        <v>43</v>
      </c>
      <c r="F23" s="76"/>
      <c r="G23" s="76"/>
      <c r="H23" s="76"/>
    </row>
    <row r="24" spans="1:8" ht="15.75" customHeight="1">
      <c r="A24" s="70" t="s">
        <v>44</v>
      </c>
      <c r="B24" s="70"/>
      <c r="C24" s="70"/>
      <c r="D24" s="70"/>
      <c r="E24" s="76" t="str">
        <f>IF(AND(G16="Mumbai"),"Developed","Developing")</f>
        <v>Developing</v>
      </c>
      <c r="F24" s="76"/>
      <c r="G24" s="76"/>
      <c r="H24" s="76"/>
    </row>
    <row r="25" spans="1:8">
      <c r="A25" s="70" t="s">
        <v>45</v>
      </c>
      <c r="B25" s="70"/>
      <c r="C25" s="70"/>
      <c r="D25" s="70"/>
      <c r="E25" s="76" t="s">
        <v>46</v>
      </c>
      <c r="F25" s="76"/>
      <c r="G25" s="76"/>
      <c r="H25" s="76"/>
    </row>
    <row r="26" spans="1:8">
      <c r="A26" s="70" t="s">
        <v>47</v>
      </c>
      <c r="B26" s="70"/>
      <c r="C26" s="70"/>
      <c r="D26" s="70"/>
      <c r="E26" s="76" t="s">
        <v>48</v>
      </c>
      <c r="F26" s="76"/>
      <c r="G26" s="76"/>
      <c r="H26" s="76"/>
    </row>
    <row r="27" spans="1:8" ht="15" customHeight="1">
      <c r="A27" s="73" t="s">
        <v>49</v>
      </c>
      <c r="B27" s="73"/>
      <c r="C27" s="73"/>
      <c r="D27" s="73"/>
      <c r="E27" s="72" t="s">
        <v>50</v>
      </c>
      <c r="F27" s="72"/>
      <c r="G27" s="72"/>
      <c r="H27" s="72"/>
    </row>
    <row r="28" spans="1:8">
      <c r="A28" s="73" t="s">
        <v>51</v>
      </c>
      <c r="B28" s="73"/>
      <c r="C28" s="73"/>
      <c r="D28" s="73"/>
      <c r="E28" s="73" t="s">
        <v>52</v>
      </c>
      <c r="F28" s="73"/>
      <c r="G28" s="73"/>
      <c r="H28" s="73"/>
    </row>
    <row r="29" spans="1:8" s="18" customFormat="1">
      <c r="A29" s="79" t="s">
        <v>53</v>
      </c>
      <c r="B29" s="79"/>
      <c r="C29" s="80" t="s">
        <v>54</v>
      </c>
      <c r="D29" s="80"/>
      <c r="E29" s="80"/>
      <c r="F29" s="80" t="s">
        <v>55</v>
      </c>
      <c r="G29" s="80"/>
      <c r="H29" s="80"/>
    </row>
    <row r="30" spans="1:8" s="18" customFormat="1">
      <c r="A30" s="81" t="s">
        <v>56</v>
      </c>
      <c r="B30" s="81" t="s">
        <v>57</v>
      </c>
      <c r="C30" s="82" t="s">
        <v>58</v>
      </c>
      <c r="D30" s="82"/>
      <c r="E30" s="82"/>
      <c r="F30" s="82" t="s">
        <v>59</v>
      </c>
      <c r="G30" s="82"/>
      <c r="H30" s="82"/>
    </row>
    <row r="31" spans="1:8">
      <c r="A31" s="81" t="s">
        <v>60</v>
      </c>
      <c r="B31" s="81" t="s">
        <v>57</v>
      </c>
      <c r="C31" s="82" t="s">
        <v>61</v>
      </c>
      <c r="D31" s="82"/>
      <c r="E31" s="82"/>
      <c r="F31" s="82" t="s">
        <v>62</v>
      </c>
      <c r="G31" s="82"/>
      <c r="H31" s="82"/>
    </row>
    <row r="32" spans="1:8" s="18" customFormat="1">
      <c r="A32" s="81" t="s">
        <v>63</v>
      </c>
      <c r="B32" s="81" t="s">
        <v>57</v>
      </c>
      <c r="C32" s="82" t="s">
        <v>64</v>
      </c>
      <c r="D32" s="82"/>
      <c r="E32" s="82"/>
      <c r="F32" s="82" t="s">
        <v>65</v>
      </c>
      <c r="G32" s="82"/>
      <c r="H32" s="82"/>
    </row>
    <row r="33" spans="1:9">
      <c r="A33" s="81" t="s">
        <v>66</v>
      </c>
      <c r="B33" s="81" t="s">
        <v>57</v>
      </c>
      <c r="C33" s="82" t="s">
        <v>67</v>
      </c>
      <c r="D33" s="82"/>
      <c r="E33" s="82"/>
      <c r="F33" s="82" t="s">
        <v>59</v>
      </c>
      <c r="G33" s="82"/>
      <c r="H33" s="82"/>
    </row>
    <row r="34" spans="1:9">
      <c r="A34" s="70" t="s">
        <v>68</v>
      </c>
      <c r="B34" s="70"/>
      <c r="C34" s="70"/>
      <c r="D34" s="70"/>
      <c r="E34" s="70"/>
      <c r="F34" s="70"/>
      <c r="G34" s="70"/>
      <c r="H34" s="70"/>
    </row>
    <row r="35" spans="1:9" ht="15.75" customHeight="1">
      <c r="A35" s="70" t="s">
        <v>69</v>
      </c>
      <c r="B35" s="70"/>
      <c r="C35" s="83" t="s">
        <v>70</v>
      </c>
      <c r="D35" s="84"/>
      <c r="E35" s="84"/>
      <c r="F35" s="84"/>
      <c r="G35" s="84"/>
      <c r="H35" s="85"/>
    </row>
    <row r="36" spans="1:9" ht="15.75" customHeight="1">
      <c r="A36" s="70" t="s">
        <v>71</v>
      </c>
      <c r="B36" s="70"/>
      <c r="C36" s="86" t="s">
        <v>72</v>
      </c>
      <c r="D36" s="87"/>
      <c r="E36" s="87"/>
      <c r="F36" s="87"/>
      <c r="G36" s="87"/>
      <c r="H36" s="88"/>
    </row>
    <row r="37" spans="1:9">
      <c r="A37" s="74" t="s">
        <v>73</v>
      </c>
      <c r="B37" s="74"/>
      <c r="C37" s="74"/>
      <c r="D37" s="74"/>
      <c r="E37" s="74"/>
      <c r="F37" s="74"/>
      <c r="G37" s="74"/>
      <c r="H37" s="74"/>
    </row>
    <row r="38" spans="1:9">
      <c r="A38" s="75" t="s">
        <v>74</v>
      </c>
      <c r="B38" s="75"/>
      <c r="C38" s="75"/>
      <c r="D38" s="75"/>
      <c r="E38" s="89">
        <v>11160.1</v>
      </c>
      <c r="F38" s="89"/>
      <c r="G38" s="89"/>
      <c r="H38" s="89"/>
    </row>
    <row r="39" spans="1:9">
      <c r="A39" s="75" t="s">
        <v>75</v>
      </c>
      <c r="B39" s="75"/>
      <c r="C39" s="75"/>
      <c r="D39" s="75"/>
      <c r="E39" s="90">
        <v>1.1000000000000001</v>
      </c>
      <c r="F39" s="90"/>
      <c r="G39" s="90"/>
      <c r="H39" s="90"/>
      <c r="I39" s="26">
        <f>13792.13/E38</f>
        <v>1.2358428687914982</v>
      </c>
    </row>
    <row r="40" spans="1:9">
      <c r="A40" s="75" t="s">
        <v>76</v>
      </c>
      <c r="B40" s="75"/>
      <c r="C40" s="75"/>
      <c r="D40" s="75"/>
      <c r="E40" s="91">
        <f>E42/E38-E39</f>
        <v>1.8823830431626956</v>
      </c>
      <c r="F40" s="91"/>
      <c r="G40" s="91"/>
      <c r="H40" s="91"/>
    </row>
    <row r="41" spans="1:9">
      <c r="A41" s="75" t="s">
        <v>77</v>
      </c>
      <c r="B41" s="75"/>
      <c r="C41" s="75"/>
      <c r="D41" s="75"/>
      <c r="E41" s="90">
        <f>E39+E40</f>
        <v>2.9823830431626956</v>
      </c>
      <c r="F41" s="90"/>
      <c r="G41" s="90"/>
      <c r="H41" s="90"/>
    </row>
    <row r="42" spans="1:9">
      <c r="A42" s="75" t="s">
        <v>78</v>
      </c>
      <c r="B42" s="75"/>
      <c r="C42" s="75"/>
      <c r="D42" s="75"/>
      <c r="E42" s="90">
        <v>33283.692999999999</v>
      </c>
      <c r="F42" s="90"/>
      <c r="G42" s="90"/>
      <c r="H42" s="90"/>
    </row>
    <row r="43" spans="1:9">
      <c r="A43" s="75" t="s">
        <v>79</v>
      </c>
      <c r="B43" s="75"/>
      <c r="C43" s="75"/>
      <c r="D43" s="75"/>
      <c r="E43" s="75" t="s">
        <v>80</v>
      </c>
      <c r="F43" s="92"/>
      <c r="G43" s="92"/>
      <c r="H43" s="92"/>
    </row>
    <row r="44" spans="1:9">
      <c r="A44" s="74" t="s">
        <v>81</v>
      </c>
      <c r="B44" s="74"/>
      <c r="C44" s="74"/>
      <c r="D44" s="74"/>
      <c r="E44" s="74"/>
      <c r="F44" s="74"/>
      <c r="G44" s="74"/>
      <c r="H44" s="74"/>
    </row>
    <row r="45" spans="1:9">
      <c r="A45" s="73" t="s">
        <v>82</v>
      </c>
      <c r="B45" s="73"/>
      <c r="C45" s="93" t="s">
        <v>83</v>
      </c>
      <c r="D45" s="93"/>
      <c r="E45" s="93"/>
      <c r="F45" s="28" t="s">
        <v>84</v>
      </c>
      <c r="G45" s="94">
        <v>44659</v>
      </c>
      <c r="H45" s="94"/>
    </row>
    <row r="46" spans="1:9" ht="54" customHeight="1">
      <c r="A46" s="73" t="s">
        <v>85</v>
      </c>
      <c r="B46" s="70"/>
      <c r="C46" s="93" t="s">
        <v>86</v>
      </c>
      <c r="D46" s="93"/>
      <c r="E46" s="93"/>
      <c r="F46" s="28" t="s">
        <v>84</v>
      </c>
      <c r="G46" s="94">
        <v>43656</v>
      </c>
      <c r="H46" s="94"/>
    </row>
    <row r="47" spans="1:9" ht="79.5" customHeight="1">
      <c r="A47" s="73" t="s">
        <v>87</v>
      </c>
      <c r="B47" s="70"/>
      <c r="C47" s="93" t="str">
        <f>C45</f>
        <v>KMC/TP/BP/89</v>
      </c>
      <c r="D47" s="93"/>
      <c r="E47" s="93"/>
      <c r="F47" s="28" t="s">
        <v>84</v>
      </c>
      <c r="G47" s="94">
        <f>G45</f>
        <v>44659</v>
      </c>
      <c r="H47" s="94"/>
    </row>
    <row r="48" spans="1:9" s="19" customFormat="1" ht="28.5" customHeight="1">
      <c r="A48" s="76" t="s">
        <v>88</v>
      </c>
      <c r="B48" s="76"/>
      <c r="C48" s="93" t="s">
        <v>86</v>
      </c>
      <c r="D48" s="95"/>
      <c r="E48" s="95"/>
      <c r="F48" s="29" t="s">
        <v>84</v>
      </c>
      <c r="G48" s="94">
        <v>43656</v>
      </c>
      <c r="H48" s="94"/>
    </row>
    <row r="49" spans="1:9" s="19" customFormat="1" ht="61.5" customHeight="1">
      <c r="A49" s="76"/>
      <c r="B49" s="76"/>
      <c r="C49" s="96" t="s">
        <v>89</v>
      </c>
      <c r="D49" s="97"/>
      <c r="E49" s="97"/>
      <c r="F49" s="97"/>
      <c r="G49" s="97"/>
      <c r="H49" s="98"/>
    </row>
    <row r="50" spans="1:9" s="19" customFormat="1" ht="29.25" customHeight="1">
      <c r="A50" s="76" t="s">
        <v>88</v>
      </c>
      <c r="B50" s="76"/>
      <c r="C50" s="93" t="s">
        <v>83</v>
      </c>
      <c r="D50" s="95"/>
      <c r="E50" s="95"/>
      <c r="F50" s="29" t="s">
        <v>84</v>
      </c>
      <c r="G50" s="94">
        <v>44659</v>
      </c>
      <c r="H50" s="94"/>
    </row>
    <row r="51" spans="1:9" s="19" customFormat="1" ht="55.5" customHeight="1">
      <c r="A51" s="76"/>
      <c r="B51" s="76"/>
      <c r="C51" s="96" t="s">
        <v>90</v>
      </c>
      <c r="D51" s="97"/>
      <c r="E51" s="97"/>
      <c r="F51" s="97"/>
      <c r="G51" s="97"/>
      <c r="H51" s="98"/>
    </row>
    <row r="52" spans="1:9" s="19" customFormat="1" ht="51" customHeight="1">
      <c r="A52" s="76" t="s">
        <v>91</v>
      </c>
      <c r="B52" s="76"/>
      <c r="C52" s="93" t="s">
        <v>92</v>
      </c>
      <c r="D52" s="95"/>
      <c r="E52" s="95"/>
      <c r="F52" s="29" t="s">
        <v>84</v>
      </c>
      <c r="G52" s="94">
        <v>44740</v>
      </c>
      <c r="H52" s="94"/>
    </row>
    <row r="53" spans="1:9" s="19" customFormat="1" hidden="1">
      <c r="A53" s="76"/>
      <c r="B53" s="76"/>
      <c r="C53" s="96"/>
      <c r="D53" s="97"/>
      <c r="E53" s="97"/>
      <c r="F53" s="97"/>
      <c r="G53" s="97"/>
      <c r="H53" s="98"/>
    </row>
    <row r="54" spans="1:9" s="19" customFormat="1" ht="41.25" customHeight="1">
      <c r="A54" s="76" t="s">
        <v>93</v>
      </c>
      <c r="B54" s="76"/>
      <c r="C54" s="93" t="s">
        <v>94</v>
      </c>
      <c r="D54" s="95"/>
      <c r="E54" s="95"/>
      <c r="F54" s="29" t="s">
        <v>84</v>
      </c>
      <c r="G54" s="94">
        <v>45068</v>
      </c>
      <c r="H54" s="94"/>
    </row>
    <row r="55" spans="1:9" s="19" customFormat="1" hidden="1">
      <c r="A55" s="76"/>
      <c r="B55" s="76"/>
      <c r="C55" s="96"/>
      <c r="D55" s="97"/>
      <c r="E55" s="97"/>
      <c r="F55" s="97"/>
      <c r="G55" s="97"/>
      <c r="H55" s="98"/>
    </row>
    <row r="56" spans="1:9">
      <c r="A56" s="99" t="s">
        <v>95</v>
      </c>
      <c r="B56" s="99"/>
      <c r="C56" s="100" t="s">
        <v>96</v>
      </c>
      <c r="D56" s="101"/>
      <c r="E56" s="101" t="s">
        <v>97</v>
      </c>
      <c r="F56" s="30" t="s">
        <v>84</v>
      </c>
      <c r="G56" s="102" t="s">
        <v>57</v>
      </c>
      <c r="H56" s="102"/>
    </row>
    <row r="57" spans="1:9">
      <c r="A57" s="103" t="s">
        <v>98</v>
      </c>
      <c r="B57" s="103"/>
      <c r="C57" s="103"/>
      <c r="D57" s="103"/>
      <c r="E57" s="103"/>
      <c r="F57" s="103"/>
      <c r="G57" s="103"/>
      <c r="H57" s="103"/>
    </row>
    <row r="58" spans="1:9">
      <c r="A58" s="73" t="s">
        <v>99</v>
      </c>
      <c r="B58" s="73"/>
      <c r="C58" s="73"/>
      <c r="D58" s="70">
        <f>E42</f>
        <v>33283.692999999999</v>
      </c>
      <c r="E58" s="70"/>
      <c r="F58" s="70"/>
      <c r="G58" s="70"/>
      <c r="H58" s="70"/>
    </row>
    <row r="59" spans="1:9">
      <c r="A59" s="76" t="s">
        <v>100</v>
      </c>
      <c r="B59" s="75"/>
      <c r="C59" s="75"/>
      <c r="D59" s="75" t="s">
        <v>101</v>
      </c>
      <c r="E59" s="75"/>
      <c r="F59" s="75"/>
      <c r="G59" s="75"/>
      <c r="H59" s="75"/>
      <c r="I59" s="31"/>
    </row>
    <row r="60" spans="1:9" ht="49.5" customHeight="1">
      <c r="A60" s="76" t="s">
        <v>102</v>
      </c>
      <c r="B60" s="76"/>
      <c r="C60" s="76"/>
      <c r="D60" s="76" t="s">
        <v>103</v>
      </c>
      <c r="E60" s="75"/>
      <c r="F60" s="75"/>
      <c r="G60" s="75"/>
      <c r="H60" s="75"/>
    </row>
    <row r="61" spans="1:9" ht="15.75" customHeight="1">
      <c r="A61" s="76" t="s">
        <v>104</v>
      </c>
      <c r="B61" s="76"/>
      <c r="C61" s="76"/>
      <c r="D61" s="75" t="s">
        <v>105</v>
      </c>
      <c r="E61" s="75"/>
      <c r="F61" s="75"/>
      <c r="G61" s="75"/>
      <c r="H61" s="75"/>
    </row>
    <row r="62" spans="1:9" ht="15.75" customHeight="1">
      <c r="A62" s="76"/>
      <c r="B62" s="76"/>
      <c r="C62" s="76"/>
      <c r="D62" s="75" t="s">
        <v>106</v>
      </c>
      <c r="E62" s="75"/>
      <c r="F62" s="75"/>
      <c r="G62" s="75"/>
      <c r="H62" s="75"/>
    </row>
    <row r="63" spans="1:9" ht="15.75" customHeight="1">
      <c r="A63" s="76"/>
      <c r="B63" s="76"/>
      <c r="C63" s="76"/>
      <c r="D63" s="75" t="s">
        <v>107</v>
      </c>
      <c r="E63" s="75"/>
      <c r="F63" s="75"/>
      <c r="G63" s="75"/>
      <c r="H63" s="75"/>
    </row>
    <row r="64" spans="1:9" ht="15.75" customHeight="1">
      <c r="A64" s="76"/>
      <c r="B64" s="76"/>
      <c r="C64" s="76"/>
      <c r="D64" s="75" t="s">
        <v>108</v>
      </c>
      <c r="E64" s="75"/>
      <c r="F64" s="75"/>
      <c r="G64" s="75"/>
      <c r="H64" s="75"/>
    </row>
    <row r="65" spans="1:14" ht="15.75" customHeight="1">
      <c r="A65" s="76"/>
      <c r="B65" s="76"/>
      <c r="C65" s="76"/>
      <c r="D65" s="75" t="s">
        <v>109</v>
      </c>
      <c r="E65" s="75"/>
      <c r="F65" s="75"/>
      <c r="G65" s="75"/>
      <c r="H65" s="75"/>
    </row>
    <row r="66" spans="1:14" ht="15.75" customHeight="1">
      <c r="A66" s="70" t="s">
        <v>110</v>
      </c>
      <c r="B66" s="70"/>
      <c r="C66" s="70"/>
      <c r="D66" s="73" t="s">
        <v>111</v>
      </c>
      <c r="E66" s="73"/>
      <c r="F66" s="73"/>
      <c r="G66" s="73"/>
      <c r="H66" s="73"/>
      <c r="J66" s="41"/>
      <c r="K66" s="31"/>
      <c r="N66" s="31"/>
    </row>
    <row r="67" spans="1:14" ht="51.75" customHeight="1">
      <c r="A67" s="70" t="s">
        <v>112</v>
      </c>
      <c r="B67" s="70"/>
      <c r="C67" s="70"/>
      <c r="D67" s="73" t="s">
        <v>113</v>
      </c>
      <c r="E67" s="73"/>
      <c r="F67" s="73"/>
      <c r="G67" s="73"/>
      <c r="H67" s="73"/>
      <c r="I67" s="42" t="s">
        <v>114</v>
      </c>
    </row>
    <row r="68" spans="1:14" ht="15.75" customHeight="1">
      <c r="A68" s="70" t="s">
        <v>115</v>
      </c>
      <c r="B68" s="70"/>
      <c r="C68" s="70"/>
      <c r="D68" s="104" t="str">
        <f>(IF(G56="NA","60 Years After Completion",IF(G56&lt;&gt;"NA",""&amp;60-ROUNDDOWN((E3-G56)/360,0)&amp;" Years"," ")))</f>
        <v>60 Years After Completion</v>
      </c>
      <c r="E68" s="104"/>
      <c r="F68" s="104"/>
      <c r="G68" s="104"/>
      <c r="H68" s="104"/>
      <c r="N68" s="31"/>
    </row>
    <row r="69" spans="1:14" ht="15.75" customHeight="1">
      <c r="A69" s="70" t="s">
        <v>116</v>
      </c>
      <c r="B69" s="70"/>
      <c r="C69" s="70"/>
      <c r="D69" s="73" t="s">
        <v>46</v>
      </c>
      <c r="E69" s="73"/>
      <c r="F69" s="73"/>
      <c r="G69" s="73"/>
      <c r="H69" s="73"/>
      <c r="J69" s="43"/>
      <c r="K69" s="43"/>
    </row>
    <row r="70" spans="1:14" ht="15.75" customHeight="1">
      <c r="A70" s="70" t="s">
        <v>117</v>
      </c>
      <c r="B70" s="70"/>
      <c r="C70" s="70"/>
      <c r="D70" s="76" t="str">
        <f ca="1">(IF(G77&gt;95%,"Nothing",IF(G77&gt;0%,"Cement, Aggregate, Steel, etc",IF(G77=0%,"Work not yet Started"))))</f>
        <v>Cement, Aggregate, Steel, etc</v>
      </c>
      <c r="E70" s="76"/>
      <c r="F70" s="76"/>
      <c r="G70" s="76"/>
      <c r="H70" s="76"/>
      <c r="J70" s="43"/>
    </row>
    <row r="71" spans="1:14">
      <c r="A71" s="70" t="s">
        <v>118</v>
      </c>
      <c r="B71" s="70"/>
      <c r="C71" s="70"/>
      <c r="D71" s="76" t="s">
        <v>57</v>
      </c>
      <c r="E71" s="76"/>
      <c r="F71" s="76"/>
      <c r="G71" s="76"/>
      <c r="H71" s="76"/>
    </row>
    <row r="72" spans="1:14" ht="31.5" customHeight="1">
      <c r="A72" s="73" t="s">
        <v>119</v>
      </c>
      <c r="B72" s="73"/>
      <c r="C72" s="73"/>
      <c r="D72" s="76" t="str">
        <f ca="1">(IF(D70="Nothing","Yes",IF(D70="Cement, Aggregate, Steel, etc","Under Construction",IF(D70="Work not yet Started","Work not yet Started"))))</f>
        <v>Under Construction</v>
      </c>
      <c r="E72" s="76"/>
      <c r="F72" s="76"/>
      <c r="G72" s="76"/>
      <c r="H72" s="76"/>
    </row>
    <row r="73" spans="1:14" ht="15.75" customHeight="1">
      <c r="A73" s="105" t="s">
        <v>120</v>
      </c>
      <c r="B73" s="106"/>
      <c r="C73" s="107" t="str">
        <f>D61</f>
        <v>Building No.1 (A Wing) = Gr + 1st to 14th Floor</v>
      </c>
      <c r="D73" s="108"/>
      <c r="E73" s="108"/>
      <c r="F73" s="108"/>
      <c r="G73" s="108"/>
      <c r="H73" s="109"/>
      <c r="I73" s="44" t="str">
        <f ca="1">(IF(E77&gt;99%,"All work completed. Please provide OC.",IF(E77&gt;89.8%,"Plinth, RCC, Brick, Plaster, Flooring, Painting work Completed. Finishing work is in process.",IF(E77&lt;94%,(IF(C77=0,"Work not yet Started.",IF(D77=25%,"Piling work in process",IF(D77=50%,"Excavation work in process",IF(D77=100%,"Excavation work Completed. ","0")))&amp;(IF(C78=0%,"",IF(C78=J79,"Footing work is process",IF(C78=J80,"Footing work Completed",IF(C78=J81,"1st Basement Completed",IF(C78=J82,"1st &amp; 2nd Basement Completed",IF(C78=J83,"1st to 3rd Basement Completed",IF(C78=J84,"1st to 4th Basement Completed",IF(C78=J85,"Plinth work is process",IF(C78=J86,"Plinth work completed","0")))))))))))&amp;(IF(C79=(D74+F74+H74),", RCC Slab",IF(C79&gt;0,", RCC upto "&amp;C79&amp;" Slab",""))&amp;(IF(C80=H74,", Brickwork",IF(C80&gt;0,", Brickwork upto "&amp;C80&amp;" Floor",""))&amp;(IF(C81=H74,", Internal Plaster",IF(C81&gt;0,", Internal Plaster upto "&amp;C81&amp;" Floor",""))&amp;(IF(C82=H74,", External Plaster",IF(C82&gt;0,", External Plaster upto "&amp;C82&amp;" Floor",""))&amp;(IF(C83=H74,", Flooring",IF(C83&gt;0,", Flooring upto "&amp;C83&amp;" Floor",""))&amp;(IF(C84=H74,", Painting",IF(C84&gt;0,", Painting upto "&amp;C84&amp;" Floor",""))&amp;(IF(C85&gt;0,", Finishing upto "&amp;C85&amp;" Floor","")&amp;(IF(C79&gt;0.5," Completed",""))))))))))))))</f>
        <v>Excavation work Completed. Plinth work completed, RCC upto 7 Slab, Brickwork upto 1 Floor, Internal Plaster upto 1 Floor, External Plaster upto 1 Floor Completed</v>
      </c>
      <c r="J73" s="45"/>
    </row>
    <row r="74" spans="1:14">
      <c r="A74" s="32" t="s">
        <v>121</v>
      </c>
      <c r="B74" s="27">
        <v>0</v>
      </c>
      <c r="C74" s="27" t="s">
        <v>122</v>
      </c>
      <c r="D74" s="27">
        <v>1</v>
      </c>
      <c r="E74" s="27" t="s">
        <v>123</v>
      </c>
      <c r="F74" s="27">
        <v>0</v>
      </c>
      <c r="G74" s="27" t="s">
        <v>124</v>
      </c>
      <c r="H74" s="33">
        <f ca="1">--TRIM(RIGHT(SUBSTITUTE(LEFT(C73,_xlfn.AGGREGATE(16,6,FIND({0,1,2,3,4,5,6,7,8,9},C73,ROW(INDIRECT("1:"&amp;LEN(C73)))),1))," ",REPT(" ",LEN(C73))),LEN(C73)))</f>
        <v>14</v>
      </c>
      <c r="I74" s="43"/>
      <c r="J74" s="46"/>
    </row>
    <row r="75" spans="1:14" ht="48.75" customHeight="1">
      <c r="A75" s="110" t="s">
        <v>125</v>
      </c>
      <c r="B75" s="111"/>
      <c r="C75" s="112" t="str">
        <f ca="1">I73</f>
        <v>Excavation work Completed. Plinth work completed, RCC upto 7 Slab, Brickwork upto 1 Floor, Internal Plaster upto 1 Floor, External Plaster upto 1 Floor Completed</v>
      </c>
      <c r="D75" s="112"/>
      <c r="E75" s="112"/>
      <c r="F75" s="112"/>
      <c r="G75" s="112"/>
      <c r="H75" s="113"/>
      <c r="I75" s="43" t="s">
        <v>126</v>
      </c>
      <c r="J75" s="46"/>
    </row>
    <row r="76" spans="1:14" ht="15.75" customHeight="1">
      <c r="A76" s="114" t="s">
        <v>127</v>
      </c>
      <c r="B76" s="115"/>
      <c r="C76" s="35" t="s">
        <v>128</v>
      </c>
      <c r="D76" s="35" t="s">
        <v>129</v>
      </c>
      <c r="E76" s="116" t="s">
        <v>130</v>
      </c>
      <c r="F76" s="116"/>
      <c r="G76" s="116" t="s">
        <v>131</v>
      </c>
      <c r="H76" s="117"/>
      <c r="I76" s="47" t="s">
        <v>132</v>
      </c>
      <c r="J76" s="48">
        <f ca="1">H74*25%</f>
        <v>3.5</v>
      </c>
    </row>
    <row r="77" spans="1:14">
      <c r="A77" s="114" t="s">
        <v>133</v>
      </c>
      <c r="B77" s="115"/>
      <c r="C77" s="36">
        <v>14</v>
      </c>
      <c r="D77" s="37">
        <f ca="1">((100/H74)*C77)/100</f>
        <v>1</v>
      </c>
      <c r="E77" s="120">
        <f ca="1">(((C78/H74*10)+(40/(D74+F74+H74)*C79)+(7.5/(H74)*C80)+(7.5/(H74)*C81)+(10/H74*C82)+(10/H74*C83)+(5/H74*C84)+(5/H74*C85)+(5/H74*C86))/100)</f>
        <v>0.30452380952380947</v>
      </c>
      <c r="F77" s="120"/>
      <c r="G77" s="120">
        <f ca="1">((((C77/H74)*20)+((C78/H74)*25)+(30/(H74+F74+D74)*C79)+(5/H74*C80)+(5/H74*C81)+(5/H74*C82)+(5/H74*C83)+(0/H74*C84)+(0/H74*C85)+(5/H74*C86))/100)</f>
        <v>0.60071428571428565</v>
      </c>
      <c r="H77" s="122"/>
      <c r="I77" s="47" t="s">
        <v>134</v>
      </c>
      <c r="J77" s="49">
        <f ca="1">H74*50%</f>
        <v>7</v>
      </c>
    </row>
    <row r="78" spans="1:14">
      <c r="A78" s="114" t="s">
        <v>135</v>
      </c>
      <c r="B78" s="115"/>
      <c r="C78" s="38">
        <f ca="1">J86</f>
        <v>14</v>
      </c>
      <c r="D78" s="37">
        <f ca="1">((100/H74)*C78)/100</f>
        <v>1</v>
      </c>
      <c r="E78" s="120"/>
      <c r="F78" s="120"/>
      <c r="G78" s="120"/>
      <c r="H78" s="122"/>
      <c r="I78" s="47" t="s">
        <v>136</v>
      </c>
      <c r="J78" s="49">
        <f ca="1">H74</f>
        <v>14</v>
      </c>
    </row>
    <row r="79" spans="1:14" ht="15.75" customHeight="1">
      <c r="A79" s="114" t="s">
        <v>137</v>
      </c>
      <c r="B79" s="115"/>
      <c r="C79" s="38">
        <v>7</v>
      </c>
      <c r="D79" s="37">
        <f ca="1">((100/(D74+F74+H74))*C79)/100</f>
        <v>0.46666666666666673</v>
      </c>
      <c r="E79" s="120"/>
      <c r="F79" s="120"/>
      <c r="G79" s="120"/>
      <c r="H79" s="122"/>
      <c r="I79" s="47" t="s">
        <v>138</v>
      </c>
      <c r="J79" s="50">
        <f ca="1">(IF(B74&gt;1,(H74/(B74+2)),H74/4))</f>
        <v>3.5</v>
      </c>
    </row>
    <row r="80" spans="1:14" ht="15.75" customHeight="1">
      <c r="A80" s="114" t="s">
        <v>139</v>
      </c>
      <c r="B80" s="115" t="s">
        <v>140</v>
      </c>
      <c r="C80" s="36">
        <v>1</v>
      </c>
      <c r="D80" s="37">
        <f ca="1">((100/H74)*C80)/100</f>
        <v>7.1428571428571438E-2</v>
      </c>
      <c r="E80" s="120"/>
      <c r="F80" s="120"/>
      <c r="G80" s="120"/>
      <c r="H80" s="122"/>
      <c r="I80" s="47" t="s">
        <v>141</v>
      </c>
      <c r="J80" s="50">
        <f ca="1">(IF(B74&gt;1,(H74/(B74+2)+J79),H74/4+J79))</f>
        <v>7</v>
      </c>
    </row>
    <row r="81" spans="1:10" ht="15.75" customHeight="1">
      <c r="A81" s="114" t="s">
        <v>142</v>
      </c>
      <c r="B81" s="115" t="s">
        <v>140</v>
      </c>
      <c r="C81" s="36">
        <v>1</v>
      </c>
      <c r="D81" s="37">
        <f ca="1">((100/H74)*C81)/100</f>
        <v>7.1428571428571438E-2</v>
      </c>
      <c r="E81" s="120"/>
      <c r="F81" s="120"/>
      <c r="G81" s="120"/>
      <c r="H81" s="122"/>
      <c r="I81" s="47" t="s">
        <v>143</v>
      </c>
      <c r="J81" s="50">
        <f>(IF(B74&gt;1,(H74/(B74+2)+J80),0))</f>
        <v>0</v>
      </c>
    </row>
    <row r="82" spans="1:10" ht="15" customHeight="1">
      <c r="A82" s="114" t="s">
        <v>144</v>
      </c>
      <c r="B82" s="115" t="s">
        <v>145</v>
      </c>
      <c r="C82" s="36">
        <v>1</v>
      </c>
      <c r="D82" s="37">
        <f ca="1">((100/(H74))*C82)/100</f>
        <v>7.1428571428571438E-2</v>
      </c>
      <c r="E82" s="120"/>
      <c r="F82" s="120"/>
      <c r="G82" s="120"/>
      <c r="H82" s="122"/>
      <c r="I82" s="47" t="s">
        <v>146</v>
      </c>
      <c r="J82" s="50">
        <f>(IF(B74&gt;2,(H74/(B74+2)+J81),0))</f>
        <v>0</v>
      </c>
    </row>
    <row r="83" spans="1:10" ht="15.75" customHeight="1">
      <c r="A83" s="114" t="s">
        <v>147</v>
      </c>
      <c r="B83" s="115" t="s">
        <v>147</v>
      </c>
      <c r="C83" s="36">
        <v>0</v>
      </c>
      <c r="D83" s="37">
        <f ca="1">((100/H74)*C83)/100</f>
        <v>0</v>
      </c>
      <c r="E83" s="120"/>
      <c r="F83" s="120"/>
      <c r="G83" s="120"/>
      <c r="H83" s="122"/>
      <c r="I83" s="47" t="s">
        <v>148</v>
      </c>
      <c r="J83" s="51">
        <f>(IF(B74&gt;3,(H74/(B74+2)+J82),0))</f>
        <v>0</v>
      </c>
    </row>
    <row r="84" spans="1:10" ht="15.75" customHeight="1">
      <c r="A84" s="114" t="s">
        <v>149</v>
      </c>
      <c r="B84" s="115"/>
      <c r="C84" s="36">
        <v>0</v>
      </c>
      <c r="D84" s="37">
        <f ca="1">((100/H74)*C84)/100</f>
        <v>0</v>
      </c>
      <c r="E84" s="120"/>
      <c r="F84" s="120"/>
      <c r="G84" s="120"/>
      <c r="H84" s="122"/>
      <c r="I84" s="47" t="s">
        <v>150</v>
      </c>
      <c r="J84" s="50">
        <f>(IF(B74&gt;4,(H74/(B74+2)+J83),0))</f>
        <v>0</v>
      </c>
    </row>
    <row r="85" spans="1:10" ht="15.75" customHeight="1">
      <c r="A85" s="114" t="s">
        <v>151</v>
      </c>
      <c r="B85" s="115" t="s">
        <v>151</v>
      </c>
      <c r="C85" s="36">
        <v>0</v>
      </c>
      <c r="D85" s="37">
        <f ca="1">((100/(H74))*C85)/100</f>
        <v>0</v>
      </c>
      <c r="E85" s="120"/>
      <c r="F85" s="120"/>
      <c r="G85" s="120"/>
      <c r="H85" s="122"/>
      <c r="I85" s="47" t="s">
        <v>152</v>
      </c>
      <c r="J85" s="50">
        <f ca="1">(IF(B74=1,(H74/(B74+3)+J80),IF(B74=0,(H74/4+J80),IF(B74&gt;1,0))))</f>
        <v>10.5</v>
      </c>
    </row>
    <row r="86" spans="1:10">
      <c r="A86" s="118" t="s">
        <v>153</v>
      </c>
      <c r="B86" s="119"/>
      <c r="C86" s="39">
        <v>0</v>
      </c>
      <c r="D86" s="40">
        <f ca="1">((100/(H74))*C86)/100</f>
        <v>0</v>
      </c>
      <c r="E86" s="121"/>
      <c r="F86" s="121"/>
      <c r="G86" s="121"/>
      <c r="H86" s="123"/>
      <c r="I86" s="52" t="s">
        <v>154</v>
      </c>
      <c r="J86" s="53">
        <f ca="1">(IF(B74&gt;1.5,(H74/(B74+2)+J80+MAX(0,J81-J80)+MAX(0,J82-J81)+MAX(0,J83-J82)+MAX(0,J84-J83)+MAX(0,J85-J84)),IF(B74=1,(H74/(B74+3)+J85),IF(B74=0,H74/4+J85))))</f>
        <v>14</v>
      </c>
    </row>
    <row r="87" spans="1:10" ht="15.75" customHeight="1">
      <c r="A87" s="105" t="s">
        <v>120</v>
      </c>
      <c r="B87" s="106"/>
      <c r="C87" s="107" t="str">
        <f>D62</f>
        <v>Building No.2 (B Wing) = G + 1st to 14th Floor</v>
      </c>
      <c r="D87" s="108"/>
      <c r="E87" s="108"/>
      <c r="F87" s="108"/>
      <c r="G87" s="108"/>
      <c r="H87" s="109"/>
      <c r="I87" s="44" t="str">
        <f ca="1">(IF(E91&gt;99%,"All work completed. Please provide OC.",IF(E91&gt;89.8%,"Plinth, RCC, Brick, Plaster, Flooring, Painting work Completed. Finishing work is in process.",IF(E91&lt;94%,(IF(C91=0,"Work not yet Started.",IF(D91=25%,"Piling work in process",IF(D91=50%,"Excavation work in process",IF(D91=100%,"Excavation work Completed. ","0")))&amp;(IF(C92=0%,"",IF(C92=J93,"Footing work is process",IF(C92=J94,"Footing work Completed",IF(C92=J95,"1st Basement Completed",IF(C92=J96,"1st &amp; 2nd Basement Completed",IF(C92=J97,"1st to 3rd Basement Completed",IF(C92=J98,"1st to 4th Basement Completed",IF(C92=J99,"Plinth work is process",IF(C92=J100,"Plinth work completed","0")))))))))))&amp;(IF(C93=(D88+F88+H88),", RCC Slab",IF(C93&gt;0,", RCC upto "&amp;C93&amp;" Slab",""))&amp;(IF(C94=H88,", Brickwork",IF(C94&gt;0,", Brickwork upto "&amp;C94&amp;" Floor",""))&amp;(IF(C95=H88,", Internal Plaster",IF(C95&gt;0,", Internal Plaster upto "&amp;C95&amp;" Floor",""))&amp;(IF(C96=H88,", External Plaster",IF(C96&gt;0,", External Plaster upto "&amp;C96&amp;" Floor",""))&amp;(IF(C97=H88,", Flooring",IF(C97&gt;0,", Flooring upto "&amp;C97&amp;" Floor",""))&amp;(IF(C98=H88,", Painting",IF(C98&gt;0,", Painting upto "&amp;C98&amp;" Floor",""))&amp;(IF(C99&gt;0,", Finishing upto "&amp;C99&amp;" Floor","")&amp;(IF(C93&gt;0.5," Completed",""))))))))))))))</f>
        <v>Excavation work Completed. Plinth work completed, RCC Slab, Brickwork, Internal Plaster upto 12 Floor, External Plaster upto 5 Floor Completed</v>
      </c>
      <c r="J87" s="45"/>
    </row>
    <row r="88" spans="1:10">
      <c r="A88" s="32" t="s">
        <v>121</v>
      </c>
      <c r="B88" s="27">
        <v>0</v>
      </c>
      <c r="C88" s="27" t="s">
        <v>122</v>
      </c>
      <c r="D88" s="27">
        <v>1</v>
      </c>
      <c r="E88" s="27" t="s">
        <v>123</v>
      </c>
      <c r="F88" s="27">
        <v>0</v>
      </c>
      <c r="G88" s="27" t="s">
        <v>124</v>
      </c>
      <c r="H88" s="33">
        <f ca="1">--TRIM(RIGHT(SUBSTITUTE(LEFT(C87,_xlfn.AGGREGATE(16,6,FIND({0,1,2,3,4,5,6,7,8,9},C87,ROW(INDIRECT("1:"&amp;LEN(C87)))),1))," ",REPT(" ",LEN(C87))),LEN(C87)))</f>
        <v>14</v>
      </c>
      <c r="I88" s="43"/>
      <c r="J88" s="46"/>
    </row>
    <row r="89" spans="1:10" ht="34.5" customHeight="1">
      <c r="A89" s="110" t="s">
        <v>125</v>
      </c>
      <c r="B89" s="111"/>
      <c r="C89" s="112" t="str">
        <f ca="1">I87</f>
        <v>Excavation work Completed. Plinth work completed, RCC Slab, Brickwork, Internal Plaster upto 12 Floor, External Plaster upto 5 Floor Completed</v>
      </c>
      <c r="D89" s="112"/>
      <c r="E89" s="112"/>
      <c r="F89" s="112"/>
      <c r="G89" s="112"/>
      <c r="H89" s="113"/>
      <c r="I89" s="43" t="s">
        <v>126</v>
      </c>
      <c r="J89" s="46"/>
    </row>
    <row r="90" spans="1:10" ht="15.75" customHeight="1">
      <c r="A90" s="114" t="s">
        <v>127</v>
      </c>
      <c r="B90" s="115"/>
      <c r="C90" s="35" t="s">
        <v>128</v>
      </c>
      <c r="D90" s="35" t="s">
        <v>129</v>
      </c>
      <c r="E90" s="116" t="s">
        <v>130</v>
      </c>
      <c r="F90" s="116"/>
      <c r="G90" s="116" t="s">
        <v>131</v>
      </c>
      <c r="H90" s="117"/>
      <c r="I90" s="47" t="s">
        <v>132</v>
      </c>
      <c r="J90" s="48">
        <f ca="1">H88*25%</f>
        <v>3.5</v>
      </c>
    </row>
    <row r="91" spans="1:10">
      <c r="A91" s="114" t="s">
        <v>133</v>
      </c>
      <c r="B91" s="115"/>
      <c r="C91" s="36">
        <v>14</v>
      </c>
      <c r="D91" s="37">
        <f ca="1">((100/H88)*C91)/100</f>
        <v>1</v>
      </c>
      <c r="E91" s="120">
        <f ca="1">(((C92/H88*10)+(40/(D88+F88+H88)*C93)+(7.5/(H88)*C94)+(7.5/(H88)*C95)+(10/H88*C96)+(10/H88*C97)+(5/H88*C98)+(5/H88*C99)+(5/H88*C100))/100)</f>
        <v>0.67500000000000004</v>
      </c>
      <c r="F91" s="120"/>
      <c r="G91" s="120">
        <f ca="1">((((C91/H88)*20)+((C92/H88)*25)+(30/(H88+F88+D88)*C93)+(5/H88*C94)+(5/H88*C95)+(5/H88*C96)+(5/H88*C97)+(0/H88*C98)+(0/H88*C99)+(5/H88*C100))/100)</f>
        <v>0.86071428571428588</v>
      </c>
      <c r="H91" s="122"/>
      <c r="I91" s="47" t="s">
        <v>134</v>
      </c>
      <c r="J91" s="49">
        <f ca="1">H88*50%</f>
        <v>7</v>
      </c>
    </row>
    <row r="92" spans="1:10">
      <c r="A92" s="114" t="s">
        <v>135</v>
      </c>
      <c r="B92" s="115"/>
      <c r="C92" s="38">
        <v>14</v>
      </c>
      <c r="D92" s="37">
        <f ca="1">((100/H88)*C92)/100</f>
        <v>1</v>
      </c>
      <c r="E92" s="120"/>
      <c r="F92" s="120"/>
      <c r="G92" s="120"/>
      <c r="H92" s="122"/>
      <c r="I92" s="47" t="s">
        <v>136</v>
      </c>
      <c r="J92" s="49">
        <f ca="1">H88</f>
        <v>14</v>
      </c>
    </row>
    <row r="93" spans="1:10" ht="15.75" customHeight="1">
      <c r="A93" s="114" t="s">
        <v>137</v>
      </c>
      <c r="B93" s="115"/>
      <c r="C93" s="38">
        <v>15</v>
      </c>
      <c r="D93" s="37">
        <f ca="1">((100/(D88+F88+H88))*C93)/100</f>
        <v>1</v>
      </c>
      <c r="E93" s="120"/>
      <c r="F93" s="120"/>
      <c r="G93" s="120"/>
      <c r="H93" s="122"/>
      <c r="I93" s="47" t="s">
        <v>138</v>
      </c>
      <c r="J93" s="50">
        <f ca="1">(IF(B88&gt;1,(H88/(B88+2)),H88/4))</f>
        <v>3.5</v>
      </c>
    </row>
    <row r="94" spans="1:10" ht="15.75" customHeight="1">
      <c r="A94" s="114" t="s">
        <v>139</v>
      </c>
      <c r="B94" s="115" t="s">
        <v>140</v>
      </c>
      <c r="C94" s="36">
        <v>14</v>
      </c>
      <c r="D94" s="37">
        <f ca="1">((100/H88)*C94)/100</f>
        <v>1</v>
      </c>
      <c r="E94" s="120"/>
      <c r="F94" s="120"/>
      <c r="G94" s="120"/>
      <c r="H94" s="122"/>
      <c r="I94" s="47" t="s">
        <v>141</v>
      </c>
      <c r="J94" s="50">
        <f ca="1">(IF(B88&gt;1,(H88/(B88+2)+J93),H88/4+J93))</f>
        <v>7</v>
      </c>
    </row>
    <row r="95" spans="1:10" ht="15.75" customHeight="1">
      <c r="A95" s="114" t="s">
        <v>142</v>
      </c>
      <c r="B95" s="115" t="s">
        <v>140</v>
      </c>
      <c r="C95" s="36">
        <v>12</v>
      </c>
      <c r="D95" s="37">
        <f ca="1">((100/H88)*C95)/100</f>
        <v>0.85714285714285721</v>
      </c>
      <c r="E95" s="120"/>
      <c r="F95" s="120"/>
      <c r="G95" s="120"/>
      <c r="H95" s="122"/>
      <c r="I95" s="47" t="s">
        <v>143</v>
      </c>
      <c r="J95" s="50">
        <f>(IF(B88&gt;1,(H88/(B88+2)+J94),0))</f>
        <v>0</v>
      </c>
    </row>
    <row r="96" spans="1:10" ht="15" customHeight="1">
      <c r="A96" s="114" t="s">
        <v>144</v>
      </c>
      <c r="B96" s="115" t="s">
        <v>145</v>
      </c>
      <c r="C96" s="36">
        <v>5</v>
      </c>
      <c r="D96" s="37">
        <f ca="1">((100/(H88))*C96)/100</f>
        <v>0.35714285714285715</v>
      </c>
      <c r="E96" s="120"/>
      <c r="F96" s="120"/>
      <c r="G96" s="120"/>
      <c r="H96" s="122"/>
      <c r="I96" s="47" t="s">
        <v>146</v>
      </c>
      <c r="J96" s="50">
        <f>(IF(B88&gt;2,(H88/(B88+2)+J95),0))</f>
        <v>0</v>
      </c>
    </row>
    <row r="97" spans="1:10" ht="15.75" customHeight="1">
      <c r="A97" s="114" t="s">
        <v>147</v>
      </c>
      <c r="B97" s="115" t="s">
        <v>147</v>
      </c>
      <c r="C97" s="36">
        <v>0</v>
      </c>
      <c r="D97" s="37">
        <f ca="1">((100/H88)*C97)/100</f>
        <v>0</v>
      </c>
      <c r="E97" s="120"/>
      <c r="F97" s="120"/>
      <c r="G97" s="120"/>
      <c r="H97" s="122"/>
      <c r="I97" s="47" t="s">
        <v>148</v>
      </c>
      <c r="J97" s="51">
        <f>(IF(B88&gt;3,(H88/(B88+2)+J96),0))</f>
        <v>0</v>
      </c>
    </row>
    <row r="98" spans="1:10" ht="15.75" customHeight="1">
      <c r="A98" s="114" t="s">
        <v>149</v>
      </c>
      <c r="B98" s="115"/>
      <c r="C98" s="36">
        <v>0</v>
      </c>
      <c r="D98" s="37">
        <f ca="1">((100/H88)*C98)/100</f>
        <v>0</v>
      </c>
      <c r="E98" s="120"/>
      <c r="F98" s="120"/>
      <c r="G98" s="120"/>
      <c r="H98" s="122"/>
      <c r="I98" s="47" t="s">
        <v>150</v>
      </c>
      <c r="J98" s="50">
        <f>(IF(B88&gt;4,(H88/(B88+2)+J97),0))</f>
        <v>0</v>
      </c>
    </row>
    <row r="99" spans="1:10" ht="15.75" customHeight="1">
      <c r="A99" s="114" t="s">
        <v>151</v>
      </c>
      <c r="B99" s="115" t="s">
        <v>151</v>
      </c>
      <c r="C99" s="36">
        <v>0</v>
      </c>
      <c r="D99" s="37">
        <f ca="1">((100/(H88))*C99)/100</f>
        <v>0</v>
      </c>
      <c r="E99" s="120"/>
      <c r="F99" s="120"/>
      <c r="G99" s="120"/>
      <c r="H99" s="122"/>
      <c r="I99" s="47" t="s">
        <v>152</v>
      </c>
      <c r="J99" s="50">
        <f ca="1">(IF(B88=1,(H88/(B88+3)+J94),IF(B88=0,(H88/4+J94),IF(B88&gt;1,0))))</f>
        <v>10.5</v>
      </c>
    </row>
    <row r="100" spans="1:10">
      <c r="A100" s="118" t="s">
        <v>153</v>
      </c>
      <c r="B100" s="119"/>
      <c r="C100" s="39">
        <v>0</v>
      </c>
      <c r="D100" s="40">
        <f ca="1">((100/(H88))*C100)/100</f>
        <v>0</v>
      </c>
      <c r="E100" s="121"/>
      <c r="F100" s="121"/>
      <c r="G100" s="121"/>
      <c r="H100" s="123"/>
      <c r="I100" s="52" t="s">
        <v>154</v>
      </c>
      <c r="J100" s="53">
        <f ca="1">(IF(B88&gt;1.5,(H88/(B88+2)+J94+MAX(0,J95-J94)+MAX(0,J96-J95)+MAX(0,J97-J96)+MAX(0,J98-J97)+MAX(0,J99-J98)),IF(B88=1,(H88/(B88+3)+J99),IF(B88=0,H88/4+J99))))</f>
        <v>14</v>
      </c>
    </row>
    <row r="101" spans="1:10" ht="15.75" customHeight="1">
      <c r="A101" s="105" t="s">
        <v>120</v>
      </c>
      <c r="B101" s="106"/>
      <c r="C101" s="107" t="str">
        <f>D63</f>
        <v>Building No.2 (C Wing) = G + 1st to 14th Floor</v>
      </c>
      <c r="D101" s="108"/>
      <c r="E101" s="108"/>
      <c r="F101" s="108"/>
      <c r="G101" s="108"/>
      <c r="H101" s="109"/>
      <c r="I101" s="44" t="str">
        <f ca="1">(IF(E105&gt;99%,"All work completed. Please provide OC.",IF(E105&gt;89.8%,"Plinth, RCC, Brick, Plaster, Flooring, Painting work Completed. Finishing work is in process.",IF(E105&lt;94%,(IF(C105=0,"Work not yet Started.",IF(D105=25%,"Piling work in process",IF(D105=50%,"Excavation work in process",IF(D105=100%,"Excavation work Completed. ","0")))&amp;(IF(C106=0%,"",IF(C106=J107,"Footing work is process",IF(C106=J108,"Footing work Completed",IF(C106=J109,"1st Basement Completed",IF(C106=J110,"1st &amp; 2nd Basement Completed",IF(C106=J111,"1st to 3rd Basement Completed",IF(C106=J112,"1st to 4th Basement Completed",IF(C106=J113,"Plinth work is process",IF(C106=J114,"Plinth work completed","0")))))))))))&amp;(IF(C107=(D102+F102+H102),", RCC Slab",IF(C107&gt;0,", RCC upto "&amp;C107&amp;" Slab",""))&amp;(IF(C108=H102,", Brickwork",IF(C108&gt;0,", Brickwork upto "&amp;C108&amp;" Floor",""))&amp;(IF(C109=H102,", Internal Plaster",IF(C109&gt;0,", Internal Plaster upto "&amp;C109&amp;" Floor",""))&amp;(IF(C110=H102,", External Plaster",IF(C110&gt;0,", External Plaster upto "&amp;C110&amp;" Floor",""))&amp;(IF(C111=H102,", Flooring",IF(C111&gt;0,", Flooring upto "&amp;C111&amp;" Floor",""))&amp;(IF(C112=H102,", Painting",IF(C112&gt;0,", Painting upto "&amp;C112&amp;" Floor",""))&amp;(IF(C113&gt;0,", Finishing upto "&amp;C113&amp;" Floor","")&amp;(IF(C107&gt;0.5," Completed",""))))))))))))))</f>
        <v>Excavation work Completed. Plinth work completed, RCC Slab, Brickwork, Internal Plaster, External Plaster upto 7 Floor Completed</v>
      </c>
      <c r="J101" s="45"/>
    </row>
    <row r="102" spans="1:10">
      <c r="A102" s="32" t="s">
        <v>121</v>
      </c>
      <c r="B102" s="27">
        <v>0</v>
      </c>
      <c r="C102" s="27" t="s">
        <v>122</v>
      </c>
      <c r="D102" s="27">
        <v>1</v>
      </c>
      <c r="E102" s="27" t="s">
        <v>123</v>
      </c>
      <c r="F102" s="27">
        <v>0</v>
      </c>
      <c r="G102" s="27" t="s">
        <v>124</v>
      </c>
      <c r="H102" s="33">
        <f ca="1">--TRIM(RIGHT(SUBSTITUTE(LEFT(C101,_xlfn.AGGREGATE(16,6,FIND({0,1,2,3,4,5,6,7,8,9},C101,ROW(INDIRECT("1:"&amp;LEN(C101)))),1))," ",REPT(" ",LEN(C101))),LEN(C101)))</f>
        <v>14</v>
      </c>
      <c r="I102" s="43"/>
      <c r="J102" s="46"/>
    </row>
    <row r="103" spans="1:10" ht="33" customHeight="1">
      <c r="A103" s="110" t="s">
        <v>125</v>
      </c>
      <c r="B103" s="111"/>
      <c r="C103" s="112" t="str">
        <f ca="1">I101</f>
        <v>Excavation work Completed. Plinth work completed, RCC Slab, Brickwork, Internal Plaster, External Plaster upto 7 Floor Completed</v>
      </c>
      <c r="D103" s="112"/>
      <c r="E103" s="112"/>
      <c r="F103" s="112"/>
      <c r="G103" s="112"/>
      <c r="H103" s="113"/>
      <c r="I103" s="43" t="s">
        <v>126</v>
      </c>
      <c r="J103" s="46"/>
    </row>
    <row r="104" spans="1:10" ht="15.75" customHeight="1">
      <c r="A104" s="114" t="s">
        <v>127</v>
      </c>
      <c r="B104" s="115"/>
      <c r="C104" s="35" t="s">
        <v>128</v>
      </c>
      <c r="D104" s="35" t="s">
        <v>129</v>
      </c>
      <c r="E104" s="116" t="s">
        <v>130</v>
      </c>
      <c r="F104" s="116"/>
      <c r="G104" s="116" t="s">
        <v>131</v>
      </c>
      <c r="H104" s="117"/>
      <c r="I104" s="47" t="s">
        <v>132</v>
      </c>
      <c r="J104" s="48">
        <f ca="1">H102*25%</f>
        <v>3.5</v>
      </c>
    </row>
    <row r="105" spans="1:10">
      <c r="A105" s="114" t="s">
        <v>133</v>
      </c>
      <c r="B105" s="115"/>
      <c r="C105" s="36">
        <v>14</v>
      </c>
      <c r="D105" s="37">
        <f ca="1">((100/H102)*C105)/100</f>
        <v>1</v>
      </c>
      <c r="E105" s="120">
        <f ca="1">(((C106/H102*10)+(40/(D102+F102+H102)*C107)+(7.5/(H102)*C108)+(7.5/(H102)*C109)+(10/H102*C110)+(10/H102*C111)+(5/H102*C112)+(5/H102*C113)+(5/H102*C114))/100)</f>
        <v>0.7</v>
      </c>
      <c r="F105" s="120"/>
      <c r="G105" s="120">
        <f ca="1">((((C105/H102)*20)+((C106/H102)*25)+(30/(H102+F102+D102)*C107)+(5/H102*C108)+(5/H102*C109)+(5/H102*C110)+(5/H102*C111)+(0/H102*C112)+(0/H102*C113)+(5/H102*C114))/100)</f>
        <v>0.875</v>
      </c>
      <c r="H105" s="122"/>
      <c r="I105" s="47" t="s">
        <v>134</v>
      </c>
      <c r="J105" s="49">
        <f ca="1">H102*50%</f>
        <v>7</v>
      </c>
    </row>
    <row r="106" spans="1:10">
      <c r="A106" s="114" t="s">
        <v>135</v>
      </c>
      <c r="B106" s="115"/>
      <c r="C106" s="38">
        <v>14</v>
      </c>
      <c r="D106" s="37">
        <f ca="1">((100/H102)*C106)/100</f>
        <v>1</v>
      </c>
      <c r="E106" s="120"/>
      <c r="F106" s="120"/>
      <c r="G106" s="120"/>
      <c r="H106" s="122"/>
      <c r="I106" s="47" t="s">
        <v>136</v>
      </c>
      <c r="J106" s="49">
        <f ca="1">H102</f>
        <v>14</v>
      </c>
    </row>
    <row r="107" spans="1:10" ht="15.75" customHeight="1">
      <c r="A107" s="114" t="s">
        <v>137</v>
      </c>
      <c r="B107" s="115"/>
      <c r="C107" s="38">
        <v>15</v>
      </c>
      <c r="D107" s="37">
        <f ca="1">((100/(D102+F102+H102))*C107)/100</f>
        <v>1</v>
      </c>
      <c r="E107" s="120"/>
      <c r="F107" s="120"/>
      <c r="G107" s="120"/>
      <c r="H107" s="122"/>
      <c r="I107" s="47" t="s">
        <v>138</v>
      </c>
      <c r="J107" s="50">
        <f ca="1">(IF(B102&gt;1,(H102/(B102+2)),H102/4))</f>
        <v>3.5</v>
      </c>
    </row>
    <row r="108" spans="1:10" ht="15.75" customHeight="1">
      <c r="A108" s="114" t="s">
        <v>139</v>
      </c>
      <c r="B108" s="115" t="s">
        <v>140</v>
      </c>
      <c r="C108" s="36">
        <v>14</v>
      </c>
      <c r="D108" s="37">
        <f ca="1">((100/H102)*C108)/100</f>
        <v>1</v>
      </c>
      <c r="E108" s="120"/>
      <c r="F108" s="120"/>
      <c r="G108" s="120"/>
      <c r="H108" s="122"/>
      <c r="I108" s="47" t="s">
        <v>141</v>
      </c>
      <c r="J108" s="50">
        <f ca="1">(IF(B102&gt;1,(H102/(B102+2)+J107),H102/4+J107))</f>
        <v>7</v>
      </c>
    </row>
    <row r="109" spans="1:10" ht="15.75" customHeight="1">
      <c r="A109" s="114" t="s">
        <v>142</v>
      </c>
      <c r="B109" s="115" t="s">
        <v>140</v>
      </c>
      <c r="C109" s="36">
        <v>14</v>
      </c>
      <c r="D109" s="37">
        <f ca="1">((100/H102)*C109)/100</f>
        <v>1</v>
      </c>
      <c r="E109" s="120"/>
      <c r="F109" s="120"/>
      <c r="G109" s="120"/>
      <c r="H109" s="122"/>
      <c r="I109" s="47" t="s">
        <v>143</v>
      </c>
      <c r="J109" s="50">
        <f>(IF(B102&gt;1,(H102/(B102+2)+J108),0))</f>
        <v>0</v>
      </c>
    </row>
    <row r="110" spans="1:10" ht="15" customHeight="1">
      <c r="A110" s="114" t="s">
        <v>144</v>
      </c>
      <c r="B110" s="115" t="s">
        <v>145</v>
      </c>
      <c r="C110" s="36">
        <v>7</v>
      </c>
      <c r="D110" s="37">
        <f ca="1">((100/(H102))*C110)/100</f>
        <v>0.5</v>
      </c>
      <c r="E110" s="120"/>
      <c r="F110" s="120"/>
      <c r="G110" s="120"/>
      <c r="H110" s="122"/>
      <c r="I110" s="47" t="s">
        <v>146</v>
      </c>
      <c r="J110" s="50">
        <f>(IF(B102&gt;2,(H102/(B102+2)+J109),0))</f>
        <v>0</v>
      </c>
    </row>
    <row r="111" spans="1:10" ht="15.75" customHeight="1">
      <c r="A111" s="114" t="s">
        <v>147</v>
      </c>
      <c r="B111" s="115" t="s">
        <v>147</v>
      </c>
      <c r="C111" s="36">
        <v>0</v>
      </c>
      <c r="D111" s="37">
        <f ca="1">((100/H102)*C111)/100</f>
        <v>0</v>
      </c>
      <c r="E111" s="120"/>
      <c r="F111" s="120"/>
      <c r="G111" s="120"/>
      <c r="H111" s="122"/>
      <c r="I111" s="47" t="s">
        <v>148</v>
      </c>
      <c r="J111" s="51">
        <f>(IF(B102&gt;3,(H102/(B102+2)+J110),0))</f>
        <v>0</v>
      </c>
    </row>
    <row r="112" spans="1:10" ht="15.75" customHeight="1">
      <c r="A112" s="114" t="s">
        <v>149</v>
      </c>
      <c r="B112" s="115"/>
      <c r="C112" s="36">
        <v>0</v>
      </c>
      <c r="D112" s="37">
        <f ca="1">((100/H102)*C112)/100</f>
        <v>0</v>
      </c>
      <c r="E112" s="120"/>
      <c r="F112" s="120"/>
      <c r="G112" s="120"/>
      <c r="H112" s="122"/>
      <c r="I112" s="47" t="s">
        <v>150</v>
      </c>
      <c r="J112" s="50">
        <f>(IF(B102&gt;4,(H102/(B102+2)+J111),0))</f>
        <v>0</v>
      </c>
    </row>
    <row r="113" spans="1:10" ht="15.75" customHeight="1">
      <c r="A113" s="114" t="s">
        <v>151</v>
      </c>
      <c r="B113" s="115" t="s">
        <v>151</v>
      </c>
      <c r="C113" s="36">
        <v>0</v>
      </c>
      <c r="D113" s="37">
        <f ca="1">((100/(H102))*C113)/100</f>
        <v>0</v>
      </c>
      <c r="E113" s="120"/>
      <c r="F113" s="120"/>
      <c r="G113" s="120"/>
      <c r="H113" s="122"/>
      <c r="I113" s="47" t="s">
        <v>152</v>
      </c>
      <c r="J113" s="50">
        <f ca="1">(IF(B102=1,(H102/(B102+3)+J108),IF(B102=0,(H102/4+J108),IF(B102&gt;1,0))))</f>
        <v>10.5</v>
      </c>
    </row>
    <row r="114" spans="1:10">
      <c r="A114" s="118" t="s">
        <v>153</v>
      </c>
      <c r="B114" s="119"/>
      <c r="C114" s="39">
        <v>0</v>
      </c>
      <c r="D114" s="40">
        <f ca="1">((100/(H102))*C114)/100</f>
        <v>0</v>
      </c>
      <c r="E114" s="121"/>
      <c r="F114" s="121"/>
      <c r="G114" s="121"/>
      <c r="H114" s="123"/>
      <c r="I114" s="52" t="s">
        <v>154</v>
      </c>
      <c r="J114" s="53">
        <f ca="1">(IF(B102&gt;1.5,(H102/(B102+2)+J108+MAX(0,J109-J108)+MAX(0,J110-J109)+MAX(0,J111-J110)+MAX(0,J112-J111)+MAX(0,J113-J112)),IF(B102=1,(H102/(B102+3)+J113),IF(B102=0,H102/4+J113))))</f>
        <v>14</v>
      </c>
    </row>
    <row r="115" spans="1:10" ht="15.75" customHeight="1">
      <c r="A115" s="105" t="s">
        <v>120</v>
      </c>
      <c r="B115" s="106"/>
      <c r="C115" s="107" t="str">
        <f>D64</f>
        <v>Building No.2 (D Wing) = G + 1st to 14th Floor</v>
      </c>
      <c r="D115" s="108"/>
      <c r="E115" s="108"/>
      <c r="F115" s="108"/>
      <c r="G115" s="108"/>
      <c r="H115" s="109"/>
      <c r="I115" s="44" t="str">
        <f ca="1">(IF(E119&gt;99%,"All work completed. Please provide OC.",IF(E119&gt;89.8%,"Plinth, RCC, Brick, Plaster, Flooring, Painting work Completed. Finishing work is in process.",IF(E119&lt;94%,(IF(C119=0,"Work not yet Started.",IF(D119=25%,"Piling work in process",IF(D119=50%,"Excavation work in process",IF(D119=100%,"Excavation work Completed. ","0")))&amp;(IF(C120=0%,"",IF(C120=J121,"Footing work is process",IF(C120=J122,"Footing work Completed",IF(C120=J123,"1st Basement Completed",IF(C120=J124,"1st &amp; 2nd Basement Completed",IF(C120=J125,"1st to 3rd Basement Completed",IF(C120=J126,"1st to 4th Basement Completed",IF(C120=J127,"Plinth work is process",IF(C120=J128,"Plinth work completed","0")))))))))))&amp;(IF(C121=(D116+F116+H116),", RCC Slab",IF(C121&gt;0,", RCC upto "&amp;C121&amp;" Slab",""))&amp;(IF(C122=H116,", Brickwork",IF(C122&gt;0,", Brickwork upto "&amp;C122&amp;" Floor",""))&amp;(IF(C123=H116,", Internal Plaster",IF(C123&gt;0,", Internal Plaster upto "&amp;C123&amp;" Floor",""))&amp;(IF(C124=H116,", External Plaster",IF(C124&gt;0,", External Plaster upto "&amp;C124&amp;" Floor",""))&amp;(IF(C125=H116,", Flooring",IF(C125&gt;0,", Flooring upto "&amp;C125&amp;" Floor",""))&amp;(IF(C126=H116,", Painting",IF(C126&gt;0,", Painting upto "&amp;C126&amp;" Floor",""))&amp;(IF(C127&gt;0,", Finishing upto "&amp;C127&amp;" Floor","")&amp;(IF(C121&gt;0.5," Completed",""))))))))))))))</f>
        <v>Excavation work Completed. Plinth work completed, RCC Slab, Brickwork, Internal Plaster, External Plaster, Flooring upto 12 Floor, Painting upto 12 Floor Completed</v>
      </c>
      <c r="J115" s="45"/>
    </row>
    <row r="116" spans="1:10">
      <c r="A116" s="32" t="s">
        <v>121</v>
      </c>
      <c r="B116" s="27">
        <v>0</v>
      </c>
      <c r="C116" s="27" t="s">
        <v>122</v>
      </c>
      <c r="D116" s="27">
        <v>1</v>
      </c>
      <c r="E116" s="27" t="s">
        <v>123</v>
      </c>
      <c r="F116" s="27">
        <v>0</v>
      </c>
      <c r="G116" s="27" t="s">
        <v>124</v>
      </c>
      <c r="H116" s="33">
        <f ca="1">--TRIM(RIGHT(SUBSTITUTE(LEFT(C115,_xlfn.AGGREGATE(16,6,FIND({0,1,2,3,4,5,6,7,8,9},C115,ROW(INDIRECT("1:"&amp;LEN(C115)))),1))," ",REPT(" ",LEN(C115))),LEN(C115)))</f>
        <v>14</v>
      </c>
      <c r="I116" s="43"/>
      <c r="J116" s="46"/>
    </row>
    <row r="117" spans="1:10" ht="49" customHeight="1">
      <c r="A117" s="110" t="s">
        <v>125</v>
      </c>
      <c r="B117" s="111"/>
      <c r="C117" s="112" t="str">
        <f ca="1">I115</f>
        <v>Excavation work Completed. Plinth work completed, RCC Slab, Brickwork, Internal Plaster, External Plaster, Flooring upto 12 Floor, Painting upto 12 Floor Completed</v>
      </c>
      <c r="D117" s="112"/>
      <c r="E117" s="112"/>
      <c r="F117" s="112"/>
      <c r="G117" s="112"/>
      <c r="H117" s="113"/>
      <c r="I117" s="43" t="s">
        <v>126</v>
      </c>
      <c r="J117" s="46"/>
    </row>
    <row r="118" spans="1:10" ht="15.75" customHeight="1">
      <c r="A118" s="114" t="s">
        <v>127</v>
      </c>
      <c r="B118" s="115"/>
      <c r="C118" s="35" t="s">
        <v>128</v>
      </c>
      <c r="D118" s="35" t="s">
        <v>129</v>
      </c>
      <c r="E118" s="116" t="s">
        <v>130</v>
      </c>
      <c r="F118" s="116"/>
      <c r="G118" s="116" t="s">
        <v>131</v>
      </c>
      <c r="H118" s="117"/>
      <c r="I118" s="47" t="s">
        <v>132</v>
      </c>
      <c r="J118" s="48">
        <f ca="1">H116*25%</f>
        <v>3.5</v>
      </c>
    </row>
    <row r="119" spans="1:10">
      <c r="A119" s="114" t="s">
        <v>133</v>
      </c>
      <c r="B119" s="115"/>
      <c r="C119" s="36">
        <v>14</v>
      </c>
      <c r="D119" s="37">
        <f ca="1">((100/H116)*C119)/100</f>
        <v>1</v>
      </c>
      <c r="E119" s="120">
        <f ca="1">(((C120/H116*10)+(40/(D116+F116+H116)*C121)+(7.5/(H116)*C122)+(7.5/(H116)*C123)+(10/H116*C124)+(10/H116*C125)+(5/H116*C126)+(5/H116*C127)+(5/H116*C128))/100)</f>
        <v>0.87857142857142856</v>
      </c>
      <c r="F119" s="120"/>
      <c r="G119" s="120">
        <f ca="1">((((C119/H116)*20)+((C120/H116)*25)+(30/(H116+F116+D116)*C121)+(5/H116*C122)+(5/H116*C123)+(5/H116*C124)+(5/H116*C125)+(0/H116*C126)+(0/H116*C127)+(5/H116*C128))/100)</f>
        <v>0.94285714285714295</v>
      </c>
      <c r="H119" s="122"/>
      <c r="I119" s="47" t="s">
        <v>134</v>
      </c>
      <c r="J119" s="49">
        <f ca="1">H116*50%</f>
        <v>7</v>
      </c>
    </row>
    <row r="120" spans="1:10">
      <c r="A120" s="114" t="s">
        <v>135</v>
      </c>
      <c r="B120" s="115"/>
      <c r="C120" s="38">
        <v>14</v>
      </c>
      <c r="D120" s="37">
        <f ca="1">((100/H116)*C120)/100</f>
        <v>1</v>
      </c>
      <c r="E120" s="120"/>
      <c r="F120" s="120"/>
      <c r="G120" s="120"/>
      <c r="H120" s="122"/>
      <c r="I120" s="47" t="s">
        <v>136</v>
      </c>
      <c r="J120" s="49">
        <f ca="1">H116</f>
        <v>14</v>
      </c>
    </row>
    <row r="121" spans="1:10" ht="15.75" customHeight="1">
      <c r="A121" s="114" t="s">
        <v>137</v>
      </c>
      <c r="B121" s="115"/>
      <c r="C121" s="38">
        <v>15</v>
      </c>
      <c r="D121" s="37">
        <f ca="1">((100/(D116+F116+H116))*C121)/100</f>
        <v>1</v>
      </c>
      <c r="E121" s="120"/>
      <c r="F121" s="120"/>
      <c r="G121" s="120"/>
      <c r="H121" s="122"/>
      <c r="I121" s="47" t="s">
        <v>138</v>
      </c>
      <c r="J121" s="50">
        <f ca="1">(IF(B116&gt;1,(H116/(B116+2)),H116/4))</f>
        <v>3.5</v>
      </c>
    </row>
    <row r="122" spans="1:10" ht="15.75" customHeight="1">
      <c r="A122" s="114" t="s">
        <v>139</v>
      </c>
      <c r="B122" s="115" t="s">
        <v>140</v>
      </c>
      <c r="C122" s="36">
        <v>14</v>
      </c>
      <c r="D122" s="37">
        <f ca="1">((100/H116)*C122)/100</f>
        <v>1</v>
      </c>
      <c r="E122" s="120"/>
      <c r="F122" s="120"/>
      <c r="G122" s="120"/>
      <c r="H122" s="122"/>
      <c r="I122" s="47" t="s">
        <v>141</v>
      </c>
      <c r="J122" s="50">
        <f ca="1">(IF(B116&gt;1,(H116/(B116+2)+J121),H116/4+J121))</f>
        <v>7</v>
      </c>
    </row>
    <row r="123" spans="1:10" ht="15.75" customHeight="1">
      <c r="A123" s="114" t="s">
        <v>142</v>
      </c>
      <c r="B123" s="115" t="s">
        <v>140</v>
      </c>
      <c r="C123" s="36">
        <v>14</v>
      </c>
      <c r="D123" s="37">
        <f ca="1">((100/H116)*C123)/100</f>
        <v>1</v>
      </c>
      <c r="E123" s="120"/>
      <c r="F123" s="120"/>
      <c r="G123" s="120"/>
      <c r="H123" s="122"/>
      <c r="I123" s="47" t="s">
        <v>143</v>
      </c>
      <c r="J123" s="50">
        <f>(IF(B116&gt;1,(H116/(B116+2)+J122),0))</f>
        <v>0</v>
      </c>
    </row>
    <row r="124" spans="1:10" ht="15" customHeight="1">
      <c r="A124" s="114" t="s">
        <v>144</v>
      </c>
      <c r="B124" s="115" t="s">
        <v>145</v>
      </c>
      <c r="C124" s="36">
        <v>14</v>
      </c>
      <c r="D124" s="37">
        <f ca="1">((100/(H116))*C124)/100</f>
        <v>1</v>
      </c>
      <c r="E124" s="120"/>
      <c r="F124" s="120"/>
      <c r="G124" s="120"/>
      <c r="H124" s="122"/>
      <c r="I124" s="47" t="s">
        <v>146</v>
      </c>
      <c r="J124" s="50">
        <f>(IF(B116&gt;2,(H116/(B116+2)+J123),0))</f>
        <v>0</v>
      </c>
    </row>
    <row r="125" spans="1:10" ht="15.75" customHeight="1">
      <c r="A125" s="114" t="s">
        <v>147</v>
      </c>
      <c r="B125" s="115" t="s">
        <v>147</v>
      </c>
      <c r="C125" s="36">
        <v>12</v>
      </c>
      <c r="D125" s="37">
        <f ca="1">((100/H116)*C125)/100</f>
        <v>0.85714285714285721</v>
      </c>
      <c r="E125" s="120"/>
      <c r="F125" s="120"/>
      <c r="G125" s="120"/>
      <c r="H125" s="122"/>
      <c r="I125" s="47" t="s">
        <v>148</v>
      </c>
      <c r="J125" s="51">
        <f>(IF(B116&gt;3,(H116/(B116+2)+J124),0))</f>
        <v>0</v>
      </c>
    </row>
    <row r="126" spans="1:10" ht="15.75" customHeight="1">
      <c r="A126" s="114" t="s">
        <v>149</v>
      </c>
      <c r="B126" s="115"/>
      <c r="C126" s="36">
        <v>12</v>
      </c>
      <c r="D126" s="37">
        <f ca="1">((100/H116)*C126)/100</f>
        <v>0.85714285714285721</v>
      </c>
      <c r="E126" s="120"/>
      <c r="F126" s="120"/>
      <c r="G126" s="120"/>
      <c r="H126" s="122"/>
      <c r="I126" s="47" t="s">
        <v>150</v>
      </c>
      <c r="J126" s="50">
        <f>(IF(B116&gt;4,(H116/(B116+2)+J125),0))</f>
        <v>0</v>
      </c>
    </row>
    <row r="127" spans="1:10" ht="15.75" customHeight="1">
      <c r="A127" s="114" t="s">
        <v>151</v>
      </c>
      <c r="B127" s="115" t="s">
        <v>151</v>
      </c>
      <c r="C127" s="36">
        <v>0</v>
      </c>
      <c r="D127" s="37">
        <f ca="1">((100/(H116))*C127)/100</f>
        <v>0</v>
      </c>
      <c r="E127" s="120"/>
      <c r="F127" s="120"/>
      <c r="G127" s="120"/>
      <c r="H127" s="122"/>
      <c r="I127" s="47" t="s">
        <v>152</v>
      </c>
      <c r="J127" s="50">
        <f ca="1">(IF(B116=1,(H116/(B116+3)+J122),IF(B116=0,(H116/4+J122),IF(B116&gt;1,0))))</f>
        <v>10.5</v>
      </c>
    </row>
    <row r="128" spans="1:10">
      <c r="A128" s="118" t="s">
        <v>153</v>
      </c>
      <c r="B128" s="119"/>
      <c r="C128" s="39">
        <v>0</v>
      </c>
      <c r="D128" s="40">
        <f ca="1">((100/(H116))*C128)/100</f>
        <v>0</v>
      </c>
      <c r="E128" s="121"/>
      <c r="F128" s="121"/>
      <c r="G128" s="121"/>
      <c r="H128" s="123"/>
      <c r="I128" s="52" t="s">
        <v>154</v>
      </c>
      <c r="J128" s="53">
        <f ca="1">(IF(B116&gt;1.5,(H116/(B116+2)+J122+MAX(0,J123-J122)+MAX(0,J124-J123)+MAX(0,J125-J124)+MAX(0,J126-J125)+MAX(0,J127-J126)),IF(B116=1,(H116/(B116+3)+J127),IF(B116=0,H116/4+J127))))</f>
        <v>14</v>
      </c>
    </row>
    <row r="129" spans="1:10" ht="15.75" customHeight="1">
      <c r="A129" s="105" t="s">
        <v>120</v>
      </c>
      <c r="B129" s="106"/>
      <c r="C129" s="107" t="str">
        <f>D65</f>
        <v>Building No.3 (E Wing) = G + 1st to 14th Floor</v>
      </c>
      <c r="D129" s="108"/>
      <c r="E129" s="108"/>
      <c r="F129" s="108"/>
      <c r="G129" s="108"/>
      <c r="H129" s="109"/>
      <c r="I129" s="44" t="str">
        <f ca="1">(IF(E133&gt;99%,"All work completed. Please provide OC.",IF(E133&gt;89.8%,"Plinth, RCC, Brick, Plaster, Flooring, Painting work Completed. Finishing work is in process.",IF(E133&lt;94%,(IF(C133=0,"Work not yet Started.",IF(D133=25%,"Piling work in process",IF(D133=50%,"Excavation work in process",IF(D133=100%,"Excavation work Completed. ","0")))&amp;(IF(C134=0%,"",IF(C134=J135,"Footing work is process",IF(C134=J136,"Footing work Completed",IF(C134=J137,"1st Basement Completed",IF(C134=J138,"1st &amp; 2nd Basement Completed",IF(C134=J139,"1st to 3rd Basement Completed",IF(C134=J140,"1st to 4th Basement Completed",IF(C134=J141,"Plinth work is process",IF(C134=J142,"Plinth work completed","0")))))))))))&amp;(IF(C135=(D130+F130+H130),", RCC Slab",IF(C135&gt;0,", RCC upto "&amp;C135&amp;" Slab",""))&amp;(IF(C136=H130,", Brickwork",IF(C136&gt;0,", Brickwork upto "&amp;C136&amp;" Floor",""))&amp;(IF(C137=H130,", Internal Plaster",IF(C137&gt;0,", Internal Plaster upto "&amp;C137&amp;" Floor",""))&amp;(IF(C138=H130,", External Plaster",IF(C138&gt;0,", External Plaster upto "&amp;C138&amp;" Floor",""))&amp;(IF(C139=H130,", Flooring",IF(C139&gt;0,", Flooring upto "&amp;C139&amp;" Floor",""))&amp;(IF(C140=H130,", Painting",IF(C140&gt;0,", Painting upto "&amp;C140&amp;" Floor",""))&amp;(IF(C141&gt;0,", Finishing upto "&amp;C141&amp;" Floor","")&amp;(IF(C135&gt;0.5," Completed",""))))))))))))))</f>
        <v>All work completed. Please provide OC.</v>
      </c>
      <c r="J129" s="45"/>
    </row>
    <row r="130" spans="1:10">
      <c r="A130" s="32" t="s">
        <v>121</v>
      </c>
      <c r="B130" s="27">
        <v>0</v>
      </c>
      <c r="C130" s="27" t="s">
        <v>122</v>
      </c>
      <c r="D130" s="27">
        <v>1</v>
      </c>
      <c r="E130" s="27" t="s">
        <v>123</v>
      </c>
      <c r="F130" s="27">
        <v>0</v>
      </c>
      <c r="G130" s="54" t="s">
        <v>124</v>
      </c>
      <c r="H130" s="33">
        <f ca="1">--TRIM(RIGHT(SUBSTITUTE(LEFT(C129,_xlfn.AGGREGATE(16,6,FIND({0,1,2,3,4,5,6,7,8,9},C129,ROW(INDIRECT("1:"&amp;LEN(C129)))),1))," ",REPT(" ",LEN(C129))),LEN(C129)))</f>
        <v>14</v>
      </c>
      <c r="I130" s="43"/>
      <c r="J130" s="46"/>
    </row>
    <row r="131" spans="1:10" ht="16" thickBot="1">
      <c r="A131" s="110" t="s">
        <v>125</v>
      </c>
      <c r="B131" s="111"/>
      <c r="C131" s="112" t="str">
        <f ca="1">I129</f>
        <v>All work completed. Please provide OC.</v>
      </c>
      <c r="D131" s="112"/>
      <c r="E131" s="112"/>
      <c r="F131" s="112"/>
      <c r="G131" s="112"/>
      <c r="H131" s="113"/>
      <c r="I131" s="43" t="s">
        <v>126</v>
      </c>
      <c r="J131" s="46"/>
    </row>
    <row r="132" spans="1:10" ht="15.75" hidden="1" customHeight="1">
      <c r="A132" s="114" t="s">
        <v>127</v>
      </c>
      <c r="B132" s="115"/>
      <c r="C132" s="34" t="s">
        <v>128</v>
      </c>
      <c r="D132" s="34" t="s">
        <v>129</v>
      </c>
      <c r="E132" s="115" t="s">
        <v>130</v>
      </c>
      <c r="F132" s="115"/>
      <c r="G132" s="115" t="s">
        <v>131</v>
      </c>
      <c r="H132" s="124"/>
      <c r="I132" s="47" t="s">
        <v>132</v>
      </c>
      <c r="J132" s="48">
        <f ca="1">H130*25%</f>
        <v>3.5</v>
      </c>
    </row>
    <row r="133" spans="1:10" hidden="1">
      <c r="A133" s="114" t="s">
        <v>133</v>
      </c>
      <c r="B133" s="115"/>
      <c r="C133" s="36">
        <f ca="1">J134</f>
        <v>14</v>
      </c>
      <c r="D133" s="55">
        <f ca="1">((100/H130)*C133)/100</f>
        <v>1</v>
      </c>
      <c r="E133" s="125">
        <f ca="1">(((C134/H130*10)+(40/(D130+F130+H130)*C135)+(7.5/(H130)*C136)+(7.5/(H130)*C137)+(10/H130*C138)+(10/H130*C139)+(5/H130*C140)+(5/H130*C141)+(5/H130*C142))/100)</f>
        <v>1</v>
      </c>
      <c r="F133" s="125"/>
      <c r="G133" s="125">
        <f ca="1">((((C133/H130)*20)+((C134/H130)*25)+(30/(H130+F130+D130)*C135)+(5/H130*C136)+(5/H130*C137)+(5/H130*C138)+(5/H130*C139)+(0/H130*C140)+(0/H130*C141)+(5/H130*C142))/100)</f>
        <v>1</v>
      </c>
      <c r="H133" s="127"/>
      <c r="I133" s="47" t="s">
        <v>134</v>
      </c>
      <c r="J133" s="49">
        <f ca="1">H130*50%</f>
        <v>7</v>
      </c>
    </row>
    <row r="134" spans="1:10" hidden="1">
      <c r="A134" s="114" t="s">
        <v>135</v>
      </c>
      <c r="B134" s="115"/>
      <c r="C134" s="38">
        <v>14</v>
      </c>
      <c r="D134" s="55">
        <f ca="1">((100/H130)*C134)/100</f>
        <v>1</v>
      </c>
      <c r="E134" s="125"/>
      <c r="F134" s="125"/>
      <c r="G134" s="125"/>
      <c r="H134" s="127"/>
      <c r="I134" s="47" t="s">
        <v>136</v>
      </c>
      <c r="J134" s="49">
        <f ca="1">H130</f>
        <v>14</v>
      </c>
    </row>
    <row r="135" spans="1:10" ht="15.75" hidden="1" customHeight="1">
      <c r="A135" s="114" t="s">
        <v>137</v>
      </c>
      <c r="B135" s="115"/>
      <c r="C135" s="38">
        <v>15</v>
      </c>
      <c r="D135" s="55">
        <f ca="1">((100/(D130+F130+H130))*C135)/100</f>
        <v>1</v>
      </c>
      <c r="E135" s="125"/>
      <c r="F135" s="125"/>
      <c r="G135" s="125"/>
      <c r="H135" s="127"/>
      <c r="I135" s="47" t="s">
        <v>138</v>
      </c>
      <c r="J135" s="50">
        <f ca="1">(IF(B130&gt;1,(H130/(B130+2)),H130/4))</f>
        <v>3.5</v>
      </c>
    </row>
    <row r="136" spans="1:10" ht="15.75" hidden="1" customHeight="1">
      <c r="A136" s="114" t="s">
        <v>139</v>
      </c>
      <c r="B136" s="115" t="s">
        <v>140</v>
      </c>
      <c r="C136" s="36">
        <v>14</v>
      </c>
      <c r="D136" s="55">
        <f ca="1">((100/H130)*C136)/100</f>
        <v>1</v>
      </c>
      <c r="E136" s="125"/>
      <c r="F136" s="125"/>
      <c r="G136" s="125"/>
      <c r="H136" s="127"/>
      <c r="I136" s="47" t="s">
        <v>141</v>
      </c>
      <c r="J136" s="50">
        <f ca="1">(IF(B130&gt;1,(H130/(B130+2)+J135),H130/4+J135))</f>
        <v>7</v>
      </c>
    </row>
    <row r="137" spans="1:10" ht="15.75" hidden="1" customHeight="1">
      <c r="A137" s="114" t="s">
        <v>142</v>
      </c>
      <c r="B137" s="115" t="s">
        <v>140</v>
      </c>
      <c r="C137" s="36">
        <v>14</v>
      </c>
      <c r="D137" s="55">
        <f ca="1">((100/H130)*C137)/100</f>
        <v>1</v>
      </c>
      <c r="E137" s="125"/>
      <c r="F137" s="125"/>
      <c r="G137" s="125"/>
      <c r="H137" s="127"/>
      <c r="I137" s="47" t="s">
        <v>143</v>
      </c>
      <c r="J137" s="50">
        <f>(IF(B130&gt;1,(H130/(B130+2)+J136),0))</f>
        <v>0</v>
      </c>
    </row>
    <row r="138" spans="1:10" ht="15" hidden="1" customHeight="1">
      <c r="A138" s="114" t="s">
        <v>144</v>
      </c>
      <c r="B138" s="115" t="s">
        <v>145</v>
      </c>
      <c r="C138" s="36">
        <v>14</v>
      </c>
      <c r="D138" s="55">
        <f ca="1">((100/(H130))*C138)/100</f>
        <v>1</v>
      </c>
      <c r="E138" s="125"/>
      <c r="F138" s="125"/>
      <c r="G138" s="125"/>
      <c r="H138" s="127"/>
      <c r="I138" s="47" t="s">
        <v>146</v>
      </c>
      <c r="J138" s="50">
        <f>(IF(B130&gt;2,(H130/(B130+2)+J137),0))</f>
        <v>0</v>
      </c>
    </row>
    <row r="139" spans="1:10" ht="15.75" hidden="1" customHeight="1">
      <c r="A139" s="114" t="s">
        <v>147</v>
      </c>
      <c r="B139" s="115" t="s">
        <v>147</v>
      </c>
      <c r="C139" s="36">
        <v>14</v>
      </c>
      <c r="D139" s="55">
        <f ca="1">((100/H130)*C139)/100</f>
        <v>1</v>
      </c>
      <c r="E139" s="125"/>
      <c r="F139" s="125"/>
      <c r="G139" s="125"/>
      <c r="H139" s="127"/>
      <c r="I139" s="47" t="s">
        <v>148</v>
      </c>
      <c r="J139" s="51">
        <f>(IF(B130&gt;3,(H130/(B130+2)+J138),0))</f>
        <v>0</v>
      </c>
    </row>
    <row r="140" spans="1:10" ht="15.75" hidden="1" customHeight="1">
      <c r="A140" s="114" t="s">
        <v>149</v>
      </c>
      <c r="B140" s="115"/>
      <c r="C140" s="36">
        <v>14</v>
      </c>
      <c r="D140" s="55">
        <f ca="1">((100/H130)*C140)/100</f>
        <v>1</v>
      </c>
      <c r="E140" s="125"/>
      <c r="F140" s="125"/>
      <c r="G140" s="125"/>
      <c r="H140" s="127"/>
      <c r="I140" s="47" t="s">
        <v>150</v>
      </c>
      <c r="J140" s="50">
        <f>(IF(B130&gt;4,(H130/(B130+2)+J139),0))</f>
        <v>0</v>
      </c>
    </row>
    <row r="141" spans="1:10" ht="15.75" hidden="1" customHeight="1">
      <c r="A141" s="114" t="s">
        <v>151</v>
      </c>
      <c r="B141" s="115" t="s">
        <v>151</v>
      </c>
      <c r="C141" s="36">
        <v>14</v>
      </c>
      <c r="D141" s="55">
        <f ca="1">((100/(H130))*C141)/100</f>
        <v>1</v>
      </c>
      <c r="E141" s="125"/>
      <c r="F141" s="125"/>
      <c r="G141" s="125"/>
      <c r="H141" s="127"/>
      <c r="I141" s="47" t="s">
        <v>152</v>
      </c>
      <c r="J141" s="50">
        <f ca="1">(IF(B130=1,(H130/(B130+3)+J136),IF(B130=0,(H130/4+J136),IF(B130&gt;1,0))))</f>
        <v>10.5</v>
      </c>
    </row>
    <row r="142" spans="1:10" hidden="1">
      <c r="A142" s="118" t="s">
        <v>153</v>
      </c>
      <c r="B142" s="119"/>
      <c r="C142" s="39">
        <v>14</v>
      </c>
      <c r="D142" s="56">
        <f ca="1">((100/(H130))*C142)/100</f>
        <v>1</v>
      </c>
      <c r="E142" s="126"/>
      <c r="F142" s="126"/>
      <c r="G142" s="126"/>
      <c r="H142" s="128"/>
      <c r="I142" s="52" t="s">
        <v>154</v>
      </c>
      <c r="J142" s="53">
        <f ca="1">(IF(B130&gt;1.5,(H130/(B130+2)+J136+MAX(0,J137-J136)+MAX(0,J138-J137)+MAX(0,J139-J138)+MAX(0,J140-J139)+MAX(0,J141-J140)),IF(B130=1,(H130/(B130+3)+J141),IF(B130=0,H130/4+J141))))</f>
        <v>14</v>
      </c>
    </row>
    <row r="143" spans="1:10" ht="32.15" customHeight="1" thickBot="1">
      <c r="A143" s="199" t="s">
        <v>130</v>
      </c>
      <c r="B143" s="200"/>
      <c r="C143" s="201">
        <f ca="1">E133</f>
        <v>1</v>
      </c>
      <c r="D143" s="202"/>
      <c r="E143" s="203" t="s">
        <v>131</v>
      </c>
      <c r="F143" s="204"/>
      <c r="G143" s="203">
        <f ca="1">G133</f>
        <v>1</v>
      </c>
      <c r="H143" s="204"/>
      <c r="I143" s="52" t="s">
        <v>154</v>
      </c>
      <c r="J143" s="53">
        <f ca="1">(IF(B131&gt;1.5,(H131/(B131+2)+J137+MAX(0,J138-J137)+MAX(0,J139-J138)+MAX(0,J140-J139)+MAX(0,J141-J140)+MAX(0,J142-J141)),IF(B131=1,(H131/(B131+3)+J142),IF(B131=0,H131/4+J142))))</f>
        <v>14</v>
      </c>
    </row>
    <row r="144" spans="1:10">
      <c r="A144" s="74" t="s">
        <v>155</v>
      </c>
      <c r="B144" s="74"/>
      <c r="C144" s="74"/>
      <c r="D144" s="74"/>
      <c r="E144" s="74"/>
      <c r="F144" s="74"/>
      <c r="G144" s="74"/>
      <c r="H144" s="74"/>
    </row>
    <row r="145" spans="1:11">
      <c r="A145" s="70" t="s">
        <v>156</v>
      </c>
      <c r="B145" s="70"/>
      <c r="C145" s="70"/>
      <c r="D145" s="70"/>
      <c r="E145" s="70"/>
      <c r="F145" s="95">
        <v>4200</v>
      </c>
      <c r="G145" s="95"/>
      <c r="H145" s="95"/>
      <c r="I145" s="26" t="s">
        <v>328</v>
      </c>
      <c r="J145" s="26" t="s">
        <v>329</v>
      </c>
      <c r="K145" s="26" t="s">
        <v>330</v>
      </c>
    </row>
    <row r="146" spans="1:11">
      <c r="A146" s="70" t="s">
        <v>157</v>
      </c>
      <c r="B146" s="70"/>
      <c r="C146" s="70"/>
      <c r="D146" s="70"/>
      <c r="E146" s="70"/>
      <c r="F146" s="95">
        <v>9000</v>
      </c>
      <c r="G146" s="95"/>
      <c r="H146" s="95"/>
    </row>
    <row r="147" spans="1:11">
      <c r="A147" s="70" t="s">
        <v>158</v>
      </c>
      <c r="B147" s="70"/>
      <c r="C147" s="70"/>
      <c r="D147" s="70"/>
      <c r="E147" s="70"/>
      <c r="F147" s="95">
        <v>7000</v>
      </c>
      <c r="G147" s="95"/>
      <c r="H147" s="95"/>
    </row>
    <row r="148" spans="1:11" s="20" customFormat="1" hidden="1">
      <c r="A148" s="70" t="s">
        <v>159</v>
      </c>
      <c r="B148" s="70"/>
      <c r="C148" s="70"/>
      <c r="D148" s="70"/>
      <c r="E148" s="70"/>
      <c r="F148" s="95" t="s">
        <v>57</v>
      </c>
      <c r="G148" s="95"/>
      <c r="H148" s="95"/>
    </row>
    <row r="149" spans="1:11" s="20" customFormat="1">
      <c r="A149" s="70" t="s">
        <v>160</v>
      </c>
      <c r="B149" s="70"/>
      <c r="C149" s="70"/>
      <c r="D149" s="70"/>
      <c r="E149" s="70"/>
      <c r="F149" s="95">
        <v>50000</v>
      </c>
      <c r="G149" s="95"/>
      <c r="H149" s="95"/>
    </row>
    <row r="150" spans="1:11" s="20" customFormat="1" hidden="1">
      <c r="A150" s="70" t="s">
        <v>161</v>
      </c>
      <c r="B150" s="70"/>
      <c r="C150" s="70"/>
      <c r="D150" s="70"/>
      <c r="E150" s="70"/>
      <c r="F150" s="95" t="s">
        <v>57</v>
      </c>
      <c r="G150" s="95"/>
      <c r="H150" s="95"/>
    </row>
    <row r="151" spans="1:11" s="20" customFormat="1" hidden="1">
      <c r="A151" s="70" t="s">
        <v>162</v>
      </c>
      <c r="B151" s="70"/>
      <c r="C151" s="70"/>
      <c r="D151" s="70"/>
      <c r="E151" s="70"/>
      <c r="F151" s="95" t="s">
        <v>57</v>
      </c>
      <c r="G151" s="95"/>
      <c r="H151" s="95"/>
    </row>
    <row r="152" spans="1:11" s="20" customFormat="1" hidden="1">
      <c r="A152" s="70" t="s">
        <v>163</v>
      </c>
      <c r="B152" s="70"/>
      <c r="C152" s="70"/>
      <c r="D152" s="70"/>
      <c r="E152" s="70"/>
      <c r="F152" s="95" t="s">
        <v>57</v>
      </c>
      <c r="G152" s="95"/>
      <c r="H152" s="95"/>
    </row>
    <row r="153" spans="1:11" s="20" customFormat="1" hidden="1">
      <c r="A153" s="70" t="s">
        <v>164</v>
      </c>
      <c r="B153" s="70"/>
      <c r="C153" s="70"/>
      <c r="D153" s="70"/>
      <c r="E153" s="70"/>
      <c r="F153" s="95" t="s">
        <v>57</v>
      </c>
      <c r="G153" s="95"/>
      <c r="H153" s="95"/>
    </row>
    <row r="154" spans="1:11" s="20" customFormat="1" hidden="1">
      <c r="A154" s="70" t="s">
        <v>165</v>
      </c>
      <c r="B154" s="70"/>
      <c r="C154" s="70"/>
      <c r="D154" s="70"/>
      <c r="E154" s="70"/>
      <c r="F154" s="95" t="s">
        <v>57</v>
      </c>
      <c r="G154" s="95"/>
      <c r="H154" s="95"/>
    </row>
    <row r="155" spans="1:11" s="20" customFormat="1" hidden="1">
      <c r="A155" s="70" t="s">
        <v>166</v>
      </c>
      <c r="B155" s="70"/>
      <c r="C155" s="70"/>
      <c r="D155" s="70"/>
      <c r="E155" s="70"/>
      <c r="F155" s="95" t="s">
        <v>57</v>
      </c>
      <c r="G155" s="95"/>
      <c r="H155" s="95"/>
    </row>
    <row r="156" spans="1:11">
      <c r="A156" s="70" t="s">
        <v>167</v>
      </c>
      <c r="B156" s="70"/>
      <c r="C156" s="70"/>
      <c r="D156" s="70"/>
      <c r="E156" s="70"/>
      <c r="F156" s="93" t="s">
        <v>168</v>
      </c>
      <c r="G156" s="93"/>
      <c r="H156" s="93"/>
    </row>
    <row r="157" spans="1:11" s="21" customFormat="1">
      <c r="A157" s="74" t="s">
        <v>169</v>
      </c>
      <c r="B157" s="74"/>
      <c r="C157" s="74"/>
      <c r="D157" s="74"/>
      <c r="E157" s="74"/>
      <c r="F157" s="95">
        <f>F145*0.8</f>
        <v>3360</v>
      </c>
      <c r="G157" s="95"/>
      <c r="H157" s="95"/>
    </row>
    <row r="158" spans="1:11" s="22" customFormat="1" ht="15.75" customHeight="1">
      <c r="A158" s="129" t="s">
        <v>170</v>
      </c>
      <c r="B158" s="129"/>
      <c r="C158" s="129"/>
      <c r="D158" s="129"/>
      <c r="E158" s="129"/>
      <c r="F158" s="129"/>
      <c r="G158" s="129"/>
      <c r="H158" s="129"/>
    </row>
    <row r="159" spans="1:11" s="22" customFormat="1" ht="15.75" customHeight="1">
      <c r="A159" s="130" t="s">
        <v>171</v>
      </c>
      <c r="B159" s="130"/>
      <c r="C159" s="131" t="s">
        <v>172</v>
      </c>
      <c r="D159" s="131"/>
      <c r="E159" s="132" t="s">
        <v>173</v>
      </c>
      <c r="F159" s="132"/>
      <c r="G159" s="130" t="s">
        <v>174</v>
      </c>
      <c r="H159" s="130"/>
    </row>
    <row r="160" spans="1:11" s="22" customFormat="1">
      <c r="A160" s="133" t="s">
        <v>175</v>
      </c>
      <c r="B160" s="134"/>
      <c r="C160" s="135">
        <f>COUNT(D445:D463)+COUNT(D465:D475)</f>
        <v>30</v>
      </c>
      <c r="D160" s="136"/>
      <c r="E160" s="135">
        <f>SUM(F445:F463)+SUM(F465:F475)</f>
        <v>7408.9419299999981</v>
      </c>
      <c r="F160" s="136"/>
      <c r="G160" s="135">
        <f t="shared" ref="G160" si="0">SUM(H445:H463)+SUM(H465:H475)</f>
        <v>11854.307088</v>
      </c>
      <c r="H160" s="136"/>
    </row>
    <row r="161" spans="1:18" s="22" customFormat="1" hidden="1">
      <c r="A161" s="129" t="s">
        <v>176</v>
      </c>
      <c r="B161" s="129"/>
      <c r="C161" s="137">
        <f>SUM(C160:D160)</f>
        <v>30</v>
      </c>
      <c r="D161" s="138"/>
      <c r="E161" s="139">
        <f>SUM(E160:F160)</f>
        <v>7408.9419299999981</v>
      </c>
      <c r="F161" s="140"/>
      <c r="G161" s="139">
        <f>SUM(G160:H160)</f>
        <v>11854.307088</v>
      </c>
      <c r="H161" s="140"/>
    </row>
    <row r="162" spans="1:18" s="22" customFormat="1">
      <c r="A162" s="129" t="s">
        <v>177</v>
      </c>
      <c r="B162" s="129"/>
      <c r="C162" s="129"/>
      <c r="D162" s="129"/>
      <c r="E162" s="129"/>
      <c r="F162" s="129"/>
      <c r="G162" s="129"/>
      <c r="H162" s="129"/>
    </row>
    <row r="163" spans="1:18" s="22" customFormat="1" ht="15.75" customHeight="1">
      <c r="A163" s="130" t="s">
        <v>171</v>
      </c>
      <c r="B163" s="130"/>
      <c r="C163" s="131" t="s">
        <v>172</v>
      </c>
      <c r="D163" s="131"/>
      <c r="E163" s="132" t="s">
        <v>173</v>
      </c>
      <c r="F163" s="132"/>
      <c r="G163" s="130" t="s">
        <v>174</v>
      </c>
      <c r="H163" s="130"/>
    </row>
    <row r="164" spans="1:18" s="22" customFormat="1">
      <c r="A164" s="141" t="s">
        <v>175</v>
      </c>
      <c r="B164" s="141"/>
      <c r="C164" s="136">
        <f>COUNT(D482:D483)+COUNT(D487:D490,D491)+COUNT(D497:D509)+COUNT(D511:D523)*10+COUNT(D525:D537)*2</f>
        <v>176</v>
      </c>
      <c r="D164" s="136"/>
      <c r="E164" s="135">
        <f>SUM(F482:F483)+SUM(F487:F490,F491)+SUM(F497:F509)+SUM(F511:F523)*10+SUM(F525:F537)*2</f>
        <v>96404.240790000025</v>
      </c>
      <c r="F164" s="135"/>
      <c r="G164" s="135">
        <f>SUM(H482:H483)+SUM(H487:H490,H491)+SUM(H497:H509)+SUM(H511:H523)*10+SUM(H525:H537)*2</f>
        <v>145205.41815000004</v>
      </c>
      <c r="H164" s="135"/>
    </row>
    <row r="165" spans="1:18" s="22" customFormat="1">
      <c r="A165" s="141" t="s">
        <v>178</v>
      </c>
      <c r="B165" s="141"/>
      <c r="C165" s="142">
        <f>COUNT(D542:D546)+COUNT(D548:D554)+COUNT(D556:D562)*5+COUNT(D564:D570)*3+COUNT(D572:D578)*2+COUNT(D580:D586)+COUNT(D588:D594)</f>
        <v>96</v>
      </c>
      <c r="D165" s="143"/>
      <c r="E165" s="144">
        <f t="shared" ref="E165" si="1">SUM(F542:F546)+SUM(F548:F554)+SUM(F556:F562)*5+SUM(F564:F570)*3+SUM(F572:F578)*2+SUM(F580:F586)+SUM(F588:F594)</f>
        <v>46869.055506000004</v>
      </c>
      <c r="F165" s="145"/>
      <c r="G165" s="144">
        <f t="shared" ref="G165" si="2">SUM(H542:H546)+SUM(H548:H554)+SUM(H556:H562)*5+SUM(H564:H570)*3+SUM(H572:H578)*2+SUM(H580:H586)+SUM(H588:H594)</f>
        <v>73451.716884000009</v>
      </c>
      <c r="H165" s="145"/>
    </row>
    <row r="166" spans="1:18" s="22" customFormat="1">
      <c r="A166" s="141" t="s">
        <v>179</v>
      </c>
      <c r="B166" s="141"/>
      <c r="C166" s="144">
        <f>COUNT(D598:D603)+COUNT(D605:D614)+COUNT(D616:D625)*5+COUNT(D627:D636)*3+COUNT(D638:D647)*2+COUNT(D649:D658)+COUNT(D660:D669)</f>
        <v>136</v>
      </c>
      <c r="D166" s="145"/>
      <c r="E166" s="144">
        <f t="shared" ref="E166" si="3">SUM(F598:F603)+SUM(F605:F614)+SUM(F616:F625)*5+SUM(F627:F636)*3+SUM(F638:F647)*2+SUM(F649:F658)+SUM(F660:F669)</f>
        <v>55806.81912</v>
      </c>
      <c r="F166" s="145"/>
      <c r="G166" s="144">
        <f t="shared" ref="G166" si="4">SUM(H598:H603)+SUM(H605:H614)+SUM(H616:H625)*5+SUM(H627:H636)*3+SUM(H638:H647)*2+SUM(H649:H658)+SUM(H660:H669)</f>
        <v>87276.395699999979</v>
      </c>
      <c r="H166" s="145"/>
    </row>
    <row r="167" spans="1:18" s="22" customFormat="1">
      <c r="A167" s="141" t="s">
        <v>180</v>
      </c>
      <c r="B167" s="141"/>
      <c r="C167" s="135">
        <f>COUNT(D673:D676)+COUNT(D678:D682)+COUNT(D684:D688)*5+COUNT(D690:D694)*3+COUNT(D696:D700)*2+COUNT(D702:D706)+COUNT(D708:D712)</f>
        <v>69</v>
      </c>
      <c r="D167" s="135"/>
      <c r="E167" s="135">
        <f t="shared" ref="E167" si="5">SUM(F673:F676)+SUM(F678:F682)+SUM(F684:F688)*5+SUM(F690:F694)*3+SUM(F696:F700)*2+SUM(F702:F706)+SUM(F708:F712)</f>
        <v>30357.386279999999</v>
      </c>
      <c r="F167" s="135"/>
      <c r="G167" s="135">
        <f t="shared" ref="G167" si="6">SUM(H673:H676)+SUM(H678:H682)+SUM(H684:H688)*5+SUM(H690:H694)*3+SUM(H696:H700)*2+SUM(H702:H706)+SUM(H708:H712)</f>
        <v>47035.827540000006</v>
      </c>
      <c r="H167" s="135"/>
      <c r="L167" s="22">
        <f>377+240</f>
        <v>617</v>
      </c>
      <c r="M167" s="22">
        <f>82+14</f>
        <v>96</v>
      </c>
      <c r="Q167" s="22">
        <f>116+20</f>
        <v>136</v>
      </c>
      <c r="R167" s="22">
        <f>59+10</f>
        <v>69</v>
      </c>
    </row>
    <row r="168" spans="1:18" s="22" customFormat="1">
      <c r="A168" s="141" t="s">
        <v>181</v>
      </c>
      <c r="B168" s="141"/>
      <c r="C168" s="144">
        <f>COUNT(D717:D726)*6+COUNT(D728:D737)*4+COUNT(D739:D748)*2+COUNT(D750:D759)+COUNT(D761:D770)</f>
        <v>140</v>
      </c>
      <c r="D168" s="145"/>
      <c r="E168" s="144">
        <f t="shared" ref="E168" si="7">SUM(F717:F726)*6+SUM(F728:F737)*4+SUM(F739:F748)*2+SUM(F750:F759)+SUM(F761:F770)</f>
        <v>60751.647871199995</v>
      </c>
      <c r="F168" s="145"/>
      <c r="G168" s="144">
        <f t="shared" ref="G168" si="8">SUM(H717:H726)*6+SUM(H728:H737)*4+SUM(H739:H748)*2+SUM(H750:H759)+SUM(H761:H770)</f>
        <v>94012.869646799998</v>
      </c>
      <c r="H168" s="145"/>
    </row>
    <row r="169" spans="1:18" s="22" customFormat="1">
      <c r="A169" s="129" t="s">
        <v>176</v>
      </c>
      <c r="B169" s="129"/>
      <c r="C169" s="146">
        <f>SUM(C164:D168)</f>
        <v>617</v>
      </c>
      <c r="D169" s="138"/>
      <c r="E169" s="139">
        <f>SUM(E164:F168)</f>
        <v>290189.14956719999</v>
      </c>
      <c r="F169" s="140"/>
      <c r="G169" s="139">
        <f>SUM(G164:H168)</f>
        <v>446982.22792080004</v>
      </c>
      <c r="H169" s="147"/>
    </row>
    <row r="170" spans="1:18" s="22" customFormat="1">
      <c r="A170" s="129" t="s">
        <v>182</v>
      </c>
      <c r="B170" s="129"/>
      <c r="C170" s="137">
        <f>C160+C169</f>
        <v>647</v>
      </c>
      <c r="D170" s="138"/>
      <c r="E170" s="139">
        <f>E160+E169</f>
        <v>297598.09149719996</v>
      </c>
      <c r="F170" s="140"/>
      <c r="G170" s="139">
        <f>G160+G169</f>
        <v>458836.53500880004</v>
      </c>
      <c r="H170" s="147"/>
    </row>
    <row r="171" spans="1:18" s="21" customFormat="1">
      <c r="A171" s="69" t="s">
        <v>183</v>
      </c>
      <c r="B171" s="69"/>
      <c r="C171" s="69"/>
      <c r="D171" s="69"/>
      <c r="E171" s="69"/>
      <c r="F171" s="69"/>
      <c r="G171" s="69"/>
      <c r="H171" s="69"/>
    </row>
    <row r="172" spans="1:18" hidden="1">
      <c r="A172" s="69" t="s">
        <v>184</v>
      </c>
      <c r="B172" s="69"/>
      <c r="C172" s="69"/>
      <c r="D172" s="69"/>
      <c r="E172" s="69"/>
      <c r="F172" s="69"/>
      <c r="G172" s="69"/>
      <c r="H172" s="69"/>
    </row>
    <row r="173" spans="1:18" ht="47.25" hidden="1" customHeight="1">
      <c r="A173" s="154" t="s">
        <v>185</v>
      </c>
      <c r="B173" s="154" t="s">
        <v>186</v>
      </c>
      <c r="C173" s="154" t="s">
        <v>187</v>
      </c>
      <c r="D173" s="154" t="s">
        <v>188</v>
      </c>
      <c r="E173" s="156" t="s">
        <v>189</v>
      </c>
      <c r="F173" s="57" t="s">
        <v>190</v>
      </c>
      <c r="G173" s="162" t="s">
        <v>191</v>
      </c>
      <c r="H173" s="164"/>
    </row>
    <row r="174" spans="1:18" s="23" customFormat="1" hidden="1">
      <c r="A174" s="155"/>
      <c r="B174" s="155"/>
      <c r="C174" s="155"/>
      <c r="D174" s="155"/>
      <c r="E174" s="157"/>
      <c r="F174" s="58">
        <v>0.6</v>
      </c>
      <c r="G174" s="163"/>
      <c r="H174" s="165"/>
    </row>
    <row r="175" spans="1:18" s="21" customFormat="1" hidden="1">
      <c r="A175" s="69" t="s">
        <v>192</v>
      </c>
      <c r="B175" s="69"/>
      <c r="C175" s="69"/>
      <c r="D175" s="69"/>
      <c r="E175" s="69"/>
      <c r="F175" s="69"/>
      <c r="G175" s="69"/>
      <c r="H175" s="69"/>
    </row>
    <row r="176" spans="1:18" s="21" customFormat="1" hidden="1">
      <c r="A176" s="69" t="s">
        <v>193</v>
      </c>
      <c r="B176" s="69"/>
      <c r="C176" s="69"/>
      <c r="D176" s="69"/>
      <c r="E176" s="69"/>
      <c r="F176" s="69"/>
      <c r="G176" s="69"/>
      <c r="H176" s="69"/>
    </row>
    <row r="177" spans="1:14" s="23" customFormat="1" hidden="1">
      <c r="A177" s="148" t="s">
        <v>194</v>
      </c>
      <c r="B177" s="149"/>
      <c r="C177" s="149"/>
      <c r="D177" s="149"/>
      <c r="E177" s="149"/>
      <c r="F177" s="149"/>
      <c r="G177" s="149"/>
      <c r="H177" s="150"/>
    </row>
    <row r="178" spans="1:14" s="23" customFormat="1" hidden="1">
      <c r="A178" s="151">
        <v>1</v>
      </c>
      <c r="B178" s="152"/>
      <c r="C178" s="59" t="s">
        <v>195</v>
      </c>
      <c r="D178" s="59">
        <f>(41.15+34.67)*10.764</f>
        <v>816.1264799999999</v>
      </c>
      <c r="E178" s="59">
        <v>0</v>
      </c>
      <c r="F178" s="59">
        <f>D178*(($F$174)+1)+E178</f>
        <v>1305.8023679999999</v>
      </c>
      <c r="G178" s="167" t="str">
        <f>A177</f>
        <v>Ground Floor for commercial, Residential &amp; Parking</v>
      </c>
      <c r="H178" s="168"/>
      <c r="I178" s="60"/>
      <c r="L178" s="153"/>
      <c r="M178" s="153"/>
      <c r="N178" s="60"/>
    </row>
    <row r="179" spans="1:14" s="23" customFormat="1" hidden="1">
      <c r="A179" s="151">
        <v>2</v>
      </c>
      <c r="B179" s="152"/>
      <c r="C179" s="59" t="s">
        <v>195</v>
      </c>
      <c r="D179" s="59">
        <f>(27.23+22.06)*10.764</f>
        <v>530.55755999999997</v>
      </c>
      <c r="E179" s="59">
        <v>0</v>
      </c>
      <c r="F179" s="59">
        <f t="shared" ref="F179:F185" si="9">D179*(($F$174)+1)+E179</f>
        <v>848.89209600000004</v>
      </c>
      <c r="G179" s="169"/>
      <c r="H179" s="170"/>
      <c r="I179" s="60"/>
      <c r="L179" s="153"/>
      <c r="M179" s="153"/>
      <c r="N179" s="60"/>
    </row>
    <row r="180" spans="1:14" s="23" customFormat="1" ht="15.75" hidden="1" customHeight="1">
      <c r="A180" s="151">
        <v>3</v>
      </c>
      <c r="B180" s="152"/>
      <c r="C180" s="59" t="s">
        <v>195</v>
      </c>
      <c r="D180" s="59">
        <f>(24.75)*10.764</f>
        <v>266.40899999999999</v>
      </c>
      <c r="E180" s="59">
        <v>0</v>
      </c>
      <c r="F180" s="59">
        <f t="shared" si="9"/>
        <v>426.25440000000003</v>
      </c>
      <c r="G180" s="169"/>
      <c r="H180" s="170"/>
      <c r="I180" s="60"/>
      <c r="L180" s="153"/>
      <c r="M180" s="153"/>
      <c r="N180" s="60"/>
    </row>
    <row r="181" spans="1:14" s="23" customFormat="1" ht="15.75" hidden="1" customHeight="1">
      <c r="A181" s="151">
        <v>4</v>
      </c>
      <c r="B181" s="152"/>
      <c r="C181" s="59" t="s">
        <v>195</v>
      </c>
      <c r="D181" s="59">
        <f>(24.75)*10.764</f>
        <v>266.40899999999999</v>
      </c>
      <c r="E181" s="59">
        <v>0</v>
      </c>
      <c r="F181" s="59">
        <f t="shared" si="9"/>
        <v>426.25440000000003</v>
      </c>
      <c r="G181" s="169"/>
      <c r="H181" s="170"/>
      <c r="I181" s="60"/>
      <c r="L181" s="153"/>
      <c r="M181" s="153"/>
      <c r="N181" s="60"/>
    </row>
    <row r="182" spans="1:14" s="23" customFormat="1" ht="15.75" hidden="1" customHeight="1">
      <c r="A182" s="151">
        <v>5</v>
      </c>
      <c r="B182" s="152"/>
      <c r="C182" s="59" t="s">
        <v>195</v>
      </c>
      <c r="D182" s="59">
        <f>(24.75)*10.764</f>
        <v>266.40899999999999</v>
      </c>
      <c r="E182" s="59">
        <v>0</v>
      </c>
      <c r="F182" s="59">
        <f t="shared" si="9"/>
        <v>426.25440000000003</v>
      </c>
      <c r="G182" s="169"/>
      <c r="H182" s="170"/>
      <c r="I182" s="60"/>
      <c r="L182" s="153"/>
      <c r="M182" s="153"/>
      <c r="N182" s="60"/>
    </row>
    <row r="183" spans="1:14" s="23" customFormat="1" ht="15.75" hidden="1" customHeight="1">
      <c r="A183" s="151">
        <v>6</v>
      </c>
      <c r="B183" s="152"/>
      <c r="C183" s="59" t="s">
        <v>195</v>
      </c>
      <c r="D183" s="59">
        <f>(24.75)*10.764</f>
        <v>266.40899999999999</v>
      </c>
      <c r="E183" s="59">
        <v>0</v>
      </c>
      <c r="F183" s="59">
        <f t="shared" si="9"/>
        <v>426.25440000000003</v>
      </c>
      <c r="G183" s="169"/>
      <c r="H183" s="170"/>
      <c r="I183" s="60"/>
      <c r="L183" s="153"/>
      <c r="M183" s="153"/>
      <c r="N183" s="60"/>
    </row>
    <row r="184" spans="1:14" s="23" customFormat="1" ht="15.75" hidden="1" customHeight="1">
      <c r="A184" s="151">
        <v>7</v>
      </c>
      <c r="B184" s="152"/>
      <c r="C184" s="59" t="s">
        <v>195</v>
      </c>
      <c r="D184" s="59">
        <f>(50.5*10.764)</f>
        <v>543.58199999999999</v>
      </c>
      <c r="E184" s="59">
        <v>0</v>
      </c>
      <c r="F184" s="59">
        <f t="shared" si="9"/>
        <v>869.73120000000006</v>
      </c>
      <c r="G184" s="169"/>
      <c r="H184" s="170"/>
      <c r="I184" s="60"/>
      <c r="L184" s="153"/>
      <c r="M184" s="153"/>
      <c r="N184" s="60"/>
    </row>
    <row r="185" spans="1:14" s="23" customFormat="1" ht="15.75" hidden="1" customHeight="1">
      <c r="A185" s="151">
        <v>8</v>
      </c>
      <c r="B185" s="152"/>
      <c r="C185" s="59" t="s">
        <v>195</v>
      </c>
      <c r="D185" s="59">
        <f>(50.5*10.764)</f>
        <v>543.58199999999999</v>
      </c>
      <c r="E185" s="59">
        <v>0</v>
      </c>
      <c r="F185" s="59">
        <f t="shared" si="9"/>
        <v>869.73120000000006</v>
      </c>
      <c r="G185" s="169"/>
      <c r="H185" s="170"/>
      <c r="I185" s="60"/>
      <c r="L185" s="153"/>
      <c r="M185" s="153"/>
      <c r="N185" s="60"/>
    </row>
    <row r="186" spans="1:14" s="23" customFormat="1" ht="15.75" hidden="1" customHeight="1">
      <c r="A186" s="151">
        <v>9</v>
      </c>
      <c r="B186" s="152"/>
      <c r="C186" s="59" t="s">
        <v>195</v>
      </c>
      <c r="D186" s="59">
        <f>(24.75*10.764)</f>
        <v>266.40899999999999</v>
      </c>
      <c r="E186" s="59">
        <v>0</v>
      </c>
      <c r="F186" s="59">
        <f t="shared" ref="F186:F191" si="10">D186*(($F$174)+1)+E186</f>
        <v>426.25440000000003</v>
      </c>
      <c r="G186" s="169"/>
      <c r="H186" s="170"/>
      <c r="I186" s="60"/>
      <c r="L186" s="153"/>
      <c r="M186" s="153"/>
      <c r="N186" s="60"/>
    </row>
    <row r="187" spans="1:14" s="23" customFormat="1" ht="15.75" hidden="1" customHeight="1">
      <c r="A187" s="151">
        <v>10</v>
      </c>
      <c r="B187" s="152"/>
      <c r="C187" s="59" t="s">
        <v>195</v>
      </c>
      <c r="D187" s="59">
        <f>(24.75*10.764)</f>
        <v>266.40899999999999</v>
      </c>
      <c r="E187" s="59">
        <v>0</v>
      </c>
      <c r="F187" s="59">
        <f t="shared" si="10"/>
        <v>426.25440000000003</v>
      </c>
      <c r="G187" s="169"/>
      <c r="H187" s="170"/>
      <c r="I187" s="60"/>
      <c r="L187" s="153"/>
      <c r="M187" s="153"/>
      <c r="N187" s="60"/>
    </row>
    <row r="188" spans="1:14" s="23" customFormat="1" ht="15.75" hidden="1" customHeight="1">
      <c r="A188" s="151">
        <v>11</v>
      </c>
      <c r="B188" s="152"/>
      <c r="C188" s="59" t="s">
        <v>195</v>
      </c>
      <c r="D188" s="59">
        <f>(24.75*10.764)</f>
        <v>266.40899999999999</v>
      </c>
      <c r="E188" s="59">
        <v>0</v>
      </c>
      <c r="F188" s="59">
        <f t="shared" si="10"/>
        <v>426.25440000000003</v>
      </c>
      <c r="G188" s="169"/>
      <c r="H188" s="170"/>
      <c r="I188" s="60"/>
      <c r="L188" s="153"/>
      <c r="M188" s="153"/>
      <c r="N188" s="60"/>
    </row>
    <row r="189" spans="1:14" s="23" customFormat="1" ht="15.75" hidden="1" customHeight="1">
      <c r="A189" s="151">
        <v>12</v>
      </c>
      <c r="B189" s="152"/>
      <c r="C189" s="59" t="s">
        <v>195</v>
      </c>
      <c r="D189" s="59">
        <f>(24.75*10.764)</f>
        <v>266.40899999999999</v>
      </c>
      <c r="E189" s="59">
        <v>0</v>
      </c>
      <c r="F189" s="59">
        <f t="shared" si="10"/>
        <v>426.25440000000003</v>
      </c>
      <c r="G189" s="169"/>
      <c r="H189" s="170"/>
      <c r="I189" s="60"/>
      <c r="L189" s="153"/>
      <c r="M189" s="153"/>
      <c r="N189" s="60"/>
    </row>
    <row r="190" spans="1:14" s="23" customFormat="1" hidden="1">
      <c r="A190" s="151">
        <v>13</v>
      </c>
      <c r="B190" s="152"/>
      <c r="C190" s="59" t="s">
        <v>195</v>
      </c>
      <c r="D190" s="59">
        <f>(51.17+35.82)*10.764</f>
        <v>936.36036000000001</v>
      </c>
      <c r="E190" s="59">
        <v>0</v>
      </c>
      <c r="F190" s="59">
        <f t="shared" si="10"/>
        <v>1498.1765760000001</v>
      </c>
      <c r="G190" s="169"/>
      <c r="H190" s="170"/>
      <c r="I190" s="60"/>
      <c r="L190" s="153"/>
      <c r="M190" s="153"/>
      <c r="N190" s="60"/>
    </row>
    <row r="191" spans="1:14" s="23" customFormat="1" hidden="1">
      <c r="A191" s="151">
        <v>14</v>
      </c>
      <c r="B191" s="152"/>
      <c r="C191" s="59" t="s">
        <v>195</v>
      </c>
      <c r="D191" s="59">
        <f>(44.34+37.75)*10.764</f>
        <v>883.61676</v>
      </c>
      <c r="E191" s="59">
        <v>0</v>
      </c>
      <c r="F191" s="59">
        <f t="shared" si="10"/>
        <v>1413.786816</v>
      </c>
      <c r="G191" s="171"/>
      <c r="H191" s="172"/>
      <c r="I191" s="60"/>
      <c r="L191" s="153"/>
      <c r="M191" s="153"/>
      <c r="N191" s="60"/>
    </row>
    <row r="192" spans="1:14" s="23" customFormat="1" hidden="1">
      <c r="A192" s="148" t="s">
        <v>196</v>
      </c>
      <c r="B192" s="149"/>
      <c r="C192" s="149"/>
      <c r="D192" s="149"/>
      <c r="E192" s="149"/>
      <c r="F192" s="149"/>
      <c r="G192" s="149"/>
      <c r="H192" s="150"/>
    </row>
    <row r="193" spans="1:14" s="23" customFormat="1" ht="15.75" hidden="1" customHeight="1">
      <c r="A193" s="151">
        <v>1</v>
      </c>
      <c r="B193" s="152"/>
      <c r="C193" s="151" t="s">
        <v>197</v>
      </c>
      <c r="D193" s="158"/>
      <c r="E193" s="158"/>
      <c r="F193" s="152"/>
      <c r="G193" s="167" t="str">
        <f>A192</f>
        <v>1st Floor for commercial</v>
      </c>
      <c r="H193" s="168"/>
      <c r="I193" s="60"/>
      <c r="L193" s="153"/>
      <c r="M193" s="153"/>
      <c r="N193" s="60"/>
    </row>
    <row r="194" spans="1:14" s="23" customFormat="1" ht="15.75" hidden="1" customHeight="1">
      <c r="A194" s="151">
        <v>2</v>
      </c>
      <c r="B194" s="152"/>
      <c r="C194" s="151" t="s">
        <v>197</v>
      </c>
      <c r="D194" s="158"/>
      <c r="E194" s="158"/>
      <c r="F194" s="152"/>
      <c r="G194" s="169"/>
      <c r="H194" s="170"/>
      <c r="I194" s="60"/>
      <c r="L194" s="153"/>
      <c r="M194" s="153"/>
      <c r="N194" s="60"/>
    </row>
    <row r="195" spans="1:14" s="23" customFormat="1" ht="15.75" hidden="1" customHeight="1">
      <c r="A195" s="151">
        <v>15</v>
      </c>
      <c r="B195" s="152"/>
      <c r="C195" s="59" t="s">
        <v>198</v>
      </c>
      <c r="D195" s="59">
        <f>(42.41*10.764)</f>
        <v>456.50123999999994</v>
      </c>
      <c r="E195" s="59">
        <v>0</v>
      </c>
      <c r="F195" s="59">
        <f t="shared" ref="F195:F204" si="11">D195*(($F$174)+1)+E195</f>
        <v>730.40198399999997</v>
      </c>
      <c r="G195" s="169"/>
      <c r="H195" s="170"/>
      <c r="I195" s="60"/>
      <c r="L195" s="153"/>
      <c r="M195" s="153"/>
      <c r="N195" s="60"/>
    </row>
    <row r="196" spans="1:14" s="23" customFormat="1" ht="15.75" hidden="1" customHeight="1">
      <c r="A196" s="151">
        <v>16</v>
      </c>
      <c r="B196" s="152"/>
      <c r="C196" s="59" t="s">
        <v>198</v>
      </c>
      <c r="D196" s="59">
        <f>(20.21*10.764)</f>
        <v>217.54043999999999</v>
      </c>
      <c r="E196" s="59">
        <v>0</v>
      </c>
      <c r="F196" s="59">
        <f t="shared" si="11"/>
        <v>348.06470400000001</v>
      </c>
      <c r="G196" s="169"/>
      <c r="H196" s="170"/>
      <c r="I196" s="60"/>
      <c r="L196" s="153"/>
      <c r="M196" s="153"/>
      <c r="N196" s="60"/>
    </row>
    <row r="197" spans="1:14" s="23" customFormat="1" ht="15.75" hidden="1" customHeight="1">
      <c r="A197" s="151">
        <v>17</v>
      </c>
      <c r="B197" s="152"/>
      <c r="C197" s="59" t="s">
        <v>198</v>
      </c>
      <c r="D197" s="59">
        <f>(20.21*10.764)</f>
        <v>217.54043999999999</v>
      </c>
      <c r="E197" s="59">
        <v>0</v>
      </c>
      <c r="F197" s="59">
        <f t="shared" si="11"/>
        <v>348.06470400000001</v>
      </c>
      <c r="G197" s="169"/>
      <c r="H197" s="170"/>
      <c r="I197" s="60"/>
      <c r="L197" s="153"/>
      <c r="M197" s="153"/>
      <c r="N197" s="60"/>
    </row>
    <row r="198" spans="1:14" s="23" customFormat="1" ht="15.75" hidden="1" customHeight="1">
      <c r="A198" s="151">
        <v>18</v>
      </c>
      <c r="B198" s="152"/>
      <c r="C198" s="59" t="s">
        <v>198</v>
      </c>
      <c r="D198" s="59">
        <f>(20.21*10.764)</f>
        <v>217.54043999999999</v>
      </c>
      <c r="E198" s="59">
        <v>0</v>
      </c>
      <c r="F198" s="59">
        <f t="shared" si="11"/>
        <v>348.06470400000001</v>
      </c>
      <c r="G198" s="169"/>
      <c r="H198" s="170"/>
      <c r="I198" s="60"/>
      <c r="L198" s="153"/>
      <c r="M198" s="153"/>
      <c r="N198" s="60"/>
    </row>
    <row r="199" spans="1:14" s="23" customFormat="1" ht="15.75" hidden="1" customHeight="1">
      <c r="A199" s="151">
        <v>19</v>
      </c>
      <c r="B199" s="152"/>
      <c r="C199" s="59" t="s">
        <v>198</v>
      </c>
      <c r="D199" s="59">
        <f>(24.34*10.764)</f>
        <v>261.99575999999996</v>
      </c>
      <c r="E199" s="59">
        <v>0</v>
      </c>
      <c r="F199" s="59">
        <f t="shared" si="11"/>
        <v>419.19321599999995</v>
      </c>
      <c r="G199" s="169"/>
      <c r="H199" s="170"/>
      <c r="I199" s="60"/>
      <c r="L199" s="153"/>
      <c r="M199" s="153"/>
      <c r="N199" s="60"/>
    </row>
    <row r="200" spans="1:14" s="23" customFormat="1" ht="15.75" hidden="1" customHeight="1">
      <c r="A200" s="151">
        <v>20</v>
      </c>
      <c r="B200" s="152"/>
      <c r="C200" s="59" t="s">
        <v>198</v>
      </c>
      <c r="D200" s="59">
        <f>(24.34*10.764)</f>
        <v>261.99575999999996</v>
      </c>
      <c r="E200" s="59">
        <v>0</v>
      </c>
      <c r="F200" s="59">
        <f t="shared" si="11"/>
        <v>419.19321599999995</v>
      </c>
      <c r="G200" s="169"/>
      <c r="H200" s="170"/>
      <c r="I200" s="60"/>
      <c r="L200" s="153"/>
      <c r="M200" s="153"/>
      <c r="N200" s="60"/>
    </row>
    <row r="201" spans="1:14" s="23" customFormat="1" ht="15.75" hidden="1" customHeight="1">
      <c r="A201" s="151">
        <v>21</v>
      </c>
      <c r="B201" s="152"/>
      <c r="C201" s="59" t="s">
        <v>198</v>
      </c>
      <c r="D201" s="59">
        <f>(20.21*10.764)</f>
        <v>217.54043999999999</v>
      </c>
      <c r="E201" s="59">
        <v>0</v>
      </c>
      <c r="F201" s="59">
        <f t="shared" si="11"/>
        <v>348.06470400000001</v>
      </c>
      <c r="G201" s="169"/>
      <c r="H201" s="170"/>
      <c r="I201" s="60"/>
      <c r="L201" s="153"/>
      <c r="M201" s="153"/>
      <c r="N201" s="60"/>
    </row>
    <row r="202" spans="1:14" s="23" customFormat="1" ht="15.75" hidden="1" customHeight="1">
      <c r="A202" s="151">
        <v>22</v>
      </c>
      <c r="B202" s="152"/>
      <c r="C202" s="59" t="s">
        <v>198</v>
      </c>
      <c r="D202" s="59">
        <f>(20.21*10.764)</f>
        <v>217.54043999999999</v>
      </c>
      <c r="E202" s="59">
        <v>0</v>
      </c>
      <c r="F202" s="59">
        <f t="shared" si="11"/>
        <v>348.06470400000001</v>
      </c>
      <c r="G202" s="169"/>
      <c r="H202" s="170"/>
      <c r="I202" s="60"/>
      <c r="L202" s="153"/>
      <c r="M202" s="153"/>
      <c r="N202" s="60"/>
    </row>
    <row r="203" spans="1:14" s="23" customFormat="1" ht="15.75" hidden="1" customHeight="1">
      <c r="A203" s="151">
        <v>23</v>
      </c>
      <c r="B203" s="152"/>
      <c r="C203" s="59" t="s">
        <v>198</v>
      </c>
      <c r="D203" s="59">
        <f>(20.21*10.764)</f>
        <v>217.54043999999999</v>
      </c>
      <c r="E203" s="59">
        <v>0</v>
      </c>
      <c r="F203" s="59">
        <f t="shared" si="11"/>
        <v>348.06470400000001</v>
      </c>
      <c r="G203" s="169"/>
      <c r="H203" s="170"/>
      <c r="I203" s="60"/>
      <c r="L203" s="153"/>
      <c r="M203" s="153"/>
      <c r="N203" s="60"/>
    </row>
    <row r="204" spans="1:14" s="23" customFormat="1" ht="15.75" hidden="1" customHeight="1">
      <c r="A204" s="151">
        <v>24</v>
      </c>
      <c r="B204" s="152"/>
      <c r="C204" s="59" t="s">
        <v>198</v>
      </c>
      <c r="D204" s="59">
        <f>(42.41*10.764)</f>
        <v>456.50123999999994</v>
      </c>
      <c r="E204" s="59">
        <v>0</v>
      </c>
      <c r="F204" s="59">
        <f t="shared" si="11"/>
        <v>730.40198399999997</v>
      </c>
      <c r="G204" s="169"/>
      <c r="H204" s="170"/>
      <c r="I204" s="60"/>
      <c r="L204" s="153"/>
      <c r="M204" s="153"/>
      <c r="N204" s="60"/>
    </row>
    <row r="205" spans="1:14" s="23" customFormat="1" ht="15.75" hidden="1" customHeight="1">
      <c r="A205" s="151">
        <v>13</v>
      </c>
      <c r="B205" s="152"/>
      <c r="C205" s="151" t="s">
        <v>197</v>
      </c>
      <c r="D205" s="158"/>
      <c r="E205" s="158"/>
      <c r="F205" s="152"/>
      <c r="G205" s="169"/>
      <c r="H205" s="170"/>
      <c r="I205" s="60"/>
      <c r="L205" s="153"/>
      <c r="M205" s="153"/>
      <c r="N205" s="60"/>
    </row>
    <row r="206" spans="1:14" s="23" customFormat="1" ht="15.75" hidden="1" customHeight="1">
      <c r="A206" s="151">
        <v>14</v>
      </c>
      <c r="B206" s="152"/>
      <c r="C206" s="151" t="s">
        <v>197</v>
      </c>
      <c r="D206" s="158"/>
      <c r="E206" s="158"/>
      <c r="F206" s="152"/>
      <c r="G206" s="171"/>
      <c r="H206" s="172"/>
      <c r="I206" s="60"/>
      <c r="L206" s="153"/>
      <c r="M206" s="153"/>
      <c r="N206" s="60"/>
    </row>
    <row r="207" spans="1:14" s="23" customFormat="1" hidden="1">
      <c r="A207" s="151"/>
      <c r="B207" s="158"/>
      <c r="C207" s="158"/>
      <c r="D207" s="158"/>
      <c r="E207" s="158"/>
      <c r="F207" s="158"/>
      <c r="G207" s="158"/>
      <c r="H207" s="152"/>
      <c r="I207" s="60"/>
      <c r="N207" s="60"/>
    </row>
    <row r="208" spans="1:14" ht="47.25" hidden="1" customHeight="1">
      <c r="A208" s="162" t="s">
        <v>199</v>
      </c>
      <c r="B208" s="162" t="s">
        <v>200</v>
      </c>
      <c r="C208" s="154" t="s">
        <v>187</v>
      </c>
      <c r="D208" s="154" t="s">
        <v>188</v>
      </c>
      <c r="E208" s="156" t="s">
        <v>189</v>
      </c>
      <c r="F208" s="57" t="s">
        <v>190</v>
      </c>
      <c r="G208" s="162" t="s">
        <v>191</v>
      </c>
      <c r="H208" s="164"/>
      <c r="I208" s="60"/>
    </row>
    <row r="209" spans="1:14" s="23" customFormat="1" hidden="1">
      <c r="A209" s="163"/>
      <c r="B209" s="163"/>
      <c r="C209" s="155"/>
      <c r="D209" s="155"/>
      <c r="E209" s="157"/>
      <c r="F209" s="58">
        <v>0.5</v>
      </c>
      <c r="G209" s="163"/>
      <c r="H209" s="165"/>
      <c r="I209" s="60"/>
    </row>
    <row r="210" spans="1:14" s="21" customFormat="1" hidden="1">
      <c r="A210" s="159" t="s">
        <v>201</v>
      </c>
      <c r="B210" s="160"/>
      <c r="C210" s="160"/>
      <c r="D210" s="160"/>
      <c r="E210" s="160"/>
      <c r="F210" s="160"/>
      <c r="G210" s="160"/>
      <c r="H210" s="161"/>
    </row>
    <row r="211" spans="1:14" s="21" customFormat="1" hidden="1">
      <c r="A211" s="159" t="s">
        <v>193</v>
      </c>
      <c r="B211" s="160"/>
      <c r="C211" s="160"/>
      <c r="D211" s="160"/>
      <c r="E211" s="160"/>
      <c r="F211" s="160"/>
      <c r="G211" s="160"/>
      <c r="H211" s="161"/>
    </row>
    <row r="212" spans="1:14" s="23" customFormat="1" ht="15.75" hidden="1" customHeight="1">
      <c r="A212" s="148" t="s">
        <v>202</v>
      </c>
      <c r="B212" s="149"/>
      <c r="C212" s="149"/>
      <c r="D212" s="149"/>
      <c r="E212" s="149"/>
      <c r="F212" s="149"/>
      <c r="G212" s="149"/>
      <c r="H212" s="150"/>
      <c r="I212" s="60"/>
      <c r="L212" s="153"/>
      <c r="M212" s="153"/>
    </row>
    <row r="213" spans="1:14" s="23" customFormat="1" ht="15.75" hidden="1" customHeight="1">
      <c r="A213" s="166">
        <v>1</v>
      </c>
      <c r="B213" s="166"/>
      <c r="C213" s="59" t="s">
        <v>203</v>
      </c>
      <c r="D213" s="59">
        <f>(24.41+6.45+10.04+8.39+2.46+2.52+1.2*2+1.2*0.5)*10.764</f>
        <v>616.45428000000004</v>
      </c>
      <c r="E213" s="59">
        <v>0</v>
      </c>
      <c r="F213" s="59">
        <f>D213*(($F$209)+1)+E213</f>
        <v>924.68142000000012</v>
      </c>
      <c r="G213" s="167" t="str">
        <f>A212</f>
        <v>Ground Floor for Residential</v>
      </c>
      <c r="H213" s="168"/>
      <c r="I213" s="60"/>
      <c r="N213" s="60"/>
    </row>
    <row r="214" spans="1:14" s="23" customFormat="1" ht="15.75" hidden="1" customHeight="1">
      <c r="A214" s="166">
        <f>A213+1</f>
        <v>2</v>
      </c>
      <c r="B214" s="166"/>
      <c r="C214" s="59" t="s">
        <v>203</v>
      </c>
      <c r="D214" s="59">
        <f>(24.41+6.45+10.04+8.39+2.46+2.52+1.2*2+1.2*0.5)*10.764</f>
        <v>616.45428000000004</v>
      </c>
      <c r="E214" s="59">
        <v>0</v>
      </c>
      <c r="F214" s="59">
        <f>D214*(($F$209)+1)+E214</f>
        <v>924.68142000000012</v>
      </c>
      <c r="G214" s="169"/>
      <c r="H214" s="170"/>
      <c r="I214" s="60"/>
      <c r="N214" s="60"/>
    </row>
    <row r="215" spans="1:14" s="23" customFormat="1" ht="15.75" hidden="1" customHeight="1">
      <c r="A215" s="166">
        <f>A214+1</f>
        <v>3</v>
      </c>
      <c r="B215" s="166"/>
      <c r="C215" s="59" t="s">
        <v>204</v>
      </c>
      <c r="D215" s="59">
        <f>(12.09+4.41+2.52+1.08+0.9*0.9)*10.764</f>
        <v>225.07523999999998</v>
      </c>
      <c r="E215" s="59">
        <v>0</v>
      </c>
      <c r="F215" s="59">
        <f>D215*(($F$209)+1)+E215</f>
        <v>337.61285999999996</v>
      </c>
      <c r="G215" s="171"/>
      <c r="H215" s="172"/>
      <c r="I215" s="60"/>
      <c r="N215" s="60"/>
    </row>
    <row r="216" spans="1:14" s="23" customFormat="1" ht="15.75" hidden="1" customHeight="1">
      <c r="A216" s="148" t="s">
        <v>205</v>
      </c>
      <c r="B216" s="149"/>
      <c r="C216" s="149"/>
      <c r="D216" s="149"/>
      <c r="E216" s="149"/>
      <c r="F216" s="149"/>
      <c r="G216" s="149"/>
      <c r="H216" s="150"/>
      <c r="I216" s="60"/>
      <c r="L216" s="153"/>
      <c r="M216" s="153"/>
    </row>
    <row r="217" spans="1:14" s="23" customFormat="1" ht="15.75" hidden="1" customHeight="1">
      <c r="A217" s="166">
        <v>101</v>
      </c>
      <c r="B217" s="166"/>
      <c r="C217" s="59" t="s">
        <v>203</v>
      </c>
      <c r="D217" s="59">
        <f>(24.41+6.45+6.6+4.73+2.46+2.52+1.2*2.1+1.2*0.6+2.75*1.2+3.05*1.2+0.7*(2.75+2.75+3.5+2.15+2.8))*10.764</f>
        <v>722.64113999999984</v>
      </c>
      <c r="E217" s="59">
        <v>0</v>
      </c>
      <c r="F217" s="59">
        <f>D217*(($F$209)+1)+E217</f>
        <v>1083.9617099999998</v>
      </c>
      <c r="G217" s="167" t="str">
        <f>A216</f>
        <v>1st Floor for Residential</v>
      </c>
      <c r="H217" s="168"/>
      <c r="I217" s="60"/>
      <c r="N217" s="60"/>
    </row>
    <row r="218" spans="1:14" s="23" customFormat="1" ht="15.75" hidden="1" customHeight="1">
      <c r="A218" s="166">
        <f>A217+1</f>
        <v>102</v>
      </c>
      <c r="B218" s="166"/>
      <c r="C218" s="59" t="s">
        <v>203</v>
      </c>
      <c r="D218" s="59">
        <f>(24.41+6.45+6.6+4.73+2.46+2.52+1.2*2.1+1.2*0.6+2.75*1.2+3.05*1.2+0.7*(2.75+2.75+3.5+2.15+2.8))*10.764</f>
        <v>722.64113999999984</v>
      </c>
      <c r="E218" s="59">
        <v>0</v>
      </c>
      <c r="F218" s="59">
        <f>D218*(($F$209)+1)+E218</f>
        <v>1083.9617099999998</v>
      </c>
      <c r="G218" s="169"/>
      <c r="H218" s="170"/>
      <c r="I218" s="60"/>
      <c r="N218" s="60"/>
    </row>
    <row r="219" spans="1:14" s="23" customFormat="1" ht="15.75" hidden="1" customHeight="1">
      <c r="A219" s="166">
        <f>A218+1</f>
        <v>103</v>
      </c>
      <c r="B219" s="166"/>
      <c r="C219" s="59" t="s">
        <v>204</v>
      </c>
      <c r="D219" s="59">
        <f>(12.09+3.78+2.52+1.08+0.9*0.9+0.7*(2.75+2)+2.1*0.3)*10.764</f>
        <v>260.86553999999995</v>
      </c>
      <c r="E219" s="59">
        <v>0</v>
      </c>
      <c r="F219" s="59">
        <f>D219*(($F$209)+1)+E219</f>
        <v>391.2983099999999</v>
      </c>
      <c r="G219" s="171"/>
      <c r="H219" s="172"/>
      <c r="I219" s="60"/>
      <c r="N219" s="60"/>
    </row>
    <row r="220" spans="1:14" s="23" customFormat="1" ht="15.75" hidden="1" customHeight="1">
      <c r="A220" s="148" t="s">
        <v>206</v>
      </c>
      <c r="B220" s="149"/>
      <c r="C220" s="149"/>
      <c r="D220" s="149"/>
      <c r="E220" s="149"/>
      <c r="F220" s="149"/>
      <c r="G220" s="149"/>
      <c r="H220" s="150"/>
      <c r="I220" s="60"/>
      <c r="L220" s="153"/>
      <c r="M220" s="153"/>
    </row>
    <row r="221" spans="1:14" s="23" customFormat="1" hidden="1">
      <c r="A221" s="166">
        <v>201</v>
      </c>
      <c r="B221" s="166"/>
      <c r="C221" s="59" t="s">
        <v>207</v>
      </c>
      <c r="D221" s="59">
        <f>(10.88+3.3+9.49+2.52+2.52+1.5*1.1+2*1.1+0.7*(1.2+4.5))*10.764</f>
        <v>393.42420000000004</v>
      </c>
      <c r="E221" s="59">
        <v>0</v>
      </c>
      <c r="F221" s="59">
        <f>D221*(($F$209)+1)+E221</f>
        <v>590.13630000000012</v>
      </c>
      <c r="G221" s="167" t="str">
        <f>A220</f>
        <v xml:space="preserve">2nd Floor </v>
      </c>
      <c r="H221" s="168"/>
      <c r="I221" s="60">
        <f>2470500/F221</f>
        <v>4186.3210244819702</v>
      </c>
      <c r="N221" s="60"/>
    </row>
    <row r="222" spans="1:14" s="23" customFormat="1" hidden="1">
      <c r="A222" s="166">
        <v>202</v>
      </c>
      <c r="B222" s="166"/>
      <c r="C222" s="59" t="s">
        <v>207</v>
      </c>
      <c r="D222" s="59">
        <f>(10.14+3.36+8.25+1.45+1.8+1*1.2+1*2.1+0.7*(2.1+2.75))*10.764</f>
        <v>341.16497999999996</v>
      </c>
      <c r="E222" s="59">
        <f>(2.9*1.5)*10.764</f>
        <v>46.823399999999992</v>
      </c>
      <c r="F222" s="59">
        <f t="shared" ref="F222:F234" si="12">D222*(($F$209)+1)+E222</f>
        <v>558.5708699999999</v>
      </c>
      <c r="G222" s="169"/>
      <c r="H222" s="170"/>
      <c r="I222" s="60">
        <f t="shared" ref="I222:I231" si="13">2470500/F222</f>
        <v>4422.8944484698968</v>
      </c>
      <c r="N222" s="60"/>
    </row>
    <row r="223" spans="1:14" s="23" customFormat="1" hidden="1">
      <c r="A223" s="166">
        <v>203</v>
      </c>
      <c r="B223" s="166"/>
      <c r="C223" s="59" t="s">
        <v>207</v>
      </c>
      <c r="D223" s="59">
        <f>(10.14+3.36+8.25+1.45+1.8+1*1.2+1*2.1+0.7*(2.1+2.75))*10.764</f>
        <v>341.16497999999996</v>
      </c>
      <c r="E223" s="59">
        <f>(2.9*1.5)*10.764</f>
        <v>46.823399999999992</v>
      </c>
      <c r="F223" s="59">
        <f t="shared" si="12"/>
        <v>558.5708699999999</v>
      </c>
      <c r="G223" s="169"/>
      <c r="H223" s="170"/>
      <c r="I223" s="60">
        <f t="shared" si="13"/>
        <v>4422.8944484698968</v>
      </c>
      <c r="N223" s="60"/>
    </row>
    <row r="224" spans="1:14" s="23" customFormat="1" hidden="1">
      <c r="A224" s="166">
        <v>204</v>
      </c>
      <c r="B224" s="166"/>
      <c r="C224" s="59" t="s">
        <v>207</v>
      </c>
      <c r="D224" s="59">
        <f>(10.88+3.3+9.49+2.52+2.52+1.5*1.1+2*1.1+0.7*(1.2+4.5))*10.764</f>
        <v>393.42420000000004</v>
      </c>
      <c r="E224" s="59">
        <v>0</v>
      </c>
      <c r="F224" s="59">
        <f t="shared" si="12"/>
        <v>590.13630000000012</v>
      </c>
      <c r="G224" s="169"/>
      <c r="H224" s="170"/>
      <c r="I224" s="60">
        <f t="shared" si="13"/>
        <v>4186.3210244819702</v>
      </c>
      <c r="N224" s="60"/>
    </row>
    <row r="225" spans="1:16" s="23" customFormat="1" hidden="1">
      <c r="A225" s="166">
        <v>205</v>
      </c>
      <c r="B225" s="166"/>
      <c r="C225" s="59" t="s">
        <v>203</v>
      </c>
      <c r="D225" s="59">
        <f>(20.145+3.55+6.6+4.73+2.46+2.52+1.2*2.1+1.2*0.6+1.2*(2.75+2.15+2.75+3.05)+0.7*(2.75+2.7+3.6+2.15+2.7))*10.764</f>
        <v>708.43266000000006</v>
      </c>
      <c r="E225" s="59">
        <v>0</v>
      </c>
      <c r="F225" s="59">
        <f t="shared" si="12"/>
        <v>1062.6489900000001</v>
      </c>
      <c r="G225" s="169"/>
      <c r="H225" s="170"/>
      <c r="I225" s="60">
        <f>4100000/F225</f>
        <v>3858.2824983440669</v>
      </c>
      <c r="N225" s="60"/>
    </row>
    <row r="226" spans="1:16" s="23" customFormat="1" hidden="1">
      <c r="A226" s="166">
        <v>206</v>
      </c>
      <c r="B226" s="166"/>
      <c r="C226" s="59" t="s">
        <v>203</v>
      </c>
      <c r="D226" s="59">
        <f>(20.145+3.55+6.6+4.73+2.46+2.52+1.2*2.1+1.2*0.6+1.2*(2.75+2.15+3.05)+0.7*(2.75+3.6+2.15+2.7))*10.764</f>
        <v>652.5675</v>
      </c>
      <c r="E226" s="59">
        <f>(2.7*1.6)*10.764</f>
        <v>46.500480000000003</v>
      </c>
      <c r="F226" s="59">
        <f t="shared" si="12"/>
        <v>1025.3517299999999</v>
      </c>
      <c r="G226" s="169"/>
      <c r="H226" s="170"/>
      <c r="I226" s="60">
        <f>4100000/F226</f>
        <v>3998.6278659714171</v>
      </c>
      <c r="N226" s="60"/>
    </row>
    <row r="227" spans="1:16" s="23" customFormat="1" hidden="1">
      <c r="A227" s="166">
        <v>207</v>
      </c>
      <c r="B227" s="166"/>
      <c r="C227" s="59" t="s">
        <v>207</v>
      </c>
      <c r="D227" s="59">
        <f>(12.09+3.78+2.4+10.68+2.52+0.9*(2+2)+2.1*0.3+0.7*2)*10.764</f>
        <v>399.34440000000001</v>
      </c>
      <c r="E227" s="59">
        <f>(2.75*1.2)*10.764</f>
        <v>35.521199999999993</v>
      </c>
      <c r="F227" s="59">
        <f t="shared" si="12"/>
        <v>634.53780000000006</v>
      </c>
      <c r="G227" s="169"/>
      <c r="H227" s="170"/>
      <c r="I227" s="60">
        <f t="shared" si="13"/>
        <v>3893.3850749317057</v>
      </c>
      <c r="N227" s="60"/>
    </row>
    <row r="228" spans="1:16" s="23" customFormat="1" hidden="1">
      <c r="A228" s="166">
        <v>208</v>
      </c>
      <c r="B228" s="166"/>
      <c r="C228" s="59" t="s">
        <v>203</v>
      </c>
      <c r="D228" s="59">
        <f>(24.97+3.33+6.6+4.73+2.52+2.48+1.2*2.2+1.2*0.6+1.2*(2.75+3.05+2.15)+0.7*(2.15+3.05+3.5))*10.764</f>
        <v>684.80567999999982</v>
      </c>
      <c r="E228" s="59">
        <f>(2.75*1.3+2.7*2.2)*10.764</f>
        <v>102.41946</v>
      </c>
      <c r="F228" s="59">
        <f t="shared" si="12"/>
        <v>1129.6279799999998</v>
      </c>
      <c r="G228" s="169"/>
      <c r="H228" s="170"/>
      <c r="I228" s="60"/>
      <c r="N228" s="60"/>
    </row>
    <row r="229" spans="1:16" s="23" customFormat="1" hidden="1">
      <c r="A229" s="166">
        <v>209</v>
      </c>
      <c r="B229" s="166"/>
      <c r="C229" s="59" t="s">
        <v>203</v>
      </c>
      <c r="D229" s="59">
        <f>(15.59+3.67+4.12+6.87+2.7+2.52+0.9*2.75+1.2*1.4+0.7*(2.45+2.75+2.75)+0.3*2.4)*10.764</f>
        <v>494.17524000000003</v>
      </c>
      <c r="E229" s="59">
        <f>(4.85*10.764)</f>
        <v>52.20539999999999</v>
      </c>
      <c r="F229" s="59">
        <f t="shared" si="12"/>
        <v>793.46825999999999</v>
      </c>
      <c r="G229" s="169"/>
      <c r="H229" s="170"/>
      <c r="I229" s="60"/>
      <c r="N229" s="60"/>
    </row>
    <row r="230" spans="1:16" s="23" customFormat="1" hidden="1">
      <c r="A230" s="166">
        <v>210</v>
      </c>
      <c r="B230" s="166"/>
      <c r="C230" s="59" t="s">
        <v>207</v>
      </c>
      <c r="D230" s="59">
        <f>(12.35+4.35+6.87+2.16+2.53+1.8*0.9+0.7*2.75+0.3*2.4)*10.764</f>
        <v>350.09910000000002</v>
      </c>
      <c r="E230" s="59">
        <f>(4.2*1.2+1.9*2)*10.764</f>
        <v>95.153759999999991</v>
      </c>
      <c r="F230" s="59">
        <f t="shared" si="12"/>
        <v>620.30241000000012</v>
      </c>
      <c r="G230" s="169"/>
      <c r="H230" s="170"/>
      <c r="I230" s="60">
        <f t="shared" si="13"/>
        <v>3982.7348083332445</v>
      </c>
      <c r="N230" s="60"/>
    </row>
    <row r="231" spans="1:16" s="23" customFormat="1" hidden="1">
      <c r="A231" s="166">
        <v>211</v>
      </c>
      <c r="B231" s="166"/>
      <c r="C231" s="59" t="s">
        <v>207</v>
      </c>
      <c r="D231" s="59">
        <f>(12.35+4.35+6.87+2.16+2.53+1.8*0.9+0.7*2.75+0.3*2.4)*10.764</f>
        <v>350.09910000000002</v>
      </c>
      <c r="E231" s="59">
        <f>(4.2*1.2+1.9*2)*10.764</f>
        <v>95.153759999999991</v>
      </c>
      <c r="F231" s="59">
        <f t="shared" si="12"/>
        <v>620.30241000000012</v>
      </c>
      <c r="G231" s="169"/>
      <c r="H231" s="170"/>
      <c r="I231" s="60">
        <f t="shared" si="13"/>
        <v>3982.7348083332445</v>
      </c>
      <c r="N231" s="60"/>
    </row>
    <row r="232" spans="1:16" s="23" customFormat="1" hidden="1">
      <c r="A232" s="166">
        <v>212</v>
      </c>
      <c r="B232" s="166"/>
      <c r="C232" s="59" t="s">
        <v>203</v>
      </c>
      <c r="D232" s="59">
        <f>(15.59+3.68+4.13+6.88+2.7+2.52+2.75*0.9+1.2*1.7+0.3*2.2+1.4*(2.75+2.75+2.45)+0.7*(2.75+2.75+2.45))*10.764</f>
        <v>617.53067999999985</v>
      </c>
      <c r="E232" s="59">
        <f>(2.7*1.7)*10.764</f>
        <v>49.406759999999998</v>
      </c>
      <c r="F232" s="59">
        <f t="shared" si="12"/>
        <v>975.70277999999973</v>
      </c>
      <c r="G232" s="169"/>
      <c r="H232" s="170"/>
      <c r="I232" s="60"/>
      <c r="N232" s="60"/>
    </row>
    <row r="233" spans="1:16" s="23" customFormat="1" hidden="1">
      <c r="A233" s="166">
        <v>213</v>
      </c>
      <c r="B233" s="166"/>
      <c r="C233" s="59" t="s">
        <v>203</v>
      </c>
      <c r="D233" s="59">
        <f>(24.63+3.33+6.6+4.73+2.46+2.52+1.2*2.7+1.2*0.6+1.2*(2.15+3.05+2.75)+0.7*(2.15+3.05+3.2))*10.764</f>
        <v>685.12860000000001</v>
      </c>
      <c r="E233" s="59">
        <f>(2.75*1.5+2.7*2.4)*10.764</f>
        <v>114.15222</v>
      </c>
      <c r="F233" s="59">
        <f t="shared" si="12"/>
        <v>1141.84512</v>
      </c>
      <c r="G233" s="169"/>
      <c r="H233" s="170"/>
      <c r="I233" s="60"/>
      <c r="N233" s="60"/>
    </row>
    <row r="234" spans="1:16" s="23" customFormat="1" hidden="1">
      <c r="A234" s="166">
        <v>214</v>
      </c>
      <c r="B234" s="166"/>
      <c r="C234" s="59" t="s">
        <v>203</v>
      </c>
      <c r="D234" s="59">
        <f>(24.63+3.33+2.4+4.73+2.46+2.52+1.2*2.4+1.2*0.6+1.5*(2.15+3.05+2.75)+0.7*(2.15+3.05+3.4+2.75))*10.764</f>
        <v>683.94456000000002</v>
      </c>
      <c r="E234" s="59">
        <f>(2.2*1.5)*10.764</f>
        <v>35.5212</v>
      </c>
      <c r="F234" s="59">
        <f t="shared" si="12"/>
        <v>1061.43804</v>
      </c>
      <c r="G234" s="171"/>
      <c r="H234" s="172"/>
      <c r="I234" s="60"/>
      <c r="N234" s="60"/>
    </row>
    <row r="235" spans="1:16" s="23" customFormat="1" ht="15.75" hidden="1" customHeight="1">
      <c r="A235" s="148" t="s">
        <v>208</v>
      </c>
      <c r="B235" s="149"/>
      <c r="C235" s="149"/>
      <c r="D235" s="149"/>
      <c r="E235" s="149"/>
      <c r="F235" s="149"/>
      <c r="G235" s="149"/>
      <c r="H235" s="150"/>
      <c r="I235" s="60"/>
    </row>
    <row r="236" spans="1:16" s="23" customFormat="1" ht="15.75" hidden="1" customHeight="1">
      <c r="A236" s="151" t="str">
        <f t="shared" ref="A236:A241" ca="1" si="14">N236</f>
        <v>301,..,1101</v>
      </c>
      <c r="B236" s="152"/>
      <c r="C236" s="59" t="s">
        <v>207</v>
      </c>
      <c r="D236" s="59">
        <f>(10.86+3.3+9.49+2.52+2.52+1.2*1.4+1.1*2+0.7*(2+1.7))*10.764</f>
        <v>378.46223999999995</v>
      </c>
      <c r="E236" s="59">
        <f>(2.75*1.2)*10.764</f>
        <v>35.521199999999993</v>
      </c>
      <c r="F236" s="59">
        <f t="shared" ref="F236:F249" si="15">D236*(($F$209)+1)+E236</f>
        <v>603.21456000000001</v>
      </c>
      <c r="G236" s="167" t="str">
        <f>A235</f>
        <v xml:space="preserve"> 3rd, 5th, 7th, 9th, 11th Floor</v>
      </c>
      <c r="H236" s="168"/>
      <c r="I236" s="60"/>
      <c r="N236" s="23" t="str">
        <f t="shared" ref="N236:N241" ca="1" si="16">O236&amp;""&amp;",..,"&amp;""&amp;P236</f>
        <v>301,..,1101</v>
      </c>
      <c r="O236" s="23">
        <f ca="1">(SUMPRODUCT(MID(0&amp;(LEFT(A235,SUM(LEN(A235)-LEN(SUBSTITUTE(A235,{"0","1","2"},""))))),LARGE(INDEX(ISNUMBER(--MID((LEFT(A235,SUM(LEN(A235)-LEN(SUBSTITUTE(A235,{"0","1","2"},""))))),ROW(INDIRECT("1:"&amp;LEN((LEFT(A235,SUM(LEN(A235)-LEN(SUBSTITUTE(A235,{"0","1","2"},"")))))))),1))*ROW(INDIRECT("1:"&amp;LEN((LEFT(A235,SUM(LEN(A235)-LEN(SUBSTITUTE(A235,{"0","1","2"},"")))))))),0),ROW(INDIRECT("1:"&amp;LEN((LEFT(A235,SUM(LEN(A235)-LEN(SUBSTITUTE(A235,{"0","1","2"},"")))))))))+1,1)*10^ROW(INDIRECT("1:"&amp;LEN((LEFT(A235,SUM(LEN(A235)-LEN(SUBSTITUTE(A235,{"0","1","2"},""))))))))/10))*100+1</f>
        <v>301</v>
      </c>
      <c r="P236" s="23">
        <f ca="1">(SUMPRODUCT(MID(0&amp;(--TRIM(RIGHT(SUBSTITUTE(LEFT(A235,_xlfn.AGGREGATE(16,6,FIND({0,1,2,3,4,5,6,7,8,9},A235,ROW(INDIRECT("1:"&amp;LEN(A235)))),1))," ",REPT(" ",LEN(A235))),LEN(A235)))),LARGE(INDEX(ISNUMBER(--MID((--TRIM(RIGHT(SUBSTITUTE(LEFT(A235,_xlfn.AGGREGATE(16,6,FIND({0,1,2,3,4,5,6,7,8,9},A235,ROW(INDIRECT("1:"&amp;LEN(A235)))),1))," ",REPT(" ",LEN(A235))),LEN(A235)))),ROW(INDIRECT("1:"&amp;LEN((--TRIM(RIGHT(SUBSTITUTE(LEFT(A235,_xlfn.AGGREGATE(16,6,FIND({0,1,2,3,4,5,6,7,8,9},A235,ROW(INDIRECT("1:"&amp;LEN(A235)))),1))," ",REPT(" ",LEN(A235))),LEN(A235))))))),1))*ROW(INDIRECT("1:"&amp;LEN((--TRIM(RIGHT(SUBSTITUTE(LEFT(A235,_xlfn.AGGREGATE(16,6,FIND({0,1,2,3,4,5,6,7,8,9},A235,ROW(INDIRECT("1:"&amp;LEN(A235)))),1))," ",REPT(" ",LEN(A235))),LEN(A235))))))),0),ROW(INDIRECT("1:"&amp;LEN((--TRIM(RIGHT(SUBSTITUTE(LEFT(A235,_xlfn.AGGREGATE(16,6,FIND({0,1,2,3,4,5,6,7,8,9},A235,ROW(INDIRECT("1:"&amp;LEN(A235)))),1))," ",REPT(" ",LEN(A235))),LEN(A235))))))))+1,1)*10^ROW(INDIRECT("1:"&amp;LEN((--TRIM(RIGHT(SUBSTITUTE(LEFT(A235,_xlfn.AGGREGATE(16,6,FIND({0,1,2,3,4,5,6,7,8,9},A235,ROW(INDIRECT("1:"&amp;LEN(A235)))),1))," ",REPT(" ",LEN(A235))),LEN(A235)))))))/10))*100+1</f>
        <v>1101</v>
      </c>
    </row>
    <row r="237" spans="1:16" s="23" customFormat="1" ht="15.75" hidden="1" customHeight="1">
      <c r="A237" s="151" t="str">
        <f t="shared" ca="1" si="14"/>
        <v>302,..,1102</v>
      </c>
      <c r="B237" s="152"/>
      <c r="C237" s="59" t="s">
        <v>207</v>
      </c>
      <c r="D237" s="59">
        <f>(10.14+3.36+8.25+1.8+1.45+1.2*1.4+1*2.1+0.7*(2.1+2.75+1.7))*10.764</f>
        <v>359.14085999999998</v>
      </c>
      <c r="E237" s="59">
        <v>0</v>
      </c>
      <c r="F237" s="59">
        <f t="shared" si="15"/>
        <v>538.71128999999996</v>
      </c>
      <c r="G237" s="169"/>
      <c r="H237" s="170"/>
      <c r="I237" s="60"/>
      <c r="N237" s="23" t="str">
        <f t="shared" ca="1" si="16"/>
        <v>302,..,1102</v>
      </c>
      <c r="O237" s="23">
        <f t="shared" ref="O237:P241" ca="1" si="17">O236+1</f>
        <v>302</v>
      </c>
      <c r="P237" s="23">
        <f t="shared" ca="1" si="17"/>
        <v>1102</v>
      </c>
    </row>
    <row r="238" spans="1:16" s="23" customFormat="1" ht="15.75" hidden="1" customHeight="1">
      <c r="A238" s="151" t="str">
        <f t="shared" ca="1" si="14"/>
        <v>303,..,1103</v>
      </c>
      <c r="B238" s="152"/>
      <c r="C238" s="59" t="s">
        <v>207</v>
      </c>
      <c r="D238" s="59">
        <f>(10.14+3.36+8.25+1.8+1.45+1.2*1.4+1*2.1+0.7*(2.1+2.75+1.7))*10.764</f>
        <v>359.14085999999998</v>
      </c>
      <c r="E238" s="59">
        <v>0</v>
      </c>
      <c r="F238" s="59">
        <f t="shared" si="15"/>
        <v>538.71128999999996</v>
      </c>
      <c r="G238" s="169"/>
      <c r="H238" s="170"/>
      <c r="I238" s="60"/>
      <c r="N238" s="23" t="str">
        <f t="shared" ca="1" si="16"/>
        <v>303,..,1103</v>
      </c>
      <c r="O238" s="23">
        <f t="shared" ca="1" si="17"/>
        <v>303</v>
      </c>
      <c r="P238" s="23">
        <f t="shared" ca="1" si="17"/>
        <v>1103</v>
      </c>
    </row>
    <row r="239" spans="1:16" s="23" customFormat="1" ht="15.75" hidden="1" customHeight="1">
      <c r="A239" s="151" t="str">
        <f t="shared" ca="1" si="14"/>
        <v>304,..,1104</v>
      </c>
      <c r="B239" s="152"/>
      <c r="C239" s="59" t="s">
        <v>207</v>
      </c>
      <c r="D239" s="59">
        <f>(10.86+3.3+9.49+2.52+2.52+1.2*1.4+1.1*2+0.7*(2+1.7))*10.764</f>
        <v>378.46223999999995</v>
      </c>
      <c r="E239" s="59">
        <f>(2.75*1.2)*10.764</f>
        <v>35.521199999999993</v>
      </c>
      <c r="F239" s="59">
        <f t="shared" si="15"/>
        <v>603.21456000000001</v>
      </c>
      <c r="G239" s="169"/>
      <c r="H239" s="170"/>
      <c r="I239" s="60"/>
      <c r="N239" s="23" t="str">
        <f t="shared" ca="1" si="16"/>
        <v>304,..,1104</v>
      </c>
      <c r="O239" s="23">
        <f t="shared" ca="1" si="17"/>
        <v>304</v>
      </c>
      <c r="P239" s="23">
        <f t="shared" ca="1" si="17"/>
        <v>1104</v>
      </c>
    </row>
    <row r="240" spans="1:16" s="23" customFormat="1" ht="15.75" hidden="1" customHeight="1">
      <c r="A240" s="151" t="str">
        <f t="shared" ca="1" si="14"/>
        <v>305,..,1105</v>
      </c>
      <c r="B240" s="152"/>
      <c r="C240" s="59" t="s">
        <v>203</v>
      </c>
      <c r="D240" s="59">
        <f>(20.14+6.45+6.6+4.73+2.52+2.46+1.2*2.3+1.2*0.6+1.2*(2.7+2.15+3.05+2.75)+0.7*(2.75+2.2+2.7+2.15+3.5))*10.764</f>
        <v>737.01107999999999</v>
      </c>
      <c r="E240" s="59">
        <v>0</v>
      </c>
      <c r="F240" s="59">
        <f t="shared" si="15"/>
        <v>1105.5166199999999</v>
      </c>
      <c r="G240" s="169"/>
      <c r="H240" s="170"/>
      <c r="I240" s="60"/>
      <c r="N240" s="23" t="str">
        <f t="shared" ca="1" si="16"/>
        <v>305,..,1105</v>
      </c>
      <c r="O240" s="23">
        <f t="shared" ca="1" si="17"/>
        <v>305</v>
      </c>
      <c r="P240" s="23">
        <f t="shared" ca="1" si="17"/>
        <v>1105</v>
      </c>
    </row>
    <row r="241" spans="1:16" s="23" customFormat="1" ht="15.75" hidden="1" customHeight="1">
      <c r="A241" s="151" t="str">
        <f t="shared" ca="1" si="14"/>
        <v>306,..,1106</v>
      </c>
      <c r="B241" s="152"/>
      <c r="C241" s="59" t="s">
        <v>203</v>
      </c>
      <c r="D241" s="59">
        <f>(20.14+6.45+6.6+4.73+2.52+2.46+1.2*2.3+1.2*0.6+1.2*(2.7+2.15+3.05+2.75)+0.7*(2.75+2.2+2.7+2.15+3.5))*10.764</f>
        <v>737.01107999999999</v>
      </c>
      <c r="E241" s="59">
        <v>0</v>
      </c>
      <c r="F241" s="59">
        <f t="shared" si="15"/>
        <v>1105.5166199999999</v>
      </c>
      <c r="G241" s="169"/>
      <c r="H241" s="170"/>
      <c r="I241" s="60"/>
      <c r="N241" s="23" t="str">
        <f t="shared" ca="1" si="16"/>
        <v>306,..,1106</v>
      </c>
      <c r="O241" s="23">
        <f t="shared" ca="1" si="17"/>
        <v>306</v>
      </c>
      <c r="P241" s="23">
        <f t="shared" ca="1" si="17"/>
        <v>1106</v>
      </c>
    </row>
    <row r="242" spans="1:16" s="23" customFormat="1" ht="15.75" hidden="1" customHeight="1">
      <c r="A242" s="151" t="str">
        <f t="shared" ref="A242:A249" ca="1" si="18">N242</f>
        <v>307,..,1107</v>
      </c>
      <c r="B242" s="152"/>
      <c r="C242" s="59" t="s">
        <v>207</v>
      </c>
      <c r="D242" s="59">
        <f>(12.09+3.78+2.4+10.68+2.52+0.9*(2+2)+0.7*(2.75+2)+0.3*2.1)*10.764</f>
        <v>420.06510000000003</v>
      </c>
      <c r="E242" s="59">
        <f>(2.1*1.7)*10.764</f>
        <v>38.427479999999996</v>
      </c>
      <c r="F242" s="59">
        <f t="shared" si="15"/>
        <v>668.52512999999999</v>
      </c>
      <c r="G242" s="169"/>
      <c r="H242" s="170"/>
      <c r="I242" s="60"/>
      <c r="N242" s="23" t="str">
        <f t="shared" ref="N242:N249" ca="1" si="19">O242&amp;""&amp;",..,"&amp;""&amp;P242</f>
        <v>307,..,1107</v>
      </c>
      <c r="O242" s="23">
        <f t="shared" ref="O242:P249" ca="1" si="20">O241+1</f>
        <v>307</v>
      </c>
      <c r="P242" s="23">
        <f t="shared" ca="1" si="20"/>
        <v>1107</v>
      </c>
    </row>
    <row r="243" spans="1:16" s="23" customFormat="1" ht="15.75" hidden="1" customHeight="1">
      <c r="A243" s="151" t="str">
        <f t="shared" ca="1" si="18"/>
        <v>308,..,1108</v>
      </c>
      <c r="B243" s="152"/>
      <c r="C243" s="59" t="s">
        <v>203</v>
      </c>
      <c r="D243" s="59">
        <f>(24.97+3.33+6.6+4.73+2.46+2.52+1.2*2.4+1.2*0.6+1.2*(2.75+3.05+2.15)+0.7*(2.75+2.15+3.05+3.4+2.7))*10.764</f>
        <v>727.48493999999994</v>
      </c>
      <c r="E243" s="59">
        <v>0</v>
      </c>
      <c r="F243" s="59">
        <f t="shared" si="15"/>
        <v>1091.22741</v>
      </c>
      <c r="G243" s="169"/>
      <c r="H243" s="170"/>
      <c r="I243" s="60"/>
      <c r="N243" s="23" t="str">
        <f t="shared" ca="1" si="19"/>
        <v>308,..,1108</v>
      </c>
      <c r="O243" s="23">
        <f t="shared" ca="1" si="20"/>
        <v>308</v>
      </c>
      <c r="P243" s="23">
        <f t="shared" ca="1" si="20"/>
        <v>1108</v>
      </c>
    </row>
    <row r="244" spans="1:16" s="23" customFormat="1" ht="15.75" hidden="1" customHeight="1">
      <c r="A244" s="151" t="str">
        <f t="shared" ca="1" si="18"/>
        <v>309,..,1109</v>
      </c>
      <c r="B244" s="152"/>
      <c r="C244" s="59" t="s">
        <v>203</v>
      </c>
      <c r="D244" s="59">
        <f>(15.59+3.67+4.12+6.87+2.52+2.7+1.2*1.7+0.9*2.75+2.4*0.45+1.2*(2.45+2.75+2.75)+0.7*(2.45+2.75+2.7+2.75))*10.764</f>
        <v>624.95784000000003</v>
      </c>
      <c r="E244" s="59">
        <v>0</v>
      </c>
      <c r="F244" s="59">
        <f t="shared" si="15"/>
        <v>937.43676000000005</v>
      </c>
      <c r="G244" s="169"/>
      <c r="H244" s="170"/>
      <c r="I244" s="60"/>
      <c r="N244" s="23" t="str">
        <f t="shared" ca="1" si="19"/>
        <v>309,..,1109</v>
      </c>
      <c r="O244" s="23">
        <f t="shared" ca="1" si="20"/>
        <v>309</v>
      </c>
      <c r="P244" s="23">
        <f t="shared" ca="1" si="20"/>
        <v>1109</v>
      </c>
    </row>
    <row r="245" spans="1:16" s="23" customFormat="1" ht="15.75" hidden="1" customHeight="1">
      <c r="A245" s="151" t="str">
        <f t="shared" ca="1" si="18"/>
        <v>310,..,1110</v>
      </c>
      <c r="B245" s="152"/>
      <c r="C245" s="59" t="s">
        <v>207</v>
      </c>
      <c r="D245" s="59">
        <f>(12.35+4.35+6.87+2.16+2.53+1.8*0.9+2.75*1.2+0.7*(2.75+1.7))*10.764</f>
        <v>390.67937999999998</v>
      </c>
      <c r="E245" s="59">
        <f>(2.05*1.4)*10.764</f>
        <v>30.892679999999995</v>
      </c>
      <c r="F245" s="59">
        <f t="shared" si="15"/>
        <v>616.91174999999998</v>
      </c>
      <c r="G245" s="169"/>
      <c r="H245" s="170"/>
      <c r="I245" s="60"/>
      <c r="N245" s="23" t="str">
        <f t="shared" ca="1" si="19"/>
        <v>310,..,1110</v>
      </c>
      <c r="O245" s="23">
        <f t="shared" ca="1" si="20"/>
        <v>310</v>
      </c>
      <c r="P245" s="23">
        <f t="shared" ca="1" si="20"/>
        <v>1110</v>
      </c>
    </row>
    <row r="246" spans="1:16" s="23" customFormat="1" ht="15.75" hidden="1" customHeight="1">
      <c r="A246" s="151" t="str">
        <f t="shared" ca="1" si="18"/>
        <v>311,..,1111</v>
      </c>
      <c r="B246" s="152"/>
      <c r="C246" s="59" t="s">
        <v>207</v>
      </c>
      <c r="D246" s="59">
        <f>(12.35+4.35+6.87+2.16+2.53+1.8*0.9+2.75*1.2+0.7*(2.75+1.7))*10.764</f>
        <v>390.67937999999998</v>
      </c>
      <c r="E246" s="59">
        <f>(2.05*1.4)*10.764</f>
        <v>30.892679999999995</v>
      </c>
      <c r="F246" s="59">
        <f t="shared" si="15"/>
        <v>616.91174999999998</v>
      </c>
      <c r="G246" s="169"/>
      <c r="H246" s="170"/>
      <c r="I246" s="60"/>
      <c r="N246" s="23" t="str">
        <f t="shared" ca="1" si="19"/>
        <v>311,..,1111</v>
      </c>
      <c r="O246" s="23">
        <f t="shared" ca="1" si="20"/>
        <v>311</v>
      </c>
      <c r="P246" s="23">
        <f t="shared" ca="1" si="20"/>
        <v>1111</v>
      </c>
    </row>
    <row r="247" spans="1:16" s="23" customFormat="1" ht="15.75" hidden="1" customHeight="1">
      <c r="A247" s="151" t="str">
        <f t="shared" ca="1" si="18"/>
        <v>312,..,1112</v>
      </c>
      <c r="B247" s="152"/>
      <c r="C247" s="59" t="s">
        <v>203</v>
      </c>
      <c r="D247" s="59">
        <f>(15.59+3.67+4.12+6.87+2.52+2.7+1.2*1.7+0.9*2.75+2.4*0.45+1.2*(2.45+2.75+2.75)+0.7*(2.45+2.75+2.7+2.75))*10.764</f>
        <v>624.95784000000003</v>
      </c>
      <c r="E247" s="59">
        <v>0</v>
      </c>
      <c r="F247" s="59">
        <f t="shared" si="15"/>
        <v>937.43676000000005</v>
      </c>
      <c r="G247" s="169"/>
      <c r="H247" s="170"/>
      <c r="I247" s="60"/>
      <c r="N247" s="23" t="str">
        <f t="shared" ca="1" si="19"/>
        <v>312,..,1112</v>
      </c>
      <c r="O247" s="23">
        <f t="shared" ca="1" si="20"/>
        <v>312</v>
      </c>
      <c r="P247" s="23">
        <f t="shared" ca="1" si="20"/>
        <v>1112</v>
      </c>
    </row>
    <row r="248" spans="1:16" s="23" customFormat="1" ht="15.75" hidden="1" customHeight="1">
      <c r="A248" s="151" t="str">
        <f t="shared" ca="1" si="18"/>
        <v>313,..,1113</v>
      </c>
      <c r="B248" s="152"/>
      <c r="C248" s="59" t="s">
        <v>203</v>
      </c>
      <c r="D248" s="59">
        <f>(24.63+3.33+6.6+4.73+2.46+2.52+1.2*2.4+1.2*0.6+1.2*(2.75+3.05+2.15)+0.7*(2.75+3.05+2.15+2.8+3.2))*10.764</f>
        <v>723.07170000000008</v>
      </c>
      <c r="E248" s="59">
        <v>0</v>
      </c>
      <c r="F248" s="59">
        <f t="shared" si="15"/>
        <v>1084.6075500000002</v>
      </c>
      <c r="G248" s="169"/>
      <c r="H248" s="170"/>
      <c r="I248" s="60"/>
      <c r="N248" s="23" t="str">
        <f t="shared" ca="1" si="19"/>
        <v>313,..,1113</v>
      </c>
      <c r="O248" s="23">
        <f t="shared" ca="1" si="20"/>
        <v>313</v>
      </c>
      <c r="P248" s="23">
        <f t="shared" ca="1" si="20"/>
        <v>1113</v>
      </c>
    </row>
    <row r="249" spans="1:16" s="23" customFormat="1" ht="15.75" hidden="1" customHeight="1">
      <c r="A249" s="151" t="str">
        <f t="shared" ca="1" si="18"/>
        <v>314,..,1114</v>
      </c>
      <c r="B249" s="152"/>
      <c r="C249" s="59" t="s">
        <v>203</v>
      </c>
      <c r="D249" s="59">
        <f>(24.63+3.33+6.6+4.73+2.46+2.52+1.2*2.3+1.2*0.6+1.4*(2.15+2.75+3.05)+0.7*(2.15+3.05+2.75+2.7+3.5))*10.764</f>
        <v>740.40174000000002</v>
      </c>
      <c r="E249" s="59">
        <v>0</v>
      </c>
      <c r="F249" s="59">
        <f t="shared" si="15"/>
        <v>1110.6026099999999</v>
      </c>
      <c r="G249" s="171"/>
      <c r="H249" s="172"/>
      <c r="I249" s="60"/>
      <c r="N249" s="23" t="str">
        <f t="shared" ca="1" si="19"/>
        <v>314,..,1114</v>
      </c>
      <c r="O249" s="23">
        <f t="shared" ca="1" si="20"/>
        <v>314</v>
      </c>
      <c r="P249" s="23">
        <f t="shared" ca="1" si="20"/>
        <v>1114</v>
      </c>
    </row>
    <row r="250" spans="1:16" s="23" customFormat="1" ht="15.75" hidden="1" customHeight="1">
      <c r="A250" s="148" t="s">
        <v>209</v>
      </c>
      <c r="B250" s="149"/>
      <c r="C250" s="149"/>
      <c r="D250" s="149"/>
      <c r="E250" s="149"/>
      <c r="F250" s="149"/>
      <c r="G250" s="149"/>
      <c r="H250" s="150"/>
      <c r="I250" s="60"/>
    </row>
    <row r="251" spans="1:16" s="23" customFormat="1" ht="15.75" hidden="1" customHeight="1">
      <c r="A251" s="151" t="str">
        <f t="shared" ref="A251:A264" ca="1" si="21">N251</f>
        <v>401,..,1201</v>
      </c>
      <c r="B251" s="152"/>
      <c r="C251" s="59" t="s">
        <v>207</v>
      </c>
      <c r="D251" s="59">
        <f>(10.88+3.3+9.49+2.52+2.52+1.5*1.1+2*1.1+0.7*(1.2+4.5))*10.764</f>
        <v>393.42420000000004</v>
      </c>
      <c r="E251" s="59">
        <v>0</v>
      </c>
      <c r="F251" s="59">
        <f>D251*(($F$209)+1)+E251</f>
        <v>590.13630000000012</v>
      </c>
      <c r="G251" s="167" t="str">
        <f>A250</f>
        <v xml:space="preserve"> 4th, 6th, 12th Floor</v>
      </c>
      <c r="H251" s="168"/>
      <c r="I251" s="60"/>
      <c r="N251" s="23" t="str">
        <f t="shared" ref="N251:N264" ca="1" si="22">O251&amp;""&amp;",..,"&amp;""&amp;P251</f>
        <v>401,..,1201</v>
      </c>
      <c r="O251" s="23">
        <f ca="1">(SUMPRODUCT(MID(0&amp;(LEFT(A250,SUM(LEN(A250)-LEN(SUBSTITUTE(A250,{"0","1","2"},""))))),LARGE(INDEX(ISNUMBER(--MID((LEFT(A250,SUM(LEN(A250)-LEN(SUBSTITUTE(A250,{"0","1","2"},""))))),ROW(INDIRECT("1:"&amp;LEN((LEFT(A250,SUM(LEN(A250)-LEN(SUBSTITUTE(A250,{"0","1","2"},"")))))))),1))*ROW(INDIRECT("1:"&amp;LEN((LEFT(A250,SUM(LEN(A250)-LEN(SUBSTITUTE(A250,{"0","1","2"},"")))))))),0),ROW(INDIRECT("1:"&amp;LEN((LEFT(A250,SUM(LEN(A250)-LEN(SUBSTITUTE(A250,{"0","1","2"},"")))))))))+1,1)*10^ROW(INDIRECT("1:"&amp;LEN((LEFT(A250,SUM(LEN(A250)-LEN(SUBSTITUTE(A250,{"0","1","2"},""))))))))/10))*100+1</f>
        <v>401</v>
      </c>
      <c r="P251" s="23">
        <f ca="1">(SUMPRODUCT(MID(0&amp;(--TRIM(RIGHT(SUBSTITUTE(LEFT(A250,_xlfn.AGGREGATE(16,6,FIND({0,1,2,3,4,5,6,7,8,9},A250,ROW(INDIRECT("1:"&amp;LEN(A250)))),1))," ",REPT(" ",LEN(A250))),LEN(A250)))),LARGE(INDEX(ISNUMBER(--MID((--TRIM(RIGHT(SUBSTITUTE(LEFT(A250,_xlfn.AGGREGATE(16,6,FIND({0,1,2,3,4,5,6,7,8,9},A250,ROW(INDIRECT("1:"&amp;LEN(A250)))),1))," ",REPT(" ",LEN(A250))),LEN(A250)))),ROW(INDIRECT("1:"&amp;LEN((--TRIM(RIGHT(SUBSTITUTE(LEFT(A250,_xlfn.AGGREGATE(16,6,FIND({0,1,2,3,4,5,6,7,8,9},A250,ROW(INDIRECT("1:"&amp;LEN(A250)))),1))," ",REPT(" ",LEN(A250))),LEN(A250))))))),1))*ROW(INDIRECT("1:"&amp;LEN((--TRIM(RIGHT(SUBSTITUTE(LEFT(A250,_xlfn.AGGREGATE(16,6,FIND({0,1,2,3,4,5,6,7,8,9},A250,ROW(INDIRECT("1:"&amp;LEN(A250)))),1))," ",REPT(" ",LEN(A250))),LEN(A250))))))),0),ROW(INDIRECT("1:"&amp;LEN((--TRIM(RIGHT(SUBSTITUTE(LEFT(A250,_xlfn.AGGREGATE(16,6,FIND({0,1,2,3,4,5,6,7,8,9},A250,ROW(INDIRECT("1:"&amp;LEN(A250)))),1))," ",REPT(" ",LEN(A250))),LEN(A250))))))))+1,1)*10^ROW(INDIRECT("1:"&amp;LEN((--TRIM(RIGHT(SUBSTITUTE(LEFT(A250,_xlfn.AGGREGATE(16,6,FIND({0,1,2,3,4,5,6,7,8,9},A250,ROW(INDIRECT("1:"&amp;LEN(A250)))),1))," ",REPT(" ",LEN(A250))),LEN(A250)))))))/10))*100+1</f>
        <v>1201</v>
      </c>
    </row>
    <row r="252" spans="1:16" s="23" customFormat="1" ht="15.75" hidden="1" customHeight="1">
      <c r="A252" s="151" t="str">
        <f t="shared" ca="1" si="21"/>
        <v>402,..,1202</v>
      </c>
      <c r="B252" s="152"/>
      <c r="C252" s="59" t="s">
        <v>207</v>
      </c>
      <c r="D252" s="59">
        <f>(10.14+3.36+8.25+1.45+1.8+1*1.2+1*2.1+0.7*(2.1+2.75))*10.764</f>
        <v>341.16497999999996</v>
      </c>
      <c r="E252" s="59">
        <f>(2.9*1.5)*10.764</f>
        <v>46.823399999999992</v>
      </c>
      <c r="F252" s="59">
        <f t="shared" ref="F252:F264" si="23">D252*(($F$209)+1)+E252</f>
        <v>558.5708699999999</v>
      </c>
      <c r="G252" s="169"/>
      <c r="H252" s="170"/>
      <c r="I252" s="60"/>
      <c r="N252" s="23" t="str">
        <f t="shared" ca="1" si="22"/>
        <v>402,..,1202</v>
      </c>
      <c r="O252" s="23">
        <f t="shared" ref="O252:O264" ca="1" si="24">O251+1</f>
        <v>402</v>
      </c>
      <c r="P252" s="23">
        <f t="shared" ref="P252:P264" ca="1" si="25">P251+1</f>
        <v>1202</v>
      </c>
    </row>
    <row r="253" spans="1:16" s="23" customFormat="1" ht="15.75" hidden="1" customHeight="1">
      <c r="A253" s="151" t="str">
        <f t="shared" ca="1" si="21"/>
        <v>403,..,1203</v>
      </c>
      <c r="B253" s="152"/>
      <c r="C253" s="59" t="s">
        <v>207</v>
      </c>
      <c r="D253" s="59">
        <f>(10.14+3.36+8.25+1.45+1.8+1*1.2+1*2.1+0.7*(2.1+2.75))*10.764</f>
        <v>341.16497999999996</v>
      </c>
      <c r="E253" s="59">
        <f>(2.9*1.5)*10.764</f>
        <v>46.823399999999992</v>
      </c>
      <c r="F253" s="59">
        <f t="shared" si="23"/>
        <v>558.5708699999999</v>
      </c>
      <c r="G253" s="169"/>
      <c r="H253" s="170"/>
      <c r="I253" s="60"/>
      <c r="N253" s="23" t="str">
        <f t="shared" ca="1" si="22"/>
        <v>403,..,1203</v>
      </c>
      <c r="O253" s="23">
        <f t="shared" ca="1" si="24"/>
        <v>403</v>
      </c>
      <c r="P253" s="23">
        <f t="shared" ca="1" si="25"/>
        <v>1203</v>
      </c>
    </row>
    <row r="254" spans="1:16" s="23" customFormat="1" ht="15.75" hidden="1" customHeight="1">
      <c r="A254" s="151" t="str">
        <f t="shared" ca="1" si="21"/>
        <v>404,..,1204</v>
      </c>
      <c r="B254" s="152"/>
      <c r="C254" s="59" t="s">
        <v>207</v>
      </c>
      <c r="D254" s="59">
        <f>(10.88+3.3+9.49+2.52+2.52+1.5*1.1+2*1.1+0.7*(1.2+4.5))*10.764</f>
        <v>393.42420000000004</v>
      </c>
      <c r="E254" s="59">
        <v>0</v>
      </c>
      <c r="F254" s="59">
        <f t="shared" si="23"/>
        <v>590.13630000000012</v>
      </c>
      <c r="G254" s="169"/>
      <c r="H254" s="170"/>
      <c r="I254" s="60"/>
      <c r="N254" s="23" t="str">
        <f t="shared" ca="1" si="22"/>
        <v>404,..,1204</v>
      </c>
      <c r="O254" s="23">
        <f t="shared" ca="1" si="24"/>
        <v>404</v>
      </c>
      <c r="P254" s="23">
        <f t="shared" ca="1" si="25"/>
        <v>1204</v>
      </c>
    </row>
    <row r="255" spans="1:16" s="23" customFormat="1" ht="15.75" hidden="1" customHeight="1">
      <c r="A255" s="151" t="str">
        <f t="shared" ca="1" si="21"/>
        <v>405,..,1205</v>
      </c>
      <c r="B255" s="152"/>
      <c r="C255" s="59" t="s">
        <v>203</v>
      </c>
      <c r="D255" s="59">
        <f>(20.145+3.55+6.6+4.73+2.46+2.52+1.2*2.1+1.2*0.6+1.2*(2.75+2.15+2.75+3.05)+0.7*(2.75+2.7+3.6+2.15+2.7))*10.764</f>
        <v>708.43266000000006</v>
      </c>
      <c r="E255" s="59">
        <v>0</v>
      </c>
      <c r="F255" s="59">
        <f t="shared" si="23"/>
        <v>1062.6489900000001</v>
      </c>
      <c r="G255" s="169"/>
      <c r="H255" s="170"/>
      <c r="I255" s="60"/>
      <c r="N255" s="23" t="str">
        <f t="shared" ca="1" si="22"/>
        <v>405,..,1205</v>
      </c>
      <c r="O255" s="23">
        <f t="shared" ca="1" si="24"/>
        <v>405</v>
      </c>
      <c r="P255" s="23">
        <f t="shared" ca="1" si="25"/>
        <v>1205</v>
      </c>
    </row>
    <row r="256" spans="1:16" s="23" customFormat="1" ht="15.75" hidden="1" customHeight="1">
      <c r="A256" s="151" t="str">
        <f t="shared" ca="1" si="21"/>
        <v>406,..,1206</v>
      </c>
      <c r="B256" s="152"/>
      <c r="C256" s="59" t="s">
        <v>203</v>
      </c>
      <c r="D256" s="59">
        <f>(20.145+3.55+6.6+4.73+2.46+2.52+1.2*2.1+1.2*0.6+1.2*(2.75+2.15+3.05)+0.7*(2.75+3.6+2.15+2.7))*10.764</f>
        <v>652.5675</v>
      </c>
      <c r="E256" s="59">
        <f>(2.7*1.6)*10.764</f>
        <v>46.500480000000003</v>
      </c>
      <c r="F256" s="59">
        <f t="shared" si="23"/>
        <v>1025.3517299999999</v>
      </c>
      <c r="G256" s="169"/>
      <c r="H256" s="170"/>
      <c r="I256" s="60"/>
      <c r="N256" s="23" t="str">
        <f t="shared" ca="1" si="22"/>
        <v>406,..,1206</v>
      </c>
      <c r="O256" s="23">
        <f t="shared" ca="1" si="24"/>
        <v>406</v>
      </c>
      <c r="P256" s="23">
        <f t="shared" ca="1" si="25"/>
        <v>1206</v>
      </c>
    </row>
    <row r="257" spans="1:16" s="23" customFormat="1" ht="15.75" hidden="1" customHeight="1">
      <c r="A257" s="151" t="str">
        <f t="shared" ca="1" si="21"/>
        <v>407,..,1207</v>
      </c>
      <c r="B257" s="152"/>
      <c r="C257" s="59" t="s">
        <v>207</v>
      </c>
      <c r="D257" s="59">
        <f>(12.09+3.78+2.4+10.68+2.52+0.9*(2+2)+2.1*0.3+0.7*2)*10.764</f>
        <v>399.34440000000001</v>
      </c>
      <c r="E257" s="59">
        <f>(2.75*1.2)*10.764</f>
        <v>35.521199999999993</v>
      </c>
      <c r="F257" s="59">
        <f t="shared" si="23"/>
        <v>634.53780000000006</v>
      </c>
      <c r="G257" s="169"/>
      <c r="H257" s="170"/>
      <c r="I257" s="60"/>
      <c r="N257" s="23" t="str">
        <f t="shared" ca="1" si="22"/>
        <v>407,..,1207</v>
      </c>
      <c r="O257" s="23">
        <f t="shared" ca="1" si="24"/>
        <v>407</v>
      </c>
      <c r="P257" s="23">
        <f t="shared" ca="1" si="25"/>
        <v>1207</v>
      </c>
    </row>
    <row r="258" spans="1:16" s="23" customFormat="1" ht="15.75" hidden="1" customHeight="1">
      <c r="A258" s="151" t="str">
        <f t="shared" ca="1" si="21"/>
        <v>408,..,1208</v>
      </c>
      <c r="B258" s="152"/>
      <c r="C258" s="59" t="s">
        <v>203</v>
      </c>
      <c r="D258" s="59">
        <f>(24.97+3.33+6.6+4.73+2.46+2.52+1.2*2.4+1.2*0.6+1.2*(2.75+3.05+2.15)+0.7*(2.75+2.15+3.05+3.4))*10.764</f>
        <v>707.1409799999999</v>
      </c>
      <c r="E258" s="59">
        <f>(2.7*1.5)*10.764</f>
        <v>43.594200000000008</v>
      </c>
      <c r="F258" s="59">
        <f t="shared" si="23"/>
        <v>1104.3056699999997</v>
      </c>
      <c r="G258" s="169"/>
      <c r="H258" s="170"/>
      <c r="I258" s="60"/>
      <c r="N258" s="23" t="str">
        <f t="shared" ca="1" si="22"/>
        <v>408,..,1208</v>
      </c>
      <c r="O258" s="23">
        <f t="shared" ca="1" si="24"/>
        <v>408</v>
      </c>
      <c r="P258" s="23">
        <f t="shared" ca="1" si="25"/>
        <v>1208</v>
      </c>
    </row>
    <row r="259" spans="1:16" s="23" customFormat="1" ht="15.75" hidden="1" customHeight="1">
      <c r="A259" s="151" t="str">
        <f t="shared" ca="1" si="21"/>
        <v>409,..,1209</v>
      </c>
      <c r="B259" s="152"/>
      <c r="C259" s="59" t="s">
        <v>203</v>
      </c>
      <c r="D259" s="59">
        <f>(15.59+3.67+4.12+6.87+2.7+2.52+0.9*2.75+1.2*1.4+0.7*(2.45+2.75+2.75)+0.3*2.4)*10.764</f>
        <v>494.17524000000003</v>
      </c>
      <c r="E259" s="59">
        <f>(2.7*1.5)*10.764</f>
        <v>43.594200000000008</v>
      </c>
      <c r="F259" s="59">
        <f t="shared" si="23"/>
        <v>784.85706000000005</v>
      </c>
      <c r="G259" s="169"/>
      <c r="H259" s="170"/>
      <c r="I259" s="60"/>
      <c r="N259" s="23" t="str">
        <f t="shared" ca="1" si="22"/>
        <v>409,..,1209</v>
      </c>
      <c r="O259" s="23">
        <f t="shared" ca="1" si="24"/>
        <v>409</v>
      </c>
      <c r="P259" s="23">
        <f t="shared" ca="1" si="25"/>
        <v>1209</v>
      </c>
    </row>
    <row r="260" spans="1:16" s="23" customFormat="1" ht="15.75" hidden="1" customHeight="1">
      <c r="A260" s="151" t="str">
        <f t="shared" ca="1" si="21"/>
        <v>410,..,1210</v>
      </c>
      <c r="B260" s="152"/>
      <c r="C260" s="59" t="s">
        <v>207</v>
      </c>
      <c r="D260" s="59">
        <f>(12.35+4.35+6.87+2.18+2.53+1.8*0.9+0.7*(2.75+2.05)+0.45*2.4)*10.764</f>
        <v>369.63576</v>
      </c>
      <c r="E260" s="59">
        <f>(1.7*2.45)*10.764</f>
        <v>44.832059999999998</v>
      </c>
      <c r="F260" s="59">
        <f t="shared" si="23"/>
        <v>599.28569999999991</v>
      </c>
      <c r="G260" s="169"/>
      <c r="H260" s="170"/>
      <c r="I260" s="60"/>
      <c r="N260" s="23" t="str">
        <f t="shared" ca="1" si="22"/>
        <v>410,..,1210</v>
      </c>
      <c r="O260" s="23">
        <f t="shared" ca="1" si="24"/>
        <v>410</v>
      </c>
      <c r="P260" s="23">
        <f t="shared" ca="1" si="25"/>
        <v>1210</v>
      </c>
    </row>
    <row r="261" spans="1:16" s="23" customFormat="1" ht="15.75" hidden="1" customHeight="1">
      <c r="A261" s="151" t="str">
        <f t="shared" ca="1" si="21"/>
        <v>411,..,1211</v>
      </c>
      <c r="B261" s="152"/>
      <c r="C261" s="59" t="s">
        <v>207</v>
      </c>
      <c r="D261" s="59">
        <f>(12.35+4.35+6.87+2.18+2.53+1.8*0.9+0.7*(2.75+2.05)+0.45*2.4)*10.764</f>
        <v>369.63576</v>
      </c>
      <c r="E261" s="59">
        <f>(1.7*2.45)*10.764</f>
        <v>44.832059999999998</v>
      </c>
      <c r="F261" s="59">
        <f t="shared" si="23"/>
        <v>599.28569999999991</v>
      </c>
      <c r="G261" s="169"/>
      <c r="H261" s="170"/>
      <c r="I261" s="60"/>
      <c r="N261" s="23" t="str">
        <f t="shared" ca="1" si="22"/>
        <v>411,..,1211</v>
      </c>
      <c r="O261" s="23">
        <f t="shared" ca="1" si="24"/>
        <v>411</v>
      </c>
      <c r="P261" s="23">
        <f t="shared" ca="1" si="25"/>
        <v>1211</v>
      </c>
    </row>
    <row r="262" spans="1:16" s="23" customFormat="1" ht="15.75" hidden="1" customHeight="1">
      <c r="A262" s="151" t="str">
        <f t="shared" ca="1" si="21"/>
        <v>412,..,1212</v>
      </c>
      <c r="B262" s="152"/>
      <c r="C262" s="59" t="s">
        <v>203</v>
      </c>
      <c r="D262" s="59">
        <f>(15.59+3.67+4.12+6.87+2.52+2.7+1.2*1.7+0.9*2.75+2.4*0.45+1.2*(2.45+2.75+2.75)+0.7*(2.45+2.75+2.75))*10.764</f>
        <v>604.61387999999999</v>
      </c>
      <c r="E262" s="59">
        <f>(2.7*1.5)*10.764</f>
        <v>43.594200000000008</v>
      </c>
      <c r="F262" s="59">
        <f t="shared" si="23"/>
        <v>950.51502000000005</v>
      </c>
      <c r="G262" s="169"/>
      <c r="H262" s="170"/>
      <c r="I262" s="60"/>
      <c r="N262" s="23" t="str">
        <f t="shared" ca="1" si="22"/>
        <v>412,..,1212</v>
      </c>
      <c r="O262" s="23">
        <f t="shared" ca="1" si="24"/>
        <v>412</v>
      </c>
      <c r="P262" s="23">
        <f t="shared" ca="1" si="25"/>
        <v>1212</v>
      </c>
    </row>
    <row r="263" spans="1:16" s="23" customFormat="1" ht="15.75" hidden="1" customHeight="1">
      <c r="A263" s="151" t="str">
        <f t="shared" ca="1" si="21"/>
        <v>413,..,1213</v>
      </c>
      <c r="B263" s="152"/>
      <c r="C263" s="59" t="s">
        <v>203</v>
      </c>
      <c r="D263" s="59">
        <f>(24.63+3.33+6.6+4.73+2.46+2.52+1.2*2.4+1.2*0.6+1.2*(2.75+3.05+2.15)+0.7*(2.75+3.05+2.15+3.2))*10.764</f>
        <v>701.97425999999996</v>
      </c>
      <c r="E263" s="59">
        <f>(2.7*1.5)*10.764</f>
        <v>43.594200000000008</v>
      </c>
      <c r="F263" s="59">
        <f t="shared" si="23"/>
        <v>1096.5555899999999</v>
      </c>
      <c r="G263" s="169"/>
      <c r="H263" s="170"/>
      <c r="I263" s="60"/>
      <c r="N263" s="23" t="str">
        <f t="shared" ca="1" si="22"/>
        <v>413,..,1213</v>
      </c>
      <c r="O263" s="23">
        <f t="shared" ca="1" si="24"/>
        <v>413</v>
      </c>
      <c r="P263" s="23">
        <f t="shared" ca="1" si="25"/>
        <v>1213</v>
      </c>
    </row>
    <row r="264" spans="1:16" s="23" customFormat="1" ht="15.75" hidden="1" customHeight="1">
      <c r="A264" s="151" t="str">
        <f t="shared" ca="1" si="21"/>
        <v>414,..,1214</v>
      </c>
      <c r="B264" s="152"/>
      <c r="C264" s="59" t="s">
        <v>203</v>
      </c>
      <c r="D264" s="59">
        <f>(24.63+3.33+6.6+4.73+2.46+2.52+1.2*2.3+1.2*0.6+1.4*(2.15+2.75+3.05)+0.7*(2.15+3.05+2.75+3.5))*10.764</f>
        <v>720.05778000000009</v>
      </c>
      <c r="E264" s="59">
        <f>(2.75*1.7)*10.764</f>
        <v>50.321699999999993</v>
      </c>
      <c r="F264" s="59">
        <f t="shared" si="23"/>
        <v>1130.4083700000001</v>
      </c>
      <c r="G264" s="171"/>
      <c r="H264" s="172"/>
      <c r="I264" s="60"/>
      <c r="N264" s="23" t="str">
        <f t="shared" ca="1" si="22"/>
        <v>414,..,1214</v>
      </c>
      <c r="O264" s="23">
        <f t="shared" ca="1" si="24"/>
        <v>414</v>
      </c>
      <c r="P264" s="23">
        <f t="shared" ca="1" si="25"/>
        <v>1214</v>
      </c>
    </row>
    <row r="265" spans="1:16" s="23" customFormat="1" ht="15.75" hidden="1" customHeight="1">
      <c r="A265" s="148" t="s">
        <v>210</v>
      </c>
      <c r="B265" s="149"/>
      <c r="C265" s="149"/>
      <c r="D265" s="149"/>
      <c r="E265" s="149"/>
      <c r="F265" s="149"/>
      <c r="G265" s="149"/>
      <c r="H265" s="150"/>
      <c r="I265" s="60"/>
    </row>
    <row r="266" spans="1:16" s="23" customFormat="1" ht="15.75" hidden="1" customHeight="1">
      <c r="A266" s="151" t="str">
        <f t="shared" ref="A266:A279" ca="1" si="26">N266</f>
        <v>801,..,1001</v>
      </c>
      <c r="B266" s="152"/>
      <c r="C266" s="59" t="s">
        <v>207</v>
      </c>
      <c r="D266" s="59">
        <f>(10.88+3.3+9.49+2.52+2.52+1.5*1.1+2*1.1+0.7*(1.2+4.5))*10.764</f>
        <v>393.42420000000004</v>
      </c>
      <c r="E266" s="59">
        <v>0</v>
      </c>
      <c r="F266" s="59">
        <f>D266*(($F$209)+1)+E266</f>
        <v>590.13630000000012</v>
      </c>
      <c r="G266" s="167" t="str">
        <f>A265</f>
        <v xml:space="preserve"> 8th, 10th Floor</v>
      </c>
      <c r="H266" s="168"/>
      <c r="I266" s="60"/>
      <c r="N266" s="23" t="str">
        <f t="shared" ref="N266:N279" ca="1" si="27">O266&amp;""&amp;",..,"&amp;""&amp;P266</f>
        <v>801,..,1001</v>
      </c>
      <c r="O266" s="23">
        <f ca="1">(SUMPRODUCT(MID(0&amp;(LEFT(A265,SUM(LEN(A265)-LEN(SUBSTITUTE(A265,{"0","1","2"},""))))),LARGE(INDEX(ISNUMBER(--MID((LEFT(A265,SUM(LEN(A265)-LEN(SUBSTITUTE(A265,{"0","1","2"},""))))),ROW(INDIRECT("1:"&amp;LEN((LEFT(A265,SUM(LEN(A265)-LEN(SUBSTITUTE(A265,{"0","1","2"},"")))))))),1))*ROW(INDIRECT("1:"&amp;LEN((LEFT(A265,SUM(LEN(A265)-LEN(SUBSTITUTE(A265,{"0","1","2"},"")))))))),0),ROW(INDIRECT("1:"&amp;LEN((LEFT(A265,SUM(LEN(A265)-LEN(SUBSTITUTE(A265,{"0","1","2"},"")))))))))+1,1)*10^ROW(INDIRECT("1:"&amp;LEN((LEFT(A265,SUM(LEN(A265)-LEN(SUBSTITUTE(A265,{"0","1","2"},""))))))))/10))*100+1</f>
        <v>801</v>
      </c>
      <c r="P266" s="23">
        <f ca="1">(SUMPRODUCT(MID(0&amp;(--TRIM(RIGHT(SUBSTITUTE(LEFT(A265,_xlfn.AGGREGATE(16,6,FIND({0,1,2,3,4,5,6,7,8,9},A265,ROW(INDIRECT("1:"&amp;LEN(A265)))),1))," ",REPT(" ",LEN(A265))),LEN(A265)))),LARGE(INDEX(ISNUMBER(--MID((--TRIM(RIGHT(SUBSTITUTE(LEFT(A265,_xlfn.AGGREGATE(16,6,FIND({0,1,2,3,4,5,6,7,8,9},A265,ROW(INDIRECT("1:"&amp;LEN(A265)))),1))," ",REPT(" ",LEN(A265))),LEN(A265)))),ROW(INDIRECT("1:"&amp;LEN((--TRIM(RIGHT(SUBSTITUTE(LEFT(A265,_xlfn.AGGREGATE(16,6,FIND({0,1,2,3,4,5,6,7,8,9},A265,ROW(INDIRECT("1:"&amp;LEN(A265)))),1))," ",REPT(" ",LEN(A265))),LEN(A265))))))),1))*ROW(INDIRECT("1:"&amp;LEN((--TRIM(RIGHT(SUBSTITUTE(LEFT(A265,_xlfn.AGGREGATE(16,6,FIND({0,1,2,3,4,5,6,7,8,9},A265,ROW(INDIRECT("1:"&amp;LEN(A265)))),1))," ",REPT(" ",LEN(A265))),LEN(A265))))))),0),ROW(INDIRECT("1:"&amp;LEN((--TRIM(RIGHT(SUBSTITUTE(LEFT(A265,_xlfn.AGGREGATE(16,6,FIND({0,1,2,3,4,5,6,7,8,9},A265,ROW(INDIRECT("1:"&amp;LEN(A265)))),1))," ",REPT(" ",LEN(A265))),LEN(A265))))))))+1,1)*10^ROW(INDIRECT("1:"&amp;LEN((--TRIM(RIGHT(SUBSTITUTE(LEFT(A265,_xlfn.AGGREGATE(16,6,FIND({0,1,2,3,4,5,6,7,8,9},A265,ROW(INDIRECT("1:"&amp;LEN(A265)))),1))," ",REPT(" ",LEN(A265))),LEN(A265)))))))/10))*100+1</f>
        <v>1001</v>
      </c>
    </row>
    <row r="267" spans="1:16" s="23" customFormat="1" ht="15.75" hidden="1" customHeight="1">
      <c r="A267" s="151" t="str">
        <f t="shared" ca="1" si="26"/>
        <v>802,..,1002</v>
      </c>
      <c r="B267" s="152"/>
      <c r="C267" s="59" t="s">
        <v>207</v>
      </c>
      <c r="D267" s="59">
        <f>(10.14+3.36+8.25+1.45+1.8+1*1.2+1*2.1+0.7*(2.1+2.75))*10.764</f>
        <v>341.16497999999996</v>
      </c>
      <c r="E267" s="59">
        <f>(2.9*1.5)*10.764</f>
        <v>46.823399999999992</v>
      </c>
      <c r="F267" s="59">
        <f t="shared" ref="F267:F279" si="28">D267*(($F$209)+1)+E267</f>
        <v>558.5708699999999</v>
      </c>
      <c r="G267" s="169"/>
      <c r="H267" s="170"/>
      <c r="I267" s="60"/>
      <c r="N267" s="23" t="str">
        <f t="shared" ca="1" si="27"/>
        <v>802,..,1002</v>
      </c>
      <c r="O267" s="23">
        <f t="shared" ref="O267:O279" ca="1" si="29">O266+1</f>
        <v>802</v>
      </c>
      <c r="P267" s="23">
        <f t="shared" ref="P267:P279" ca="1" si="30">P266+1</f>
        <v>1002</v>
      </c>
    </row>
    <row r="268" spans="1:16" s="23" customFormat="1" ht="15.75" hidden="1" customHeight="1">
      <c r="A268" s="151" t="str">
        <f t="shared" ca="1" si="26"/>
        <v>803,..,1003</v>
      </c>
      <c r="B268" s="152"/>
      <c r="C268" s="59" t="s">
        <v>207</v>
      </c>
      <c r="D268" s="59">
        <f>(10.14+3.36+8.25+1.45+1.8+1*1.2+1*2.1+0.7*(2.1+2.75))*10.764</f>
        <v>341.16497999999996</v>
      </c>
      <c r="E268" s="59">
        <f>(2.9*1.5)*10.764</f>
        <v>46.823399999999992</v>
      </c>
      <c r="F268" s="59">
        <f t="shared" si="28"/>
        <v>558.5708699999999</v>
      </c>
      <c r="G268" s="169"/>
      <c r="H268" s="170"/>
      <c r="I268" s="60"/>
      <c r="N268" s="23" t="str">
        <f t="shared" ca="1" si="27"/>
        <v>803,..,1003</v>
      </c>
      <c r="O268" s="23">
        <f t="shared" ca="1" si="29"/>
        <v>803</v>
      </c>
      <c r="P268" s="23">
        <f t="shared" ca="1" si="30"/>
        <v>1003</v>
      </c>
    </row>
    <row r="269" spans="1:16" s="23" customFormat="1" ht="15.75" hidden="1" customHeight="1">
      <c r="A269" s="151" t="str">
        <f t="shared" ca="1" si="26"/>
        <v>804,..,1004</v>
      </c>
      <c r="B269" s="152"/>
      <c r="C269" s="59" t="s">
        <v>207</v>
      </c>
      <c r="D269" s="59">
        <f>(10.88+3.3+9.49+2.52+2.52+1.5*1.1+2*1.1+0.7*(1.2+4.5))*10.764</f>
        <v>393.42420000000004</v>
      </c>
      <c r="E269" s="59">
        <v>0</v>
      </c>
      <c r="F269" s="59">
        <f t="shared" si="28"/>
        <v>590.13630000000012</v>
      </c>
      <c r="G269" s="169"/>
      <c r="H269" s="170"/>
      <c r="I269" s="60"/>
      <c r="N269" s="23" t="str">
        <f t="shared" ca="1" si="27"/>
        <v>804,..,1004</v>
      </c>
      <c r="O269" s="23">
        <f t="shared" ca="1" si="29"/>
        <v>804</v>
      </c>
      <c r="P269" s="23">
        <f t="shared" ca="1" si="30"/>
        <v>1004</v>
      </c>
    </row>
    <row r="270" spans="1:16" s="23" customFormat="1" ht="15.75" hidden="1" customHeight="1">
      <c r="A270" s="151" t="str">
        <f t="shared" ca="1" si="26"/>
        <v>805,..,1005</v>
      </c>
      <c r="B270" s="152"/>
      <c r="C270" s="59" t="s">
        <v>203</v>
      </c>
      <c r="D270" s="59">
        <f>(20.145+3.55+6.6+4.73+2.46+2.52+1.2*2.1+1.2*0.6+1.2*(2.75+2.15+2.75+3.05)+0.7*(2.75+2.7+3.6+2.15+2.7))*10.764</f>
        <v>708.43266000000006</v>
      </c>
      <c r="E270" s="59">
        <v>0</v>
      </c>
      <c r="F270" s="59">
        <f t="shared" si="28"/>
        <v>1062.6489900000001</v>
      </c>
      <c r="G270" s="169"/>
      <c r="H270" s="170"/>
      <c r="I270" s="60"/>
      <c r="N270" s="23" t="str">
        <f t="shared" ca="1" si="27"/>
        <v>805,..,1005</v>
      </c>
      <c r="O270" s="23">
        <f t="shared" ca="1" si="29"/>
        <v>805</v>
      </c>
      <c r="P270" s="23">
        <f t="shared" ca="1" si="30"/>
        <v>1005</v>
      </c>
    </row>
    <row r="271" spans="1:16" s="23" customFormat="1" ht="15.75" hidden="1" customHeight="1">
      <c r="A271" s="151" t="str">
        <f t="shared" ca="1" si="26"/>
        <v>806,..,1006</v>
      </c>
      <c r="B271" s="152"/>
      <c r="C271" s="59" t="s">
        <v>203</v>
      </c>
      <c r="D271" s="59">
        <f>(20.145+3.55+6.6+4.73+2.46+2.52+1.2*2.1+1.2*0.6+1.2*(2.75+2.15+3.05)+0.7*(2.75+3.6+2.15+2.7))*10.764</f>
        <v>652.5675</v>
      </c>
      <c r="E271" s="59">
        <f>(2.7*1.6)*10.764</f>
        <v>46.500480000000003</v>
      </c>
      <c r="F271" s="59">
        <f t="shared" si="28"/>
        <v>1025.3517299999999</v>
      </c>
      <c r="G271" s="169"/>
      <c r="H271" s="170"/>
      <c r="I271" s="60"/>
      <c r="N271" s="23" t="str">
        <f t="shared" ca="1" si="27"/>
        <v>806,..,1006</v>
      </c>
      <c r="O271" s="23">
        <f t="shared" ca="1" si="29"/>
        <v>806</v>
      </c>
      <c r="P271" s="23">
        <f t="shared" ca="1" si="30"/>
        <v>1006</v>
      </c>
    </row>
    <row r="272" spans="1:16" s="23" customFormat="1" ht="15.75" hidden="1" customHeight="1">
      <c r="A272" s="151" t="str">
        <f t="shared" ca="1" si="26"/>
        <v>807,..,1007</v>
      </c>
      <c r="B272" s="152"/>
      <c r="C272" s="59" t="s">
        <v>207</v>
      </c>
      <c r="D272" s="59">
        <f>(12.09+3.78+2.4+10.68+2.52+0.9*(2+2)+2.1*0.3+0.7*2)*10.764</f>
        <v>399.34440000000001</v>
      </c>
      <c r="E272" s="59">
        <f>(2.75*1.2)*10.764</f>
        <v>35.521199999999993</v>
      </c>
      <c r="F272" s="59">
        <f t="shared" si="28"/>
        <v>634.53780000000006</v>
      </c>
      <c r="G272" s="169"/>
      <c r="H272" s="170"/>
      <c r="I272" s="60"/>
      <c r="N272" s="23" t="str">
        <f t="shared" ca="1" si="27"/>
        <v>807,..,1007</v>
      </c>
      <c r="O272" s="23">
        <f t="shared" ca="1" si="29"/>
        <v>807</v>
      </c>
      <c r="P272" s="23">
        <f t="shared" ca="1" si="30"/>
        <v>1007</v>
      </c>
    </row>
    <row r="273" spans="1:16" s="23" customFormat="1" ht="15.75" hidden="1" customHeight="1">
      <c r="A273" s="151" t="str">
        <f t="shared" ca="1" si="26"/>
        <v>808,..,1008</v>
      </c>
      <c r="B273" s="152"/>
      <c r="C273" s="59" t="s">
        <v>203</v>
      </c>
      <c r="D273" s="59">
        <f>(24.97+3.33+6.6+4.73+2.46+2.52+1.2*2.4+1.2*0.6+1.2*(2.75+3.05+2.15)+0.7*(2.75+2.15+3.05+3.4))*10.764</f>
        <v>707.1409799999999</v>
      </c>
      <c r="E273" s="59">
        <f>(2.7*1.5)*10.764</f>
        <v>43.594200000000008</v>
      </c>
      <c r="F273" s="59">
        <f t="shared" si="28"/>
        <v>1104.3056699999997</v>
      </c>
      <c r="G273" s="169"/>
      <c r="H273" s="170"/>
      <c r="I273" s="60"/>
      <c r="N273" s="23" t="str">
        <f t="shared" ca="1" si="27"/>
        <v>808,..,1008</v>
      </c>
      <c r="O273" s="23">
        <f t="shared" ca="1" si="29"/>
        <v>808</v>
      </c>
      <c r="P273" s="23">
        <f t="shared" ca="1" si="30"/>
        <v>1008</v>
      </c>
    </row>
    <row r="274" spans="1:16" s="23" customFormat="1" ht="15.75" hidden="1" customHeight="1">
      <c r="A274" s="151" t="str">
        <f t="shared" ca="1" si="26"/>
        <v>809,..,1009</v>
      </c>
      <c r="B274" s="152"/>
      <c r="C274" s="59" t="s">
        <v>203</v>
      </c>
      <c r="D274" s="59">
        <f>(15.59+3.67+4.12+6.87+2.7+2.52+0.9*2.75+1.2*1.4+0.7*(2.45+2.75+2.75)+0.3*2.4)*10.764</f>
        <v>494.17524000000003</v>
      </c>
      <c r="E274" s="59">
        <f>(2.7*1.5)*10.764</f>
        <v>43.594200000000008</v>
      </c>
      <c r="F274" s="59">
        <f t="shared" si="28"/>
        <v>784.85706000000005</v>
      </c>
      <c r="G274" s="169"/>
      <c r="H274" s="170"/>
      <c r="I274" s="60"/>
      <c r="N274" s="23" t="str">
        <f t="shared" ca="1" si="27"/>
        <v>809,..,1009</v>
      </c>
      <c r="O274" s="23">
        <f t="shared" ca="1" si="29"/>
        <v>809</v>
      </c>
      <c r="P274" s="23">
        <f t="shared" ca="1" si="30"/>
        <v>1009</v>
      </c>
    </row>
    <row r="275" spans="1:16" s="23" customFormat="1" ht="15.75" hidden="1" customHeight="1">
      <c r="A275" s="151" t="str">
        <f t="shared" ca="1" si="26"/>
        <v>810,..,1010</v>
      </c>
      <c r="B275" s="152"/>
      <c r="C275" s="59" t="s">
        <v>207</v>
      </c>
      <c r="D275" s="59">
        <f>(12.35+4.35+6.87+2.18+2.53+1.8*0.9+0.7*(2.75+2.05)+0.45*2.4)*10.764</f>
        <v>369.63576</v>
      </c>
      <c r="E275" s="59">
        <f>(1.7*2.45)*10.764</f>
        <v>44.832059999999998</v>
      </c>
      <c r="F275" s="59">
        <f t="shared" si="28"/>
        <v>599.28569999999991</v>
      </c>
      <c r="G275" s="169"/>
      <c r="H275" s="170"/>
      <c r="I275" s="60"/>
      <c r="N275" s="23" t="str">
        <f t="shared" ca="1" si="27"/>
        <v>810,..,1010</v>
      </c>
      <c r="O275" s="23">
        <f t="shared" ca="1" si="29"/>
        <v>810</v>
      </c>
      <c r="P275" s="23">
        <f t="shared" ca="1" si="30"/>
        <v>1010</v>
      </c>
    </row>
    <row r="276" spans="1:16" s="23" customFormat="1" ht="15.75" hidden="1" customHeight="1">
      <c r="A276" s="151" t="str">
        <f t="shared" ca="1" si="26"/>
        <v>811,..,1011</v>
      </c>
      <c r="B276" s="152"/>
      <c r="C276" s="59" t="s">
        <v>207</v>
      </c>
      <c r="D276" s="59">
        <f>(12.35+4.35+6.87+2.18+2.53+1.8*0.9+0.7*(2.75+2.05)+0.45*2.4)*10.764</f>
        <v>369.63576</v>
      </c>
      <c r="E276" s="59">
        <f>(1.7*2.45)*10.764</f>
        <v>44.832059999999998</v>
      </c>
      <c r="F276" s="59">
        <f t="shared" si="28"/>
        <v>599.28569999999991</v>
      </c>
      <c r="G276" s="169"/>
      <c r="H276" s="170"/>
      <c r="I276" s="60"/>
      <c r="N276" s="23" t="str">
        <f t="shared" ca="1" si="27"/>
        <v>811,..,1011</v>
      </c>
      <c r="O276" s="23">
        <f t="shared" ca="1" si="29"/>
        <v>811</v>
      </c>
      <c r="P276" s="23">
        <f t="shared" ca="1" si="30"/>
        <v>1011</v>
      </c>
    </row>
    <row r="277" spans="1:16" s="23" customFormat="1" ht="15.75" hidden="1" customHeight="1">
      <c r="A277" s="151" t="str">
        <f t="shared" ca="1" si="26"/>
        <v>812,..,1012</v>
      </c>
      <c r="B277" s="152"/>
      <c r="C277" s="59" t="s">
        <v>203</v>
      </c>
      <c r="D277" s="59">
        <f>(15.59+3.67+4.12+6.87+2.52+2.7+1.2*1.7+0.9*2.75+2.4*0.45+1.2*(2.45+2.75+2.75)+0.7*(2.45+2.75+2.75))*10.764</f>
        <v>604.61387999999999</v>
      </c>
      <c r="E277" s="59">
        <f>(2.7*1.5)*10.764</f>
        <v>43.594200000000008</v>
      </c>
      <c r="F277" s="59">
        <f t="shared" si="28"/>
        <v>950.51502000000005</v>
      </c>
      <c r="G277" s="169"/>
      <c r="H277" s="170"/>
      <c r="I277" s="60"/>
      <c r="N277" s="23" t="str">
        <f t="shared" ca="1" si="27"/>
        <v>812,..,1012</v>
      </c>
      <c r="O277" s="23">
        <f t="shared" ca="1" si="29"/>
        <v>812</v>
      </c>
      <c r="P277" s="23">
        <f t="shared" ca="1" si="30"/>
        <v>1012</v>
      </c>
    </row>
    <row r="278" spans="1:16" s="23" customFormat="1" ht="15.75" hidden="1" customHeight="1">
      <c r="A278" s="151" t="str">
        <f t="shared" ca="1" si="26"/>
        <v>813,..,1013</v>
      </c>
      <c r="B278" s="152"/>
      <c r="C278" s="59" t="s">
        <v>203</v>
      </c>
      <c r="D278" s="59">
        <f>(24.63+3.33+6.6+4.73+2.46+2.52+1.2*2.4+1.2*0.6+1.2*(2.75+3.05+2.15)+0.7*(2.75+3.05+2.15+3.2))*10.764</f>
        <v>701.97425999999996</v>
      </c>
      <c r="E278" s="59">
        <f>(2.7*1.5)*10.764</f>
        <v>43.594200000000008</v>
      </c>
      <c r="F278" s="59">
        <f t="shared" si="28"/>
        <v>1096.5555899999999</v>
      </c>
      <c r="G278" s="169"/>
      <c r="H278" s="170"/>
      <c r="I278" s="60"/>
      <c r="N278" s="23" t="str">
        <f t="shared" ca="1" si="27"/>
        <v>813,..,1013</v>
      </c>
      <c r="O278" s="23">
        <f t="shared" ca="1" si="29"/>
        <v>813</v>
      </c>
      <c r="P278" s="23">
        <f t="shared" ca="1" si="30"/>
        <v>1013</v>
      </c>
    </row>
    <row r="279" spans="1:16" s="23" customFormat="1" ht="15.75" hidden="1" customHeight="1">
      <c r="A279" s="151" t="str">
        <f t="shared" ca="1" si="26"/>
        <v>814,..,1014</v>
      </c>
      <c r="B279" s="152"/>
      <c r="C279" s="59" t="s">
        <v>203</v>
      </c>
      <c r="D279" s="59">
        <f>(24.63+3.33+6.6+4.73+2.46+2.52+1.2*2.3+1.2*0.6+1.4*(2.15+2.75+3.05)+0.7*(2.15+3.05+2.75+3.5))*10.764</f>
        <v>720.05778000000009</v>
      </c>
      <c r="E279" s="59">
        <f>(2.75*1.7)*10.764</f>
        <v>50.321699999999993</v>
      </c>
      <c r="F279" s="59">
        <f t="shared" si="28"/>
        <v>1130.4083700000001</v>
      </c>
      <c r="G279" s="171"/>
      <c r="H279" s="172"/>
      <c r="I279" s="60"/>
      <c r="N279" s="23" t="str">
        <f t="shared" ca="1" si="27"/>
        <v>814,..,1014</v>
      </c>
      <c r="O279" s="23">
        <f t="shared" ca="1" si="29"/>
        <v>814</v>
      </c>
      <c r="P279" s="23">
        <f t="shared" ca="1" si="30"/>
        <v>1014</v>
      </c>
    </row>
    <row r="280" spans="1:16" s="21" customFormat="1" hidden="1">
      <c r="A280" s="69" t="s">
        <v>211</v>
      </c>
      <c r="B280" s="69"/>
      <c r="C280" s="69"/>
      <c r="D280" s="69"/>
      <c r="E280" s="69"/>
      <c r="F280" s="69"/>
      <c r="G280" s="69"/>
      <c r="H280" s="69"/>
    </row>
    <row r="281" spans="1:16" s="21" customFormat="1" hidden="1">
      <c r="A281" s="69"/>
      <c r="B281" s="69"/>
      <c r="C281" s="69"/>
      <c r="D281" s="69"/>
      <c r="E281" s="69"/>
      <c r="F281" s="69"/>
      <c r="G281" s="69"/>
      <c r="H281" s="69"/>
    </row>
    <row r="282" spans="1:16" s="21" customFormat="1" hidden="1">
      <c r="A282" s="69"/>
      <c r="B282" s="69"/>
      <c r="C282" s="69"/>
      <c r="D282" s="69"/>
      <c r="E282" s="69"/>
      <c r="F282" s="69"/>
      <c r="G282" s="69"/>
      <c r="H282" s="69"/>
    </row>
    <row r="283" spans="1:16" s="23" customFormat="1" ht="15.75" hidden="1" customHeight="1">
      <c r="A283" s="166">
        <v>101</v>
      </c>
      <c r="B283" s="166"/>
      <c r="C283" s="59" t="s">
        <v>207</v>
      </c>
      <c r="D283" s="59">
        <f>(10.54+4.62+6.6+1.08+1.44+0.9*2.2+1.2*2.75+0.7*(2.75+2.2)+0.3*1.5)*10.764</f>
        <v>360.32490000000001</v>
      </c>
      <c r="E283" s="59">
        <f>(2.75*2.2)*10.764</f>
        <v>65.122200000000007</v>
      </c>
      <c r="F283" s="59">
        <f>D283*(($F$209)+1)+E283</f>
        <v>605.60955000000001</v>
      </c>
      <c r="G283" s="167">
        <f>A282</f>
        <v>0</v>
      </c>
      <c r="H283" s="168"/>
      <c r="I283" s="60"/>
      <c r="N283" s="60"/>
    </row>
    <row r="284" spans="1:16" s="23" customFormat="1" ht="15.75" hidden="1" customHeight="1">
      <c r="A284" s="166">
        <f>A283+1</f>
        <v>102</v>
      </c>
      <c r="B284" s="166"/>
      <c r="C284" s="59" t="s">
        <v>203</v>
      </c>
      <c r="D284" s="59">
        <f>(14.54+3.3+4.12+6.88+2.52+2.34+0.9*4+1.2*0.3+1.2*(2.75+2.75+2.2)+0.7*(2.75+2.75+2.2))*10.764</f>
        <v>562.84956</v>
      </c>
      <c r="E284" s="59">
        <f>(2*2.7)*10.764</f>
        <v>58.125599999999999</v>
      </c>
      <c r="F284" s="59">
        <f>D284*(($F$209)+1)+E284</f>
        <v>902.3999399999999</v>
      </c>
      <c r="G284" s="169"/>
      <c r="H284" s="170"/>
      <c r="I284" s="60"/>
      <c r="N284" s="60"/>
    </row>
    <row r="285" spans="1:16" s="23" customFormat="1" ht="15.75" hidden="1" customHeight="1">
      <c r="A285" s="166">
        <f>A284+1</f>
        <v>103</v>
      </c>
      <c r="B285" s="166"/>
      <c r="C285" s="59" t="s">
        <v>203</v>
      </c>
      <c r="D285" s="59">
        <f>(14.54+3.3+4.12+6.88+2.52+2.34+0.9*4+1.2*0.3+1.2*(2.75+2.75+2.2)+0.7*(2.75+2.75+2.2))*10.764</f>
        <v>562.84956</v>
      </c>
      <c r="E285" s="59">
        <f>(2*2.7)*10.764</f>
        <v>58.125599999999999</v>
      </c>
      <c r="F285" s="59">
        <f>D285*(($F$209)+1)+E285</f>
        <v>902.3999399999999</v>
      </c>
      <c r="G285" s="169"/>
      <c r="H285" s="170"/>
      <c r="I285" s="60"/>
      <c r="N285" s="60"/>
    </row>
    <row r="286" spans="1:16" s="23" customFormat="1" ht="15.75" hidden="1" customHeight="1">
      <c r="A286" s="166">
        <f>A285+1</f>
        <v>104</v>
      </c>
      <c r="B286" s="166"/>
      <c r="C286" s="59" t="s">
        <v>203</v>
      </c>
      <c r="D286" s="59">
        <f>(14.54+3.3+4.12+6.88+2.52+2.34+0.9*4+1.2*0.3+1.2*(2.75+2.75+2.2)+0.7*(2.75+2.75+2.2))*10.764</f>
        <v>562.84956</v>
      </c>
      <c r="E286" s="59">
        <f>(2*2.7)*10.764</f>
        <v>58.125599999999999</v>
      </c>
      <c r="F286" s="59">
        <f>D286*(($F$209)+1)+E286</f>
        <v>902.3999399999999</v>
      </c>
      <c r="G286" s="169"/>
      <c r="H286" s="170"/>
      <c r="I286" s="60"/>
      <c r="N286" s="60"/>
    </row>
    <row r="287" spans="1:16" s="23" customFormat="1" ht="15.75" hidden="1" customHeight="1">
      <c r="A287" s="166">
        <f>A286+1</f>
        <v>105</v>
      </c>
      <c r="B287" s="166"/>
      <c r="C287" s="59" t="s">
        <v>203</v>
      </c>
      <c r="D287" s="59">
        <f>(15.44+3.36+4.88+7.71+2.52+2.52+0.9*(1.2+1.2)+0.7*(2.1+3.05+3.1+2.4))*10.764</f>
        <v>495.62837999999999</v>
      </c>
      <c r="E287" s="59">
        <f>(2.4*1.5)*10.764</f>
        <v>38.750399999999992</v>
      </c>
      <c r="F287" s="59">
        <f>D287*(($F$209)+1)+E287</f>
        <v>782.19296999999995</v>
      </c>
      <c r="G287" s="171"/>
      <c r="H287" s="172"/>
      <c r="I287" s="60"/>
      <c r="N287" s="60"/>
    </row>
    <row r="288" spans="1:16" s="21" customFormat="1" hidden="1">
      <c r="A288" s="69" t="s">
        <v>206</v>
      </c>
      <c r="B288" s="69"/>
      <c r="C288" s="69"/>
      <c r="D288" s="69"/>
      <c r="E288" s="69"/>
      <c r="F288" s="69"/>
      <c r="G288" s="69"/>
      <c r="H288" s="69"/>
    </row>
    <row r="289" spans="1:16" s="23" customFormat="1" hidden="1">
      <c r="A289" s="166">
        <v>101</v>
      </c>
      <c r="B289" s="166"/>
      <c r="C289" s="59" t="s">
        <v>207</v>
      </c>
      <c r="D289" s="59">
        <f>(10.54+4.62+6.6+1.08+1.44+0.9*2.2+1.2*2.75+0.7*(2.75+2.2)+0.3*1.5)*10.764</f>
        <v>360.32490000000001</v>
      </c>
      <c r="E289" s="59">
        <f>(2.75*2.2)*10.764</f>
        <v>65.122200000000007</v>
      </c>
      <c r="F289" s="59">
        <f t="shared" ref="F289:F295" si="31">D289*(($F$209)+1)+E289</f>
        <v>605.60955000000001</v>
      </c>
      <c r="G289" s="167" t="str">
        <f>A288</f>
        <v xml:space="preserve">2nd Floor </v>
      </c>
      <c r="H289" s="168"/>
      <c r="I289" s="60"/>
      <c r="N289" s="60"/>
    </row>
    <row r="290" spans="1:16" s="23" customFormat="1" hidden="1">
      <c r="A290" s="166">
        <f t="shared" ref="A290:A295" si="32">A289+1</f>
        <v>102</v>
      </c>
      <c r="B290" s="166"/>
      <c r="C290" s="59" t="s">
        <v>212</v>
      </c>
      <c r="D290" s="59">
        <f>(14.54+3.3+4.12+6.88+2.52+2.34+0.9*4+1.2*0.3+1.2*(2.75+2.75+2.2)+0.7*(2.75+2.75+2.2))*10.764</f>
        <v>562.84956</v>
      </c>
      <c r="E290" s="59">
        <f>(2*2.7)*10.764</f>
        <v>58.125599999999999</v>
      </c>
      <c r="F290" s="59">
        <f t="shared" si="31"/>
        <v>902.3999399999999</v>
      </c>
      <c r="G290" s="169"/>
      <c r="H290" s="170"/>
      <c r="I290" s="60"/>
      <c r="N290" s="60"/>
    </row>
    <row r="291" spans="1:16" s="23" customFormat="1" hidden="1">
      <c r="A291" s="166">
        <f t="shared" si="32"/>
        <v>103</v>
      </c>
      <c r="B291" s="166"/>
      <c r="C291" s="59" t="s">
        <v>203</v>
      </c>
      <c r="D291" s="59">
        <f>(14.54+3.3+4.12+6.88+2.52+2.34+0.9*4+1.2*0.3+1.2*(2.75+2.75+2.2)+0.7*(2.75+2.75+2.2))*10.764</f>
        <v>562.84956</v>
      </c>
      <c r="E291" s="59">
        <f>(2*2.7)*10.764</f>
        <v>58.125599999999999</v>
      </c>
      <c r="F291" s="59">
        <f t="shared" si="31"/>
        <v>902.3999399999999</v>
      </c>
      <c r="G291" s="169"/>
      <c r="H291" s="170"/>
      <c r="I291" s="60"/>
      <c r="N291" s="60"/>
    </row>
    <row r="292" spans="1:16" s="23" customFormat="1" hidden="1">
      <c r="A292" s="166">
        <f t="shared" si="32"/>
        <v>104</v>
      </c>
      <c r="B292" s="166"/>
      <c r="C292" s="59" t="s">
        <v>203</v>
      </c>
      <c r="D292" s="59">
        <f>(14.54+3.3+4.12+6.88+2.52+2.34+0.9*4+1.2*0.3+1.2*(2.75+2.75+2.2)+0.7*(2.75+2.75+2.2))*10.764</f>
        <v>562.84956</v>
      </c>
      <c r="E292" s="59">
        <f>(2*2.7)*10.764</f>
        <v>58.125599999999999</v>
      </c>
      <c r="F292" s="59">
        <f t="shared" si="31"/>
        <v>902.3999399999999</v>
      </c>
      <c r="G292" s="169"/>
      <c r="H292" s="170"/>
      <c r="I292" s="60"/>
      <c r="N292" s="60"/>
    </row>
    <row r="293" spans="1:16" s="23" customFormat="1" hidden="1">
      <c r="A293" s="166">
        <f t="shared" si="32"/>
        <v>105</v>
      </c>
      <c r="B293" s="166"/>
      <c r="C293" s="59" t="s">
        <v>203</v>
      </c>
      <c r="D293" s="59">
        <f>(15.44+3.36+4.88+7.71+2.52+2.52+0.9*(1.2+1.2)+0.7*(2.1+3.05+3.1+2.4))*10.764</f>
        <v>495.62837999999999</v>
      </c>
      <c r="E293" s="59">
        <f>(2.4*1.5)*10.764</f>
        <v>38.750399999999992</v>
      </c>
      <c r="F293" s="59">
        <f t="shared" si="31"/>
        <v>782.19296999999995</v>
      </c>
      <c r="G293" s="169"/>
      <c r="H293" s="170"/>
      <c r="I293" s="60"/>
      <c r="N293" s="60"/>
    </row>
    <row r="294" spans="1:16" s="23" customFormat="1" hidden="1">
      <c r="A294" s="166">
        <f t="shared" si="32"/>
        <v>106</v>
      </c>
      <c r="B294" s="166"/>
      <c r="C294" s="59" t="s">
        <v>207</v>
      </c>
      <c r="D294" s="59">
        <f>(14.54+3.3+4.12+6.88+2.52+2.34+0.9*4+1.2*0.3+1.2*(2.75+2.75+2.2)+0.7*(2.75+2.75+2.2))*10.764</f>
        <v>562.84956</v>
      </c>
      <c r="E294" s="59">
        <f>(2*2.7)*10.764</f>
        <v>58.125599999999999</v>
      </c>
      <c r="F294" s="59">
        <f t="shared" si="31"/>
        <v>902.3999399999999</v>
      </c>
      <c r="G294" s="169"/>
      <c r="H294" s="170"/>
      <c r="I294" s="60"/>
      <c r="N294" s="60"/>
    </row>
    <row r="295" spans="1:16" s="23" customFormat="1" hidden="1">
      <c r="A295" s="166">
        <f t="shared" si="32"/>
        <v>107</v>
      </c>
      <c r="B295" s="166"/>
      <c r="C295" s="59" t="s">
        <v>207</v>
      </c>
      <c r="D295" s="59">
        <f>(15.44+3.36+4.88+7.71+2.52+2.52+0.9*(1.2+1.2)+0.7*(2.1+3.05+3.1+2.4))*10.764</f>
        <v>495.62837999999999</v>
      </c>
      <c r="E295" s="59">
        <f>(2.4*1.5)*10.764</f>
        <v>38.750399999999992</v>
      </c>
      <c r="F295" s="59">
        <f t="shared" si="31"/>
        <v>782.19296999999995</v>
      </c>
      <c r="G295" s="171"/>
      <c r="H295" s="172"/>
      <c r="I295" s="60"/>
      <c r="N295" s="60"/>
    </row>
    <row r="296" spans="1:16" s="23" customFormat="1" ht="15.75" hidden="1" customHeight="1">
      <c r="A296" s="148" t="s">
        <v>213</v>
      </c>
      <c r="B296" s="149"/>
      <c r="C296" s="149"/>
      <c r="D296" s="149"/>
      <c r="E296" s="149"/>
      <c r="F296" s="149"/>
      <c r="G296" s="149"/>
      <c r="H296" s="150"/>
      <c r="I296" s="60"/>
    </row>
    <row r="297" spans="1:16" s="23" customFormat="1" ht="15.75" hidden="1" customHeight="1">
      <c r="A297" s="151" t="str">
        <f t="shared" ref="A297:A303" ca="1" si="33">N297</f>
        <v>301,..,1101</v>
      </c>
      <c r="B297" s="152"/>
      <c r="C297" s="59" t="s">
        <v>207</v>
      </c>
      <c r="D297" s="59">
        <f>(10.54+4.62+6.6+1.08+1.44+0.9*2.2+2.75*1.2+0.7*(2.75+2.2))*10.764</f>
        <v>355.48109999999997</v>
      </c>
      <c r="E297" s="59">
        <f>(2.75*2)*10.764</f>
        <v>59.201999999999998</v>
      </c>
      <c r="F297" s="59">
        <f>D297*(($F$209)+1)+E297</f>
        <v>592.42364999999995</v>
      </c>
      <c r="G297" s="167" t="str">
        <f>A296</f>
        <v xml:space="preserve"> 3th, 5th, 7th, 9th &amp; 11th Floor</v>
      </c>
      <c r="H297" s="168"/>
      <c r="I297" s="60"/>
      <c r="N297" s="23" t="str">
        <f t="shared" ref="N297:N303" ca="1" si="34">O297&amp;""&amp;",..,"&amp;""&amp;P297</f>
        <v>301,..,1101</v>
      </c>
      <c r="O297" s="23">
        <f ca="1">(SUMPRODUCT(MID(0&amp;(LEFT(A296,SUM(LEN(A296)-LEN(SUBSTITUTE(A296,{"0","1","2"},""))))),LARGE(INDEX(ISNUMBER(--MID((LEFT(A296,SUM(LEN(A296)-LEN(SUBSTITUTE(A296,{"0","1","2"},""))))),ROW(INDIRECT("1:"&amp;LEN((LEFT(A296,SUM(LEN(A296)-LEN(SUBSTITUTE(A296,{"0","1","2"},"")))))))),1))*ROW(INDIRECT("1:"&amp;LEN((LEFT(A296,SUM(LEN(A296)-LEN(SUBSTITUTE(A296,{"0","1","2"},"")))))))),0),ROW(INDIRECT("1:"&amp;LEN((LEFT(A296,SUM(LEN(A296)-LEN(SUBSTITUTE(A296,{"0","1","2"},"")))))))))+1,1)*10^ROW(INDIRECT("1:"&amp;LEN((LEFT(A296,SUM(LEN(A296)-LEN(SUBSTITUTE(A296,{"0","1","2"},""))))))))/10))*100+1</f>
        <v>301</v>
      </c>
      <c r="P297" s="23">
        <f ca="1">(SUMPRODUCT(MID(0&amp;(--TRIM(RIGHT(SUBSTITUTE(LEFT(A296,_xlfn.AGGREGATE(16,6,FIND({0,1,2,3,4,5,6,7,8,9},A296,ROW(INDIRECT("1:"&amp;LEN(A296)))),1))," ",REPT(" ",LEN(A296))),LEN(A296)))),LARGE(INDEX(ISNUMBER(--MID((--TRIM(RIGHT(SUBSTITUTE(LEFT(A296,_xlfn.AGGREGATE(16,6,FIND({0,1,2,3,4,5,6,7,8,9},A296,ROW(INDIRECT("1:"&amp;LEN(A296)))),1))," ",REPT(" ",LEN(A296))),LEN(A296)))),ROW(INDIRECT("1:"&amp;LEN((--TRIM(RIGHT(SUBSTITUTE(LEFT(A296,_xlfn.AGGREGATE(16,6,FIND({0,1,2,3,4,5,6,7,8,9},A296,ROW(INDIRECT("1:"&amp;LEN(A296)))),1))," ",REPT(" ",LEN(A296))),LEN(A296))))))),1))*ROW(INDIRECT("1:"&amp;LEN((--TRIM(RIGHT(SUBSTITUTE(LEFT(A296,_xlfn.AGGREGATE(16,6,FIND({0,1,2,3,4,5,6,7,8,9},A296,ROW(INDIRECT("1:"&amp;LEN(A296)))),1))," ",REPT(" ",LEN(A296))),LEN(A296))))))),0),ROW(INDIRECT("1:"&amp;LEN((--TRIM(RIGHT(SUBSTITUTE(LEFT(A296,_xlfn.AGGREGATE(16,6,FIND({0,1,2,3,4,5,6,7,8,9},A296,ROW(INDIRECT("1:"&amp;LEN(A296)))),1))," ",REPT(" ",LEN(A296))),LEN(A296))))))))+1,1)*10^ROW(INDIRECT("1:"&amp;LEN((--TRIM(RIGHT(SUBSTITUTE(LEFT(A296,_xlfn.AGGREGATE(16,6,FIND({0,1,2,3,4,5,6,7,8,9},A296,ROW(INDIRECT("1:"&amp;LEN(A296)))),1))," ",REPT(" ",LEN(A296))),LEN(A296)))))))/10))*100+1</f>
        <v>1101</v>
      </c>
    </row>
    <row r="298" spans="1:16" s="23" customFormat="1" ht="15.75" hidden="1" customHeight="1">
      <c r="A298" s="151" t="str">
        <f t="shared" ca="1" si="33"/>
        <v>302,..,1102</v>
      </c>
      <c r="B298" s="152"/>
      <c r="C298" s="59" t="s">
        <v>203</v>
      </c>
      <c r="D298" s="59">
        <f>(14.64+3.3+4.12+6.88+2.52+2.34+0.9*3.9+0.6*1.2+1.2*(2.75+2.75+2.2)+0.7*(2.75+2.75+2.2))*10.764</f>
        <v>566.83223999999996</v>
      </c>
      <c r="E298" s="59">
        <f>(2.5*2)*10.764</f>
        <v>53.819999999999993</v>
      </c>
      <c r="F298" s="59">
        <f t="shared" ref="F298:F303" si="35">D298*(($F$209)+1)+E298</f>
        <v>904.06835999999998</v>
      </c>
      <c r="G298" s="169"/>
      <c r="H298" s="170"/>
      <c r="I298" s="60"/>
      <c r="N298" s="23" t="str">
        <f t="shared" ca="1" si="34"/>
        <v>302,..,1102</v>
      </c>
      <c r="O298" s="23">
        <f t="shared" ref="O298:P303" ca="1" si="36">O297+1</f>
        <v>302</v>
      </c>
      <c r="P298" s="23">
        <f t="shared" ca="1" si="36"/>
        <v>1102</v>
      </c>
    </row>
    <row r="299" spans="1:16" s="23" customFormat="1" ht="15.75" hidden="1" customHeight="1">
      <c r="A299" s="151" t="str">
        <f t="shared" ca="1" si="33"/>
        <v>303,..,1103</v>
      </c>
      <c r="B299" s="152"/>
      <c r="C299" s="59" t="s">
        <v>203</v>
      </c>
      <c r="D299" s="59">
        <f>(14.64+3.3+4.12+6.88+2.52+2.34+0.9*3.9+0.6*1.2+1.2*(2.75+2.75+2.2)+0.7*(2.75+2.75+2.2))*10.764</f>
        <v>566.83223999999996</v>
      </c>
      <c r="E299" s="59">
        <f>(2.5*2)*10.764</f>
        <v>53.819999999999993</v>
      </c>
      <c r="F299" s="59">
        <f t="shared" si="35"/>
        <v>904.06835999999998</v>
      </c>
      <c r="G299" s="169"/>
      <c r="H299" s="170"/>
      <c r="I299" s="60"/>
      <c r="N299" s="23" t="str">
        <f t="shared" ca="1" si="34"/>
        <v>303,..,1103</v>
      </c>
      <c r="O299" s="23">
        <f t="shared" ca="1" si="36"/>
        <v>303</v>
      </c>
      <c r="P299" s="23">
        <f t="shared" ca="1" si="36"/>
        <v>1103</v>
      </c>
    </row>
    <row r="300" spans="1:16" s="23" customFormat="1" ht="15.75" hidden="1" customHeight="1">
      <c r="A300" s="151" t="str">
        <f t="shared" ca="1" si="33"/>
        <v>304,..,1104</v>
      </c>
      <c r="B300" s="152"/>
      <c r="C300" s="59" t="s">
        <v>203</v>
      </c>
      <c r="D300" s="59">
        <f>(14.64+3.3+4.12+6.88+2.52+2.34+0.9*3.9+0.6*1.2+1.2*(2.75+2.75+2.2)+0.7*(2.75+2.75+2.2))*10.764</f>
        <v>566.83223999999996</v>
      </c>
      <c r="E300" s="59">
        <f>(2.5*2)*10.764</f>
        <v>53.819999999999993</v>
      </c>
      <c r="F300" s="59">
        <f t="shared" si="35"/>
        <v>904.06835999999998</v>
      </c>
      <c r="G300" s="169"/>
      <c r="H300" s="170"/>
      <c r="I300" s="60"/>
      <c r="N300" s="23" t="str">
        <f t="shared" ca="1" si="34"/>
        <v>304,..,1104</v>
      </c>
      <c r="O300" s="23">
        <f t="shared" ca="1" si="36"/>
        <v>304</v>
      </c>
      <c r="P300" s="23">
        <f t="shared" ca="1" si="36"/>
        <v>1104</v>
      </c>
    </row>
    <row r="301" spans="1:16" s="23" customFormat="1" ht="15.75" hidden="1" customHeight="1">
      <c r="A301" s="151" t="str">
        <f t="shared" ca="1" si="33"/>
        <v>305,..,1105</v>
      </c>
      <c r="B301" s="152"/>
      <c r="C301" s="59" t="s">
        <v>203</v>
      </c>
      <c r="D301" s="59">
        <f>(15.44+3.36+4.88+7.71+2.52+2.52+0.9*2.5+1.2*(2.1+3.05+3.1)+0.7*(2.1+3.05+3.1+2.4))*10.764</f>
        <v>603.16074000000003</v>
      </c>
      <c r="E301" s="59">
        <f>(2.4*1.5)*10.764</f>
        <v>38.750399999999992</v>
      </c>
      <c r="F301" s="59">
        <f t="shared" si="35"/>
        <v>943.49151000000006</v>
      </c>
      <c r="G301" s="169"/>
      <c r="H301" s="170"/>
      <c r="I301" s="60"/>
      <c r="N301" s="23" t="str">
        <f t="shared" ca="1" si="34"/>
        <v>305,..,1105</v>
      </c>
      <c r="O301" s="23">
        <f t="shared" ca="1" si="36"/>
        <v>305</v>
      </c>
      <c r="P301" s="23">
        <f t="shared" ca="1" si="36"/>
        <v>1105</v>
      </c>
    </row>
    <row r="302" spans="1:16" s="23" customFormat="1" ht="15.75" hidden="1" customHeight="1">
      <c r="A302" s="151" t="str">
        <f t="shared" ca="1" si="33"/>
        <v>306,..,1106</v>
      </c>
      <c r="B302" s="152"/>
      <c r="C302" s="59" t="s">
        <v>207</v>
      </c>
      <c r="D302" s="59">
        <f>(10.82+3.3+8.36+1.44+1.3+1*1.6+0.3*1.3+0.9*2+0.7*(2.75+2))*10.764</f>
        <v>348.05394000000007</v>
      </c>
      <c r="E302" s="59">
        <f>(1.5*2.2)*10.764</f>
        <v>35.5212</v>
      </c>
      <c r="F302" s="59">
        <f t="shared" si="35"/>
        <v>557.60211000000015</v>
      </c>
      <c r="G302" s="169"/>
      <c r="H302" s="170"/>
      <c r="I302" s="60"/>
      <c r="N302" s="23" t="str">
        <f t="shared" ca="1" si="34"/>
        <v>306,..,1106</v>
      </c>
      <c r="O302" s="23">
        <f t="shared" ca="1" si="36"/>
        <v>306</v>
      </c>
      <c r="P302" s="23">
        <f t="shared" ca="1" si="36"/>
        <v>1106</v>
      </c>
    </row>
    <row r="303" spans="1:16" s="23" customFormat="1" ht="15.75" hidden="1" customHeight="1">
      <c r="A303" s="151" t="str">
        <f t="shared" ca="1" si="33"/>
        <v>307,..,1107</v>
      </c>
      <c r="B303" s="152"/>
      <c r="C303" s="59" t="s">
        <v>207</v>
      </c>
      <c r="D303" s="59">
        <f>(10.82+3.3+8.36+1.44+1.3+1*1.6+0.3*1.3+0.9*2+0.7*(2.75+2))*10.764</f>
        <v>348.05394000000007</v>
      </c>
      <c r="E303" s="59">
        <f>(1.5*2.2)*10.764</f>
        <v>35.5212</v>
      </c>
      <c r="F303" s="59">
        <f t="shared" si="35"/>
        <v>557.60211000000015</v>
      </c>
      <c r="G303" s="171"/>
      <c r="H303" s="172"/>
      <c r="I303" s="60"/>
      <c r="N303" s="23" t="str">
        <f t="shared" ca="1" si="34"/>
        <v>307,..,1107</v>
      </c>
      <c r="O303" s="23">
        <f t="shared" ca="1" si="36"/>
        <v>307</v>
      </c>
      <c r="P303" s="23">
        <f t="shared" ca="1" si="36"/>
        <v>1107</v>
      </c>
    </row>
    <row r="304" spans="1:16" s="23" customFormat="1" ht="15.75" hidden="1" customHeight="1">
      <c r="A304" s="148" t="s">
        <v>214</v>
      </c>
      <c r="B304" s="149"/>
      <c r="C304" s="149"/>
      <c r="D304" s="149"/>
      <c r="E304" s="149"/>
      <c r="F304" s="149"/>
      <c r="G304" s="149"/>
      <c r="H304" s="150"/>
      <c r="I304" s="60"/>
    </row>
    <row r="305" spans="1:16" s="23" customFormat="1" ht="15.75" hidden="1" customHeight="1">
      <c r="A305" s="151" t="str">
        <f t="shared" ref="A305:A311" ca="1" si="37">N305</f>
        <v>401,..,1201</v>
      </c>
      <c r="B305" s="152"/>
      <c r="C305" s="59" t="s">
        <v>207</v>
      </c>
      <c r="D305" s="59">
        <f>(10.54+4.62+6.6+1.08+1.44+0.9*2.2+2.75*1.2+0.7*(2.2+2.75)+0.6*1.5)*10.764</f>
        <v>365.16869999999994</v>
      </c>
      <c r="E305" s="59">
        <f>(2.75*1.4)*10.764</f>
        <v>41.441399999999994</v>
      </c>
      <c r="F305" s="59">
        <f>D305*(($F$209)+1)+E305</f>
        <v>589.19444999999996</v>
      </c>
      <c r="G305" s="167" t="str">
        <f>A304</f>
        <v xml:space="preserve"> 4th, 6th &amp; 12th Floor</v>
      </c>
      <c r="H305" s="168"/>
      <c r="I305" s="60"/>
      <c r="N305" s="23" t="str">
        <f t="shared" ref="N305:N311" ca="1" si="38">O305&amp;""&amp;",..,"&amp;""&amp;P305</f>
        <v>401,..,1201</v>
      </c>
      <c r="O305" s="23">
        <f ca="1">(SUMPRODUCT(MID(0&amp;(LEFT(A304,SUM(LEN(A304)-LEN(SUBSTITUTE(A304,{"0","1","2"},""))))),LARGE(INDEX(ISNUMBER(--MID((LEFT(A304,SUM(LEN(A304)-LEN(SUBSTITUTE(A304,{"0","1","2"},""))))),ROW(INDIRECT("1:"&amp;LEN((LEFT(A304,SUM(LEN(A304)-LEN(SUBSTITUTE(A304,{"0","1","2"},"")))))))),1))*ROW(INDIRECT("1:"&amp;LEN((LEFT(A304,SUM(LEN(A304)-LEN(SUBSTITUTE(A304,{"0","1","2"},"")))))))),0),ROW(INDIRECT("1:"&amp;LEN((LEFT(A304,SUM(LEN(A304)-LEN(SUBSTITUTE(A304,{"0","1","2"},"")))))))))+1,1)*10^ROW(INDIRECT("1:"&amp;LEN((LEFT(A304,SUM(LEN(A304)-LEN(SUBSTITUTE(A304,{"0","1","2"},""))))))))/10))*100+1</f>
        <v>401</v>
      </c>
      <c r="P305" s="23">
        <f ca="1">(SUMPRODUCT(MID(0&amp;(--TRIM(RIGHT(SUBSTITUTE(LEFT(A304,_xlfn.AGGREGATE(16,6,FIND({0,1,2,3,4,5,6,7,8,9},A304,ROW(INDIRECT("1:"&amp;LEN(A304)))),1))," ",REPT(" ",LEN(A304))),LEN(A304)))),LARGE(INDEX(ISNUMBER(--MID((--TRIM(RIGHT(SUBSTITUTE(LEFT(A304,_xlfn.AGGREGATE(16,6,FIND({0,1,2,3,4,5,6,7,8,9},A304,ROW(INDIRECT("1:"&amp;LEN(A304)))),1))," ",REPT(" ",LEN(A304))),LEN(A304)))),ROW(INDIRECT("1:"&amp;LEN((--TRIM(RIGHT(SUBSTITUTE(LEFT(A304,_xlfn.AGGREGATE(16,6,FIND({0,1,2,3,4,5,6,7,8,9},A304,ROW(INDIRECT("1:"&amp;LEN(A304)))),1))," ",REPT(" ",LEN(A304))),LEN(A304))))))),1))*ROW(INDIRECT("1:"&amp;LEN((--TRIM(RIGHT(SUBSTITUTE(LEFT(A304,_xlfn.AGGREGATE(16,6,FIND({0,1,2,3,4,5,6,7,8,9},A304,ROW(INDIRECT("1:"&amp;LEN(A304)))),1))," ",REPT(" ",LEN(A304))),LEN(A304))))))),0),ROW(INDIRECT("1:"&amp;LEN((--TRIM(RIGHT(SUBSTITUTE(LEFT(A304,_xlfn.AGGREGATE(16,6,FIND({0,1,2,3,4,5,6,7,8,9},A304,ROW(INDIRECT("1:"&amp;LEN(A304)))),1))," ",REPT(" ",LEN(A304))),LEN(A304))))))))+1,1)*10^ROW(INDIRECT("1:"&amp;LEN((--TRIM(RIGHT(SUBSTITUTE(LEFT(A304,_xlfn.AGGREGATE(16,6,FIND({0,1,2,3,4,5,6,7,8,9},A304,ROW(INDIRECT("1:"&amp;LEN(A304)))),1))," ",REPT(" ",LEN(A304))),LEN(A304)))))))/10))*100+1</f>
        <v>1201</v>
      </c>
    </row>
    <row r="306" spans="1:16" s="23" customFormat="1" ht="15.75" hidden="1" customHeight="1">
      <c r="A306" s="151" t="str">
        <f t="shared" ca="1" si="37"/>
        <v>402,..,1202</v>
      </c>
      <c r="B306" s="152"/>
      <c r="C306" s="59" t="s">
        <v>203</v>
      </c>
      <c r="D306" s="59">
        <f>(14.54+3.3+4.12+6.88+2.52+2.34+3.4*0.9+0.6*1.2+1.2*(2.75+2.75+2.2)+0.7*(2.75+2.75+2.2+2.4))*10.764</f>
        <v>578.99556000000007</v>
      </c>
      <c r="E306" s="59">
        <v>0</v>
      </c>
      <c r="F306" s="59">
        <f t="shared" ref="F306:F311" si="39">D306*(($F$209)+1)+E306</f>
        <v>868.4933400000001</v>
      </c>
      <c r="G306" s="169"/>
      <c r="H306" s="170"/>
      <c r="I306" s="60"/>
      <c r="N306" s="23" t="str">
        <f t="shared" ca="1" si="38"/>
        <v>402,..,1202</v>
      </c>
      <c r="O306" s="23">
        <f t="shared" ref="O306:P311" ca="1" si="40">O305+1</f>
        <v>402</v>
      </c>
      <c r="P306" s="23">
        <f t="shared" ca="1" si="40"/>
        <v>1202</v>
      </c>
    </row>
    <row r="307" spans="1:16" s="23" customFormat="1" ht="15.75" hidden="1" customHeight="1">
      <c r="A307" s="151" t="str">
        <f t="shared" ca="1" si="37"/>
        <v>403,..,1203</v>
      </c>
      <c r="B307" s="152"/>
      <c r="C307" s="59" t="s">
        <v>203</v>
      </c>
      <c r="D307" s="59">
        <f>(14.54+3.32+4.13+6.87+2.52+2.4+3.9*0.9+0.3*1.2+1.2*(2.2+2.75+2.75)+0.7*(2.75+2.75+2.2+2.4))*10.764</f>
        <v>580.82543999999996</v>
      </c>
      <c r="E307" s="59">
        <v>0</v>
      </c>
      <c r="F307" s="59">
        <f t="shared" si="39"/>
        <v>871.23815999999988</v>
      </c>
      <c r="G307" s="169"/>
      <c r="H307" s="170"/>
      <c r="I307" s="60"/>
      <c r="N307" s="23" t="str">
        <f t="shared" ca="1" si="38"/>
        <v>403,..,1203</v>
      </c>
      <c r="O307" s="23">
        <f t="shared" ca="1" si="40"/>
        <v>403</v>
      </c>
      <c r="P307" s="23">
        <f t="shared" ca="1" si="40"/>
        <v>1203</v>
      </c>
    </row>
    <row r="308" spans="1:16" s="23" customFormat="1" ht="15.75" hidden="1" customHeight="1">
      <c r="A308" s="151" t="str">
        <f t="shared" ca="1" si="37"/>
        <v>404,..,1204</v>
      </c>
      <c r="B308" s="152"/>
      <c r="C308" s="59" t="s">
        <v>203</v>
      </c>
      <c r="D308" s="59">
        <f>(14.54+3.32+4.13+6.87+2.52+2.4+3.9*0.9+0.3*1.2+1.2*(2.2+2.75+2.75)+0.7*(2.75+2.75+2.2+2.4))*10.764</f>
        <v>580.82543999999996</v>
      </c>
      <c r="E308" s="59">
        <v>0</v>
      </c>
      <c r="F308" s="59">
        <f t="shared" si="39"/>
        <v>871.23815999999988</v>
      </c>
      <c r="G308" s="169"/>
      <c r="H308" s="170"/>
      <c r="I308" s="60"/>
      <c r="N308" s="23" t="str">
        <f t="shared" ca="1" si="38"/>
        <v>404,..,1204</v>
      </c>
      <c r="O308" s="23">
        <f t="shared" ca="1" si="40"/>
        <v>404</v>
      </c>
      <c r="P308" s="23">
        <f t="shared" ca="1" si="40"/>
        <v>1204</v>
      </c>
    </row>
    <row r="309" spans="1:16" s="23" customFormat="1" ht="15.75" hidden="1" customHeight="1">
      <c r="A309" s="151" t="str">
        <f t="shared" ca="1" si="37"/>
        <v>405,..,1205</v>
      </c>
      <c r="B309" s="152"/>
      <c r="C309" s="59" t="s">
        <v>203</v>
      </c>
      <c r="D309" s="59">
        <f>(15.44+3.36+4.88+7.71+2.52+2.52+0.9*2.5+1.2*(2.1+3.05+3.1)+0.7*(2.1+3.05+3.1+2.5))*10.764</f>
        <v>603.91422</v>
      </c>
      <c r="E309" s="59">
        <f>(1.2*2.2)*10.764</f>
        <v>28.41696</v>
      </c>
      <c r="F309" s="59">
        <f t="shared" si="39"/>
        <v>934.28828999999996</v>
      </c>
      <c r="G309" s="169"/>
      <c r="H309" s="170"/>
      <c r="I309" s="60"/>
      <c r="N309" s="23" t="str">
        <f t="shared" ca="1" si="38"/>
        <v>405,..,1205</v>
      </c>
      <c r="O309" s="23">
        <f t="shared" ca="1" si="40"/>
        <v>405</v>
      </c>
      <c r="P309" s="23">
        <f t="shared" ca="1" si="40"/>
        <v>1205</v>
      </c>
    </row>
    <row r="310" spans="1:16" s="23" customFormat="1" ht="15.75" hidden="1" customHeight="1">
      <c r="A310" s="151" t="str">
        <f t="shared" ca="1" si="37"/>
        <v>406,..,1206</v>
      </c>
      <c r="B310" s="152"/>
      <c r="C310" s="59" t="s">
        <v>207</v>
      </c>
      <c r="D310" s="59">
        <f>(10.82+3.3+8.38+1.44+1.3+1.5*0.9+0.3*1.3+0.9*2+0.7*(2.75+2+1.5))*10.764</f>
        <v>356.88042000000002</v>
      </c>
      <c r="E310" s="59">
        <v>0</v>
      </c>
      <c r="F310" s="59">
        <f t="shared" si="39"/>
        <v>535.32063000000005</v>
      </c>
      <c r="G310" s="169"/>
      <c r="H310" s="170"/>
      <c r="I310" s="60"/>
      <c r="N310" s="23" t="str">
        <f t="shared" ca="1" si="38"/>
        <v>406,..,1206</v>
      </c>
      <c r="O310" s="23">
        <f t="shared" ca="1" si="40"/>
        <v>406</v>
      </c>
      <c r="P310" s="23">
        <f t="shared" ca="1" si="40"/>
        <v>1206</v>
      </c>
    </row>
    <row r="311" spans="1:16" s="23" customFormat="1" ht="15.75" hidden="1" customHeight="1">
      <c r="A311" s="151" t="str">
        <f t="shared" ca="1" si="37"/>
        <v>407,..,1207</v>
      </c>
      <c r="B311" s="152"/>
      <c r="C311" s="59" t="s">
        <v>207</v>
      </c>
      <c r="D311" s="59">
        <f>(10.82+3.3+8.38+1.44+1.3+1.5*0.9+0.3*1.3+0.9*2+0.7*(2.75+2+1.5))*10.764</f>
        <v>356.88042000000002</v>
      </c>
      <c r="E311" s="59">
        <v>0</v>
      </c>
      <c r="F311" s="59">
        <f t="shared" si="39"/>
        <v>535.32063000000005</v>
      </c>
      <c r="G311" s="171"/>
      <c r="H311" s="172"/>
      <c r="I311" s="60"/>
      <c r="N311" s="23" t="str">
        <f t="shared" ca="1" si="38"/>
        <v>407,..,1207</v>
      </c>
      <c r="O311" s="23">
        <f t="shared" ca="1" si="40"/>
        <v>407</v>
      </c>
      <c r="P311" s="23">
        <f t="shared" ca="1" si="40"/>
        <v>1207</v>
      </c>
    </row>
    <row r="312" spans="1:16" s="23" customFormat="1" ht="15.75" hidden="1" customHeight="1">
      <c r="A312" s="148" t="s">
        <v>215</v>
      </c>
      <c r="B312" s="149"/>
      <c r="C312" s="149"/>
      <c r="D312" s="149"/>
      <c r="E312" s="149"/>
      <c r="F312" s="149"/>
      <c r="G312" s="149"/>
      <c r="H312" s="150"/>
      <c r="I312" s="60"/>
    </row>
    <row r="313" spans="1:16" s="23" customFormat="1" ht="15.75" hidden="1" customHeight="1">
      <c r="A313" s="151" t="str">
        <f t="shared" ref="A313:A319" ca="1" si="41">N313</f>
        <v>801,..,1001</v>
      </c>
      <c r="B313" s="152"/>
      <c r="C313" s="59" t="s">
        <v>207</v>
      </c>
      <c r="D313" s="59">
        <f>(10.54+4.62+6.6+1.08+1.44+0.9*2.2+2.75*1.2+0.7*(2.2+2.75)+0.45*1.45)*10.764</f>
        <v>362.50461000000001</v>
      </c>
      <c r="E313" s="59">
        <f>(2.75*1.4)*10.764</f>
        <v>41.441399999999994</v>
      </c>
      <c r="F313" s="59">
        <f>D313*(($F$209)+1)+E313</f>
        <v>585.19831500000009</v>
      </c>
      <c r="G313" s="167" t="str">
        <f>A312</f>
        <v xml:space="preserve"> 8th &amp; 10th Floor</v>
      </c>
      <c r="H313" s="168"/>
      <c r="I313" s="60"/>
      <c r="N313" s="23" t="str">
        <f t="shared" ref="N313:N319" ca="1" si="42">O313&amp;""&amp;",..,"&amp;""&amp;P313</f>
        <v>801,..,1001</v>
      </c>
      <c r="O313" s="23">
        <f ca="1">(SUMPRODUCT(MID(0&amp;(LEFT(A312,SUM(LEN(A312)-LEN(SUBSTITUTE(A312,{"0","1","2"},""))))),LARGE(INDEX(ISNUMBER(--MID((LEFT(A312,SUM(LEN(A312)-LEN(SUBSTITUTE(A312,{"0","1","2"},""))))),ROW(INDIRECT("1:"&amp;LEN((LEFT(A312,SUM(LEN(A312)-LEN(SUBSTITUTE(A312,{"0","1","2"},"")))))))),1))*ROW(INDIRECT("1:"&amp;LEN((LEFT(A312,SUM(LEN(A312)-LEN(SUBSTITUTE(A312,{"0","1","2"},"")))))))),0),ROW(INDIRECT("1:"&amp;LEN((LEFT(A312,SUM(LEN(A312)-LEN(SUBSTITUTE(A312,{"0","1","2"},"")))))))))+1,1)*10^ROW(INDIRECT("1:"&amp;LEN((LEFT(A312,SUM(LEN(A312)-LEN(SUBSTITUTE(A312,{"0","1","2"},""))))))))/10))*100+1</f>
        <v>801</v>
      </c>
      <c r="P313" s="23">
        <f ca="1">(SUMPRODUCT(MID(0&amp;(--TRIM(RIGHT(SUBSTITUTE(LEFT(A312,_xlfn.AGGREGATE(16,6,FIND({0,1,2,3,4,5,6,7,8,9},A312,ROW(INDIRECT("1:"&amp;LEN(A312)))),1))," ",REPT(" ",LEN(A312))),LEN(A312)))),LARGE(INDEX(ISNUMBER(--MID((--TRIM(RIGHT(SUBSTITUTE(LEFT(A312,_xlfn.AGGREGATE(16,6,FIND({0,1,2,3,4,5,6,7,8,9},A312,ROW(INDIRECT("1:"&amp;LEN(A312)))),1))," ",REPT(" ",LEN(A312))),LEN(A312)))),ROW(INDIRECT("1:"&amp;LEN((--TRIM(RIGHT(SUBSTITUTE(LEFT(A312,_xlfn.AGGREGATE(16,6,FIND({0,1,2,3,4,5,6,7,8,9},A312,ROW(INDIRECT("1:"&amp;LEN(A312)))),1))," ",REPT(" ",LEN(A312))),LEN(A312))))))),1))*ROW(INDIRECT("1:"&amp;LEN((--TRIM(RIGHT(SUBSTITUTE(LEFT(A312,_xlfn.AGGREGATE(16,6,FIND({0,1,2,3,4,5,6,7,8,9},A312,ROW(INDIRECT("1:"&amp;LEN(A312)))),1))," ",REPT(" ",LEN(A312))),LEN(A312))))))),0),ROW(INDIRECT("1:"&amp;LEN((--TRIM(RIGHT(SUBSTITUTE(LEFT(A312,_xlfn.AGGREGATE(16,6,FIND({0,1,2,3,4,5,6,7,8,9},A312,ROW(INDIRECT("1:"&amp;LEN(A312)))),1))," ",REPT(" ",LEN(A312))),LEN(A312))))))))+1,1)*10^ROW(INDIRECT("1:"&amp;LEN((--TRIM(RIGHT(SUBSTITUTE(LEFT(A312,_xlfn.AGGREGATE(16,6,FIND({0,1,2,3,4,5,6,7,8,9},A312,ROW(INDIRECT("1:"&amp;LEN(A312)))),1))," ",REPT(" ",LEN(A312))),LEN(A312)))))))/10))*100+1</f>
        <v>1001</v>
      </c>
    </row>
    <row r="314" spans="1:16" s="23" customFormat="1" ht="15.75" hidden="1" customHeight="1">
      <c r="A314" s="151" t="str">
        <f t="shared" ca="1" si="41"/>
        <v>802,..,1002</v>
      </c>
      <c r="B314" s="152"/>
      <c r="C314" s="59" t="s">
        <v>203</v>
      </c>
      <c r="D314" s="59">
        <f>(14.54+3.3+4.12+6.88+2.52+2.34+3.4*0.9+0.6*1.2+1.2*(2.75+2.75+2.2)+0.7*(2.75+2.75+2.2+2.4))*10.764</f>
        <v>578.99556000000007</v>
      </c>
      <c r="E314" s="59">
        <v>0</v>
      </c>
      <c r="F314" s="59">
        <f t="shared" ref="F314:F319" si="43">D314*(($F$209)+1)+E314</f>
        <v>868.4933400000001</v>
      </c>
      <c r="G314" s="169"/>
      <c r="H314" s="170"/>
      <c r="I314" s="60"/>
      <c r="N314" s="23" t="str">
        <f t="shared" ca="1" si="42"/>
        <v>802,..,1002</v>
      </c>
      <c r="O314" s="23">
        <f t="shared" ref="O314:P319" ca="1" si="44">O313+1</f>
        <v>802</v>
      </c>
      <c r="P314" s="23">
        <f t="shared" ca="1" si="44"/>
        <v>1002</v>
      </c>
    </row>
    <row r="315" spans="1:16" s="23" customFormat="1" ht="15.75" hidden="1" customHeight="1">
      <c r="A315" s="151" t="str">
        <f t="shared" ca="1" si="41"/>
        <v>803,..,1003</v>
      </c>
      <c r="B315" s="152"/>
      <c r="C315" s="59" t="s">
        <v>203</v>
      </c>
      <c r="D315" s="59">
        <f>(14.54+3.32+4.13+6.87+2.52+2.4+3.9*0.9+0.3*1.2+1.2*(2.2+2.75+2.75)+0.7*(2.75+2.75+2.2+2.4))*10.764</f>
        <v>580.82543999999996</v>
      </c>
      <c r="E315" s="59">
        <v>0</v>
      </c>
      <c r="F315" s="59">
        <f t="shared" si="43"/>
        <v>871.23815999999988</v>
      </c>
      <c r="G315" s="169"/>
      <c r="H315" s="170"/>
      <c r="I315" s="60"/>
      <c r="N315" s="23" t="str">
        <f t="shared" ca="1" si="42"/>
        <v>803,..,1003</v>
      </c>
      <c r="O315" s="23">
        <f t="shared" ca="1" si="44"/>
        <v>803</v>
      </c>
      <c r="P315" s="23">
        <f t="shared" ca="1" si="44"/>
        <v>1003</v>
      </c>
    </row>
    <row r="316" spans="1:16" s="23" customFormat="1" ht="15.75" hidden="1" customHeight="1">
      <c r="A316" s="151" t="str">
        <f t="shared" ca="1" si="41"/>
        <v>804,..,1004</v>
      </c>
      <c r="B316" s="152"/>
      <c r="C316" s="59" t="s">
        <v>203</v>
      </c>
      <c r="D316" s="59">
        <f>(14.54+3.32+4.13+6.87+2.52+2.4+3.9*0.9+0.3*1.2+1.2*(2.2+2.75+2.75)+0.7*(2.75+2.75+2.2+2.4))*10.764</f>
        <v>580.82543999999996</v>
      </c>
      <c r="E316" s="59">
        <v>0</v>
      </c>
      <c r="F316" s="59">
        <f t="shared" si="43"/>
        <v>871.23815999999988</v>
      </c>
      <c r="G316" s="169"/>
      <c r="H316" s="170"/>
      <c r="I316" s="60"/>
      <c r="N316" s="23" t="str">
        <f t="shared" ca="1" si="42"/>
        <v>804,..,1004</v>
      </c>
      <c r="O316" s="23">
        <f t="shared" ca="1" si="44"/>
        <v>804</v>
      </c>
      <c r="P316" s="23">
        <f t="shared" ca="1" si="44"/>
        <v>1004</v>
      </c>
    </row>
    <row r="317" spans="1:16" s="23" customFormat="1" ht="15.75" hidden="1" customHeight="1">
      <c r="A317" s="151" t="str">
        <f t="shared" ca="1" si="41"/>
        <v>805,..,1005</v>
      </c>
      <c r="B317" s="152"/>
      <c r="C317" s="59" t="s">
        <v>203</v>
      </c>
      <c r="D317" s="59">
        <f>(15.44+3.36+4.88+7.71+2.52+2.52+0.9*2.5+1.2*(2.1+3.05+3.1)+0.7*(2.1+3.05+3.1+2.5))*10.764</f>
        <v>603.91422</v>
      </c>
      <c r="E317" s="59">
        <f>(1.2*2.2)*10.764</f>
        <v>28.41696</v>
      </c>
      <c r="F317" s="59">
        <f t="shared" si="43"/>
        <v>934.28828999999996</v>
      </c>
      <c r="G317" s="169"/>
      <c r="H317" s="170"/>
      <c r="I317" s="60"/>
      <c r="N317" s="23" t="str">
        <f t="shared" ca="1" si="42"/>
        <v>805,..,1005</v>
      </c>
      <c r="O317" s="23">
        <f t="shared" ca="1" si="44"/>
        <v>805</v>
      </c>
      <c r="P317" s="23">
        <f t="shared" ca="1" si="44"/>
        <v>1005</v>
      </c>
    </row>
    <row r="318" spans="1:16" s="23" customFormat="1" ht="15.75" hidden="1" customHeight="1">
      <c r="A318" s="151" t="str">
        <f t="shared" ca="1" si="41"/>
        <v>806,..,1006</v>
      </c>
      <c r="B318" s="152"/>
      <c r="C318" s="59" t="s">
        <v>207</v>
      </c>
      <c r="D318" s="59">
        <f>(10.82+3.3+8.38+1.44+1.3+1.5*0.9+0.3*1.3+0.9*2+0.7*(2.75+2+1.5))*10.764</f>
        <v>356.88042000000002</v>
      </c>
      <c r="E318" s="59">
        <v>0</v>
      </c>
      <c r="F318" s="59">
        <f t="shared" si="43"/>
        <v>535.32063000000005</v>
      </c>
      <c r="G318" s="169"/>
      <c r="H318" s="170"/>
      <c r="I318" s="60"/>
      <c r="N318" s="23" t="str">
        <f t="shared" ca="1" si="42"/>
        <v>806,..,1006</v>
      </c>
      <c r="O318" s="23">
        <f t="shared" ca="1" si="44"/>
        <v>806</v>
      </c>
      <c r="P318" s="23">
        <f t="shared" ca="1" si="44"/>
        <v>1006</v>
      </c>
    </row>
    <row r="319" spans="1:16" s="23" customFormat="1" ht="15.75" hidden="1" customHeight="1">
      <c r="A319" s="151" t="str">
        <f t="shared" ca="1" si="41"/>
        <v>807,..,1007</v>
      </c>
      <c r="B319" s="152"/>
      <c r="C319" s="59" t="s">
        <v>207</v>
      </c>
      <c r="D319" s="59">
        <f>(10.82+3.3+8.38+1.44+1.3+1.5*0.9+0.3*1.3+0.9*2+0.7*(2.75+2+1.5))*10.764</f>
        <v>356.88042000000002</v>
      </c>
      <c r="E319" s="59">
        <v>0</v>
      </c>
      <c r="F319" s="59">
        <f t="shared" si="43"/>
        <v>535.32063000000005</v>
      </c>
      <c r="G319" s="171"/>
      <c r="H319" s="172"/>
      <c r="I319" s="60"/>
      <c r="N319" s="23" t="str">
        <f t="shared" ca="1" si="42"/>
        <v>807,..,1007</v>
      </c>
      <c r="O319" s="23">
        <f t="shared" ca="1" si="44"/>
        <v>807</v>
      </c>
      <c r="P319" s="23">
        <f t="shared" ca="1" si="44"/>
        <v>1007</v>
      </c>
    </row>
    <row r="320" spans="1:16" s="21" customFormat="1" hidden="1">
      <c r="A320" s="69" t="s">
        <v>216</v>
      </c>
      <c r="B320" s="69"/>
      <c r="C320" s="69"/>
      <c r="D320" s="69"/>
      <c r="E320" s="69"/>
      <c r="F320" s="69"/>
      <c r="G320" s="69"/>
      <c r="H320" s="69"/>
    </row>
    <row r="321" spans="1:14" s="21" customFormat="1" hidden="1">
      <c r="A321" s="69" t="s">
        <v>217</v>
      </c>
      <c r="B321" s="69"/>
      <c r="C321" s="69"/>
      <c r="D321" s="69"/>
      <c r="E321" s="69"/>
      <c r="F321" s="69"/>
      <c r="G321" s="69"/>
      <c r="H321" s="69"/>
    </row>
    <row r="322" spans="1:14" s="21" customFormat="1" hidden="1">
      <c r="A322" s="69" t="s">
        <v>205</v>
      </c>
      <c r="B322" s="69"/>
      <c r="C322" s="69"/>
      <c r="D322" s="69"/>
      <c r="E322" s="69"/>
      <c r="F322" s="69"/>
      <c r="G322" s="69"/>
      <c r="H322" s="69"/>
    </row>
    <row r="323" spans="1:14" s="23" customFormat="1" ht="15.75" hidden="1" customHeight="1">
      <c r="A323" s="166">
        <v>101</v>
      </c>
      <c r="B323" s="166"/>
      <c r="C323" s="59" t="s">
        <v>203</v>
      </c>
      <c r="D323" s="59">
        <f>(13.2+3.32+4.11+7.5+2.52+2.52+0.9*2.75+1.9*0.9+1.2*(3+2.75)+0.7*(3+2.75))*10.764</f>
        <v>519.68592000000001</v>
      </c>
      <c r="E323" s="59">
        <f>(2.75*1.3)*10.764</f>
        <v>38.481299999999997</v>
      </c>
      <c r="F323" s="59">
        <f t="shared" ref="F323:F328" si="45">D323*(($F$209)+1)+E323</f>
        <v>818.0101800000001</v>
      </c>
      <c r="G323" s="167" t="str">
        <f>A322</f>
        <v>1st Floor for Residential</v>
      </c>
      <c r="H323" s="168"/>
      <c r="I323" s="60"/>
      <c r="N323" s="60"/>
    </row>
    <row r="324" spans="1:14" s="23" customFormat="1" ht="15.75" hidden="1" customHeight="1">
      <c r="A324" s="166">
        <f>A323+1</f>
        <v>102</v>
      </c>
      <c r="B324" s="166"/>
      <c r="C324" s="59" t="s">
        <v>207</v>
      </c>
      <c r="D324" s="59">
        <f>(11.14+3.36+6.58+2.4+2.52+1.2*1.7+0.9*0.7+0.9*(2.1+2.75)+0.7*(2.1+2.75))*10.764</f>
        <v>392.13251999999989</v>
      </c>
      <c r="E324" s="59">
        <f>(2.75*2)*10.764</f>
        <v>59.201999999999998</v>
      </c>
      <c r="F324" s="59">
        <f t="shared" si="45"/>
        <v>647.40077999999983</v>
      </c>
      <c r="G324" s="169"/>
      <c r="H324" s="170"/>
      <c r="I324" s="60"/>
      <c r="N324" s="60"/>
    </row>
    <row r="325" spans="1:14" s="23" customFormat="1" ht="15.75" hidden="1" customHeight="1">
      <c r="A325" s="166">
        <f>A324+1</f>
        <v>103</v>
      </c>
      <c r="B325" s="166"/>
      <c r="C325" s="59" t="s">
        <v>207</v>
      </c>
      <c r="D325" s="59">
        <f>(11.14+3.36+6.58+2.4+2.52+1.2*1.7+0.9*0.7+0.9*(2.1+2.75)+0.7*(2.1+2.75))*10.764</f>
        <v>392.13251999999989</v>
      </c>
      <c r="E325" s="59">
        <f>(2.75*2)*10.764</f>
        <v>59.201999999999998</v>
      </c>
      <c r="F325" s="59">
        <f t="shared" si="45"/>
        <v>647.40077999999983</v>
      </c>
      <c r="G325" s="169"/>
      <c r="H325" s="170"/>
      <c r="I325" s="60"/>
      <c r="N325" s="60"/>
    </row>
    <row r="326" spans="1:14" s="23" customFormat="1" ht="15.75" hidden="1" customHeight="1">
      <c r="A326" s="166">
        <f>A325+1</f>
        <v>104</v>
      </c>
      <c r="B326" s="166"/>
      <c r="C326" s="59" t="s">
        <v>207</v>
      </c>
      <c r="D326" s="59">
        <f>(11.14+3.36+6.58+2.4+2.52+1.2*1.7+0.9*0.7+0.9*(2.1+2.75)+0.7*(2.1+2.75))*10.764</f>
        <v>392.13251999999989</v>
      </c>
      <c r="E326" s="59">
        <f>(2.75*2)*10.764</f>
        <v>59.201999999999998</v>
      </c>
      <c r="F326" s="59">
        <f t="shared" si="45"/>
        <v>647.40077999999983</v>
      </c>
      <c r="G326" s="169"/>
      <c r="H326" s="170"/>
      <c r="I326" s="60"/>
      <c r="N326" s="60"/>
    </row>
    <row r="327" spans="1:14" s="23" customFormat="1" ht="15.75" hidden="1" customHeight="1">
      <c r="A327" s="166">
        <f>A326+1</f>
        <v>105</v>
      </c>
      <c r="B327" s="166"/>
      <c r="C327" s="59" t="s">
        <v>207</v>
      </c>
      <c r="D327" s="59">
        <f>(11.14+3.36+6.58+2.4+2.52+1.2*1.7+0.9*0.7+0.9*(2.1+2.75)+0.7*(2.1+2.75))*10.764</f>
        <v>392.13251999999989</v>
      </c>
      <c r="E327" s="59">
        <f>(2.75*2)*10.764</f>
        <v>59.201999999999998</v>
      </c>
      <c r="F327" s="59">
        <f t="shared" si="45"/>
        <v>647.40077999999983</v>
      </c>
      <c r="G327" s="169"/>
      <c r="H327" s="170"/>
      <c r="I327" s="60"/>
      <c r="N327" s="60"/>
    </row>
    <row r="328" spans="1:14" s="23" customFormat="1" ht="15.75" hidden="1" customHeight="1">
      <c r="A328" s="166">
        <f>A327+1</f>
        <v>106</v>
      </c>
      <c r="B328" s="166"/>
      <c r="C328" s="59" t="s">
        <v>203</v>
      </c>
      <c r="D328" s="59">
        <f>(13.2+3.32+4.11+7.5+2.52+2.52+0.9*2.75+1.9*0.9+1.2*(3+2.75)+0.7*(3+2.75))*10.764</f>
        <v>519.68592000000001</v>
      </c>
      <c r="E328" s="59">
        <f>(2.75*1.3)*10.764</f>
        <v>38.481299999999997</v>
      </c>
      <c r="F328" s="59">
        <f t="shared" si="45"/>
        <v>818.0101800000001</v>
      </c>
      <c r="G328" s="171"/>
      <c r="H328" s="172"/>
      <c r="I328" s="60"/>
      <c r="N328" s="60"/>
    </row>
    <row r="329" spans="1:14" s="21" customFormat="1" hidden="1">
      <c r="A329" s="69" t="s">
        <v>206</v>
      </c>
      <c r="B329" s="69"/>
      <c r="C329" s="69"/>
      <c r="D329" s="69"/>
      <c r="E329" s="69"/>
      <c r="F329" s="69"/>
      <c r="G329" s="69"/>
      <c r="H329" s="69"/>
    </row>
    <row r="330" spans="1:14" s="23" customFormat="1" hidden="1">
      <c r="A330" s="166">
        <v>201</v>
      </c>
      <c r="B330" s="166"/>
      <c r="C330" s="59" t="s">
        <v>203</v>
      </c>
      <c r="D330" s="59">
        <f>(13.2+3.32+4.11+7.5+2.52+2.52+2.75*0.9+0.9*1.9+1.2*(3+2.75)+0.7*(3+2.75+2.75))*10.764</f>
        <v>540.40661999999998</v>
      </c>
      <c r="E330" s="59">
        <v>0</v>
      </c>
      <c r="F330" s="59">
        <f t="shared" ref="F330:F339" si="46">D330*(($F$209)+1)+E330</f>
        <v>810.60992999999996</v>
      </c>
      <c r="G330" s="167" t="str">
        <f>A329</f>
        <v xml:space="preserve">2nd Floor </v>
      </c>
      <c r="H330" s="168"/>
      <c r="I330" s="60"/>
      <c r="N330" s="60"/>
    </row>
    <row r="331" spans="1:14" s="23" customFormat="1" hidden="1">
      <c r="A331" s="166">
        <f t="shared" ref="A331:A339" si="47">A330+1</f>
        <v>202</v>
      </c>
      <c r="B331" s="166"/>
      <c r="C331" s="59" t="s">
        <v>207</v>
      </c>
      <c r="D331" s="59">
        <f>(11.14+3.36+6.58+2.4+2.52+0.9*2.1+1.2*0.9+0.8*(2.1+2.75)+0.7*(2.75+2.1+2.75))*10.764</f>
        <v>410.86187999999999</v>
      </c>
      <c r="E331" s="59">
        <v>0</v>
      </c>
      <c r="F331" s="59">
        <f t="shared" si="46"/>
        <v>616.29282000000001</v>
      </c>
      <c r="G331" s="169"/>
      <c r="H331" s="170"/>
      <c r="I331" s="60"/>
      <c r="N331" s="60"/>
    </row>
    <row r="332" spans="1:14" s="23" customFormat="1" hidden="1">
      <c r="A332" s="166">
        <f t="shared" si="47"/>
        <v>203</v>
      </c>
      <c r="B332" s="166"/>
      <c r="C332" s="59" t="s">
        <v>207</v>
      </c>
      <c r="D332" s="59">
        <f>(11.14+3.36+6.58+2.4+2.52+0.9*2.1+1.2*0.9+0.8*(2.1+2.75)+0.7*(2.75+2.1+2.75))*10.764</f>
        <v>410.86187999999999</v>
      </c>
      <c r="E332" s="59">
        <v>0</v>
      </c>
      <c r="F332" s="59">
        <f t="shared" si="46"/>
        <v>616.29282000000001</v>
      </c>
      <c r="G332" s="169"/>
      <c r="H332" s="170"/>
      <c r="I332" s="60"/>
      <c r="N332" s="60"/>
    </row>
    <row r="333" spans="1:14" s="23" customFormat="1" hidden="1">
      <c r="A333" s="166">
        <f t="shared" si="47"/>
        <v>204</v>
      </c>
      <c r="B333" s="166"/>
      <c r="C333" s="59" t="s">
        <v>207</v>
      </c>
      <c r="D333" s="59">
        <f>(11.14+3.36+6.58+2.4+2.52+0.9*2.1+1.2*0.9+0.8*(2.1+2.75)+0.7*(2.75+2.1+2.75))*10.764</f>
        <v>410.86187999999999</v>
      </c>
      <c r="E333" s="59">
        <v>0</v>
      </c>
      <c r="F333" s="59">
        <f t="shared" si="46"/>
        <v>616.29282000000001</v>
      </c>
      <c r="G333" s="169"/>
      <c r="H333" s="170"/>
      <c r="I333" s="60"/>
      <c r="N333" s="60"/>
    </row>
    <row r="334" spans="1:14" s="23" customFormat="1" hidden="1">
      <c r="A334" s="166">
        <f t="shared" si="47"/>
        <v>205</v>
      </c>
      <c r="B334" s="166"/>
      <c r="C334" s="59" t="s">
        <v>207</v>
      </c>
      <c r="D334" s="59">
        <f>(11.14+3.36+6.58+2.4+2.52+0.9*2.1+1.2*0.9+0.8*(2.1+2.75)+0.7*(2.75+2.1+2.75))*10.764</f>
        <v>410.86187999999999</v>
      </c>
      <c r="E334" s="59">
        <v>0</v>
      </c>
      <c r="F334" s="59">
        <f t="shared" si="46"/>
        <v>616.29282000000001</v>
      </c>
      <c r="G334" s="169"/>
      <c r="H334" s="170"/>
      <c r="I334" s="60"/>
      <c r="N334" s="60"/>
    </row>
    <row r="335" spans="1:14" s="23" customFormat="1" hidden="1">
      <c r="A335" s="166">
        <f t="shared" si="47"/>
        <v>206</v>
      </c>
      <c r="B335" s="166"/>
      <c r="C335" s="59" t="s">
        <v>203</v>
      </c>
      <c r="D335" s="59">
        <f>(13.2+3.32+4.11+7.5+2.52+2.52+2.75*0.9+0.9*1.9+1.2*(3+2.75)+0.7*(3+2.75+2.75))*10.764</f>
        <v>540.40661999999998</v>
      </c>
      <c r="E335" s="59">
        <v>0</v>
      </c>
      <c r="F335" s="59">
        <f t="shared" si="46"/>
        <v>810.60992999999996</v>
      </c>
      <c r="G335" s="169"/>
      <c r="H335" s="170"/>
      <c r="I335" s="60"/>
      <c r="N335" s="60"/>
    </row>
    <row r="336" spans="1:14" s="23" customFormat="1" hidden="1">
      <c r="A336" s="166">
        <f t="shared" si="47"/>
        <v>207</v>
      </c>
      <c r="B336" s="166"/>
      <c r="C336" s="59" t="s">
        <v>207</v>
      </c>
      <c r="D336" s="59">
        <f>(10.82+3.3+8.38+1.44+1.3+1.2*1.5+1.3*0.3+2*0.9+0.7*(2.75+2+1.5))*10.764</f>
        <v>361.72422</v>
      </c>
      <c r="E336" s="59">
        <v>0</v>
      </c>
      <c r="F336" s="59">
        <f t="shared" si="46"/>
        <v>542.58632999999998</v>
      </c>
      <c r="G336" s="169"/>
      <c r="H336" s="170"/>
      <c r="I336" s="60"/>
      <c r="N336" s="60"/>
    </row>
    <row r="337" spans="1:16" s="23" customFormat="1" hidden="1">
      <c r="A337" s="166">
        <f t="shared" si="47"/>
        <v>208</v>
      </c>
      <c r="B337" s="166"/>
      <c r="C337" s="59" t="s">
        <v>207</v>
      </c>
      <c r="D337" s="59">
        <f>(11.14+3.36+8.16+2.52+2.4+1.2*1.5+0.7*0.9+0.3*2+2.1*0.9+0.7*(2.1+2.75))*10.764</f>
        <v>386.37377999999995</v>
      </c>
      <c r="E337" s="59">
        <f>(2.1*2.75)*10.764</f>
        <v>62.162100000000002</v>
      </c>
      <c r="F337" s="59">
        <f t="shared" si="46"/>
        <v>641.72276999999997</v>
      </c>
      <c r="G337" s="169"/>
      <c r="H337" s="170"/>
      <c r="I337" s="60"/>
      <c r="N337" s="60"/>
    </row>
    <row r="338" spans="1:16" s="23" customFormat="1" hidden="1">
      <c r="A338" s="166">
        <f t="shared" si="47"/>
        <v>209</v>
      </c>
      <c r="B338" s="166"/>
      <c r="C338" s="59" t="s">
        <v>207</v>
      </c>
      <c r="D338" s="59">
        <f>(11.14+3.36+8.16+2.52+2.4+1.2*1.5+0.7*0.9+0.3*2+2.1*0.9+0.7*(2.1+2.75))*10.764</f>
        <v>386.37377999999995</v>
      </c>
      <c r="E338" s="59">
        <f>(2.1*2.75)*10.764</f>
        <v>62.162100000000002</v>
      </c>
      <c r="F338" s="59">
        <f t="shared" si="46"/>
        <v>641.72276999999997</v>
      </c>
      <c r="G338" s="169"/>
      <c r="H338" s="170"/>
      <c r="I338" s="60"/>
      <c r="N338" s="60"/>
    </row>
    <row r="339" spans="1:16" s="23" customFormat="1" hidden="1">
      <c r="A339" s="166">
        <f t="shared" si="47"/>
        <v>210</v>
      </c>
      <c r="B339" s="166"/>
      <c r="C339" s="59" t="s">
        <v>207</v>
      </c>
      <c r="D339" s="59">
        <f>(10.82+3.3+8.38+1.44+1.3+1.2*1.5+1.3*0.3+2*0.9+0.7*(2.75+2+1.5))*10.764</f>
        <v>361.72422</v>
      </c>
      <c r="E339" s="59">
        <v>0</v>
      </c>
      <c r="F339" s="59">
        <f t="shared" si="46"/>
        <v>542.58632999999998</v>
      </c>
      <c r="G339" s="171"/>
      <c r="H339" s="172"/>
      <c r="I339" s="60"/>
      <c r="N339" s="60"/>
    </row>
    <row r="340" spans="1:16" s="23" customFormat="1" ht="15.75" hidden="1" customHeight="1">
      <c r="A340" s="148" t="s">
        <v>213</v>
      </c>
      <c r="B340" s="149"/>
      <c r="C340" s="149"/>
      <c r="D340" s="149"/>
      <c r="E340" s="149"/>
      <c r="F340" s="149"/>
      <c r="G340" s="149"/>
      <c r="H340" s="150"/>
      <c r="I340" s="60"/>
    </row>
    <row r="341" spans="1:16" s="23" customFormat="1" ht="15.75" hidden="1" customHeight="1">
      <c r="A341" s="151" t="str">
        <f t="shared" ref="A341:A350" ca="1" si="48">N341</f>
        <v>301,..,1101</v>
      </c>
      <c r="B341" s="152"/>
      <c r="C341" s="59" t="s">
        <v>203</v>
      </c>
      <c r="D341" s="59">
        <f>(13.2+3.32+4.11+7.5+2.52+2.52+2.75*0.9+0.9*1.9+1.2*(3+2.75)+0.7*(3+2.75))*10.764</f>
        <v>519.68592000000001</v>
      </c>
      <c r="E341" s="59">
        <f>(2.75*1.4)*10.764</f>
        <v>41.441399999999994</v>
      </c>
      <c r="F341" s="59">
        <f>D341*(($F$209)+1)+E341</f>
        <v>820.97028000000012</v>
      </c>
      <c r="G341" s="167" t="str">
        <f>A340</f>
        <v xml:space="preserve"> 3th, 5th, 7th, 9th &amp; 11th Floor</v>
      </c>
      <c r="H341" s="168"/>
      <c r="I341" s="60"/>
      <c r="N341" s="23" t="str">
        <f t="shared" ref="N341:N350" ca="1" si="49">O341&amp;""&amp;",..,"&amp;""&amp;P341</f>
        <v>301,..,1101</v>
      </c>
      <c r="O341" s="23">
        <f ca="1">(SUMPRODUCT(MID(0&amp;(LEFT(A340,SUM(LEN(A340)-LEN(SUBSTITUTE(A340,{"0","1","2"},""))))),LARGE(INDEX(ISNUMBER(--MID((LEFT(A340,SUM(LEN(A340)-LEN(SUBSTITUTE(A340,{"0","1","2"},""))))),ROW(INDIRECT("1:"&amp;LEN((LEFT(A340,SUM(LEN(A340)-LEN(SUBSTITUTE(A340,{"0","1","2"},"")))))))),1))*ROW(INDIRECT("1:"&amp;LEN((LEFT(A340,SUM(LEN(A340)-LEN(SUBSTITUTE(A340,{"0","1","2"},"")))))))),0),ROW(INDIRECT("1:"&amp;LEN((LEFT(A340,SUM(LEN(A340)-LEN(SUBSTITUTE(A340,{"0","1","2"},"")))))))))+1,1)*10^ROW(INDIRECT("1:"&amp;LEN((LEFT(A340,SUM(LEN(A340)-LEN(SUBSTITUTE(A340,{"0","1","2"},""))))))))/10))*100+1</f>
        <v>301</v>
      </c>
      <c r="P341" s="23">
        <f ca="1">(SUMPRODUCT(MID(0&amp;(--TRIM(RIGHT(SUBSTITUTE(LEFT(A340,_xlfn.AGGREGATE(16,6,FIND({0,1,2,3,4,5,6,7,8,9},A340,ROW(INDIRECT("1:"&amp;LEN(A340)))),1))," ",REPT(" ",LEN(A340))),LEN(A340)))),LARGE(INDEX(ISNUMBER(--MID((--TRIM(RIGHT(SUBSTITUTE(LEFT(A340,_xlfn.AGGREGATE(16,6,FIND({0,1,2,3,4,5,6,7,8,9},A340,ROW(INDIRECT("1:"&amp;LEN(A340)))),1))," ",REPT(" ",LEN(A340))),LEN(A340)))),ROW(INDIRECT("1:"&amp;LEN((--TRIM(RIGHT(SUBSTITUTE(LEFT(A340,_xlfn.AGGREGATE(16,6,FIND({0,1,2,3,4,5,6,7,8,9},A340,ROW(INDIRECT("1:"&amp;LEN(A340)))),1))," ",REPT(" ",LEN(A340))),LEN(A340))))))),1))*ROW(INDIRECT("1:"&amp;LEN((--TRIM(RIGHT(SUBSTITUTE(LEFT(A340,_xlfn.AGGREGATE(16,6,FIND({0,1,2,3,4,5,6,7,8,9},A340,ROW(INDIRECT("1:"&amp;LEN(A340)))),1))," ",REPT(" ",LEN(A340))),LEN(A340))))))),0),ROW(INDIRECT("1:"&amp;LEN((--TRIM(RIGHT(SUBSTITUTE(LEFT(A340,_xlfn.AGGREGATE(16,6,FIND({0,1,2,3,4,5,6,7,8,9},A340,ROW(INDIRECT("1:"&amp;LEN(A340)))),1))," ",REPT(" ",LEN(A340))),LEN(A340))))))))+1,1)*10^ROW(INDIRECT("1:"&amp;LEN((--TRIM(RIGHT(SUBSTITUTE(LEFT(A340,_xlfn.AGGREGATE(16,6,FIND({0,1,2,3,4,5,6,7,8,9},A340,ROW(INDIRECT("1:"&amp;LEN(A340)))),1))," ",REPT(" ",LEN(A340))),LEN(A340)))))))/10))*100+1</f>
        <v>1101</v>
      </c>
    </row>
    <row r="342" spans="1:16" s="23" customFormat="1" ht="15.75" hidden="1" customHeight="1">
      <c r="A342" s="151" t="str">
        <f t="shared" ca="1" si="48"/>
        <v>302,..,1102</v>
      </c>
      <c r="B342" s="152"/>
      <c r="C342" s="59" t="s">
        <v>207</v>
      </c>
      <c r="D342" s="59">
        <f>(11.14+3.36+6.58+2.4+2.52+1.2*1.5+0.7*0.9+0.9*(2.1+2.75))*10.764</f>
        <v>353.00537999999995</v>
      </c>
      <c r="E342" s="59">
        <f>(2.75*2)*10.764</f>
        <v>59.201999999999998</v>
      </c>
      <c r="F342" s="59">
        <f t="shared" ref="F342:F350" si="50">D342*(($F$209)+1)+E342</f>
        <v>588.71006999999986</v>
      </c>
      <c r="G342" s="169"/>
      <c r="H342" s="170"/>
      <c r="I342" s="60"/>
      <c r="N342" s="23" t="str">
        <f t="shared" ca="1" si="49"/>
        <v>302,..,1102</v>
      </c>
      <c r="O342" s="23">
        <f t="shared" ref="O342:O350" ca="1" si="51">O341+1</f>
        <v>302</v>
      </c>
      <c r="P342" s="23">
        <f t="shared" ref="P342:P350" ca="1" si="52">P341+1</f>
        <v>1102</v>
      </c>
    </row>
    <row r="343" spans="1:16" s="23" customFormat="1" ht="15.75" hidden="1" customHeight="1">
      <c r="A343" s="151" t="str">
        <f t="shared" ca="1" si="48"/>
        <v>303,..,1103</v>
      </c>
      <c r="B343" s="152"/>
      <c r="C343" s="59" t="s">
        <v>207</v>
      </c>
      <c r="D343" s="59">
        <f>(11.14+3.36+6.58+2.4+2.52+1.2*1.5+0.7*0.9+0.9*(2.1+2.75))*10.764</f>
        <v>353.00537999999995</v>
      </c>
      <c r="E343" s="59">
        <f>(2.75*2)*10.764</f>
        <v>59.201999999999998</v>
      </c>
      <c r="F343" s="59">
        <f t="shared" si="50"/>
        <v>588.71006999999986</v>
      </c>
      <c r="G343" s="169"/>
      <c r="H343" s="170"/>
      <c r="I343" s="60"/>
      <c r="N343" s="23" t="str">
        <f t="shared" ca="1" si="49"/>
        <v>303,..,1103</v>
      </c>
      <c r="O343" s="23">
        <f t="shared" ca="1" si="51"/>
        <v>303</v>
      </c>
      <c r="P343" s="23">
        <f t="shared" ca="1" si="52"/>
        <v>1103</v>
      </c>
    </row>
    <row r="344" spans="1:16" s="23" customFormat="1" ht="15.75" hidden="1" customHeight="1">
      <c r="A344" s="151" t="str">
        <f t="shared" ca="1" si="48"/>
        <v>304,..,1104</v>
      </c>
      <c r="B344" s="152"/>
      <c r="C344" s="59" t="s">
        <v>207</v>
      </c>
      <c r="D344" s="59">
        <f>(11.14+3.36+6.58+2.4+2.52+1.2*1.5+0.7*0.9+0.9*(2.1+2.75))*10.764</f>
        <v>353.00537999999995</v>
      </c>
      <c r="E344" s="59">
        <f>(2.75*2)*10.764</f>
        <v>59.201999999999998</v>
      </c>
      <c r="F344" s="59">
        <f t="shared" si="50"/>
        <v>588.71006999999986</v>
      </c>
      <c r="G344" s="169"/>
      <c r="H344" s="170"/>
      <c r="I344" s="60"/>
      <c r="N344" s="23" t="str">
        <f t="shared" ca="1" si="49"/>
        <v>304,..,1104</v>
      </c>
      <c r="O344" s="23">
        <f t="shared" ca="1" si="51"/>
        <v>304</v>
      </c>
      <c r="P344" s="23">
        <f t="shared" ca="1" si="52"/>
        <v>1104</v>
      </c>
    </row>
    <row r="345" spans="1:16" s="23" customFormat="1" ht="15.75" hidden="1" customHeight="1">
      <c r="A345" s="151" t="str">
        <f t="shared" ca="1" si="48"/>
        <v>305,..,1105</v>
      </c>
      <c r="B345" s="152"/>
      <c r="C345" s="59" t="s">
        <v>207</v>
      </c>
      <c r="D345" s="59">
        <f>(11.14+3.36+6.58+2.4+2.52+1.2*1.5+0.7*0.9+0.9*(2.1+2.75))*10.764</f>
        <v>353.00537999999995</v>
      </c>
      <c r="E345" s="59">
        <f>(2.75*2)*10.764</f>
        <v>59.201999999999998</v>
      </c>
      <c r="F345" s="59">
        <f t="shared" si="50"/>
        <v>588.71006999999986</v>
      </c>
      <c r="G345" s="169"/>
      <c r="H345" s="170"/>
      <c r="I345" s="60"/>
      <c r="N345" s="23" t="str">
        <f t="shared" ca="1" si="49"/>
        <v>305,..,1105</v>
      </c>
      <c r="O345" s="23">
        <f t="shared" ca="1" si="51"/>
        <v>305</v>
      </c>
      <c r="P345" s="23">
        <f t="shared" ca="1" si="52"/>
        <v>1105</v>
      </c>
    </row>
    <row r="346" spans="1:16" s="23" customFormat="1" ht="15.75" hidden="1" customHeight="1">
      <c r="A346" s="151" t="str">
        <f t="shared" ca="1" si="48"/>
        <v>306,..,1106</v>
      </c>
      <c r="B346" s="152"/>
      <c r="C346" s="59" t="s">
        <v>203</v>
      </c>
      <c r="D346" s="59">
        <f>(13.2+3.32+4.11+7.5+2.52+2.52+2.75*0.9+0.9*1.9+1.2*(3+2.75)+0.7*(3+2.75))*10.764</f>
        <v>519.68592000000001</v>
      </c>
      <c r="E346" s="59">
        <f>(2.75*1.4)*10.764</f>
        <v>41.441399999999994</v>
      </c>
      <c r="F346" s="59">
        <f t="shared" si="50"/>
        <v>820.97028000000012</v>
      </c>
      <c r="G346" s="169"/>
      <c r="H346" s="170"/>
      <c r="I346" s="60"/>
      <c r="N346" s="23" t="str">
        <f t="shared" ca="1" si="49"/>
        <v>306,..,1106</v>
      </c>
      <c r="O346" s="23">
        <f t="shared" ca="1" si="51"/>
        <v>306</v>
      </c>
      <c r="P346" s="23">
        <f t="shared" ca="1" si="52"/>
        <v>1106</v>
      </c>
    </row>
    <row r="347" spans="1:16" s="23" customFormat="1" ht="15.75" hidden="1" customHeight="1">
      <c r="A347" s="151" t="str">
        <f t="shared" ca="1" si="48"/>
        <v>307,..,1107</v>
      </c>
      <c r="B347" s="152"/>
      <c r="C347" s="59" t="s">
        <v>207</v>
      </c>
      <c r="D347" s="59">
        <f>(10.82+3.3+8.38+1.44+1.3+1.2*1.5+2*0.9+0.3*1.5+0.7*(2.75+2))*10.764</f>
        <v>351.06786</v>
      </c>
      <c r="E347" s="59">
        <f>(1.6*2)*10.764</f>
        <v>34.444800000000001</v>
      </c>
      <c r="F347" s="59">
        <f t="shared" si="50"/>
        <v>561.04658999999992</v>
      </c>
      <c r="G347" s="169"/>
      <c r="H347" s="170"/>
      <c r="I347" s="60"/>
      <c r="N347" s="23" t="str">
        <f t="shared" ca="1" si="49"/>
        <v>307,..,1107</v>
      </c>
      <c r="O347" s="23">
        <f t="shared" ca="1" si="51"/>
        <v>307</v>
      </c>
      <c r="P347" s="23">
        <f t="shared" ca="1" si="52"/>
        <v>1107</v>
      </c>
    </row>
    <row r="348" spans="1:16" s="23" customFormat="1" ht="15.75" hidden="1" customHeight="1">
      <c r="A348" s="151" t="str">
        <f t="shared" ca="1" si="48"/>
        <v>308,..,1108</v>
      </c>
      <c r="B348" s="152"/>
      <c r="C348" s="59" t="s">
        <v>207</v>
      </c>
      <c r="D348" s="59">
        <f>(11.14+3.36+8.16+2.52+2.4+1.2*1.5+0.7*0.9+2.1*0.9+0.3*1.9+0.7*(2.1+2.75))*10.764</f>
        <v>386.05085999999994</v>
      </c>
      <c r="E348" s="59">
        <f>(2.75*2)*10.764</f>
        <v>59.201999999999998</v>
      </c>
      <c r="F348" s="59">
        <f t="shared" si="50"/>
        <v>638.27828999999997</v>
      </c>
      <c r="G348" s="169"/>
      <c r="H348" s="170"/>
      <c r="I348" s="60"/>
      <c r="N348" s="23" t="str">
        <f t="shared" ca="1" si="49"/>
        <v>308,..,1108</v>
      </c>
      <c r="O348" s="23">
        <f t="shared" ca="1" si="51"/>
        <v>308</v>
      </c>
      <c r="P348" s="23">
        <f t="shared" ca="1" si="52"/>
        <v>1108</v>
      </c>
    </row>
    <row r="349" spans="1:16" s="23" customFormat="1" ht="15.75" hidden="1" customHeight="1">
      <c r="A349" s="151" t="str">
        <f t="shared" ca="1" si="48"/>
        <v>309,..,1109</v>
      </c>
      <c r="B349" s="152"/>
      <c r="C349" s="59" t="s">
        <v>207</v>
      </c>
      <c r="D349" s="59">
        <f>(11.14+3.36+8.16+2.52+2.4+1.2*1.5+0.7*0.9+2.1*0.9+0.3*1.9+0.7*(2.1+2.75))*10.764</f>
        <v>386.05085999999994</v>
      </c>
      <c r="E349" s="59">
        <f>(2.75*2)*10.764</f>
        <v>59.201999999999998</v>
      </c>
      <c r="F349" s="59">
        <f t="shared" si="50"/>
        <v>638.27828999999997</v>
      </c>
      <c r="G349" s="169"/>
      <c r="H349" s="170"/>
      <c r="I349" s="60"/>
      <c r="N349" s="23" t="str">
        <f t="shared" ca="1" si="49"/>
        <v>309,..,1109</v>
      </c>
      <c r="O349" s="23">
        <f t="shared" ca="1" si="51"/>
        <v>309</v>
      </c>
      <c r="P349" s="23">
        <f t="shared" ca="1" si="52"/>
        <v>1109</v>
      </c>
    </row>
    <row r="350" spans="1:16" s="23" customFormat="1" ht="15.75" hidden="1" customHeight="1">
      <c r="A350" s="151" t="str">
        <f t="shared" ca="1" si="48"/>
        <v>310,..,1110</v>
      </c>
      <c r="B350" s="152"/>
      <c r="C350" s="59" t="s">
        <v>207</v>
      </c>
      <c r="D350" s="59">
        <f>(10.82+3.3+8.38+1.44+1.3+1.2*1.5+2*0.9+0.3*1.5+0.7*(2.75+2))*10.764</f>
        <v>351.06786</v>
      </c>
      <c r="E350" s="59">
        <f>(1.6*2)*10.764</f>
        <v>34.444800000000001</v>
      </c>
      <c r="F350" s="59">
        <f t="shared" si="50"/>
        <v>561.04658999999992</v>
      </c>
      <c r="G350" s="171"/>
      <c r="H350" s="172"/>
      <c r="I350" s="60"/>
      <c r="N350" s="23" t="str">
        <f t="shared" ca="1" si="49"/>
        <v>310,..,1110</v>
      </c>
      <c r="O350" s="23">
        <f t="shared" ca="1" si="51"/>
        <v>310</v>
      </c>
      <c r="P350" s="23">
        <f t="shared" ca="1" si="52"/>
        <v>1110</v>
      </c>
    </row>
    <row r="351" spans="1:16" s="23" customFormat="1" ht="15.75" hidden="1" customHeight="1">
      <c r="A351" s="148" t="s">
        <v>214</v>
      </c>
      <c r="B351" s="149"/>
      <c r="C351" s="149"/>
      <c r="D351" s="149"/>
      <c r="E351" s="149"/>
      <c r="F351" s="149"/>
      <c r="G351" s="149"/>
      <c r="H351" s="150"/>
      <c r="I351" s="60"/>
    </row>
    <row r="352" spans="1:16" s="23" customFormat="1" ht="15.75" hidden="1" customHeight="1">
      <c r="A352" s="151" t="str">
        <f t="shared" ref="A352:A361" ca="1" si="53">N352</f>
        <v>401,..,1201</v>
      </c>
      <c r="B352" s="152"/>
      <c r="C352" s="59" t="s">
        <v>203</v>
      </c>
      <c r="D352" s="59">
        <f>(13.2+3.32+4.11+7.5+2.52+2.52+0.9*2.75+0.9*1.9+1.2*(3+2.75)+0.7*(3+2.75+2.75))*10.764</f>
        <v>540.40661999999998</v>
      </c>
      <c r="E352" s="59">
        <v>0</v>
      </c>
      <c r="F352" s="59">
        <f>D352*(($F$209)+1)+E352</f>
        <v>810.60992999999996</v>
      </c>
      <c r="G352" s="167" t="str">
        <f>A351</f>
        <v xml:space="preserve"> 4th, 6th &amp; 12th Floor</v>
      </c>
      <c r="H352" s="168"/>
      <c r="I352" s="60"/>
      <c r="N352" s="23" t="str">
        <f t="shared" ref="N352:N361" ca="1" si="54">O352&amp;""&amp;",..,"&amp;""&amp;P352</f>
        <v>401,..,1201</v>
      </c>
      <c r="O352" s="23">
        <f ca="1">(SUMPRODUCT(MID(0&amp;(LEFT(A351,SUM(LEN(A351)-LEN(SUBSTITUTE(A351,{"0","1","2"},""))))),LARGE(INDEX(ISNUMBER(--MID((LEFT(A351,SUM(LEN(A351)-LEN(SUBSTITUTE(A351,{"0","1","2"},""))))),ROW(INDIRECT("1:"&amp;LEN((LEFT(A351,SUM(LEN(A351)-LEN(SUBSTITUTE(A351,{"0","1","2"},"")))))))),1))*ROW(INDIRECT("1:"&amp;LEN((LEFT(A351,SUM(LEN(A351)-LEN(SUBSTITUTE(A351,{"0","1","2"},"")))))))),0),ROW(INDIRECT("1:"&amp;LEN((LEFT(A351,SUM(LEN(A351)-LEN(SUBSTITUTE(A351,{"0","1","2"},"")))))))))+1,1)*10^ROW(INDIRECT("1:"&amp;LEN((LEFT(A351,SUM(LEN(A351)-LEN(SUBSTITUTE(A351,{"0","1","2"},""))))))))/10))*100+1</f>
        <v>401</v>
      </c>
      <c r="P352" s="23">
        <f ca="1">(SUMPRODUCT(MID(0&amp;(--TRIM(RIGHT(SUBSTITUTE(LEFT(A351,_xlfn.AGGREGATE(16,6,FIND({0,1,2,3,4,5,6,7,8,9},A351,ROW(INDIRECT("1:"&amp;LEN(A351)))),1))," ",REPT(" ",LEN(A351))),LEN(A351)))),LARGE(INDEX(ISNUMBER(--MID((--TRIM(RIGHT(SUBSTITUTE(LEFT(A351,_xlfn.AGGREGATE(16,6,FIND({0,1,2,3,4,5,6,7,8,9},A351,ROW(INDIRECT("1:"&amp;LEN(A351)))),1))," ",REPT(" ",LEN(A351))),LEN(A351)))),ROW(INDIRECT("1:"&amp;LEN((--TRIM(RIGHT(SUBSTITUTE(LEFT(A351,_xlfn.AGGREGATE(16,6,FIND({0,1,2,3,4,5,6,7,8,9},A351,ROW(INDIRECT("1:"&amp;LEN(A351)))),1))," ",REPT(" ",LEN(A351))),LEN(A351))))))),1))*ROW(INDIRECT("1:"&amp;LEN((--TRIM(RIGHT(SUBSTITUTE(LEFT(A351,_xlfn.AGGREGATE(16,6,FIND({0,1,2,3,4,5,6,7,8,9},A351,ROW(INDIRECT("1:"&amp;LEN(A351)))),1))," ",REPT(" ",LEN(A351))),LEN(A351))))))),0),ROW(INDIRECT("1:"&amp;LEN((--TRIM(RIGHT(SUBSTITUTE(LEFT(A351,_xlfn.AGGREGATE(16,6,FIND({0,1,2,3,4,5,6,7,8,9},A351,ROW(INDIRECT("1:"&amp;LEN(A351)))),1))," ",REPT(" ",LEN(A351))),LEN(A351))))))))+1,1)*10^ROW(INDIRECT("1:"&amp;LEN((--TRIM(RIGHT(SUBSTITUTE(LEFT(A351,_xlfn.AGGREGATE(16,6,FIND({0,1,2,3,4,5,6,7,8,9},A351,ROW(INDIRECT("1:"&amp;LEN(A351)))),1))," ",REPT(" ",LEN(A351))),LEN(A351)))))))/10))*100+1</f>
        <v>1201</v>
      </c>
    </row>
    <row r="353" spans="1:16" s="23" customFormat="1" ht="15.75" hidden="1" customHeight="1">
      <c r="A353" s="151" t="str">
        <f t="shared" ca="1" si="53"/>
        <v>402,..,1202</v>
      </c>
      <c r="B353" s="152"/>
      <c r="C353" s="59" t="s">
        <v>207</v>
      </c>
      <c r="D353" s="59">
        <f>(11.14+3.36+6.58+2.52+2.4+1.2*1.5+0.7*0.9+0.9*(2.1+2.75)+0.7*(2.1+2.75))*10.764</f>
        <v>389.54915999999997</v>
      </c>
      <c r="E353" s="59">
        <v>0</v>
      </c>
      <c r="F353" s="59">
        <f t="shared" ref="F353:F361" si="55">D353*(($F$209)+1)+E353</f>
        <v>584.32373999999993</v>
      </c>
      <c r="G353" s="169"/>
      <c r="H353" s="170"/>
      <c r="I353" s="60"/>
      <c r="N353" s="23" t="str">
        <f t="shared" ca="1" si="54"/>
        <v>402,..,1202</v>
      </c>
      <c r="O353" s="23">
        <f t="shared" ref="O353:O361" ca="1" si="56">O352+1</f>
        <v>402</v>
      </c>
      <c r="P353" s="23">
        <f t="shared" ref="P353:P361" ca="1" si="57">P352+1</f>
        <v>1202</v>
      </c>
    </row>
    <row r="354" spans="1:16" s="23" customFormat="1" ht="15.75" hidden="1" customHeight="1">
      <c r="A354" s="151" t="str">
        <f t="shared" ca="1" si="53"/>
        <v>403,..,1203</v>
      </c>
      <c r="B354" s="152"/>
      <c r="C354" s="59" t="s">
        <v>207</v>
      </c>
      <c r="D354" s="59">
        <f>(11.14+3.36+6.58+2.52+2.4+1.2*1.5+0.7*0.9+0.9*(2.1+2.75)+0.7*(2.1+2.75))*10.764</f>
        <v>389.54915999999997</v>
      </c>
      <c r="E354" s="59">
        <v>0</v>
      </c>
      <c r="F354" s="59">
        <f t="shared" si="55"/>
        <v>584.32373999999993</v>
      </c>
      <c r="G354" s="169"/>
      <c r="H354" s="170"/>
      <c r="I354" s="60"/>
      <c r="N354" s="23" t="str">
        <f t="shared" ca="1" si="54"/>
        <v>403,..,1203</v>
      </c>
      <c r="O354" s="23">
        <f t="shared" ca="1" si="56"/>
        <v>403</v>
      </c>
      <c r="P354" s="23">
        <f t="shared" ca="1" si="57"/>
        <v>1203</v>
      </c>
    </row>
    <row r="355" spans="1:16" s="23" customFormat="1" ht="15.75" hidden="1" customHeight="1">
      <c r="A355" s="151" t="str">
        <f t="shared" ca="1" si="53"/>
        <v>404,..,1204</v>
      </c>
      <c r="B355" s="152"/>
      <c r="C355" s="59" t="s">
        <v>207</v>
      </c>
      <c r="D355" s="59">
        <f>(11.14+3.36+6.58+2.52+2.4+1.2*1.5+0.7*0.9+0.9*(2.1+2.75)+0.7*(2.1+2.75))*10.764</f>
        <v>389.54915999999997</v>
      </c>
      <c r="E355" s="59">
        <v>0</v>
      </c>
      <c r="F355" s="59">
        <f t="shared" si="55"/>
        <v>584.32373999999993</v>
      </c>
      <c r="G355" s="169"/>
      <c r="H355" s="170"/>
      <c r="I355" s="60"/>
      <c r="N355" s="23" t="str">
        <f t="shared" ca="1" si="54"/>
        <v>404,..,1204</v>
      </c>
      <c r="O355" s="23">
        <f t="shared" ca="1" si="56"/>
        <v>404</v>
      </c>
      <c r="P355" s="23">
        <f t="shared" ca="1" si="57"/>
        <v>1204</v>
      </c>
    </row>
    <row r="356" spans="1:16" s="23" customFormat="1" ht="15.75" hidden="1" customHeight="1">
      <c r="A356" s="151" t="str">
        <f t="shared" ca="1" si="53"/>
        <v>405,..,1205</v>
      </c>
      <c r="B356" s="152"/>
      <c r="C356" s="59" t="s">
        <v>207</v>
      </c>
      <c r="D356" s="59">
        <f>(11.14+3.36+6.58+2.52+2.4+1.2*1.5+0.7*0.9+0.9*(2.1+2.75)+0.7*(2.1+2.75))*10.764</f>
        <v>389.54915999999997</v>
      </c>
      <c r="E356" s="59">
        <v>0</v>
      </c>
      <c r="F356" s="59">
        <f t="shared" si="55"/>
        <v>584.32373999999993</v>
      </c>
      <c r="G356" s="169"/>
      <c r="H356" s="170"/>
      <c r="I356" s="60"/>
      <c r="N356" s="23" t="str">
        <f t="shared" ca="1" si="54"/>
        <v>405,..,1205</v>
      </c>
      <c r="O356" s="23">
        <f t="shared" ca="1" si="56"/>
        <v>405</v>
      </c>
      <c r="P356" s="23">
        <f t="shared" ca="1" si="57"/>
        <v>1205</v>
      </c>
    </row>
    <row r="357" spans="1:16" s="23" customFormat="1" ht="15.75" hidden="1" customHeight="1">
      <c r="A357" s="151" t="str">
        <f t="shared" ca="1" si="53"/>
        <v>406,..,1206</v>
      </c>
      <c r="B357" s="152"/>
      <c r="C357" s="59" t="s">
        <v>203</v>
      </c>
      <c r="D357" s="59">
        <f>(13.2+3.32+4.11+7.5+2.52+2.52+0.9*2.75+0.9*1.9+1.2*(3+2.75)+0.7*(3+2.75+2.75))*10.764</f>
        <v>540.40661999999998</v>
      </c>
      <c r="E357" s="59">
        <v>0</v>
      </c>
      <c r="F357" s="59">
        <f t="shared" si="55"/>
        <v>810.60992999999996</v>
      </c>
      <c r="G357" s="169"/>
      <c r="H357" s="170"/>
      <c r="I357" s="60"/>
      <c r="N357" s="23" t="str">
        <f t="shared" ca="1" si="54"/>
        <v>406,..,1206</v>
      </c>
      <c r="O357" s="23">
        <f t="shared" ca="1" si="56"/>
        <v>406</v>
      </c>
      <c r="P357" s="23">
        <f t="shared" ca="1" si="57"/>
        <v>1206</v>
      </c>
    </row>
    <row r="358" spans="1:16" s="23" customFormat="1" ht="15.75" hidden="1" customHeight="1">
      <c r="A358" s="151" t="str">
        <f t="shared" ca="1" si="53"/>
        <v>407,..,1207</v>
      </c>
      <c r="B358" s="152"/>
      <c r="C358" s="59" t="s">
        <v>207</v>
      </c>
      <c r="D358" s="59">
        <f>(10.82+3.3+8.38+1.44+1.3+1.3*1.7+0.9*2+0.3*1.3+0.7*(2.75+2+1.6))*10.764</f>
        <v>366.89094</v>
      </c>
      <c r="E358" s="59">
        <v>0</v>
      </c>
      <c r="F358" s="59">
        <f t="shared" si="55"/>
        <v>550.33641</v>
      </c>
      <c r="G358" s="169"/>
      <c r="H358" s="170"/>
      <c r="I358" s="60"/>
      <c r="N358" s="23" t="str">
        <f t="shared" ca="1" si="54"/>
        <v>407,..,1207</v>
      </c>
      <c r="O358" s="23">
        <f t="shared" ca="1" si="56"/>
        <v>407</v>
      </c>
      <c r="P358" s="23">
        <f t="shared" ca="1" si="57"/>
        <v>1207</v>
      </c>
    </row>
    <row r="359" spans="1:16" s="23" customFormat="1" ht="15.75" hidden="1" customHeight="1">
      <c r="A359" s="151" t="str">
        <f t="shared" ca="1" si="53"/>
        <v>408,..,1208</v>
      </c>
      <c r="B359" s="152"/>
      <c r="C359" s="59" t="s">
        <v>207</v>
      </c>
      <c r="D359" s="59">
        <f>(11.14+3.36+8.16+2.52+2.4+1.2*1.5+0.9*0.7+0.9*2.1+0.3*2+0.7*(2.75+2.1+2.75))*10.764</f>
        <v>407.09447999999998</v>
      </c>
      <c r="E359" s="59">
        <v>0</v>
      </c>
      <c r="F359" s="59">
        <f t="shared" si="55"/>
        <v>610.64171999999996</v>
      </c>
      <c r="G359" s="169"/>
      <c r="H359" s="170"/>
      <c r="I359" s="60"/>
      <c r="N359" s="23" t="str">
        <f t="shared" ca="1" si="54"/>
        <v>408,..,1208</v>
      </c>
      <c r="O359" s="23">
        <f t="shared" ca="1" si="56"/>
        <v>408</v>
      </c>
      <c r="P359" s="23">
        <f t="shared" ca="1" si="57"/>
        <v>1208</v>
      </c>
    </row>
    <row r="360" spans="1:16" s="23" customFormat="1" ht="15.75" hidden="1" customHeight="1">
      <c r="A360" s="151" t="str">
        <f t="shared" ca="1" si="53"/>
        <v>409,..,1209</v>
      </c>
      <c r="B360" s="152"/>
      <c r="C360" s="59" t="s">
        <v>207</v>
      </c>
      <c r="D360" s="59">
        <f>(11.14+3.36+8.16+2.52+2.4+1.2*1.5+0.9*0.7+0.9*2.1+0.3*2+0.7*(2.75+2.1+2.75))*10.764</f>
        <v>407.09447999999998</v>
      </c>
      <c r="E360" s="59">
        <v>0</v>
      </c>
      <c r="F360" s="59">
        <f t="shared" si="55"/>
        <v>610.64171999999996</v>
      </c>
      <c r="G360" s="169"/>
      <c r="H360" s="170"/>
      <c r="I360" s="60"/>
      <c r="N360" s="23" t="str">
        <f t="shared" ca="1" si="54"/>
        <v>409,..,1209</v>
      </c>
      <c r="O360" s="23">
        <f t="shared" ca="1" si="56"/>
        <v>409</v>
      </c>
      <c r="P360" s="23">
        <f t="shared" ca="1" si="57"/>
        <v>1209</v>
      </c>
    </row>
    <row r="361" spans="1:16" s="23" customFormat="1" ht="15.75" hidden="1" customHeight="1">
      <c r="A361" s="151" t="str">
        <f t="shared" ca="1" si="53"/>
        <v>410,..,1210</v>
      </c>
      <c r="B361" s="152"/>
      <c r="C361" s="59" t="s">
        <v>207</v>
      </c>
      <c r="D361" s="59">
        <f>(10.82+3.3+8.38+1.44+1.3+1.3*1.7+0.9*2+0.3*1.3+0.7*(2.75+2+1.6))*10.764</f>
        <v>366.89094</v>
      </c>
      <c r="E361" s="59">
        <v>0</v>
      </c>
      <c r="F361" s="59">
        <f t="shared" si="55"/>
        <v>550.33641</v>
      </c>
      <c r="G361" s="171"/>
      <c r="H361" s="172"/>
      <c r="I361" s="60"/>
      <c r="N361" s="23" t="str">
        <f t="shared" ca="1" si="54"/>
        <v>410,..,1210</v>
      </c>
      <c r="O361" s="23">
        <f t="shared" ca="1" si="56"/>
        <v>410</v>
      </c>
      <c r="P361" s="23">
        <f t="shared" ca="1" si="57"/>
        <v>1210</v>
      </c>
    </row>
    <row r="362" spans="1:16" s="23" customFormat="1" ht="15.75" hidden="1" customHeight="1">
      <c r="A362" s="148" t="s">
        <v>215</v>
      </c>
      <c r="B362" s="149"/>
      <c r="C362" s="149"/>
      <c r="D362" s="149"/>
      <c r="E362" s="149"/>
      <c r="F362" s="149"/>
      <c r="G362" s="149"/>
      <c r="H362" s="150"/>
      <c r="I362" s="60"/>
    </row>
    <row r="363" spans="1:16" s="23" customFormat="1" ht="15.75" hidden="1" customHeight="1">
      <c r="A363" s="151" t="str">
        <f t="shared" ref="A363:A372" ca="1" si="58">N363</f>
        <v>801,..,1001</v>
      </c>
      <c r="B363" s="152"/>
      <c r="C363" s="59" t="s">
        <v>203</v>
      </c>
      <c r="D363" s="59">
        <f>(13.2+3.32+4.11+7.5+2.52+2.52+0.9*2.75+0.9*1.9+1.2*(3+2.75)+0.7*(3+2.75+2.75))*10.764</f>
        <v>540.40661999999998</v>
      </c>
      <c r="E363" s="59">
        <v>0</v>
      </c>
      <c r="F363" s="59">
        <f>D363*(($F$209)+1)+E363</f>
        <v>810.60992999999996</v>
      </c>
      <c r="G363" s="167" t="str">
        <f>A362</f>
        <v xml:space="preserve"> 8th &amp; 10th Floor</v>
      </c>
      <c r="H363" s="168"/>
      <c r="I363" s="60"/>
      <c r="N363" s="23" t="str">
        <f t="shared" ref="N363:N372" ca="1" si="59">O363&amp;""&amp;",..,"&amp;""&amp;P363</f>
        <v>801,..,1001</v>
      </c>
      <c r="O363" s="23">
        <f ca="1">(SUMPRODUCT(MID(0&amp;(LEFT(A362,SUM(LEN(A362)-LEN(SUBSTITUTE(A362,{"0","1","2"},""))))),LARGE(INDEX(ISNUMBER(--MID((LEFT(A362,SUM(LEN(A362)-LEN(SUBSTITUTE(A362,{"0","1","2"},""))))),ROW(INDIRECT("1:"&amp;LEN((LEFT(A362,SUM(LEN(A362)-LEN(SUBSTITUTE(A362,{"0","1","2"},"")))))))),1))*ROW(INDIRECT("1:"&amp;LEN((LEFT(A362,SUM(LEN(A362)-LEN(SUBSTITUTE(A362,{"0","1","2"},"")))))))),0),ROW(INDIRECT("1:"&amp;LEN((LEFT(A362,SUM(LEN(A362)-LEN(SUBSTITUTE(A362,{"0","1","2"},"")))))))))+1,1)*10^ROW(INDIRECT("1:"&amp;LEN((LEFT(A362,SUM(LEN(A362)-LEN(SUBSTITUTE(A362,{"0","1","2"},""))))))))/10))*100+1</f>
        <v>801</v>
      </c>
      <c r="P363" s="23">
        <f ca="1">(SUMPRODUCT(MID(0&amp;(--TRIM(RIGHT(SUBSTITUTE(LEFT(A362,_xlfn.AGGREGATE(16,6,FIND({0,1,2,3,4,5,6,7,8,9},A362,ROW(INDIRECT("1:"&amp;LEN(A362)))),1))," ",REPT(" ",LEN(A362))),LEN(A362)))),LARGE(INDEX(ISNUMBER(--MID((--TRIM(RIGHT(SUBSTITUTE(LEFT(A362,_xlfn.AGGREGATE(16,6,FIND({0,1,2,3,4,5,6,7,8,9},A362,ROW(INDIRECT("1:"&amp;LEN(A362)))),1))," ",REPT(" ",LEN(A362))),LEN(A362)))),ROW(INDIRECT("1:"&amp;LEN((--TRIM(RIGHT(SUBSTITUTE(LEFT(A362,_xlfn.AGGREGATE(16,6,FIND({0,1,2,3,4,5,6,7,8,9},A362,ROW(INDIRECT("1:"&amp;LEN(A362)))),1))," ",REPT(" ",LEN(A362))),LEN(A362))))))),1))*ROW(INDIRECT("1:"&amp;LEN((--TRIM(RIGHT(SUBSTITUTE(LEFT(A362,_xlfn.AGGREGATE(16,6,FIND({0,1,2,3,4,5,6,7,8,9},A362,ROW(INDIRECT("1:"&amp;LEN(A362)))),1))," ",REPT(" ",LEN(A362))),LEN(A362))))))),0),ROW(INDIRECT("1:"&amp;LEN((--TRIM(RIGHT(SUBSTITUTE(LEFT(A362,_xlfn.AGGREGATE(16,6,FIND({0,1,2,3,4,5,6,7,8,9},A362,ROW(INDIRECT("1:"&amp;LEN(A362)))),1))," ",REPT(" ",LEN(A362))),LEN(A362))))))))+1,1)*10^ROW(INDIRECT("1:"&amp;LEN((--TRIM(RIGHT(SUBSTITUTE(LEFT(A362,_xlfn.AGGREGATE(16,6,FIND({0,1,2,3,4,5,6,7,8,9},A362,ROW(INDIRECT("1:"&amp;LEN(A362)))),1))," ",REPT(" ",LEN(A362))),LEN(A362)))))))/10))*100+1</f>
        <v>1001</v>
      </c>
    </row>
    <row r="364" spans="1:16" s="23" customFormat="1" ht="15.75" hidden="1" customHeight="1">
      <c r="A364" s="151" t="str">
        <f t="shared" ca="1" si="58"/>
        <v>802,..,1002</v>
      </c>
      <c r="B364" s="152"/>
      <c r="C364" s="59" t="s">
        <v>207</v>
      </c>
      <c r="D364" s="59">
        <f>(11.14+3.36+6.58+2.4+2.52+1.2*1.5+0.9*0.7+0.9*(2.1+2.75)+0.7*(2.1+2.75))*10.764</f>
        <v>389.54915999999997</v>
      </c>
      <c r="E364" s="59">
        <v>0</v>
      </c>
      <c r="F364" s="59">
        <f t="shared" ref="F364:F372" si="60">D364*(($F$209)+1)+E364</f>
        <v>584.32373999999993</v>
      </c>
      <c r="G364" s="169"/>
      <c r="H364" s="170"/>
      <c r="I364" s="60"/>
      <c r="N364" s="23" t="str">
        <f t="shared" ca="1" si="59"/>
        <v>802,..,1002</v>
      </c>
      <c r="O364" s="23">
        <f t="shared" ref="O364:O372" ca="1" si="61">O363+1</f>
        <v>802</v>
      </c>
      <c r="P364" s="23">
        <f t="shared" ref="P364:P372" ca="1" si="62">P363+1</f>
        <v>1002</v>
      </c>
    </row>
    <row r="365" spans="1:16" s="23" customFormat="1" ht="15.75" hidden="1" customHeight="1">
      <c r="A365" s="151" t="str">
        <f t="shared" ca="1" si="58"/>
        <v>803,..,1003</v>
      </c>
      <c r="B365" s="152"/>
      <c r="C365" s="59" t="s">
        <v>207</v>
      </c>
      <c r="D365" s="59">
        <f>(11.14+3.36+6.58+2.4+2.52+1.2*1.5+0.9*0.7+0.9*(2.1+2.75)+0.7*(2.1+2.75))*10.764</f>
        <v>389.54915999999997</v>
      </c>
      <c r="E365" s="59">
        <v>0</v>
      </c>
      <c r="F365" s="59">
        <f t="shared" si="60"/>
        <v>584.32373999999993</v>
      </c>
      <c r="G365" s="169"/>
      <c r="H365" s="170"/>
      <c r="I365" s="60"/>
      <c r="N365" s="23" t="str">
        <f t="shared" ca="1" si="59"/>
        <v>803,..,1003</v>
      </c>
      <c r="O365" s="23">
        <f t="shared" ca="1" si="61"/>
        <v>803</v>
      </c>
      <c r="P365" s="23">
        <f t="shared" ca="1" si="62"/>
        <v>1003</v>
      </c>
    </row>
    <row r="366" spans="1:16" s="23" customFormat="1" ht="15.75" hidden="1" customHeight="1">
      <c r="A366" s="151" t="str">
        <f t="shared" ca="1" si="58"/>
        <v>804,..,1004</v>
      </c>
      <c r="B366" s="152"/>
      <c r="C366" s="59" t="s">
        <v>207</v>
      </c>
      <c r="D366" s="59">
        <f>(11.14+3.36+6.58+2.4+2.52+1.2*1.5+0.9*0.7+0.9*(2.1+2.75)+0.7*(2.1+2.75))*10.764</f>
        <v>389.54915999999997</v>
      </c>
      <c r="E366" s="59">
        <v>0</v>
      </c>
      <c r="F366" s="59">
        <f t="shared" si="60"/>
        <v>584.32373999999993</v>
      </c>
      <c r="G366" s="169"/>
      <c r="H366" s="170"/>
      <c r="I366" s="60"/>
      <c r="N366" s="23" t="str">
        <f t="shared" ca="1" si="59"/>
        <v>804,..,1004</v>
      </c>
      <c r="O366" s="23">
        <f t="shared" ca="1" si="61"/>
        <v>804</v>
      </c>
      <c r="P366" s="23">
        <f t="shared" ca="1" si="62"/>
        <v>1004</v>
      </c>
    </row>
    <row r="367" spans="1:16" s="23" customFormat="1" ht="15.75" hidden="1" customHeight="1">
      <c r="A367" s="151" t="str">
        <f t="shared" ca="1" si="58"/>
        <v>805,..,1005</v>
      </c>
      <c r="B367" s="152"/>
      <c r="C367" s="59" t="s">
        <v>207</v>
      </c>
      <c r="D367" s="59">
        <f>(11.14+3.36+6.58+2.4+2.52+1.2*1.5+0.9*0.7+0.9*(2.1+2.75)+0.7*(2.1+2.75))*10.764</f>
        <v>389.54915999999997</v>
      </c>
      <c r="E367" s="59">
        <v>0</v>
      </c>
      <c r="F367" s="59">
        <f t="shared" si="60"/>
        <v>584.32373999999993</v>
      </c>
      <c r="G367" s="169"/>
      <c r="H367" s="170"/>
      <c r="I367" s="60"/>
      <c r="N367" s="23" t="str">
        <f t="shared" ca="1" si="59"/>
        <v>805,..,1005</v>
      </c>
      <c r="O367" s="23">
        <f t="shared" ca="1" si="61"/>
        <v>805</v>
      </c>
      <c r="P367" s="23">
        <f t="shared" ca="1" si="62"/>
        <v>1005</v>
      </c>
    </row>
    <row r="368" spans="1:16" s="23" customFormat="1" ht="15.75" hidden="1" customHeight="1">
      <c r="A368" s="151" t="str">
        <f t="shared" ca="1" si="58"/>
        <v>806,..,1006</v>
      </c>
      <c r="B368" s="152"/>
      <c r="C368" s="59" t="s">
        <v>203</v>
      </c>
      <c r="D368" s="59">
        <f>(13.2+3.32+4.11+7.5+2.52+2.52+0.9*2.75+0.9*1.9+1.2*(3+2.75)+0.7*(3+2.75+2.75))*10.764</f>
        <v>540.40661999999998</v>
      </c>
      <c r="E368" s="59">
        <v>0</v>
      </c>
      <c r="F368" s="59">
        <f t="shared" si="60"/>
        <v>810.60992999999996</v>
      </c>
      <c r="G368" s="169"/>
      <c r="H368" s="170"/>
      <c r="I368" s="60"/>
      <c r="N368" s="23" t="str">
        <f t="shared" ca="1" si="59"/>
        <v>806,..,1006</v>
      </c>
      <c r="O368" s="23">
        <f t="shared" ca="1" si="61"/>
        <v>806</v>
      </c>
      <c r="P368" s="23">
        <f t="shared" ca="1" si="62"/>
        <v>1006</v>
      </c>
    </row>
    <row r="369" spans="1:16" s="23" customFormat="1" ht="15.75" hidden="1" customHeight="1">
      <c r="A369" s="151" t="str">
        <f t="shared" ca="1" si="58"/>
        <v>807,..,1007</v>
      </c>
      <c r="B369" s="152"/>
      <c r="C369" s="59" t="s">
        <v>207</v>
      </c>
      <c r="D369" s="59">
        <f>(10.82+3.3+8.38+1.44+1.3+1.3*1.5+0.3*1.3+0.9*2+0.7*(2.75+2+1.6))*10.764</f>
        <v>364.09230000000002</v>
      </c>
      <c r="E369" s="59">
        <v>0</v>
      </c>
      <c r="F369" s="59">
        <f t="shared" si="60"/>
        <v>546.13845000000003</v>
      </c>
      <c r="G369" s="169"/>
      <c r="H369" s="170"/>
      <c r="I369" s="60"/>
      <c r="N369" s="23" t="str">
        <f t="shared" ca="1" si="59"/>
        <v>807,..,1007</v>
      </c>
      <c r="O369" s="23">
        <f t="shared" ca="1" si="61"/>
        <v>807</v>
      </c>
      <c r="P369" s="23">
        <f t="shared" ca="1" si="62"/>
        <v>1007</v>
      </c>
    </row>
    <row r="370" spans="1:16" s="23" customFormat="1" ht="15.75" hidden="1" customHeight="1">
      <c r="A370" s="151" t="str">
        <f t="shared" ca="1" si="58"/>
        <v>808,..,1008</v>
      </c>
      <c r="B370" s="152"/>
      <c r="C370" s="59" t="s">
        <v>207</v>
      </c>
      <c r="D370" s="59">
        <f>(11.14+3.36+8.16+2.52+2.4+1.2*1.5+0.9*0.7+0.9*2.1+0.3*2+0.7*(2.75+2.1+2.75))*10.764</f>
        <v>407.09447999999998</v>
      </c>
      <c r="E370" s="59">
        <v>0</v>
      </c>
      <c r="F370" s="59">
        <f t="shared" si="60"/>
        <v>610.64171999999996</v>
      </c>
      <c r="G370" s="169"/>
      <c r="H370" s="170"/>
      <c r="I370" s="60"/>
      <c r="N370" s="23" t="str">
        <f t="shared" ca="1" si="59"/>
        <v>808,..,1008</v>
      </c>
      <c r="O370" s="23">
        <f t="shared" ca="1" si="61"/>
        <v>808</v>
      </c>
      <c r="P370" s="23">
        <f t="shared" ca="1" si="62"/>
        <v>1008</v>
      </c>
    </row>
    <row r="371" spans="1:16" s="23" customFormat="1" ht="15.75" hidden="1" customHeight="1">
      <c r="A371" s="151" t="str">
        <f t="shared" ca="1" si="58"/>
        <v>809,..,1009</v>
      </c>
      <c r="B371" s="152"/>
      <c r="C371" s="59" t="s">
        <v>207</v>
      </c>
      <c r="D371" s="59">
        <f>(11.14+3.36+8.16+2.52+2.4+1.2*1.5+0.9*0.7+0.9*2.1+0.3*2+0.7*(2.75+2.1+2.75))*10.764</f>
        <v>407.09447999999998</v>
      </c>
      <c r="E371" s="59">
        <v>0</v>
      </c>
      <c r="F371" s="59">
        <f t="shared" si="60"/>
        <v>610.64171999999996</v>
      </c>
      <c r="G371" s="169"/>
      <c r="H371" s="170"/>
      <c r="I371" s="60"/>
      <c r="N371" s="23" t="str">
        <f t="shared" ca="1" si="59"/>
        <v>809,..,1009</v>
      </c>
      <c r="O371" s="23">
        <f t="shared" ca="1" si="61"/>
        <v>809</v>
      </c>
      <c r="P371" s="23">
        <f t="shared" ca="1" si="62"/>
        <v>1009</v>
      </c>
    </row>
    <row r="372" spans="1:16" s="23" customFormat="1" ht="15.75" hidden="1" customHeight="1">
      <c r="A372" s="151" t="str">
        <f t="shared" ca="1" si="58"/>
        <v>810,..,1010</v>
      </c>
      <c r="B372" s="152"/>
      <c r="C372" s="59" t="s">
        <v>207</v>
      </c>
      <c r="D372" s="59">
        <f>(10.82+3.3+8.38+1.44+1.3+1.3*1.5+0.3*1.3+0.9*2+0.7*(2.75+2+1.6))*10.764</f>
        <v>364.09230000000002</v>
      </c>
      <c r="E372" s="59">
        <v>0</v>
      </c>
      <c r="F372" s="59">
        <f t="shared" si="60"/>
        <v>546.13845000000003</v>
      </c>
      <c r="G372" s="171"/>
      <c r="H372" s="172"/>
      <c r="I372" s="60"/>
      <c r="N372" s="23" t="str">
        <f t="shared" ca="1" si="59"/>
        <v>810,..,1010</v>
      </c>
      <c r="O372" s="23">
        <f t="shared" ca="1" si="61"/>
        <v>810</v>
      </c>
      <c r="P372" s="23">
        <f t="shared" ca="1" si="62"/>
        <v>1010</v>
      </c>
    </row>
    <row r="373" spans="1:16" s="21" customFormat="1" hidden="1">
      <c r="A373" s="69" t="s">
        <v>218</v>
      </c>
      <c r="B373" s="69"/>
      <c r="C373" s="69"/>
      <c r="D373" s="69"/>
      <c r="E373" s="69"/>
      <c r="F373" s="69"/>
      <c r="G373" s="69"/>
      <c r="H373" s="69"/>
    </row>
    <row r="374" spans="1:16" s="21" customFormat="1" hidden="1">
      <c r="A374" s="69" t="s">
        <v>217</v>
      </c>
      <c r="B374" s="69"/>
      <c r="C374" s="69"/>
      <c r="D374" s="69"/>
      <c r="E374" s="69"/>
      <c r="F374" s="69"/>
      <c r="G374" s="69"/>
      <c r="H374" s="69"/>
    </row>
    <row r="375" spans="1:16" s="21" customFormat="1" hidden="1">
      <c r="A375" s="69" t="s">
        <v>205</v>
      </c>
      <c r="B375" s="69"/>
      <c r="C375" s="69"/>
      <c r="D375" s="69"/>
      <c r="E375" s="69"/>
      <c r="F375" s="69"/>
      <c r="G375" s="69"/>
      <c r="H375" s="69"/>
    </row>
    <row r="376" spans="1:16" s="23" customFormat="1" ht="15.75" hidden="1" customHeight="1">
      <c r="A376" s="166">
        <v>101</v>
      </c>
      <c r="B376" s="166"/>
      <c r="C376" s="59" t="s">
        <v>203</v>
      </c>
      <c r="D376" s="59">
        <f>(14.72+3.36+4.88+7.44+2.52+2.52+0.9*2.4+0.3*2.2+0.9*3.1+1.2*(3.05+2.1)+0.7*(3.05+2.1+3.1+2.3))*10.764</f>
        <v>587.87585999999999</v>
      </c>
      <c r="E376" s="59">
        <f>(2.5*1.4)*10.764</f>
        <v>37.673999999999999</v>
      </c>
      <c r="F376" s="59">
        <f>D376*(($F$209)+1)+E376</f>
        <v>919.4877899999999</v>
      </c>
      <c r="G376" s="167" t="str">
        <f>A375</f>
        <v>1st Floor for Residential</v>
      </c>
      <c r="H376" s="168"/>
      <c r="I376" s="60"/>
      <c r="N376" s="60"/>
    </row>
    <row r="377" spans="1:16" s="23" customFormat="1" ht="15.75" hidden="1" customHeight="1">
      <c r="A377" s="166">
        <f>A376+1</f>
        <v>102</v>
      </c>
      <c r="B377" s="166"/>
      <c r="C377" s="59" t="s">
        <v>207</v>
      </c>
      <c r="D377" s="59">
        <f>(10.66+3.3+7.97+1.44+1.3+1*1.5+0.3*1.2+0.9*2+0.7*(2.75+2))*10.764</f>
        <v>340.73442</v>
      </c>
      <c r="E377" s="59">
        <f>(1.6*1.9)*10.764</f>
        <v>32.722560000000001</v>
      </c>
      <c r="F377" s="59">
        <f>D377*(($F$209)+1)+E377</f>
        <v>543.82419000000004</v>
      </c>
      <c r="G377" s="169"/>
      <c r="H377" s="170"/>
      <c r="I377" s="60"/>
      <c r="N377" s="60"/>
    </row>
    <row r="378" spans="1:16" s="23" customFormat="1" ht="15.75" hidden="1" customHeight="1">
      <c r="A378" s="166">
        <f>A377+1</f>
        <v>103</v>
      </c>
      <c r="B378" s="166"/>
      <c r="C378" s="59" t="s">
        <v>207</v>
      </c>
      <c r="D378" s="59">
        <f>(10.66+3.3+7.97+1.44+1.3+1*1.5+0.3*1.2+0.9*2+0.7*(2.75+2))*10.764</f>
        <v>340.73442</v>
      </c>
      <c r="E378" s="59">
        <f>(1.6*1.9)*10.764</f>
        <v>32.722560000000001</v>
      </c>
      <c r="F378" s="59">
        <f>D378*(($F$209)+1)+E378</f>
        <v>543.82419000000004</v>
      </c>
      <c r="G378" s="169"/>
      <c r="H378" s="170"/>
      <c r="I378" s="60"/>
      <c r="N378" s="60"/>
    </row>
    <row r="379" spans="1:16" s="23" customFormat="1" ht="15.75" hidden="1" customHeight="1">
      <c r="A379" s="166">
        <f>A378+1</f>
        <v>104</v>
      </c>
      <c r="B379" s="166"/>
      <c r="C379" s="59" t="s">
        <v>207</v>
      </c>
      <c r="D379" s="59">
        <f>(9.21+4.13+7.71+1.74+1.35+1.2*1.5+1.2*2.75+0.3*2+0.7*(2.75+3.05))*10.764</f>
        <v>364.89960000000002</v>
      </c>
      <c r="E379" s="59">
        <v>0</v>
      </c>
      <c r="F379" s="59">
        <f>D379*(($F$209)+1)+E379</f>
        <v>547.34940000000006</v>
      </c>
      <c r="G379" s="171"/>
      <c r="H379" s="172"/>
      <c r="I379" s="60"/>
      <c r="N379" s="60"/>
    </row>
    <row r="380" spans="1:16" s="21" customFormat="1" hidden="1">
      <c r="A380" s="69" t="s">
        <v>206</v>
      </c>
      <c r="B380" s="69"/>
      <c r="C380" s="69"/>
      <c r="D380" s="69"/>
      <c r="E380" s="69"/>
      <c r="F380" s="69"/>
      <c r="G380" s="69"/>
      <c r="H380" s="69"/>
    </row>
    <row r="381" spans="1:16" s="23" customFormat="1" hidden="1">
      <c r="A381" s="166">
        <v>201</v>
      </c>
      <c r="B381" s="166"/>
      <c r="C381" s="59" t="s">
        <v>203</v>
      </c>
      <c r="D381" s="59">
        <f>(14.72+3.36+4.88+7.44+2.52+2.52+0.9*2.5+0.3*2.2+1*3.1+1.2*(3.05+2.1)+0.7*(3.1+3.05+2.1+2.7))*10.764</f>
        <v>595.19538</v>
      </c>
      <c r="E381" s="59">
        <f>(1.2*2.2)*10.764</f>
        <v>28.41696</v>
      </c>
      <c r="F381" s="59">
        <f>D381*(($F$209)+1)+E381</f>
        <v>921.21002999999996</v>
      </c>
      <c r="G381" s="167" t="str">
        <f>A380</f>
        <v xml:space="preserve">2nd Floor </v>
      </c>
      <c r="H381" s="168"/>
      <c r="I381" s="60"/>
      <c r="N381" s="60"/>
    </row>
    <row r="382" spans="1:16" s="23" customFormat="1" hidden="1">
      <c r="A382" s="166">
        <f>A381+1</f>
        <v>202</v>
      </c>
      <c r="B382" s="166"/>
      <c r="C382" s="59" t="s">
        <v>207</v>
      </c>
      <c r="D382" s="59">
        <f>(10.06+3.3+7.97+1.44+1.3+1*1.4+0.3*1.3+2*0.9+0.7*(2.75+2+1.7))*10.764</f>
        <v>346.33169999999996</v>
      </c>
      <c r="E382" s="59">
        <v>0</v>
      </c>
      <c r="F382" s="59">
        <f>D382*(($F$209)+1)+E382</f>
        <v>519.49754999999993</v>
      </c>
      <c r="G382" s="169"/>
      <c r="H382" s="170"/>
      <c r="I382" s="60"/>
      <c r="N382" s="60"/>
    </row>
    <row r="383" spans="1:16" s="23" customFormat="1" hidden="1">
      <c r="A383" s="166">
        <f>A382+1</f>
        <v>203</v>
      </c>
      <c r="B383" s="166"/>
      <c r="C383" s="59" t="s">
        <v>207</v>
      </c>
      <c r="D383" s="59">
        <f>(10.06+3.3+7.97+1.44+1.3+1*1.4+0.3*1.3+2*0.9+0.7*(2.75+2+1.7))*10.764</f>
        <v>346.33169999999996</v>
      </c>
      <c r="E383" s="59">
        <v>0</v>
      </c>
      <c r="F383" s="59">
        <f>D383*(($F$209)+1)+E383</f>
        <v>519.49754999999993</v>
      </c>
      <c r="G383" s="169"/>
      <c r="H383" s="170"/>
      <c r="I383" s="60"/>
      <c r="N383" s="60"/>
    </row>
    <row r="384" spans="1:16" s="23" customFormat="1" hidden="1">
      <c r="A384" s="166">
        <f>A383+1</f>
        <v>204</v>
      </c>
      <c r="B384" s="166"/>
      <c r="C384" s="59" t="s">
        <v>219</v>
      </c>
      <c r="D384" s="59">
        <f>(9.21+4.13+7.71+1.35+1.74+1.2*1.5+0.3*2+1.2*2.75+0.7*(3.05+2.75))*10.764</f>
        <v>364.89960000000002</v>
      </c>
      <c r="E384" s="59">
        <v>0</v>
      </c>
      <c r="F384" s="59">
        <f>D384*(($F$209)+1)+E384</f>
        <v>547.34940000000006</v>
      </c>
      <c r="G384" s="169"/>
      <c r="H384" s="170"/>
      <c r="I384" s="60"/>
      <c r="N384" s="60"/>
    </row>
    <row r="385" spans="1:16" s="23" customFormat="1" hidden="1">
      <c r="A385" s="166">
        <f>A384+1</f>
        <v>205</v>
      </c>
      <c r="B385" s="166"/>
      <c r="C385" s="59" t="s">
        <v>203</v>
      </c>
      <c r="D385" s="59">
        <f>(15.44+3.36+4.88+6.72+2.52+2.52+2.4*0.9+1*2.8+1.3*(3.05+2.1)+0.7*(3.05+2.1+2.5)+0.3*2.4)*10.764</f>
        <v>572.32187999999996</v>
      </c>
      <c r="E385" s="59">
        <f>(1.6*2.9)*10.764</f>
        <v>49.944959999999995</v>
      </c>
      <c r="F385" s="59">
        <f>D385*(($F$209)+1)+E385</f>
        <v>908.42777999999998</v>
      </c>
      <c r="G385" s="171"/>
      <c r="H385" s="172"/>
      <c r="I385" s="60"/>
      <c r="N385" s="60"/>
    </row>
    <row r="386" spans="1:16" s="23" customFormat="1" ht="15.75" hidden="1" customHeight="1">
      <c r="A386" s="148" t="s">
        <v>213</v>
      </c>
      <c r="B386" s="149"/>
      <c r="C386" s="149"/>
      <c r="D386" s="149"/>
      <c r="E386" s="149"/>
      <c r="F386" s="149"/>
      <c r="G386" s="149"/>
      <c r="H386" s="150"/>
      <c r="I386" s="60"/>
    </row>
    <row r="387" spans="1:16" s="23" customFormat="1" ht="15.75" hidden="1" customHeight="1">
      <c r="A387" s="151" t="str">
        <f ca="1">N387</f>
        <v>301,..,1101</v>
      </c>
      <c r="B387" s="152"/>
      <c r="C387" s="59" t="s">
        <v>203</v>
      </c>
      <c r="D387" s="59">
        <f>(14.72+3.36+4.88+7.44+2.52+2.52+0.9*2.4+0.3*2.2+1*3.1+1.2*(3.05+2.1)+0.7*(3.1+3.05+2.1+2.4))*10.764</f>
        <v>591.96618000000001</v>
      </c>
      <c r="E387" s="59">
        <f>(2.4*1.4)*10.764</f>
        <v>36.167039999999993</v>
      </c>
      <c r="F387" s="59">
        <f>D387*(($F$209)+1)+E387</f>
        <v>924.11631000000011</v>
      </c>
      <c r="G387" s="167" t="str">
        <f>A386</f>
        <v xml:space="preserve"> 3th, 5th, 7th, 9th &amp; 11th Floor</v>
      </c>
      <c r="H387" s="168"/>
      <c r="I387" s="60"/>
      <c r="N387" s="23" t="str">
        <f ca="1">O387&amp;""&amp;",..,"&amp;""&amp;P387</f>
        <v>301,..,1101</v>
      </c>
      <c r="O387" s="23">
        <f ca="1">(SUMPRODUCT(MID(0&amp;(LEFT(A386,SUM(LEN(A386)-LEN(SUBSTITUTE(A386,{"0","1","2"},""))))),LARGE(INDEX(ISNUMBER(--MID((LEFT(A386,SUM(LEN(A386)-LEN(SUBSTITUTE(A386,{"0","1","2"},""))))),ROW(INDIRECT("1:"&amp;LEN((LEFT(A386,SUM(LEN(A386)-LEN(SUBSTITUTE(A386,{"0","1","2"},"")))))))),1))*ROW(INDIRECT("1:"&amp;LEN((LEFT(A386,SUM(LEN(A386)-LEN(SUBSTITUTE(A386,{"0","1","2"},"")))))))),0),ROW(INDIRECT("1:"&amp;LEN((LEFT(A386,SUM(LEN(A386)-LEN(SUBSTITUTE(A386,{"0","1","2"},"")))))))))+1,1)*10^ROW(INDIRECT("1:"&amp;LEN((LEFT(A386,SUM(LEN(A386)-LEN(SUBSTITUTE(A386,{"0","1","2"},""))))))))/10))*100+1</f>
        <v>301</v>
      </c>
      <c r="P387" s="23">
        <f ca="1">(SUMPRODUCT(MID(0&amp;(--TRIM(RIGHT(SUBSTITUTE(LEFT(A386,_xlfn.AGGREGATE(16,6,FIND({0,1,2,3,4,5,6,7,8,9},A386,ROW(INDIRECT("1:"&amp;LEN(A386)))),1))," ",REPT(" ",LEN(A386))),LEN(A386)))),LARGE(INDEX(ISNUMBER(--MID((--TRIM(RIGHT(SUBSTITUTE(LEFT(A386,_xlfn.AGGREGATE(16,6,FIND({0,1,2,3,4,5,6,7,8,9},A386,ROW(INDIRECT("1:"&amp;LEN(A386)))),1))," ",REPT(" ",LEN(A386))),LEN(A386)))),ROW(INDIRECT("1:"&amp;LEN((--TRIM(RIGHT(SUBSTITUTE(LEFT(A386,_xlfn.AGGREGATE(16,6,FIND({0,1,2,3,4,5,6,7,8,9},A386,ROW(INDIRECT("1:"&amp;LEN(A386)))),1))," ",REPT(" ",LEN(A386))),LEN(A386))))))),1))*ROW(INDIRECT("1:"&amp;LEN((--TRIM(RIGHT(SUBSTITUTE(LEFT(A386,_xlfn.AGGREGATE(16,6,FIND({0,1,2,3,4,5,6,7,8,9},A386,ROW(INDIRECT("1:"&amp;LEN(A386)))),1))," ",REPT(" ",LEN(A386))),LEN(A386))))))),0),ROW(INDIRECT("1:"&amp;LEN((--TRIM(RIGHT(SUBSTITUTE(LEFT(A386,_xlfn.AGGREGATE(16,6,FIND({0,1,2,3,4,5,6,7,8,9},A386,ROW(INDIRECT("1:"&amp;LEN(A386)))),1))," ",REPT(" ",LEN(A386))),LEN(A386))))))))+1,1)*10^ROW(INDIRECT("1:"&amp;LEN((--TRIM(RIGHT(SUBSTITUTE(LEFT(A386,_xlfn.AGGREGATE(16,6,FIND({0,1,2,3,4,5,6,7,8,9},A386,ROW(INDIRECT("1:"&amp;LEN(A386)))),1))," ",REPT(" ",LEN(A386))),LEN(A386)))))))/10))*100+1</f>
        <v>1101</v>
      </c>
    </row>
    <row r="388" spans="1:16" s="23" customFormat="1" ht="15.75" hidden="1" customHeight="1">
      <c r="A388" s="151" t="str">
        <f ca="1">N388</f>
        <v>302,..,1102</v>
      </c>
      <c r="B388" s="152"/>
      <c r="C388" s="59" t="s">
        <v>207</v>
      </c>
      <c r="D388" s="59">
        <f>(10.66+3.3+7.97+1.44+1.3+1*1.3+0.3*1.2+0.9*2+0.7*(2+2.75))*10.764</f>
        <v>338.58161999999999</v>
      </c>
      <c r="E388" s="59">
        <f>(1.5*2)*10.764</f>
        <v>32.292000000000002</v>
      </c>
      <c r="F388" s="59">
        <f>D388*(($F$209)+1)+E388</f>
        <v>540.16443000000004</v>
      </c>
      <c r="G388" s="169"/>
      <c r="H388" s="170"/>
      <c r="I388" s="60"/>
      <c r="N388" s="23" t="str">
        <f ca="1">O388&amp;""&amp;",..,"&amp;""&amp;P388</f>
        <v>302,..,1102</v>
      </c>
      <c r="O388" s="23">
        <f t="shared" ref="O388:P391" ca="1" si="63">O387+1</f>
        <v>302</v>
      </c>
      <c r="P388" s="23">
        <f t="shared" ca="1" si="63"/>
        <v>1102</v>
      </c>
    </row>
    <row r="389" spans="1:16" s="23" customFormat="1" ht="15.75" hidden="1" customHeight="1">
      <c r="A389" s="151" t="str">
        <f ca="1">N389</f>
        <v>303,..,1103</v>
      </c>
      <c r="B389" s="152"/>
      <c r="C389" s="59" t="s">
        <v>207</v>
      </c>
      <c r="D389" s="59">
        <f>(10.66+3.3+7.97+1.44+1.3+1*1.3+0.3*1.2+0.9*2+0.7*(2+2.75))*10.764</f>
        <v>338.58161999999999</v>
      </c>
      <c r="E389" s="59">
        <f>(1.5*2)*10.764</f>
        <v>32.292000000000002</v>
      </c>
      <c r="F389" s="59">
        <f>D389*(($F$209)+1)+E389</f>
        <v>540.16443000000004</v>
      </c>
      <c r="G389" s="169"/>
      <c r="H389" s="170"/>
      <c r="I389" s="60"/>
      <c r="N389" s="23" t="str">
        <f ca="1">O389&amp;""&amp;",..,"&amp;""&amp;P389</f>
        <v>303,..,1103</v>
      </c>
      <c r="O389" s="23">
        <f t="shared" ca="1" si="63"/>
        <v>303</v>
      </c>
      <c r="P389" s="23">
        <f t="shared" ca="1" si="63"/>
        <v>1103</v>
      </c>
    </row>
    <row r="390" spans="1:16" s="23" customFormat="1" ht="15.75" hidden="1" customHeight="1">
      <c r="A390" s="151" t="str">
        <f ca="1">N390</f>
        <v>304,..,1104</v>
      </c>
      <c r="B390" s="152"/>
      <c r="C390" s="59" t="s">
        <v>219</v>
      </c>
      <c r="D390" s="59">
        <f>(9.21+4.13+7.71+1.35+1.74+1.2*1.5+0.3*2.2+1.2*2.75+0.7*(2.75+3.05))*10.764</f>
        <v>365.54543999999999</v>
      </c>
      <c r="E390" s="59">
        <v>0</v>
      </c>
      <c r="F390" s="59">
        <f>D390*(($F$209)+1)+E390</f>
        <v>548.31816000000003</v>
      </c>
      <c r="G390" s="169"/>
      <c r="H390" s="170"/>
      <c r="I390" s="60"/>
      <c r="N390" s="23" t="str">
        <f ca="1">O390&amp;""&amp;",..,"&amp;""&amp;P390</f>
        <v>304,..,1104</v>
      </c>
      <c r="O390" s="23">
        <f t="shared" ca="1" si="63"/>
        <v>304</v>
      </c>
      <c r="P390" s="23">
        <f t="shared" ca="1" si="63"/>
        <v>1104</v>
      </c>
    </row>
    <row r="391" spans="1:16" s="23" customFormat="1" ht="15.75" hidden="1" customHeight="1">
      <c r="A391" s="151" t="str">
        <f ca="1">N391</f>
        <v>305,..,1105</v>
      </c>
      <c r="B391" s="152"/>
      <c r="C391" s="59" t="s">
        <v>203</v>
      </c>
      <c r="D391" s="59">
        <f>(15.44+3.36+4.88+6.72+2.52+2.52+0.9*2.5+0.3*2.4+1*2.8+1.2*(3.05+2.1)+0.7*(2.1+3.05+1.5))*10.764</f>
        <v>560.21237999999994</v>
      </c>
      <c r="E391" s="59">
        <f>(2.2*2.4)*10.764</f>
        <v>56.833919999999999</v>
      </c>
      <c r="F391" s="59">
        <f>D391*(($F$209)+1)+E391</f>
        <v>897.15248999999994</v>
      </c>
      <c r="G391" s="171"/>
      <c r="H391" s="172"/>
      <c r="I391" s="60"/>
      <c r="N391" s="23" t="str">
        <f ca="1">O391&amp;""&amp;",..,"&amp;""&amp;P391</f>
        <v>305,..,1105</v>
      </c>
      <c r="O391" s="23">
        <f t="shared" ca="1" si="63"/>
        <v>305</v>
      </c>
      <c r="P391" s="23">
        <f t="shared" ca="1" si="63"/>
        <v>1105</v>
      </c>
    </row>
    <row r="392" spans="1:16" s="23" customFormat="1" ht="15.75" hidden="1" customHeight="1">
      <c r="A392" s="148" t="s">
        <v>214</v>
      </c>
      <c r="B392" s="149"/>
      <c r="C392" s="149"/>
      <c r="D392" s="149"/>
      <c r="E392" s="149"/>
      <c r="F392" s="149"/>
      <c r="G392" s="149"/>
      <c r="H392" s="150"/>
      <c r="I392" s="60"/>
    </row>
    <row r="393" spans="1:16" s="23" customFormat="1" ht="15.75" hidden="1" customHeight="1">
      <c r="A393" s="151" t="str">
        <f ca="1">N393</f>
        <v>401,..,1201</v>
      </c>
      <c r="B393" s="152"/>
      <c r="C393" s="59" t="s">
        <v>203</v>
      </c>
      <c r="D393" s="59">
        <f>(14.72+3.36+4.88+7.44+2.52+2.52+0.9*2.4+0.3*2.2+1*3.1+1.2*(3.05+2.1)+0.7*(3.1+3.05+2.1+2.6))*10.764</f>
        <v>593.47314000000006</v>
      </c>
      <c r="E393" s="59">
        <f>(2.1*1.2)*10.764</f>
        <v>27.12528</v>
      </c>
      <c r="F393" s="59">
        <f>D393*(($F$209)+1)+E393</f>
        <v>917.33499000000006</v>
      </c>
      <c r="G393" s="167" t="str">
        <f>A392</f>
        <v xml:space="preserve"> 4th, 6th &amp; 12th Floor</v>
      </c>
      <c r="H393" s="168"/>
      <c r="I393" s="60"/>
      <c r="N393" s="23" t="str">
        <f ca="1">O393&amp;""&amp;",..,"&amp;""&amp;P393</f>
        <v>401,..,1201</v>
      </c>
      <c r="O393" s="23">
        <f ca="1">(SUMPRODUCT(MID(0&amp;(LEFT(A392,SUM(LEN(A392)-LEN(SUBSTITUTE(A392,{"0","1","2"},""))))),LARGE(INDEX(ISNUMBER(--MID((LEFT(A392,SUM(LEN(A392)-LEN(SUBSTITUTE(A392,{"0","1","2"},""))))),ROW(INDIRECT("1:"&amp;LEN((LEFT(A392,SUM(LEN(A392)-LEN(SUBSTITUTE(A392,{"0","1","2"},"")))))))),1))*ROW(INDIRECT("1:"&amp;LEN((LEFT(A392,SUM(LEN(A392)-LEN(SUBSTITUTE(A392,{"0","1","2"},"")))))))),0),ROW(INDIRECT("1:"&amp;LEN((LEFT(A392,SUM(LEN(A392)-LEN(SUBSTITUTE(A392,{"0","1","2"},"")))))))))+1,1)*10^ROW(INDIRECT("1:"&amp;LEN((LEFT(A392,SUM(LEN(A392)-LEN(SUBSTITUTE(A392,{"0","1","2"},""))))))))/10))*100+1</f>
        <v>401</v>
      </c>
      <c r="P393" s="23">
        <f ca="1">(SUMPRODUCT(MID(0&amp;(--TRIM(RIGHT(SUBSTITUTE(LEFT(A392,_xlfn.AGGREGATE(16,6,FIND({0,1,2,3,4,5,6,7,8,9},A392,ROW(INDIRECT("1:"&amp;LEN(A392)))),1))," ",REPT(" ",LEN(A392))),LEN(A392)))),LARGE(INDEX(ISNUMBER(--MID((--TRIM(RIGHT(SUBSTITUTE(LEFT(A392,_xlfn.AGGREGATE(16,6,FIND({0,1,2,3,4,5,6,7,8,9},A392,ROW(INDIRECT("1:"&amp;LEN(A392)))),1))," ",REPT(" ",LEN(A392))),LEN(A392)))),ROW(INDIRECT("1:"&amp;LEN((--TRIM(RIGHT(SUBSTITUTE(LEFT(A392,_xlfn.AGGREGATE(16,6,FIND({0,1,2,3,4,5,6,7,8,9},A392,ROW(INDIRECT("1:"&amp;LEN(A392)))),1))," ",REPT(" ",LEN(A392))),LEN(A392))))))),1))*ROW(INDIRECT("1:"&amp;LEN((--TRIM(RIGHT(SUBSTITUTE(LEFT(A392,_xlfn.AGGREGATE(16,6,FIND({0,1,2,3,4,5,6,7,8,9},A392,ROW(INDIRECT("1:"&amp;LEN(A392)))),1))," ",REPT(" ",LEN(A392))),LEN(A392))))))),0),ROW(INDIRECT("1:"&amp;LEN((--TRIM(RIGHT(SUBSTITUTE(LEFT(A392,_xlfn.AGGREGATE(16,6,FIND({0,1,2,3,4,5,6,7,8,9},A392,ROW(INDIRECT("1:"&amp;LEN(A392)))),1))," ",REPT(" ",LEN(A392))),LEN(A392))))))))+1,1)*10^ROW(INDIRECT("1:"&amp;LEN((--TRIM(RIGHT(SUBSTITUTE(LEFT(A392,_xlfn.AGGREGATE(16,6,FIND({0,1,2,3,4,5,6,7,8,9},A392,ROW(INDIRECT("1:"&amp;LEN(A392)))),1))," ",REPT(" ",LEN(A392))),LEN(A392)))))))/10))*100+1</f>
        <v>1201</v>
      </c>
    </row>
    <row r="394" spans="1:16" s="23" customFormat="1" ht="15.75" hidden="1" customHeight="1">
      <c r="A394" s="151" t="str">
        <f ca="1">N394</f>
        <v>402,..,1202</v>
      </c>
      <c r="B394" s="152"/>
      <c r="C394" s="59" t="s">
        <v>207</v>
      </c>
      <c r="D394" s="59">
        <f>(10.66+3.3+7.97+1.44+1.3+1*1.5+0.3*1.2+0.9*2+0.7*(2.75+2+1.5))*10.764</f>
        <v>352.03661999999997</v>
      </c>
      <c r="E394" s="59">
        <v>0</v>
      </c>
      <c r="F394" s="59">
        <f>D394*(($F$209)+1)+E394</f>
        <v>528.05493000000001</v>
      </c>
      <c r="G394" s="169"/>
      <c r="H394" s="170"/>
      <c r="I394" s="60"/>
      <c r="N394" s="23" t="str">
        <f ca="1">O394&amp;""&amp;",..,"&amp;""&amp;P394</f>
        <v>402,..,1202</v>
      </c>
      <c r="O394" s="23">
        <f t="shared" ref="O394:P397" ca="1" si="64">O393+1</f>
        <v>402</v>
      </c>
      <c r="P394" s="23">
        <f t="shared" ca="1" si="64"/>
        <v>1202</v>
      </c>
    </row>
    <row r="395" spans="1:16" s="23" customFormat="1" ht="15.75" hidden="1" customHeight="1">
      <c r="A395" s="151" t="str">
        <f ca="1">N395</f>
        <v>403,..,1203</v>
      </c>
      <c r="B395" s="152"/>
      <c r="C395" s="59" t="s">
        <v>207</v>
      </c>
      <c r="D395" s="59">
        <f>(10.66+3.3+7.97+1.44+1.3+1*1.5+0.3*1.2+0.9*2+0.7*(2.75+2+1.5))*10.764</f>
        <v>352.03661999999997</v>
      </c>
      <c r="E395" s="59">
        <v>0</v>
      </c>
      <c r="F395" s="59">
        <f>D395*(($F$209)+1)+E395</f>
        <v>528.05493000000001</v>
      </c>
      <c r="G395" s="169"/>
      <c r="H395" s="170"/>
      <c r="I395" s="60"/>
      <c r="N395" s="23" t="str">
        <f ca="1">O395&amp;""&amp;",..,"&amp;""&amp;P395</f>
        <v>403,..,1203</v>
      </c>
      <c r="O395" s="23">
        <f t="shared" ca="1" si="64"/>
        <v>403</v>
      </c>
      <c r="P395" s="23">
        <f t="shared" ca="1" si="64"/>
        <v>1203</v>
      </c>
    </row>
    <row r="396" spans="1:16" s="23" customFormat="1" ht="15.75" hidden="1" customHeight="1">
      <c r="A396" s="151" t="str">
        <f ca="1">N396</f>
        <v>404,..,1204</v>
      </c>
      <c r="B396" s="152"/>
      <c r="C396" s="59" t="s">
        <v>207</v>
      </c>
      <c r="D396" s="59">
        <f>(9.21+4.13+7.71+1.74+1.35+1.2*1.5+1.2*2.75+0.3*2.2+0.7*(3.05+2.75))*10.764</f>
        <v>365.54543999999999</v>
      </c>
      <c r="E396" s="59">
        <v>0</v>
      </c>
      <c r="F396" s="59">
        <f>D396*(($F$209)+1)+E396</f>
        <v>548.31816000000003</v>
      </c>
      <c r="G396" s="169"/>
      <c r="H396" s="170"/>
      <c r="I396" s="60"/>
      <c r="N396" s="23" t="str">
        <f ca="1">O396&amp;""&amp;",..,"&amp;""&amp;P396</f>
        <v>404,..,1204</v>
      </c>
      <c r="O396" s="23">
        <f t="shared" ca="1" si="64"/>
        <v>404</v>
      </c>
      <c r="P396" s="23">
        <f t="shared" ca="1" si="64"/>
        <v>1204</v>
      </c>
    </row>
    <row r="397" spans="1:16" s="23" customFormat="1" ht="15.75" hidden="1" customHeight="1">
      <c r="A397" s="151" t="str">
        <f ca="1">N397</f>
        <v>405,..,1205</v>
      </c>
      <c r="B397" s="152"/>
      <c r="C397" s="59" t="s">
        <v>203</v>
      </c>
      <c r="D397" s="59">
        <f>(15.44+3.36+4.88+6.72+2.52+2.52+0.9*2.4+0.3*2.3+1*2.8+1.2*(3.05+2.1)+0.7*(3.05+2.1+2.4))*10.764</f>
        <v>565.70202000000006</v>
      </c>
      <c r="E397" s="59">
        <f>(1.7*1.4)*10.764</f>
        <v>25.618319999999997</v>
      </c>
      <c r="F397" s="59">
        <f>D397*(($F$209)+1)+E397</f>
        <v>874.17135000000007</v>
      </c>
      <c r="G397" s="171"/>
      <c r="H397" s="172"/>
      <c r="I397" s="60"/>
      <c r="N397" s="23" t="str">
        <f ca="1">O397&amp;""&amp;",..,"&amp;""&amp;P397</f>
        <v>405,..,1205</v>
      </c>
      <c r="O397" s="23">
        <f t="shared" ca="1" si="64"/>
        <v>405</v>
      </c>
      <c r="P397" s="23">
        <f t="shared" ca="1" si="64"/>
        <v>1205</v>
      </c>
    </row>
    <row r="398" spans="1:16" s="23" customFormat="1" ht="15.75" hidden="1" customHeight="1">
      <c r="A398" s="148" t="s">
        <v>220</v>
      </c>
      <c r="B398" s="149"/>
      <c r="C398" s="149"/>
      <c r="D398" s="149"/>
      <c r="E398" s="149"/>
      <c r="F398" s="149"/>
      <c r="G398" s="149"/>
      <c r="H398" s="150"/>
      <c r="I398" s="60"/>
    </row>
    <row r="399" spans="1:16" s="23" customFormat="1" ht="15.75" hidden="1" customHeight="1">
      <c r="A399" s="151" t="str">
        <f ca="1">N399</f>
        <v>801,..,1001</v>
      </c>
      <c r="B399" s="152"/>
      <c r="C399" s="59" t="s">
        <v>203</v>
      </c>
      <c r="D399" s="59">
        <f>(14.72+3.36+4.88+7.44+2.52+2.52+0.9*2.4+0.3*2.2+1*3.1+1.2*(3.05+2.1)+0.7*(3.1+3.05+2.1+2.5))*10.764</f>
        <v>592.71965999999998</v>
      </c>
      <c r="E399" s="59">
        <f>(2.1*1.2)*10.764</f>
        <v>27.12528</v>
      </c>
      <c r="F399" s="59">
        <f>D399*(($F$209)+1)+E399</f>
        <v>916.20476999999994</v>
      </c>
      <c r="G399" s="167" t="str">
        <f>A398</f>
        <v xml:space="preserve"> 8th &amp; 10th Floor (Part Refuge Area )</v>
      </c>
      <c r="H399" s="168"/>
      <c r="I399" s="60"/>
      <c r="N399" s="23" t="str">
        <f ca="1">O399&amp;""&amp;",..,"&amp;""&amp;P399</f>
        <v>801,..,1001</v>
      </c>
      <c r="O399" s="23">
        <f ca="1">(SUMPRODUCT(MID(0&amp;(LEFT(A398,SUM(LEN(A398)-LEN(SUBSTITUTE(A398,{"0","1","2"},""))))),LARGE(INDEX(ISNUMBER(--MID((LEFT(A398,SUM(LEN(A398)-LEN(SUBSTITUTE(A398,{"0","1","2"},""))))),ROW(INDIRECT("1:"&amp;LEN((LEFT(A398,SUM(LEN(A398)-LEN(SUBSTITUTE(A398,{"0","1","2"},"")))))))),1))*ROW(INDIRECT("1:"&amp;LEN((LEFT(A398,SUM(LEN(A398)-LEN(SUBSTITUTE(A398,{"0","1","2"},"")))))))),0),ROW(INDIRECT("1:"&amp;LEN((LEFT(A398,SUM(LEN(A398)-LEN(SUBSTITUTE(A398,{"0","1","2"},"")))))))))+1,1)*10^ROW(INDIRECT("1:"&amp;LEN((LEFT(A398,SUM(LEN(A398)-LEN(SUBSTITUTE(A398,{"0","1","2"},""))))))))/10))*100+1</f>
        <v>801</v>
      </c>
      <c r="P399" s="23">
        <f ca="1">(SUMPRODUCT(MID(0&amp;(--TRIM(RIGHT(SUBSTITUTE(LEFT(A398,_xlfn.AGGREGATE(16,6,FIND({0,1,2,3,4,5,6,7,8,9},A398,ROW(INDIRECT("1:"&amp;LEN(A398)))),1))," ",REPT(" ",LEN(A398))),LEN(A398)))),LARGE(INDEX(ISNUMBER(--MID((--TRIM(RIGHT(SUBSTITUTE(LEFT(A398,_xlfn.AGGREGATE(16,6,FIND({0,1,2,3,4,5,6,7,8,9},A398,ROW(INDIRECT("1:"&amp;LEN(A398)))),1))," ",REPT(" ",LEN(A398))),LEN(A398)))),ROW(INDIRECT("1:"&amp;LEN((--TRIM(RIGHT(SUBSTITUTE(LEFT(A398,_xlfn.AGGREGATE(16,6,FIND({0,1,2,3,4,5,6,7,8,9},A398,ROW(INDIRECT("1:"&amp;LEN(A398)))),1))," ",REPT(" ",LEN(A398))),LEN(A398))))))),1))*ROW(INDIRECT("1:"&amp;LEN((--TRIM(RIGHT(SUBSTITUTE(LEFT(A398,_xlfn.AGGREGATE(16,6,FIND({0,1,2,3,4,5,6,7,8,9},A398,ROW(INDIRECT("1:"&amp;LEN(A398)))),1))," ",REPT(" ",LEN(A398))),LEN(A398))))))),0),ROW(INDIRECT("1:"&amp;LEN((--TRIM(RIGHT(SUBSTITUTE(LEFT(A398,_xlfn.AGGREGATE(16,6,FIND({0,1,2,3,4,5,6,7,8,9},A398,ROW(INDIRECT("1:"&amp;LEN(A398)))),1))," ",REPT(" ",LEN(A398))),LEN(A398))))))))+1,1)*10^ROW(INDIRECT("1:"&amp;LEN((--TRIM(RIGHT(SUBSTITUTE(LEFT(A398,_xlfn.AGGREGATE(16,6,FIND({0,1,2,3,4,5,6,7,8,9},A398,ROW(INDIRECT("1:"&amp;LEN(A398)))),1))," ",REPT(" ",LEN(A398))),LEN(A398)))))))/10))*100+1</f>
        <v>1001</v>
      </c>
    </row>
    <row r="400" spans="1:16" s="23" customFormat="1" ht="15.75" hidden="1" customHeight="1">
      <c r="A400" s="151" t="str">
        <f ca="1">N400</f>
        <v>802,..,1002</v>
      </c>
      <c r="B400" s="152"/>
      <c r="C400" s="59" t="s">
        <v>207</v>
      </c>
      <c r="D400" s="59">
        <f>(10.66+3.3+7.97+1.44+1.3+1*1.5+0.3*1.2+0.9*2+0.7*(2.75+2+1.5))*10.764</f>
        <v>352.03661999999997</v>
      </c>
      <c r="E400" s="59">
        <v>0</v>
      </c>
      <c r="F400" s="59">
        <f>D400*(($F$209)+1)+E400</f>
        <v>528.05493000000001</v>
      </c>
      <c r="G400" s="169"/>
      <c r="H400" s="170"/>
      <c r="I400" s="60"/>
      <c r="N400" s="23" t="str">
        <f ca="1">O400&amp;""&amp;",..,"&amp;""&amp;P400</f>
        <v>802,..,1002</v>
      </c>
      <c r="O400" s="23">
        <f t="shared" ref="O400:P403" ca="1" si="65">O399+1</f>
        <v>802</v>
      </c>
      <c r="P400" s="23">
        <f t="shared" ca="1" si="65"/>
        <v>1002</v>
      </c>
    </row>
    <row r="401" spans="1:16" s="23" customFormat="1" ht="15.75" hidden="1" customHeight="1">
      <c r="A401" s="151" t="str">
        <f ca="1">N401</f>
        <v>803,..,1003</v>
      </c>
      <c r="B401" s="152"/>
      <c r="C401" s="59" t="s">
        <v>207</v>
      </c>
      <c r="D401" s="59">
        <f>(10.66+3.3+7.97+1.44+1.3+1*1.5+0.3*1.2+0.9*2+0.7*(2.75+2+1.5))*10.764</f>
        <v>352.03661999999997</v>
      </c>
      <c r="E401" s="59">
        <v>0</v>
      </c>
      <c r="F401" s="59">
        <f>D401*(($F$209)+1)+E401</f>
        <v>528.05493000000001</v>
      </c>
      <c r="G401" s="169"/>
      <c r="H401" s="170"/>
      <c r="I401" s="60"/>
      <c r="N401" s="23" t="str">
        <f ca="1">O401&amp;""&amp;",..,"&amp;""&amp;P401</f>
        <v>803,..,1003</v>
      </c>
      <c r="O401" s="23">
        <f t="shared" ca="1" si="65"/>
        <v>803</v>
      </c>
      <c r="P401" s="23">
        <f t="shared" ca="1" si="65"/>
        <v>1003</v>
      </c>
    </row>
    <row r="402" spans="1:16" s="23" customFormat="1" ht="15.75" hidden="1" customHeight="1">
      <c r="A402" s="151" t="str">
        <f ca="1">N402</f>
        <v>804,..,1004</v>
      </c>
      <c r="B402" s="152"/>
      <c r="C402" s="59" t="s">
        <v>207</v>
      </c>
      <c r="D402" s="59">
        <f>(9.21+4.13+7.71+1.74+1.35+1.2*1.5+1.2*2.75+0.3*2.2+0.7*(2.75+3.05))*10.764</f>
        <v>365.54543999999999</v>
      </c>
      <c r="E402" s="59">
        <v>0</v>
      </c>
      <c r="F402" s="59">
        <f>D402*(($F$209)+1)+E402</f>
        <v>548.31816000000003</v>
      </c>
      <c r="G402" s="169"/>
      <c r="H402" s="170"/>
      <c r="I402" s="60"/>
      <c r="N402" s="23" t="str">
        <f ca="1">O402&amp;""&amp;",..,"&amp;""&amp;P402</f>
        <v>804,..,1004</v>
      </c>
      <c r="O402" s="23">
        <f t="shared" ca="1" si="65"/>
        <v>804</v>
      </c>
      <c r="P402" s="23">
        <f t="shared" ca="1" si="65"/>
        <v>1004</v>
      </c>
    </row>
    <row r="403" spans="1:16" s="23" customFormat="1" ht="15.75" hidden="1" customHeight="1">
      <c r="A403" s="151" t="str">
        <f ca="1">N403</f>
        <v>805,..,1005</v>
      </c>
      <c r="B403" s="152"/>
      <c r="C403" s="59" t="s">
        <v>203</v>
      </c>
      <c r="D403" s="59">
        <f>(15.44+3.36+4.88+6.72+2.52+2.52+0.9*2.4+0.3*2.4+1*2.8+0.7*(3.05+2.1+2.4))*10.764</f>
        <v>499.50342000000001</v>
      </c>
      <c r="E403" s="59">
        <f>(1.2*1.4)*10.764</f>
        <v>18.083519999999996</v>
      </c>
      <c r="F403" s="59">
        <f>D403*(($F$209)+1)+E403</f>
        <v>767.33865000000003</v>
      </c>
      <c r="G403" s="171"/>
      <c r="H403" s="172"/>
      <c r="I403" s="60"/>
      <c r="N403" s="23" t="str">
        <f ca="1">O403&amp;""&amp;",..,"&amp;""&amp;P403</f>
        <v>805,..,1005</v>
      </c>
      <c r="O403" s="23">
        <f t="shared" ca="1" si="65"/>
        <v>805</v>
      </c>
      <c r="P403" s="23">
        <f t="shared" ca="1" si="65"/>
        <v>1005</v>
      </c>
    </row>
    <row r="404" spans="1:16" s="21" customFormat="1" hidden="1">
      <c r="A404" s="69" t="s">
        <v>221</v>
      </c>
      <c r="B404" s="69"/>
      <c r="C404" s="69"/>
      <c r="D404" s="69"/>
      <c r="E404" s="69"/>
      <c r="F404" s="69"/>
      <c r="G404" s="69"/>
      <c r="H404" s="69"/>
    </row>
    <row r="405" spans="1:16" s="21" customFormat="1" hidden="1">
      <c r="A405" s="69" t="s">
        <v>217</v>
      </c>
      <c r="B405" s="69"/>
      <c r="C405" s="69"/>
      <c r="D405" s="69"/>
      <c r="E405" s="69"/>
      <c r="F405" s="69"/>
      <c r="G405" s="69"/>
      <c r="H405" s="69"/>
    </row>
    <row r="406" spans="1:16" s="23" customFormat="1" ht="15.75" hidden="1" customHeight="1">
      <c r="A406" s="148" t="s">
        <v>222</v>
      </c>
      <c r="B406" s="149"/>
      <c r="C406" s="149"/>
      <c r="D406" s="149"/>
      <c r="E406" s="149"/>
      <c r="F406" s="149"/>
      <c r="G406" s="149"/>
      <c r="H406" s="150"/>
      <c r="I406" s="60"/>
    </row>
    <row r="407" spans="1:16" s="23" customFormat="1" ht="15.75" hidden="1" customHeight="1">
      <c r="A407" s="151" t="str">
        <f t="shared" ref="A407:A416" ca="1" si="66">N407</f>
        <v>101,..,1101</v>
      </c>
      <c r="B407" s="152"/>
      <c r="C407" s="59" t="s">
        <v>203</v>
      </c>
      <c r="D407" s="59">
        <f>(10.73+3.3+4.13+6.72+2.52+2.52+1.8*2.2+0.9*1.2+1.2*(2.8+2.75+2.2)+0.7*(2.8+3.4+2.7+2.2+2.5)+2.5*1.5)*10.764</f>
        <v>619.25291999999979</v>
      </c>
      <c r="E407" s="59">
        <v>0</v>
      </c>
      <c r="F407" s="59">
        <f t="shared" ref="F407:F416" si="67">D407*(($F$209)+1)+E407</f>
        <v>928.87937999999963</v>
      </c>
      <c r="G407" s="167" t="str">
        <f>A406</f>
        <v>1st, 3rd, 5th, 7th, 9th, 11th Floor</v>
      </c>
      <c r="H407" s="168"/>
      <c r="I407" s="60"/>
      <c r="N407" s="23" t="str">
        <f t="shared" ref="N407:N416" ca="1" si="68">O407&amp;""&amp;",..,"&amp;""&amp;P407</f>
        <v>101,..,1101</v>
      </c>
      <c r="O407" s="23">
        <f ca="1">(SUMPRODUCT(MID(0&amp;(LEFT(A406,SUM(LEN(A406)-LEN(SUBSTITUTE(A406,{"0","1","2"},""))))),LARGE(INDEX(ISNUMBER(--MID((LEFT(A406,SUM(LEN(A406)-LEN(SUBSTITUTE(A406,{"0","1","2"},""))))),ROW(INDIRECT("1:"&amp;LEN((LEFT(A406,SUM(LEN(A406)-LEN(SUBSTITUTE(A406,{"0","1","2"},"")))))))),1))*ROW(INDIRECT("1:"&amp;LEN((LEFT(A406,SUM(LEN(A406)-LEN(SUBSTITUTE(A406,{"0","1","2"},"")))))))),0),ROW(INDIRECT("1:"&amp;LEN((LEFT(A406,SUM(LEN(A406)-LEN(SUBSTITUTE(A406,{"0","1","2"},"")))))))))+1,1)*10^ROW(INDIRECT("1:"&amp;LEN((LEFT(A406,SUM(LEN(A406)-LEN(SUBSTITUTE(A406,{"0","1","2"},""))))))))/10))*100+1</f>
        <v>101</v>
      </c>
      <c r="P407" s="23">
        <f ca="1">(SUMPRODUCT(MID(0&amp;(--TRIM(RIGHT(SUBSTITUTE(LEFT(A406,_xlfn.AGGREGATE(16,6,FIND({0,1,2,3,4,5,6,7,8,9},A406,ROW(INDIRECT("1:"&amp;LEN(A406)))),1))," ",REPT(" ",LEN(A406))),LEN(A406)))),LARGE(INDEX(ISNUMBER(--MID((--TRIM(RIGHT(SUBSTITUTE(LEFT(A406,_xlfn.AGGREGATE(16,6,FIND({0,1,2,3,4,5,6,7,8,9},A406,ROW(INDIRECT("1:"&amp;LEN(A406)))),1))," ",REPT(" ",LEN(A406))),LEN(A406)))),ROW(INDIRECT("1:"&amp;LEN((--TRIM(RIGHT(SUBSTITUTE(LEFT(A406,_xlfn.AGGREGATE(16,6,FIND({0,1,2,3,4,5,6,7,8,9},A406,ROW(INDIRECT("1:"&amp;LEN(A406)))),1))," ",REPT(" ",LEN(A406))),LEN(A406))))))),1))*ROW(INDIRECT("1:"&amp;LEN((--TRIM(RIGHT(SUBSTITUTE(LEFT(A406,_xlfn.AGGREGATE(16,6,FIND({0,1,2,3,4,5,6,7,8,9},A406,ROW(INDIRECT("1:"&amp;LEN(A406)))),1))," ",REPT(" ",LEN(A406))),LEN(A406))))))),0),ROW(INDIRECT("1:"&amp;LEN((--TRIM(RIGHT(SUBSTITUTE(LEFT(A406,_xlfn.AGGREGATE(16,6,FIND({0,1,2,3,4,5,6,7,8,9},A406,ROW(INDIRECT("1:"&amp;LEN(A406)))),1))," ",REPT(" ",LEN(A406))),LEN(A406))))))))+1,1)*10^ROW(INDIRECT("1:"&amp;LEN((--TRIM(RIGHT(SUBSTITUTE(LEFT(A406,_xlfn.AGGREGATE(16,6,FIND({0,1,2,3,4,5,6,7,8,9},A406,ROW(INDIRECT("1:"&amp;LEN(A406)))),1))," ",REPT(" ",LEN(A406))),LEN(A406)))))))/10))*100+1</f>
        <v>1101</v>
      </c>
    </row>
    <row r="408" spans="1:16" s="23" customFormat="1" ht="15.75" hidden="1" customHeight="1">
      <c r="A408" s="151" t="str">
        <f t="shared" ca="1" si="66"/>
        <v>102,..,1102</v>
      </c>
      <c r="B408" s="152"/>
      <c r="C408" s="59" t="s">
        <v>207</v>
      </c>
      <c r="D408" s="59">
        <f>(9.64+5.4+6.6+1.62+1.08+1.2*1.2+0.7*(2.5+2.75)+1*2.75)*10.764</f>
        <v>346.65462000000002</v>
      </c>
      <c r="E408" s="59">
        <f>(1.8*1.2)*10.764</f>
        <v>23.250240000000002</v>
      </c>
      <c r="F408" s="59">
        <f t="shared" si="67"/>
        <v>543.23217</v>
      </c>
      <c r="G408" s="169"/>
      <c r="H408" s="170"/>
      <c r="I408" s="60"/>
      <c r="N408" s="23" t="str">
        <f t="shared" ca="1" si="68"/>
        <v>102,..,1102</v>
      </c>
      <c r="O408" s="23">
        <f t="shared" ref="O408:O416" ca="1" si="69">O407+1</f>
        <v>102</v>
      </c>
      <c r="P408" s="23">
        <f t="shared" ref="P408:P416" ca="1" si="70">P407+1</f>
        <v>1102</v>
      </c>
    </row>
    <row r="409" spans="1:16" s="23" customFormat="1" ht="15.75" hidden="1" customHeight="1">
      <c r="A409" s="151" t="str">
        <f t="shared" ca="1" si="66"/>
        <v>103,..,1103</v>
      </c>
      <c r="B409" s="152"/>
      <c r="C409" s="59" t="s">
        <v>207</v>
      </c>
      <c r="D409" s="59">
        <f>(11.14+3.36+8.16+2.52+2.4+1.2*1.7+0.9*0.7+0.9*2.1+0.7*(2.1+2.75))*10.764</f>
        <v>382.49873999999994</v>
      </c>
      <c r="E409" s="59">
        <f t="shared" ref="E409:E414" si="71">(2.2*2.5)*10.764</f>
        <v>59.201999999999998</v>
      </c>
      <c r="F409" s="59">
        <f t="shared" si="67"/>
        <v>632.95010999999988</v>
      </c>
      <c r="G409" s="169"/>
      <c r="H409" s="170"/>
      <c r="I409" s="60"/>
      <c r="N409" s="23" t="str">
        <f t="shared" ca="1" si="68"/>
        <v>103,..,1103</v>
      </c>
      <c r="O409" s="23">
        <f t="shared" ca="1" si="69"/>
        <v>103</v>
      </c>
      <c r="P409" s="23">
        <f t="shared" ca="1" si="70"/>
        <v>1103</v>
      </c>
    </row>
    <row r="410" spans="1:16" s="23" customFormat="1" ht="15.75" hidden="1" customHeight="1">
      <c r="A410" s="151" t="str">
        <f t="shared" ca="1" si="66"/>
        <v>104,..,1104</v>
      </c>
      <c r="B410" s="152"/>
      <c r="C410" s="59" t="s">
        <v>207</v>
      </c>
      <c r="D410" s="59">
        <f>(11.14+3.36+8.16+2.52+2.4+1.2*1.7+0.9*0.7+0.9*2.1+0.7*(2.1+2.75))*10.764</f>
        <v>382.49873999999994</v>
      </c>
      <c r="E410" s="59">
        <f t="shared" si="71"/>
        <v>59.201999999999998</v>
      </c>
      <c r="F410" s="59">
        <f t="shared" si="67"/>
        <v>632.95010999999988</v>
      </c>
      <c r="G410" s="169"/>
      <c r="H410" s="170"/>
      <c r="I410" s="60"/>
      <c r="N410" s="23" t="str">
        <f t="shared" ca="1" si="68"/>
        <v>104,..,1104</v>
      </c>
      <c r="O410" s="23">
        <f t="shared" ca="1" si="69"/>
        <v>104</v>
      </c>
      <c r="P410" s="23">
        <f t="shared" ca="1" si="70"/>
        <v>1104</v>
      </c>
    </row>
    <row r="411" spans="1:16" s="23" customFormat="1" ht="15.75" hidden="1" customHeight="1">
      <c r="A411" s="151" t="str">
        <f t="shared" ca="1" si="66"/>
        <v>105,..,1105</v>
      </c>
      <c r="B411" s="152"/>
      <c r="C411" s="59" t="s">
        <v>207</v>
      </c>
      <c r="D411" s="59">
        <f>(11.13+3.52+6.6+2.52+2.84+0.9*1.5+0.9*(2.2+2.75)+0.7*(2.2+2.75))*10.764</f>
        <v>386.21231999999992</v>
      </c>
      <c r="E411" s="59">
        <f t="shared" si="71"/>
        <v>59.201999999999998</v>
      </c>
      <c r="F411" s="59">
        <f t="shared" si="67"/>
        <v>638.52047999999991</v>
      </c>
      <c r="G411" s="169"/>
      <c r="H411" s="170"/>
      <c r="I411" s="60"/>
      <c r="N411" s="23" t="str">
        <f t="shared" ca="1" si="68"/>
        <v>105,..,1105</v>
      </c>
      <c r="O411" s="23">
        <f t="shared" ca="1" si="69"/>
        <v>105</v>
      </c>
      <c r="P411" s="23">
        <f t="shared" ca="1" si="70"/>
        <v>1105</v>
      </c>
    </row>
    <row r="412" spans="1:16" s="23" customFormat="1" ht="15.75" hidden="1" customHeight="1">
      <c r="A412" s="151" t="str">
        <f t="shared" ca="1" si="66"/>
        <v>106,..,1106</v>
      </c>
      <c r="B412" s="152"/>
      <c r="C412" s="59" t="s">
        <v>207</v>
      </c>
      <c r="D412" s="59">
        <f>(11.13+3.52+6.6+2.52+2.84+0.9*1.5+0.9*(2.2+2.75)+0.7*(2.2+2.75))*10.764</f>
        <v>386.21231999999992</v>
      </c>
      <c r="E412" s="59">
        <f t="shared" si="71"/>
        <v>59.201999999999998</v>
      </c>
      <c r="F412" s="59">
        <f t="shared" si="67"/>
        <v>638.52047999999991</v>
      </c>
      <c r="G412" s="169"/>
      <c r="H412" s="170"/>
      <c r="I412" s="60"/>
      <c r="N412" s="23" t="str">
        <f t="shared" ca="1" si="68"/>
        <v>106,..,1106</v>
      </c>
      <c r="O412" s="23">
        <f t="shared" ca="1" si="69"/>
        <v>106</v>
      </c>
      <c r="P412" s="23">
        <f t="shared" ca="1" si="70"/>
        <v>1106</v>
      </c>
    </row>
    <row r="413" spans="1:16" s="23" customFormat="1" ht="15.75" hidden="1" customHeight="1">
      <c r="A413" s="151" t="str">
        <f t="shared" ca="1" si="66"/>
        <v>107,..,1107</v>
      </c>
      <c r="B413" s="152"/>
      <c r="C413" s="59" t="s">
        <v>207</v>
      </c>
      <c r="D413" s="59">
        <f>(11.14+3.36+8.16+2.52+2.4+1.2*1.7+0.9*0.7+0.9*2.1+0.7*(2.1+2.75))*10.764</f>
        <v>382.49873999999994</v>
      </c>
      <c r="E413" s="59">
        <f t="shared" si="71"/>
        <v>59.201999999999998</v>
      </c>
      <c r="F413" s="59">
        <f t="shared" si="67"/>
        <v>632.95010999999988</v>
      </c>
      <c r="G413" s="169"/>
      <c r="H413" s="170"/>
      <c r="I413" s="60"/>
      <c r="N413" s="23" t="str">
        <f t="shared" ca="1" si="68"/>
        <v>107,..,1107</v>
      </c>
      <c r="O413" s="23">
        <f t="shared" ca="1" si="69"/>
        <v>107</v>
      </c>
      <c r="P413" s="23">
        <f t="shared" ca="1" si="70"/>
        <v>1107</v>
      </c>
    </row>
    <row r="414" spans="1:16" s="23" customFormat="1" ht="15.75" hidden="1" customHeight="1">
      <c r="A414" s="151" t="str">
        <f t="shared" ca="1" si="66"/>
        <v>108,..,1108</v>
      </c>
      <c r="B414" s="152"/>
      <c r="C414" s="59" t="s">
        <v>207</v>
      </c>
      <c r="D414" s="59">
        <f>(11.14+3.36+8.16+2.52+2.4+1.2*1.7+0.9*0.7+0.9*2.1+0.7*(2.1+2.75))*10.764</f>
        <v>382.49873999999994</v>
      </c>
      <c r="E414" s="59">
        <f t="shared" si="71"/>
        <v>59.201999999999998</v>
      </c>
      <c r="F414" s="59">
        <f t="shared" si="67"/>
        <v>632.95010999999988</v>
      </c>
      <c r="G414" s="169"/>
      <c r="H414" s="170"/>
      <c r="I414" s="60"/>
      <c r="N414" s="23" t="str">
        <f t="shared" ca="1" si="68"/>
        <v>108,..,1108</v>
      </c>
      <c r="O414" s="23">
        <f t="shared" ca="1" si="69"/>
        <v>108</v>
      </c>
      <c r="P414" s="23">
        <f t="shared" ca="1" si="70"/>
        <v>1108</v>
      </c>
    </row>
    <row r="415" spans="1:16" s="23" customFormat="1" ht="15.75" hidden="1" customHeight="1">
      <c r="A415" s="151" t="str">
        <f t="shared" ca="1" si="66"/>
        <v>109,..,1109</v>
      </c>
      <c r="B415" s="152"/>
      <c r="C415" s="59" t="s">
        <v>207</v>
      </c>
      <c r="D415" s="59">
        <f>(9.64+5.4+6.6+1.62+1.08+1.2*1.2+0.7*(2.5+2.75)+1*2.75)*10.764</f>
        <v>346.65462000000002</v>
      </c>
      <c r="E415" s="59">
        <f>(1.8*1.2)*10.764</f>
        <v>23.250240000000002</v>
      </c>
      <c r="F415" s="59">
        <f t="shared" si="67"/>
        <v>543.23217</v>
      </c>
      <c r="G415" s="169"/>
      <c r="H415" s="170"/>
      <c r="I415" s="60"/>
      <c r="N415" s="23" t="str">
        <f t="shared" ca="1" si="68"/>
        <v>109,..,1109</v>
      </c>
      <c r="O415" s="23">
        <f t="shared" ca="1" si="69"/>
        <v>109</v>
      </c>
      <c r="P415" s="23">
        <f t="shared" ca="1" si="70"/>
        <v>1109</v>
      </c>
    </row>
    <row r="416" spans="1:16" s="23" customFormat="1" ht="15.75" hidden="1" customHeight="1">
      <c r="A416" s="151" t="str">
        <f t="shared" ca="1" si="66"/>
        <v>110,..,1110</v>
      </c>
      <c r="B416" s="152"/>
      <c r="C416" s="59" t="s">
        <v>203</v>
      </c>
      <c r="D416" s="59">
        <f>(10.73+3.3+4.13+6.72+2.52+2.52+1.8*2.2+0.9*1.2+1.2*(2.8+2.75+2.2)+0.7*(2.8+3.4+2.7+2.2+2.5)+2.5*1.5)*10.764</f>
        <v>619.25291999999979</v>
      </c>
      <c r="E416" s="59">
        <v>0</v>
      </c>
      <c r="F416" s="59">
        <f t="shared" si="67"/>
        <v>928.87937999999963</v>
      </c>
      <c r="G416" s="171"/>
      <c r="H416" s="172"/>
      <c r="I416" s="60"/>
      <c r="N416" s="23" t="str">
        <f t="shared" ca="1" si="68"/>
        <v>110,..,1110</v>
      </c>
      <c r="O416" s="23">
        <f t="shared" ca="1" si="69"/>
        <v>110</v>
      </c>
      <c r="P416" s="23">
        <f t="shared" ca="1" si="70"/>
        <v>1110</v>
      </c>
    </row>
    <row r="417" spans="1:16" s="23" customFormat="1" ht="15.75" hidden="1" customHeight="1">
      <c r="A417" s="148" t="s">
        <v>223</v>
      </c>
      <c r="B417" s="149"/>
      <c r="C417" s="149"/>
      <c r="D417" s="149"/>
      <c r="E417" s="149"/>
      <c r="F417" s="149"/>
      <c r="G417" s="149"/>
      <c r="H417" s="150"/>
      <c r="I417" s="60"/>
    </row>
    <row r="418" spans="1:16" s="23" customFormat="1" ht="15.75" hidden="1" customHeight="1">
      <c r="A418" s="151" t="str">
        <f t="shared" ref="A418:A427" ca="1" si="72">N418</f>
        <v>201,..,1201</v>
      </c>
      <c r="B418" s="152"/>
      <c r="C418" s="59" t="s">
        <v>203</v>
      </c>
      <c r="D418" s="59">
        <f>(10.736+3.3+4.13+6.72+2.2+2.52+2.2*1.7+0.9*1.2+1.2*(2.8+2.75+2.2)+2.5*1.5+0.7*(2.8+3.4+2.7+2.2+2.5)+0.3*2.4)*10.764</f>
        <v>621.25502399999982</v>
      </c>
      <c r="E418" s="59">
        <v>0</v>
      </c>
      <c r="F418" s="59">
        <f>D418*(($F$209)+1)+E418</f>
        <v>931.88253599999973</v>
      </c>
      <c r="G418" s="167" t="str">
        <f>A417</f>
        <v xml:space="preserve">2nd, 4th, 6th &amp; 12th Floor </v>
      </c>
      <c r="H418" s="168"/>
      <c r="I418" s="60"/>
      <c r="N418" s="23" t="str">
        <f t="shared" ref="N418:N427" ca="1" si="73">O418&amp;""&amp;",..,"&amp;""&amp;P418</f>
        <v>201,..,1201</v>
      </c>
      <c r="O418" s="23">
        <f ca="1">(SUMPRODUCT(MID(0&amp;(LEFT(A417,SUM(LEN(A417)-LEN(SUBSTITUTE(A417,{"0","1","2"},""))))),LARGE(INDEX(ISNUMBER(--MID((LEFT(A417,SUM(LEN(A417)-LEN(SUBSTITUTE(A417,{"0","1","2"},""))))),ROW(INDIRECT("1:"&amp;LEN((LEFT(A417,SUM(LEN(A417)-LEN(SUBSTITUTE(A417,{"0","1","2"},"")))))))),1))*ROW(INDIRECT("1:"&amp;LEN((LEFT(A417,SUM(LEN(A417)-LEN(SUBSTITUTE(A417,{"0","1","2"},"")))))))),0),ROW(INDIRECT("1:"&amp;LEN((LEFT(A417,SUM(LEN(A417)-LEN(SUBSTITUTE(A417,{"0","1","2"},"")))))))))+1,1)*10^ROW(INDIRECT("1:"&amp;LEN((LEFT(A417,SUM(LEN(A417)-LEN(SUBSTITUTE(A417,{"0","1","2"},""))))))))/10))*100+1</f>
        <v>201</v>
      </c>
      <c r="P418" s="23">
        <f ca="1">(SUMPRODUCT(MID(0&amp;(--TRIM(RIGHT(SUBSTITUTE(LEFT(A417,_xlfn.AGGREGATE(16,6,FIND({0,1,2,3,4,5,6,7,8,9},A417,ROW(INDIRECT("1:"&amp;LEN(A417)))),1))," ",REPT(" ",LEN(A417))),LEN(A417)))),LARGE(INDEX(ISNUMBER(--MID((--TRIM(RIGHT(SUBSTITUTE(LEFT(A417,_xlfn.AGGREGATE(16,6,FIND({0,1,2,3,4,5,6,7,8,9},A417,ROW(INDIRECT("1:"&amp;LEN(A417)))),1))," ",REPT(" ",LEN(A417))),LEN(A417)))),ROW(INDIRECT("1:"&amp;LEN((--TRIM(RIGHT(SUBSTITUTE(LEFT(A417,_xlfn.AGGREGATE(16,6,FIND({0,1,2,3,4,5,6,7,8,9},A417,ROW(INDIRECT("1:"&amp;LEN(A417)))),1))," ",REPT(" ",LEN(A417))),LEN(A417))))))),1))*ROW(INDIRECT("1:"&amp;LEN((--TRIM(RIGHT(SUBSTITUTE(LEFT(A417,_xlfn.AGGREGATE(16,6,FIND({0,1,2,3,4,5,6,7,8,9},A417,ROW(INDIRECT("1:"&amp;LEN(A417)))),1))," ",REPT(" ",LEN(A417))),LEN(A417))))))),0),ROW(INDIRECT("1:"&amp;LEN((--TRIM(RIGHT(SUBSTITUTE(LEFT(A417,_xlfn.AGGREGATE(16,6,FIND({0,1,2,3,4,5,6,7,8,9},A417,ROW(INDIRECT("1:"&amp;LEN(A417)))),1))," ",REPT(" ",LEN(A417))),LEN(A417))))))))+1,1)*10^ROW(INDIRECT("1:"&amp;LEN((--TRIM(RIGHT(SUBSTITUTE(LEFT(A417,_xlfn.AGGREGATE(16,6,FIND({0,1,2,3,4,5,6,7,8,9},A417,ROW(INDIRECT("1:"&amp;LEN(A417)))),1))," ",REPT(" ",LEN(A417))),LEN(A417)))))))/10))*100+1</f>
        <v>1201</v>
      </c>
    </row>
    <row r="419" spans="1:16" s="23" customFormat="1" ht="15.75" hidden="1" customHeight="1">
      <c r="A419" s="151" t="str">
        <f t="shared" ca="1" si="72"/>
        <v>202,..,1202</v>
      </c>
      <c r="B419" s="152"/>
      <c r="C419" s="59" t="s">
        <v>207</v>
      </c>
      <c r="D419" s="59">
        <f>(9.64+5.4+6.6+1.62+1.08+1.2*1.2+2.2*0.3+0.9*2.75+0.3*2.3+0.7*(2.35+2.75+1.7))*10.764</f>
        <v>369.9048600000001</v>
      </c>
      <c r="E419" s="59">
        <v>0</v>
      </c>
      <c r="F419" s="59">
        <f t="shared" ref="F419:F427" si="74">D419*(($F$209)+1)+E419</f>
        <v>554.85729000000015</v>
      </c>
      <c r="G419" s="169"/>
      <c r="H419" s="170"/>
      <c r="I419" s="60"/>
      <c r="N419" s="23" t="str">
        <f t="shared" ca="1" si="73"/>
        <v>202,..,1202</v>
      </c>
      <c r="O419" s="23">
        <f t="shared" ref="O419:O427" ca="1" si="75">O418+1</f>
        <v>202</v>
      </c>
      <c r="P419" s="23">
        <f t="shared" ref="P419:P427" ca="1" si="76">P418+1</f>
        <v>1202</v>
      </c>
    </row>
    <row r="420" spans="1:16" s="23" customFormat="1" ht="15.75" hidden="1" customHeight="1">
      <c r="A420" s="151" t="str">
        <f t="shared" ca="1" si="72"/>
        <v>203,..,1203</v>
      </c>
      <c r="B420" s="152"/>
      <c r="C420" s="59" t="s">
        <v>207</v>
      </c>
      <c r="D420" s="59">
        <f>(11.14+3.36+8.16+2.52+2.4+1.2*1.7+0.9*0.7+0.45*2.2+0.9*2.1+0.7*(2.75+2.1+2.75))*10.764</f>
        <v>413.87579999999991</v>
      </c>
      <c r="E420" s="59">
        <v>0</v>
      </c>
      <c r="F420" s="59">
        <f t="shared" si="74"/>
        <v>620.81369999999993</v>
      </c>
      <c r="G420" s="169"/>
      <c r="H420" s="170"/>
      <c r="I420" s="60"/>
      <c r="N420" s="23" t="str">
        <f t="shared" ca="1" si="73"/>
        <v>203,..,1203</v>
      </c>
      <c r="O420" s="23">
        <f t="shared" ca="1" si="75"/>
        <v>203</v>
      </c>
      <c r="P420" s="23">
        <f t="shared" ca="1" si="76"/>
        <v>1203</v>
      </c>
    </row>
    <row r="421" spans="1:16" s="23" customFormat="1" ht="15.75" hidden="1" customHeight="1">
      <c r="A421" s="151" t="str">
        <f t="shared" ca="1" si="72"/>
        <v>204,..,1204</v>
      </c>
      <c r="B421" s="152"/>
      <c r="C421" s="59" t="s">
        <v>207</v>
      </c>
      <c r="D421" s="59">
        <f>(11.14+3.36+8.16+2.52+2.4+1.2*1.7+0.9*0.7+0.45*2.2+0.9*2.1+0.7*(2.75+2.1+2.75))*10.764</f>
        <v>413.87579999999991</v>
      </c>
      <c r="E421" s="59">
        <v>0</v>
      </c>
      <c r="F421" s="59">
        <f t="shared" si="74"/>
        <v>620.81369999999993</v>
      </c>
      <c r="G421" s="169"/>
      <c r="H421" s="170"/>
      <c r="I421" s="60"/>
      <c r="N421" s="23" t="str">
        <f t="shared" ca="1" si="73"/>
        <v>204,..,1204</v>
      </c>
      <c r="O421" s="23">
        <f t="shared" ca="1" si="75"/>
        <v>204</v>
      </c>
      <c r="P421" s="23">
        <f t="shared" ca="1" si="76"/>
        <v>1204</v>
      </c>
    </row>
    <row r="422" spans="1:16" s="23" customFormat="1" ht="15.75" hidden="1" customHeight="1">
      <c r="A422" s="151" t="str">
        <f t="shared" ca="1" si="72"/>
        <v>205,..,1205</v>
      </c>
      <c r="B422" s="152"/>
      <c r="C422" s="59" t="s">
        <v>207</v>
      </c>
      <c r="D422" s="59">
        <f>(11.13+3.2+6.6+2.52+2.84+0.9*1.5+0.9*(2.2+2.75)+0.7*(2.75+2.2+2.75))*10.764</f>
        <v>403.48853999999994</v>
      </c>
      <c r="E422" s="59">
        <v>0</v>
      </c>
      <c r="F422" s="59">
        <f t="shared" si="74"/>
        <v>605.23280999999997</v>
      </c>
      <c r="G422" s="169"/>
      <c r="H422" s="170"/>
      <c r="I422" s="60"/>
      <c r="N422" s="23" t="str">
        <f t="shared" ca="1" si="73"/>
        <v>205,..,1205</v>
      </c>
      <c r="O422" s="23">
        <f t="shared" ca="1" si="75"/>
        <v>205</v>
      </c>
      <c r="P422" s="23">
        <f t="shared" ca="1" si="76"/>
        <v>1205</v>
      </c>
    </row>
    <row r="423" spans="1:16" s="23" customFormat="1" ht="15.75" hidden="1" customHeight="1">
      <c r="A423" s="151" t="str">
        <f t="shared" ca="1" si="72"/>
        <v>206,..,1206</v>
      </c>
      <c r="B423" s="152"/>
      <c r="C423" s="59" t="s">
        <v>207</v>
      </c>
      <c r="D423" s="59">
        <f>(11.13+3.2+6.6+2.52+2.84+0.9*1.5+0.9*(2.2+2.75)+0.7*(2.75+2.2+2.75))*10.764</f>
        <v>403.48853999999994</v>
      </c>
      <c r="E423" s="59">
        <v>0</v>
      </c>
      <c r="F423" s="59">
        <f t="shared" si="74"/>
        <v>605.23280999999997</v>
      </c>
      <c r="G423" s="169"/>
      <c r="H423" s="170"/>
      <c r="I423" s="60"/>
      <c r="N423" s="23" t="str">
        <f t="shared" ca="1" si="73"/>
        <v>206,..,1206</v>
      </c>
      <c r="O423" s="23">
        <f t="shared" ca="1" si="75"/>
        <v>206</v>
      </c>
      <c r="P423" s="23">
        <f t="shared" ca="1" si="76"/>
        <v>1206</v>
      </c>
    </row>
    <row r="424" spans="1:16" s="23" customFormat="1" ht="15.75" hidden="1" customHeight="1">
      <c r="A424" s="151" t="str">
        <f t="shared" ca="1" si="72"/>
        <v>207,..,1207</v>
      </c>
      <c r="B424" s="152"/>
      <c r="C424" s="59" t="s">
        <v>207</v>
      </c>
      <c r="D424" s="59">
        <f>(11.14+3.36+8.16+2.52+2.4+1.2*1.7+0.9*0.7+0.45*2.2+0.9*2.1+0.7*(2.75+2.1+2.75))*10.764</f>
        <v>413.87579999999991</v>
      </c>
      <c r="E424" s="59">
        <v>0</v>
      </c>
      <c r="F424" s="59">
        <f t="shared" si="74"/>
        <v>620.81369999999993</v>
      </c>
      <c r="G424" s="169"/>
      <c r="H424" s="170"/>
      <c r="I424" s="60"/>
      <c r="N424" s="23" t="str">
        <f t="shared" ca="1" si="73"/>
        <v>207,..,1207</v>
      </c>
      <c r="O424" s="23">
        <f t="shared" ca="1" si="75"/>
        <v>207</v>
      </c>
      <c r="P424" s="23">
        <f t="shared" ca="1" si="76"/>
        <v>1207</v>
      </c>
    </row>
    <row r="425" spans="1:16" s="23" customFormat="1" ht="15.75" hidden="1" customHeight="1">
      <c r="A425" s="151" t="str">
        <f t="shared" ca="1" si="72"/>
        <v>208,..,1208</v>
      </c>
      <c r="B425" s="152"/>
      <c r="C425" s="59" t="s">
        <v>207</v>
      </c>
      <c r="D425" s="59">
        <f>(11.14+3.36+8.16+2.52+2.4+1.2*1.7+0.9*0.7+0.45*2.2+0.9*2.1+0.7*(2.75+2.1+2.75))*10.764</f>
        <v>413.87579999999991</v>
      </c>
      <c r="E425" s="59">
        <v>0</v>
      </c>
      <c r="F425" s="59">
        <f t="shared" si="74"/>
        <v>620.81369999999993</v>
      </c>
      <c r="G425" s="169"/>
      <c r="H425" s="170"/>
      <c r="I425" s="60"/>
      <c r="N425" s="23" t="str">
        <f t="shared" ca="1" si="73"/>
        <v>208,..,1208</v>
      </c>
      <c r="O425" s="23">
        <f t="shared" ca="1" si="75"/>
        <v>208</v>
      </c>
      <c r="P425" s="23">
        <f t="shared" ca="1" si="76"/>
        <v>1208</v>
      </c>
    </row>
    <row r="426" spans="1:16" s="23" customFormat="1" ht="15.75" hidden="1" customHeight="1">
      <c r="A426" s="151" t="str">
        <f t="shared" ca="1" si="72"/>
        <v>209,..,1209</v>
      </c>
      <c r="B426" s="152"/>
      <c r="C426" s="59" t="s">
        <v>207</v>
      </c>
      <c r="D426" s="59">
        <f>(9.64+5.4+6.6+1.62+1.08+1.2*1.2+2.2*0.3+0.9*2.75+0.3*2.3+0.7*(2.35+2.75+1.7))*10.764</f>
        <v>369.9048600000001</v>
      </c>
      <c r="E426" s="59">
        <v>0</v>
      </c>
      <c r="F426" s="59">
        <f t="shared" si="74"/>
        <v>554.85729000000015</v>
      </c>
      <c r="G426" s="169"/>
      <c r="H426" s="170"/>
      <c r="I426" s="60"/>
      <c r="N426" s="23" t="str">
        <f t="shared" ca="1" si="73"/>
        <v>209,..,1209</v>
      </c>
      <c r="O426" s="23">
        <f t="shared" ca="1" si="75"/>
        <v>209</v>
      </c>
      <c r="P426" s="23">
        <f t="shared" ca="1" si="76"/>
        <v>1209</v>
      </c>
    </row>
    <row r="427" spans="1:16" s="23" customFormat="1" ht="15.75" hidden="1" customHeight="1">
      <c r="A427" s="151" t="str">
        <f t="shared" ca="1" si="72"/>
        <v>210,..,1210</v>
      </c>
      <c r="B427" s="152"/>
      <c r="C427" s="59" t="s">
        <v>203</v>
      </c>
      <c r="D427" s="59">
        <f>(10.736+3.3+4.13+6.72+2.2+2.52+2.2*1.7+0.9*1.2+1.2*(2.8+2.75+2.2)+2.5*1.5+0.7*(2.8+3.4+2.7+2.2+2.5)+0.3*2.4)*10.764</f>
        <v>621.25502399999982</v>
      </c>
      <c r="E427" s="59">
        <v>0</v>
      </c>
      <c r="F427" s="59">
        <f t="shared" si="74"/>
        <v>931.88253599999973</v>
      </c>
      <c r="G427" s="171"/>
      <c r="H427" s="172"/>
      <c r="I427" s="60"/>
      <c r="N427" s="23" t="str">
        <f t="shared" ca="1" si="73"/>
        <v>210,..,1210</v>
      </c>
      <c r="O427" s="23">
        <f t="shared" ca="1" si="75"/>
        <v>210</v>
      </c>
      <c r="P427" s="23">
        <f t="shared" ca="1" si="76"/>
        <v>1210</v>
      </c>
    </row>
    <row r="428" spans="1:16" s="23" customFormat="1" ht="15.75" hidden="1" customHeight="1">
      <c r="A428" s="148" t="s">
        <v>220</v>
      </c>
      <c r="B428" s="149"/>
      <c r="C428" s="149"/>
      <c r="D428" s="149"/>
      <c r="E428" s="149"/>
      <c r="F428" s="149"/>
      <c r="G428" s="149"/>
      <c r="H428" s="150"/>
      <c r="I428" s="60"/>
    </row>
    <row r="429" spans="1:16" s="23" customFormat="1" ht="15.75" hidden="1" customHeight="1">
      <c r="A429" s="151" t="str">
        <f t="shared" ref="A429:A438" ca="1" si="77">N429</f>
        <v>801,..,1001</v>
      </c>
      <c r="B429" s="152"/>
      <c r="C429" s="59" t="s">
        <v>203</v>
      </c>
      <c r="D429" s="59">
        <f>(10.73+3.3+4.13+6.72+2.52+2.52+1.8*2.2+0.9*1.2+1.2*(2.8+2.75+2.2)+0.7*(2.8+3.4+2.7+2.2+2.5)+2.5*1.5)*10.764</f>
        <v>619.25291999999979</v>
      </c>
      <c r="E429" s="59">
        <v>0</v>
      </c>
      <c r="F429" s="59">
        <f>D429*(($F$209)+1)+E429</f>
        <v>928.87937999999963</v>
      </c>
      <c r="G429" s="167" t="str">
        <f>A428</f>
        <v xml:space="preserve"> 8th &amp; 10th Floor (Part Refuge Area )</v>
      </c>
      <c r="H429" s="168"/>
      <c r="I429" s="60"/>
      <c r="N429" s="23" t="str">
        <f t="shared" ref="N429:N438" ca="1" si="78">O429&amp;""&amp;",..,"&amp;""&amp;P429</f>
        <v>801,..,1001</v>
      </c>
      <c r="O429" s="23">
        <f ca="1">(SUMPRODUCT(MID(0&amp;(LEFT(A428,SUM(LEN(A428)-LEN(SUBSTITUTE(A428,{"0","1","2"},""))))),LARGE(INDEX(ISNUMBER(--MID((LEFT(A428,SUM(LEN(A428)-LEN(SUBSTITUTE(A428,{"0","1","2"},""))))),ROW(INDIRECT("1:"&amp;LEN((LEFT(A428,SUM(LEN(A428)-LEN(SUBSTITUTE(A428,{"0","1","2"},"")))))))),1))*ROW(INDIRECT("1:"&amp;LEN((LEFT(A428,SUM(LEN(A428)-LEN(SUBSTITUTE(A428,{"0","1","2"},"")))))))),0),ROW(INDIRECT("1:"&amp;LEN((LEFT(A428,SUM(LEN(A428)-LEN(SUBSTITUTE(A428,{"0","1","2"},"")))))))))+1,1)*10^ROW(INDIRECT("1:"&amp;LEN((LEFT(A428,SUM(LEN(A428)-LEN(SUBSTITUTE(A428,{"0","1","2"},""))))))))/10))*100+1</f>
        <v>801</v>
      </c>
      <c r="P429" s="23">
        <f ca="1">(SUMPRODUCT(MID(0&amp;(--TRIM(RIGHT(SUBSTITUTE(LEFT(A428,_xlfn.AGGREGATE(16,6,FIND({0,1,2,3,4,5,6,7,8,9},A428,ROW(INDIRECT("1:"&amp;LEN(A428)))),1))," ",REPT(" ",LEN(A428))),LEN(A428)))),LARGE(INDEX(ISNUMBER(--MID((--TRIM(RIGHT(SUBSTITUTE(LEFT(A428,_xlfn.AGGREGATE(16,6,FIND({0,1,2,3,4,5,6,7,8,9},A428,ROW(INDIRECT("1:"&amp;LEN(A428)))),1))," ",REPT(" ",LEN(A428))),LEN(A428)))),ROW(INDIRECT("1:"&amp;LEN((--TRIM(RIGHT(SUBSTITUTE(LEFT(A428,_xlfn.AGGREGATE(16,6,FIND({0,1,2,3,4,5,6,7,8,9},A428,ROW(INDIRECT("1:"&amp;LEN(A428)))),1))," ",REPT(" ",LEN(A428))),LEN(A428))))))),1))*ROW(INDIRECT("1:"&amp;LEN((--TRIM(RIGHT(SUBSTITUTE(LEFT(A428,_xlfn.AGGREGATE(16,6,FIND({0,1,2,3,4,5,6,7,8,9},A428,ROW(INDIRECT("1:"&amp;LEN(A428)))),1))," ",REPT(" ",LEN(A428))),LEN(A428))))))),0),ROW(INDIRECT("1:"&amp;LEN((--TRIM(RIGHT(SUBSTITUTE(LEFT(A428,_xlfn.AGGREGATE(16,6,FIND({0,1,2,3,4,5,6,7,8,9},A428,ROW(INDIRECT("1:"&amp;LEN(A428)))),1))," ",REPT(" ",LEN(A428))),LEN(A428))))))))+1,1)*10^ROW(INDIRECT("1:"&amp;LEN((--TRIM(RIGHT(SUBSTITUTE(LEFT(A428,_xlfn.AGGREGATE(16,6,FIND({0,1,2,3,4,5,6,7,8,9},A428,ROW(INDIRECT("1:"&amp;LEN(A428)))),1))," ",REPT(" ",LEN(A428))),LEN(A428)))))))/10))*100+1</f>
        <v>1001</v>
      </c>
    </row>
    <row r="430" spans="1:16" s="23" customFormat="1" ht="15.75" hidden="1" customHeight="1">
      <c r="A430" s="151" t="str">
        <f t="shared" ca="1" si="77"/>
        <v>802,..,1002</v>
      </c>
      <c r="B430" s="152"/>
      <c r="C430" s="59" t="s">
        <v>207</v>
      </c>
      <c r="D430" s="59">
        <f>(9.64+5.4+6.6+1.62+1.08+1.2*1.2+0.7*(2.5+2.75+1.7)+1*2.75)*10.764</f>
        <v>359.46377999999999</v>
      </c>
      <c r="E430" s="59">
        <v>0</v>
      </c>
      <c r="F430" s="59">
        <f t="shared" ref="F430:F438" si="79">D430*(($F$209)+1)+E430</f>
        <v>539.19566999999995</v>
      </c>
      <c r="G430" s="169"/>
      <c r="H430" s="170"/>
      <c r="I430" s="60"/>
      <c r="N430" s="23" t="str">
        <f t="shared" ca="1" si="78"/>
        <v>802,..,1002</v>
      </c>
      <c r="O430" s="23">
        <f t="shared" ref="O430:O438" ca="1" si="80">O429+1</f>
        <v>802</v>
      </c>
      <c r="P430" s="23">
        <f t="shared" ref="P430:P438" ca="1" si="81">P429+1</f>
        <v>1002</v>
      </c>
    </row>
    <row r="431" spans="1:16" s="23" customFormat="1" ht="15.75" hidden="1" customHeight="1">
      <c r="A431" s="151" t="str">
        <f t="shared" ca="1" si="77"/>
        <v>803,..,1003</v>
      </c>
      <c r="B431" s="152"/>
      <c r="C431" s="59" t="s">
        <v>207</v>
      </c>
      <c r="D431" s="59">
        <f>(11.14+3.36+8.16+2.52+2.4+1.2*1.7+0.9*0.7+0.9*2.1+0.7*(2.1+2.75+2.75))*10.764</f>
        <v>403.21943999999991</v>
      </c>
      <c r="E431" s="59">
        <v>0</v>
      </c>
      <c r="F431" s="59">
        <f t="shared" si="79"/>
        <v>604.82915999999989</v>
      </c>
      <c r="G431" s="169"/>
      <c r="H431" s="170"/>
      <c r="I431" s="60"/>
      <c r="N431" s="23" t="str">
        <f t="shared" ca="1" si="78"/>
        <v>803,..,1003</v>
      </c>
      <c r="O431" s="23">
        <f t="shared" ca="1" si="80"/>
        <v>803</v>
      </c>
      <c r="P431" s="23">
        <f t="shared" ca="1" si="81"/>
        <v>1003</v>
      </c>
    </row>
    <row r="432" spans="1:16" s="23" customFormat="1" ht="15.75" hidden="1" customHeight="1">
      <c r="A432" s="151" t="str">
        <f t="shared" ca="1" si="77"/>
        <v>804,..,1004</v>
      </c>
      <c r="B432" s="152"/>
      <c r="C432" s="59" t="s">
        <v>207</v>
      </c>
      <c r="D432" s="59">
        <f>(11.14+3.36+8.16+2.52+2.4+1.2*1.7+0.9*0.7+0.9*2.1+0.7*(2.1+2.75+2.75))*10.764</f>
        <v>403.21943999999991</v>
      </c>
      <c r="E432" s="59">
        <v>0</v>
      </c>
      <c r="F432" s="59">
        <f t="shared" si="79"/>
        <v>604.82915999999989</v>
      </c>
      <c r="G432" s="169"/>
      <c r="H432" s="170"/>
      <c r="I432" s="60"/>
      <c r="N432" s="23" t="str">
        <f t="shared" ca="1" si="78"/>
        <v>804,..,1004</v>
      </c>
      <c r="O432" s="23">
        <f t="shared" ca="1" si="80"/>
        <v>804</v>
      </c>
      <c r="P432" s="23">
        <f t="shared" ca="1" si="81"/>
        <v>1004</v>
      </c>
    </row>
    <row r="433" spans="1:20" s="23" customFormat="1" ht="15.75" hidden="1" customHeight="1">
      <c r="A433" s="151" t="str">
        <f t="shared" ca="1" si="77"/>
        <v>805,..,1005</v>
      </c>
      <c r="B433" s="152"/>
      <c r="C433" s="59" t="s">
        <v>207</v>
      </c>
      <c r="D433" s="59">
        <f>(11.13+3.52+6.6+2.52+2.84+0.9*1.5+0.9*(2.2+2.75)+0.7*(2.2+2.75+2.75))*10.764</f>
        <v>406.93302</v>
      </c>
      <c r="E433" s="59">
        <v>0</v>
      </c>
      <c r="F433" s="59">
        <f t="shared" si="79"/>
        <v>610.39953000000003</v>
      </c>
      <c r="G433" s="169"/>
      <c r="H433" s="170"/>
      <c r="I433" s="60"/>
      <c r="N433" s="23" t="str">
        <f t="shared" ca="1" si="78"/>
        <v>805,..,1005</v>
      </c>
      <c r="O433" s="23">
        <f t="shared" ca="1" si="80"/>
        <v>805</v>
      </c>
      <c r="P433" s="23">
        <f t="shared" ca="1" si="81"/>
        <v>1005</v>
      </c>
    </row>
    <row r="434" spans="1:20" s="23" customFormat="1" ht="15.75" hidden="1" customHeight="1">
      <c r="A434" s="151" t="str">
        <f t="shared" ca="1" si="77"/>
        <v>806,..,1006</v>
      </c>
      <c r="B434" s="152"/>
      <c r="C434" s="59" t="s">
        <v>207</v>
      </c>
      <c r="D434" s="59">
        <f>(11.13+3.52+6.6+2.52+2.84+0.9*1.5+0.9*(2.2+2.75)+0.7*(2.2+2.75+2.75))*10.764</f>
        <v>406.93302</v>
      </c>
      <c r="E434" s="59">
        <v>0</v>
      </c>
      <c r="F434" s="59">
        <f t="shared" si="79"/>
        <v>610.39953000000003</v>
      </c>
      <c r="G434" s="169"/>
      <c r="H434" s="170"/>
      <c r="I434" s="60"/>
      <c r="N434" s="23" t="str">
        <f t="shared" ca="1" si="78"/>
        <v>806,..,1006</v>
      </c>
      <c r="O434" s="23">
        <f t="shared" ca="1" si="80"/>
        <v>806</v>
      </c>
      <c r="P434" s="23">
        <f t="shared" ca="1" si="81"/>
        <v>1006</v>
      </c>
    </row>
    <row r="435" spans="1:20" s="23" customFormat="1" ht="15.75" hidden="1" customHeight="1">
      <c r="A435" s="151" t="str">
        <f t="shared" ca="1" si="77"/>
        <v>807,..,1007</v>
      </c>
      <c r="B435" s="152"/>
      <c r="C435" s="59" t="s">
        <v>207</v>
      </c>
      <c r="D435" s="59">
        <f>(11.14+3.36+8.16+2.52+2.4+1.2*1.7+0.9*0.7+0.9*2.1+0.7*(2.1+2.75+2.75))*10.764</f>
        <v>403.21943999999991</v>
      </c>
      <c r="E435" s="59">
        <v>0</v>
      </c>
      <c r="F435" s="59">
        <f t="shared" si="79"/>
        <v>604.82915999999989</v>
      </c>
      <c r="G435" s="169"/>
      <c r="H435" s="170"/>
      <c r="I435" s="60"/>
      <c r="N435" s="23" t="str">
        <f t="shared" ca="1" si="78"/>
        <v>807,..,1007</v>
      </c>
      <c r="O435" s="23">
        <f t="shared" ca="1" si="80"/>
        <v>807</v>
      </c>
      <c r="P435" s="23">
        <f t="shared" ca="1" si="81"/>
        <v>1007</v>
      </c>
    </row>
    <row r="436" spans="1:20" s="23" customFormat="1" ht="15.75" hidden="1" customHeight="1">
      <c r="A436" s="151" t="str">
        <f t="shared" ca="1" si="77"/>
        <v>808,..,1008</v>
      </c>
      <c r="B436" s="152"/>
      <c r="C436" s="59" t="s">
        <v>207</v>
      </c>
      <c r="D436" s="59">
        <f>(11.14+3.36+8.16+2.52+2.4+1.2*1.7+0.9*0.7+0.9*2.1+0.7*(2.1+2.75+2.75))*10.764</f>
        <v>403.21943999999991</v>
      </c>
      <c r="E436" s="59">
        <v>0</v>
      </c>
      <c r="F436" s="59">
        <f t="shared" si="79"/>
        <v>604.82915999999989</v>
      </c>
      <c r="G436" s="169"/>
      <c r="H436" s="170"/>
      <c r="I436" s="60"/>
      <c r="N436" s="23" t="str">
        <f t="shared" ca="1" si="78"/>
        <v>808,..,1008</v>
      </c>
      <c r="O436" s="23">
        <f t="shared" ca="1" si="80"/>
        <v>808</v>
      </c>
      <c r="P436" s="23">
        <f t="shared" ca="1" si="81"/>
        <v>1008</v>
      </c>
    </row>
    <row r="437" spans="1:20" s="23" customFormat="1" ht="15.75" hidden="1" customHeight="1">
      <c r="A437" s="151" t="str">
        <f t="shared" ca="1" si="77"/>
        <v>809,..,1009</v>
      </c>
      <c r="B437" s="152"/>
      <c r="C437" s="59" t="s">
        <v>207</v>
      </c>
      <c r="D437" s="59">
        <f>(9.64+5.4+6.6+1.62+1.08+1.2*1.2+0.7*(2.5+2.75+1.7)+1*2.75)*10.764</f>
        <v>359.46377999999999</v>
      </c>
      <c r="E437" s="59">
        <v>0</v>
      </c>
      <c r="F437" s="59">
        <f t="shared" si="79"/>
        <v>539.19566999999995</v>
      </c>
      <c r="G437" s="169"/>
      <c r="H437" s="170"/>
      <c r="I437" s="60"/>
      <c r="N437" s="23" t="str">
        <f t="shared" ca="1" si="78"/>
        <v>809,..,1009</v>
      </c>
      <c r="O437" s="23">
        <f t="shared" ca="1" si="80"/>
        <v>809</v>
      </c>
      <c r="P437" s="23">
        <f t="shared" ca="1" si="81"/>
        <v>1009</v>
      </c>
    </row>
    <row r="438" spans="1:20" s="23" customFormat="1" ht="15.75" hidden="1" customHeight="1">
      <c r="A438" s="151" t="str">
        <f t="shared" ca="1" si="77"/>
        <v>810,..,1010</v>
      </c>
      <c r="B438" s="152"/>
      <c r="C438" s="59" t="s">
        <v>203</v>
      </c>
      <c r="D438" s="59">
        <f>(10.73+3.3+4.13+6.72+2.52+2.52+1.8*2.2+0.9*1.2+1.2*(2.8+2.75+2.2)+0.7*(2.8+3.4+2.7+2.2+2.5)+2.5*1.5)*10.764</f>
        <v>619.25291999999979</v>
      </c>
      <c r="E438" s="59">
        <v>0</v>
      </c>
      <c r="F438" s="59">
        <f t="shared" si="79"/>
        <v>928.87937999999963</v>
      </c>
      <c r="G438" s="171"/>
      <c r="H438" s="172"/>
      <c r="I438" s="60"/>
      <c r="N438" s="23" t="str">
        <f t="shared" ca="1" si="78"/>
        <v>810,..,1010</v>
      </c>
      <c r="O438" s="23">
        <f t="shared" ca="1" si="80"/>
        <v>810</v>
      </c>
      <c r="P438" s="23">
        <f t="shared" ca="1" si="81"/>
        <v>1010</v>
      </c>
    </row>
    <row r="439" spans="1:20">
      <c r="A439" s="173" t="s">
        <v>224</v>
      </c>
      <c r="B439" s="173"/>
      <c r="C439" s="173"/>
      <c r="D439" s="173"/>
      <c r="E439" s="173"/>
      <c r="F439" s="173"/>
      <c r="G439" s="173"/>
      <c r="H439" s="173"/>
      <c r="T439" s="24"/>
    </row>
    <row r="440" spans="1:20" ht="47.25" customHeight="1">
      <c r="A440" s="180" t="s">
        <v>225</v>
      </c>
      <c r="B440" s="180" t="s">
        <v>226</v>
      </c>
      <c r="C440" s="180" t="s">
        <v>187</v>
      </c>
      <c r="D440" s="180" t="s">
        <v>227</v>
      </c>
      <c r="E440" s="182" t="s">
        <v>228</v>
      </c>
      <c r="F440" s="180" t="s">
        <v>188</v>
      </c>
      <c r="G440" s="182" t="s">
        <v>189</v>
      </c>
      <c r="H440" s="61" t="s">
        <v>229</v>
      </c>
      <c r="T440" s="24"/>
    </row>
    <row r="441" spans="1:20" s="23" customFormat="1">
      <c r="A441" s="181"/>
      <c r="B441" s="181"/>
      <c r="C441" s="181"/>
      <c r="D441" s="181"/>
      <c r="E441" s="183"/>
      <c r="F441" s="181"/>
      <c r="G441" s="183"/>
      <c r="H441" s="62">
        <v>0.6</v>
      </c>
      <c r="T441" s="24"/>
    </row>
    <row r="442" spans="1:20" s="23" customFormat="1">
      <c r="A442" s="174" t="s">
        <v>230</v>
      </c>
      <c r="B442" s="175"/>
      <c r="C442" s="175"/>
      <c r="D442" s="175"/>
      <c r="E442" s="175"/>
      <c r="F442" s="175"/>
      <c r="G442" s="175"/>
      <c r="H442" s="176"/>
      <c r="J442" s="60"/>
      <c r="T442" s="24"/>
    </row>
    <row r="443" spans="1:20" s="23" customFormat="1">
      <c r="A443" s="177" t="s">
        <v>231</v>
      </c>
      <c r="B443" s="178"/>
      <c r="C443" s="178"/>
      <c r="D443" s="178"/>
      <c r="E443" s="178"/>
      <c r="F443" s="178"/>
      <c r="G443" s="178"/>
      <c r="H443" s="179"/>
      <c r="J443" s="60"/>
      <c r="T443" s="24"/>
    </row>
    <row r="444" spans="1:20" s="23" customFormat="1" ht="31.5" customHeight="1">
      <c r="A444" s="148" t="s">
        <v>232</v>
      </c>
      <c r="B444" s="149"/>
      <c r="C444" s="149"/>
      <c r="D444" s="149"/>
      <c r="E444" s="149"/>
      <c r="F444" s="149"/>
      <c r="G444" s="149"/>
      <c r="H444" s="150"/>
      <c r="J444" s="60"/>
      <c r="T444" s="24"/>
    </row>
    <row r="445" spans="1:20" s="23" customFormat="1" ht="15.75" customHeight="1">
      <c r="A445" s="151">
        <v>1</v>
      </c>
      <c r="B445" s="152"/>
      <c r="C445" s="59" t="s">
        <v>195</v>
      </c>
      <c r="D445" s="59">
        <f>(3.15*2.75+1.9*1.45+1.8+1.2)*10.764</f>
        <v>155.18996999999999</v>
      </c>
      <c r="E445" s="59">
        <v>0</v>
      </c>
      <c r="F445" s="59">
        <f t="shared" ref="F445:F448" si="82">D445+(IF(E445&lt;201,E445,IF(E445&lt;301,E445/2,E445/3)))</f>
        <v>155.18996999999999</v>
      </c>
      <c r="G445" s="63">
        <v>0</v>
      </c>
      <c r="H445" s="59">
        <f t="shared" ref="H445:H448" si="83">(F445+(IF(G445&lt;101,G445,IF(G445&lt;201,G445/2,IF(G445&lt;=301,G445/3,G445/4)))))*(($H$441)+1)</f>
        <v>248.30395199999998</v>
      </c>
      <c r="I445" s="60"/>
      <c r="L445" s="59">
        <v>10.763999999999999</v>
      </c>
      <c r="M445" s="59"/>
      <c r="N445" s="60"/>
      <c r="T445" s="24"/>
    </row>
    <row r="446" spans="1:20" s="23" customFormat="1" ht="15.75" customHeight="1">
      <c r="A446" s="151">
        <f>A445+1</f>
        <v>2</v>
      </c>
      <c r="B446" s="152"/>
      <c r="C446" s="59" t="s">
        <v>195</v>
      </c>
      <c r="D446" s="59">
        <f>(5.75*9.05)*10.764</f>
        <v>560.13165000000004</v>
      </c>
      <c r="E446" s="59">
        <v>0</v>
      </c>
      <c r="F446" s="59">
        <f t="shared" si="82"/>
        <v>560.13165000000004</v>
      </c>
      <c r="G446" s="59">
        <v>0</v>
      </c>
      <c r="H446" s="59">
        <f t="shared" si="83"/>
        <v>896.21064000000013</v>
      </c>
      <c r="I446" s="60"/>
      <c r="L446" s="153"/>
      <c r="M446" s="153"/>
      <c r="N446" s="60"/>
      <c r="T446" s="21"/>
    </row>
    <row r="447" spans="1:20" s="23" customFormat="1" ht="15.75" customHeight="1">
      <c r="A447" s="151">
        <f>A446+1</f>
        <v>3</v>
      </c>
      <c r="B447" s="152"/>
      <c r="C447" s="59" t="s">
        <v>195</v>
      </c>
      <c r="D447" s="59">
        <f>(2.75*9.05)*10.764</f>
        <v>267.88905</v>
      </c>
      <c r="E447" s="59">
        <v>0</v>
      </c>
      <c r="F447" s="59">
        <f t="shared" si="82"/>
        <v>267.88905</v>
      </c>
      <c r="G447" s="59">
        <v>0</v>
      </c>
      <c r="H447" s="59">
        <f t="shared" si="83"/>
        <v>428.62248</v>
      </c>
      <c r="I447" s="60"/>
      <c r="L447" s="153"/>
      <c r="M447" s="153"/>
      <c r="N447" s="60"/>
      <c r="T447" s="26"/>
    </row>
    <row r="448" spans="1:20" s="23" customFormat="1" ht="15.75" customHeight="1">
      <c r="A448" s="151">
        <f>A447+1</f>
        <v>4</v>
      </c>
      <c r="B448" s="152"/>
      <c r="C448" s="59" t="s">
        <v>195</v>
      </c>
      <c r="D448" s="59">
        <f>(2.75*9.05)*10.764</f>
        <v>267.88905</v>
      </c>
      <c r="E448" s="59">
        <v>0</v>
      </c>
      <c r="F448" s="59">
        <f t="shared" si="82"/>
        <v>267.88905</v>
      </c>
      <c r="G448" s="59">
        <v>0</v>
      </c>
      <c r="H448" s="59">
        <f t="shared" si="83"/>
        <v>428.62248</v>
      </c>
      <c r="I448" s="60"/>
      <c r="L448" s="153"/>
      <c r="M448" s="153"/>
      <c r="N448" s="60"/>
      <c r="T448" s="26"/>
    </row>
    <row r="449" spans="1:20" s="23" customFormat="1" ht="15.75" customHeight="1">
      <c r="A449" s="151">
        <f t="shared" ref="A449:A462" si="84">A448+1</f>
        <v>5</v>
      </c>
      <c r="B449" s="152"/>
      <c r="C449" s="59" t="s">
        <v>195</v>
      </c>
      <c r="D449" s="59">
        <f>(2.75*9.05)*10.764</f>
        <v>267.88905</v>
      </c>
      <c r="E449" s="59">
        <v>0</v>
      </c>
      <c r="F449" s="59">
        <f t="shared" ref="F449:F462" si="85">D449+(IF(E449&lt;201,E449,IF(E449&lt;301,E449/2,E449/3)))</f>
        <v>267.88905</v>
      </c>
      <c r="G449" s="59">
        <v>0</v>
      </c>
      <c r="H449" s="59">
        <f t="shared" ref="H449:H462" si="86">(F449+(IF(G449&lt;101,G449,IF(G449&lt;201,G449/2,IF(G449&lt;=301,G449/3,G449/4)))))*(($H$441)+1)</f>
        <v>428.62248</v>
      </c>
      <c r="I449" s="60"/>
      <c r="L449" s="153"/>
      <c r="M449" s="153"/>
      <c r="N449" s="60"/>
      <c r="T449" s="26"/>
    </row>
    <row r="450" spans="1:20" s="23" customFormat="1" ht="15.75" customHeight="1">
      <c r="A450" s="151">
        <f t="shared" si="84"/>
        <v>6</v>
      </c>
      <c r="B450" s="152"/>
      <c r="C450" s="59" t="s">
        <v>195</v>
      </c>
      <c r="D450" s="59">
        <f>(2.75*9.05)*10.764</f>
        <v>267.88905</v>
      </c>
      <c r="E450" s="59">
        <v>0</v>
      </c>
      <c r="F450" s="59">
        <f t="shared" si="85"/>
        <v>267.88905</v>
      </c>
      <c r="G450" s="59">
        <v>0</v>
      </c>
      <c r="H450" s="59">
        <f t="shared" si="86"/>
        <v>428.62248</v>
      </c>
      <c r="I450" s="60"/>
      <c r="L450" s="153"/>
      <c r="M450" s="153"/>
      <c r="N450" s="60"/>
      <c r="T450" s="26"/>
    </row>
    <row r="451" spans="1:20" s="23" customFormat="1" ht="15.75" customHeight="1">
      <c r="A451" s="151">
        <f t="shared" si="84"/>
        <v>7</v>
      </c>
      <c r="B451" s="152"/>
      <c r="C451" s="59" t="s">
        <v>195</v>
      </c>
      <c r="D451" s="59">
        <f>(2.75*7.15)*10.764</f>
        <v>211.64715000000001</v>
      </c>
      <c r="E451" s="59">
        <v>0</v>
      </c>
      <c r="F451" s="59">
        <f t="shared" si="85"/>
        <v>211.64715000000001</v>
      </c>
      <c r="G451" s="59">
        <v>0</v>
      </c>
      <c r="H451" s="59">
        <f t="shared" si="86"/>
        <v>338.63544000000002</v>
      </c>
      <c r="I451" s="60"/>
      <c r="L451" s="153"/>
      <c r="M451" s="153"/>
      <c r="N451" s="60"/>
      <c r="T451" s="26"/>
    </row>
    <row r="452" spans="1:20" s="23" customFormat="1" ht="15.75" customHeight="1">
      <c r="A452" s="151">
        <f t="shared" si="84"/>
        <v>8</v>
      </c>
      <c r="B452" s="152"/>
      <c r="C452" s="59" t="s">
        <v>195</v>
      </c>
      <c r="D452" s="59">
        <f>(2.75*9.05)*10.764</f>
        <v>267.88905</v>
      </c>
      <c r="E452" s="59">
        <v>0</v>
      </c>
      <c r="F452" s="59">
        <f t="shared" si="85"/>
        <v>267.88905</v>
      </c>
      <c r="G452" s="59">
        <v>0</v>
      </c>
      <c r="H452" s="59">
        <f t="shared" si="86"/>
        <v>428.62248</v>
      </c>
      <c r="I452" s="60"/>
      <c r="L452" s="153"/>
      <c r="M452" s="153"/>
      <c r="N452" s="60"/>
      <c r="T452" s="26"/>
    </row>
    <row r="453" spans="1:20" s="23" customFormat="1" ht="15.75" customHeight="1">
      <c r="A453" s="151">
        <f t="shared" si="84"/>
        <v>9</v>
      </c>
      <c r="B453" s="152"/>
      <c r="C453" s="59" t="s">
        <v>195</v>
      </c>
      <c r="D453" s="59">
        <f>(2.75*9.05)*10.764</f>
        <v>267.88905</v>
      </c>
      <c r="E453" s="59">
        <v>0</v>
      </c>
      <c r="F453" s="59">
        <f t="shared" si="85"/>
        <v>267.88905</v>
      </c>
      <c r="G453" s="59">
        <v>0</v>
      </c>
      <c r="H453" s="59">
        <f t="shared" si="86"/>
        <v>428.62248</v>
      </c>
      <c r="I453" s="60"/>
      <c r="L453" s="153"/>
      <c r="M453" s="153"/>
      <c r="N453" s="60"/>
      <c r="T453" s="26"/>
    </row>
    <row r="454" spans="1:20" s="23" customFormat="1" ht="15.75" customHeight="1">
      <c r="A454" s="151">
        <f t="shared" si="84"/>
        <v>10</v>
      </c>
      <c r="B454" s="152"/>
      <c r="C454" s="59" t="s">
        <v>195</v>
      </c>
      <c r="D454" s="59">
        <f>(2.5*9.05+1.8*1.2+1.6*0.7)*10.764</f>
        <v>278.84141999999997</v>
      </c>
      <c r="E454" s="59">
        <v>0</v>
      </c>
      <c r="F454" s="59">
        <f t="shared" si="85"/>
        <v>278.84141999999997</v>
      </c>
      <c r="G454" s="59">
        <v>0</v>
      </c>
      <c r="H454" s="59">
        <f t="shared" si="86"/>
        <v>446.14627199999995</v>
      </c>
      <c r="I454" s="60"/>
      <c r="L454" s="153"/>
      <c r="M454" s="153"/>
      <c r="N454" s="60"/>
      <c r="T454" s="26"/>
    </row>
    <row r="455" spans="1:20" s="23" customFormat="1" ht="15.75" customHeight="1">
      <c r="A455" s="151">
        <f t="shared" si="84"/>
        <v>11</v>
      </c>
      <c r="B455" s="152"/>
      <c r="C455" s="59" t="s">
        <v>195</v>
      </c>
      <c r="D455" s="59">
        <f>(2.5*9.05+1.8*1.2+1.6*0.7)*10.764</f>
        <v>278.84141999999997</v>
      </c>
      <c r="E455" s="59">
        <v>0</v>
      </c>
      <c r="F455" s="59">
        <f t="shared" si="85"/>
        <v>278.84141999999997</v>
      </c>
      <c r="G455" s="59">
        <v>0</v>
      </c>
      <c r="H455" s="59">
        <f t="shared" si="86"/>
        <v>446.14627199999995</v>
      </c>
      <c r="I455" s="60"/>
      <c r="L455" s="153"/>
      <c r="M455" s="153"/>
      <c r="N455" s="60"/>
      <c r="T455" s="26"/>
    </row>
    <row r="456" spans="1:20" s="23" customFormat="1" ht="15.75" customHeight="1">
      <c r="A456" s="151">
        <f t="shared" si="84"/>
        <v>12</v>
      </c>
      <c r="B456" s="152"/>
      <c r="C456" s="59" t="s">
        <v>195</v>
      </c>
      <c r="D456" s="59">
        <f>(2.75*9.05)*10.764</f>
        <v>267.88905</v>
      </c>
      <c r="E456" s="59">
        <v>0</v>
      </c>
      <c r="F456" s="59">
        <f t="shared" si="85"/>
        <v>267.88905</v>
      </c>
      <c r="G456" s="59">
        <v>0</v>
      </c>
      <c r="H456" s="59">
        <f t="shared" si="86"/>
        <v>428.62248</v>
      </c>
      <c r="I456" s="60"/>
      <c r="L456" s="153"/>
      <c r="M456" s="153"/>
      <c r="N456" s="60"/>
      <c r="T456" s="26"/>
    </row>
    <row r="457" spans="1:20" s="23" customFormat="1" ht="15.75" customHeight="1">
      <c r="A457" s="151">
        <f t="shared" si="84"/>
        <v>13</v>
      </c>
      <c r="B457" s="152"/>
      <c r="C457" s="59" t="s">
        <v>195</v>
      </c>
      <c r="D457" s="59">
        <f>(2.75*9.05)*10.764</f>
        <v>267.88905</v>
      </c>
      <c r="E457" s="59">
        <v>0</v>
      </c>
      <c r="F457" s="59">
        <f t="shared" si="85"/>
        <v>267.88905</v>
      </c>
      <c r="G457" s="59">
        <v>0</v>
      </c>
      <c r="H457" s="59">
        <f t="shared" si="86"/>
        <v>428.62248</v>
      </c>
      <c r="I457" s="60"/>
      <c r="L457" s="153"/>
      <c r="M457" s="153"/>
      <c r="N457" s="60"/>
      <c r="T457" s="26"/>
    </row>
    <row r="458" spans="1:20" s="23" customFormat="1" ht="15.75" customHeight="1">
      <c r="A458" s="151">
        <f t="shared" si="84"/>
        <v>14</v>
      </c>
      <c r="B458" s="152"/>
      <c r="C458" s="59" t="s">
        <v>195</v>
      </c>
      <c r="D458" s="59">
        <f>(2.75*5.9+2.75*1.2)*10.764</f>
        <v>210.1671</v>
      </c>
      <c r="E458" s="59">
        <v>0</v>
      </c>
      <c r="F458" s="59">
        <f t="shared" si="85"/>
        <v>210.1671</v>
      </c>
      <c r="G458" s="59">
        <v>0</v>
      </c>
      <c r="H458" s="59">
        <f t="shared" si="86"/>
        <v>336.26736000000005</v>
      </c>
      <c r="I458" s="60"/>
      <c r="L458" s="153"/>
      <c r="M458" s="153"/>
      <c r="N458" s="60"/>
      <c r="T458" s="26"/>
    </row>
    <row r="459" spans="1:20" s="23" customFormat="1" ht="15.75" customHeight="1">
      <c r="A459" s="151">
        <f t="shared" si="84"/>
        <v>15</v>
      </c>
      <c r="B459" s="152"/>
      <c r="C459" s="59" t="s">
        <v>195</v>
      </c>
      <c r="D459" s="59">
        <f>(2.75*9.05)*10.764</f>
        <v>267.88905</v>
      </c>
      <c r="E459" s="59">
        <v>0</v>
      </c>
      <c r="F459" s="59">
        <f t="shared" si="85"/>
        <v>267.88905</v>
      </c>
      <c r="G459" s="59">
        <v>0</v>
      </c>
      <c r="H459" s="59">
        <f t="shared" si="86"/>
        <v>428.62248</v>
      </c>
      <c r="I459" s="60"/>
      <c r="L459" s="153"/>
      <c r="M459" s="153"/>
      <c r="N459" s="60"/>
      <c r="T459" s="26"/>
    </row>
    <row r="460" spans="1:20" s="23" customFormat="1" ht="15.75" customHeight="1">
      <c r="A460" s="151">
        <f t="shared" si="84"/>
        <v>16</v>
      </c>
      <c r="B460" s="152"/>
      <c r="C460" s="59" t="s">
        <v>195</v>
      </c>
      <c r="D460" s="59">
        <f>(2.75*9.05)*10.764</f>
        <v>267.88905</v>
      </c>
      <c r="E460" s="59">
        <v>0</v>
      </c>
      <c r="F460" s="59">
        <f t="shared" si="85"/>
        <v>267.88905</v>
      </c>
      <c r="G460" s="59">
        <v>0</v>
      </c>
      <c r="H460" s="59">
        <f t="shared" si="86"/>
        <v>428.62248</v>
      </c>
      <c r="I460" s="60"/>
      <c r="L460" s="153"/>
      <c r="M460" s="153"/>
      <c r="N460" s="60"/>
      <c r="T460" s="26"/>
    </row>
    <row r="461" spans="1:20" s="23" customFormat="1" ht="15.75" customHeight="1">
      <c r="A461" s="151">
        <f t="shared" si="84"/>
        <v>17</v>
      </c>
      <c r="B461" s="152"/>
      <c r="C461" s="59" t="s">
        <v>195</v>
      </c>
      <c r="D461" s="59">
        <f>(2.75*9.05)*10.764</f>
        <v>267.88905</v>
      </c>
      <c r="E461" s="59">
        <v>0</v>
      </c>
      <c r="F461" s="59">
        <f t="shared" si="85"/>
        <v>267.88905</v>
      </c>
      <c r="G461" s="59">
        <v>0</v>
      </c>
      <c r="H461" s="59">
        <f t="shared" si="86"/>
        <v>428.62248</v>
      </c>
      <c r="I461" s="60"/>
      <c r="L461" s="153"/>
      <c r="M461" s="153"/>
      <c r="N461" s="60"/>
      <c r="T461" s="26"/>
    </row>
    <row r="462" spans="1:20" s="23" customFormat="1" ht="15.75" customHeight="1">
      <c r="A462" s="151">
        <f t="shared" si="84"/>
        <v>18</v>
      </c>
      <c r="B462" s="152"/>
      <c r="C462" s="59" t="s">
        <v>195</v>
      </c>
      <c r="D462" s="59">
        <f>(2.75*9.05)*10.764</f>
        <v>267.88905</v>
      </c>
      <c r="E462" s="59">
        <v>0</v>
      </c>
      <c r="F462" s="59">
        <f t="shared" si="85"/>
        <v>267.88905</v>
      </c>
      <c r="G462" s="59">
        <v>0</v>
      </c>
      <c r="H462" s="59">
        <f t="shared" si="86"/>
        <v>428.62248</v>
      </c>
      <c r="I462" s="60"/>
      <c r="L462" s="153"/>
      <c r="M462" s="153"/>
      <c r="N462" s="60"/>
      <c r="T462" s="26"/>
    </row>
    <row r="463" spans="1:20" s="23" customFormat="1" ht="15.75" customHeight="1">
      <c r="A463" s="151">
        <f t="shared" ref="A463" si="87">A462+1</f>
        <v>19</v>
      </c>
      <c r="B463" s="152"/>
      <c r="C463" s="59" t="s">
        <v>195</v>
      </c>
      <c r="D463" s="59">
        <f>(5.6*4.9+2.7*2.3+2.3*1)*10.764</f>
        <v>386.96579999999994</v>
      </c>
      <c r="E463" s="59">
        <v>0</v>
      </c>
      <c r="F463" s="59">
        <f t="shared" ref="F463" si="88">D463+(IF(E463&lt;201,E463,IF(E463&lt;301,E463/2,E463/3)))</f>
        <v>386.96579999999994</v>
      </c>
      <c r="G463" s="59">
        <v>0</v>
      </c>
      <c r="H463" s="59">
        <f t="shared" ref="H463" si="89">(F463+(IF(G463&lt;101,G463,IF(G463&lt;201,G463/2,IF(G463&lt;=301,G463/3,G463/4)))))*(($H$441)+1)</f>
        <v>619.14527999999996</v>
      </c>
      <c r="I463" s="60"/>
      <c r="L463" s="153"/>
      <c r="M463" s="153"/>
      <c r="N463" s="60"/>
      <c r="T463" s="26"/>
    </row>
    <row r="464" spans="1:20" s="23" customFormat="1">
      <c r="A464" s="148" t="s">
        <v>233</v>
      </c>
      <c r="B464" s="149"/>
      <c r="C464" s="149"/>
      <c r="D464" s="149"/>
      <c r="E464" s="149"/>
      <c r="F464" s="149"/>
      <c r="G464" s="149"/>
      <c r="H464" s="150"/>
      <c r="J464" s="60"/>
      <c r="T464" s="24"/>
    </row>
    <row r="465" spans="1:20" s="23" customFormat="1" ht="15.75" customHeight="1">
      <c r="A465" s="151" t="s">
        <v>234</v>
      </c>
      <c r="B465" s="152"/>
      <c r="C465" s="59" t="s">
        <v>195</v>
      </c>
      <c r="D465" s="59">
        <f>(2.5*7.05+1.8*1.2+1.5*0.7)*10.764</f>
        <v>224.26793999999998</v>
      </c>
      <c r="E465" s="59">
        <v>0</v>
      </c>
      <c r="F465" s="59">
        <f>D465+(IF(E465&lt;201,E465,IF(E465&lt;301,E465/2,E465/3)))</f>
        <v>224.26793999999998</v>
      </c>
      <c r="G465" s="63">
        <v>0</v>
      </c>
      <c r="H465" s="59">
        <f t="shared" ref="H465:H468" si="90">(F465+(IF(G465&lt;101,G465,IF(G465&lt;201,G465/2,IF(G465&lt;=301,G465/3,G465/4)))))*(($H$441)+1)</f>
        <v>358.82870400000002</v>
      </c>
      <c r="I465" s="60"/>
      <c r="J465" s="23">
        <f>2.5*1.85</f>
        <v>4.625</v>
      </c>
      <c r="L465" s="153"/>
      <c r="M465" s="153"/>
      <c r="N465" s="60"/>
      <c r="T465" s="24"/>
    </row>
    <row r="466" spans="1:20" s="23" customFormat="1" ht="15.75" customHeight="1">
      <c r="A466" s="151" t="s">
        <v>235</v>
      </c>
      <c r="B466" s="152"/>
      <c r="C466" s="59" t="s">
        <v>195</v>
      </c>
      <c r="D466" s="59">
        <f>(2.75*7.05)*10.764</f>
        <v>208.68704999999997</v>
      </c>
      <c r="E466" s="59">
        <v>0</v>
      </c>
      <c r="F466" s="59">
        <f t="shared" ref="F466:F475" si="91">D466+(IF(E466&lt;201,E466,IF(E466&lt;301,E466/2,E466/3)))</f>
        <v>208.68704999999997</v>
      </c>
      <c r="G466" s="59">
        <v>0</v>
      </c>
      <c r="H466" s="59">
        <f t="shared" si="90"/>
        <v>333.89927999999998</v>
      </c>
      <c r="I466" s="60"/>
      <c r="J466" s="23">
        <f>2.75*1.85</f>
        <v>5.0875000000000004</v>
      </c>
      <c r="L466" s="153"/>
      <c r="M466" s="153"/>
      <c r="N466" s="60"/>
      <c r="T466" s="21"/>
    </row>
    <row r="467" spans="1:20" s="23" customFormat="1" ht="15.75" customHeight="1">
      <c r="A467" s="151" t="s">
        <v>236</v>
      </c>
      <c r="B467" s="152"/>
      <c r="C467" s="59" t="s">
        <v>195</v>
      </c>
      <c r="D467" s="59">
        <f>(2.75*7.05)*10.764</f>
        <v>208.68704999999997</v>
      </c>
      <c r="E467" s="59">
        <v>0</v>
      </c>
      <c r="F467" s="59">
        <f t="shared" si="91"/>
        <v>208.68704999999997</v>
      </c>
      <c r="G467" s="59">
        <v>0</v>
      </c>
      <c r="H467" s="59">
        <f t="shared" si="90"/>
        <v>333.89927999999998</v>
      </c>
      <c r="I467" s="60"/>
      <c r="J467" s="23">
        <f>2.75*1.85</f>
        <v>5.0875000000000004</v>
      </c>
      <c r="L467" s="153"/>
      <c r="M467" s="153"/>
      <c r="N467" s="60"/>
      <c r="T467" s="26"/>
    </row>
    <row r="468" spans="1:20" s="23" customFormat="1" ht="15.75" customHeight="1">
      <c r="A468" s="151" t="s">
        <v>237</v>
      </c>
      <c r="B468" s="152"/>
      <c r="C468" s="59" t="s">
        <v>195</v>
      </c>
      <c r="D468" s="59">
        <f>(2.75*3.9+2.75*1.2)*10.764</f>
        <v>150.96509999999998</v>
      </c>
      <c r="E468" s="59">
        <v>0</v>
      </c>
      <c r="F468" s="59">
        <f t="shared" si="91"/>
        <v>150.96509999999998</v>
      </c>
      <c r="G468" s="59">
        <v>0</v>
      </c>
      <c r="H468" s="59">
        <f t="shared" si="90"/>
        <v>241.54415999999998</v>
      </c>
      <c r="I468" s="60"/>
      <c r="J468" s="23">
        <f>2.75*1.85</f>
        <v>5.0875000000000004</v>
      </c>
      <c r="L468" s="153"/>
      <c r="M468" s="153"/>
      <c r="N468" s="60"/>
      <c r="T468" s="26"/>
    </row>
    <row r="469" spans="1:20" s="23" customFormat="1" ht="15.75" customHeight="1">
      <c r="A469" s="151" t="s">
        <v>238</v>
      </c>
      <c r="B469" s="152"/>
      <c r="C469" s="59" t="s">
        <v>195</v>
      </c>
      <c r="D469" s="59">
        <f>(2.75*7.05)*10.764</f>
        <v>208.68704999999997</v>
      </c>
      <c r="E469" s="59">
        <v>0</v>
      </c>
      <c r="F469" s="59">
        <f t="shared" si="91"/>
        <v>208.68704999999997</v>
      </c>
      <c r="G469" s="59">
        <v>0</v>
      </c>
      <c r="H469" s="59">
        <f t="shared" ref="H469:H475" si="92">(F469+(IF(G469&lt;101,G469,IF(G469&lt;201,G469/2,IF(G469&lt;=301,G469/3,G469/4)))))*(($H$441)+1)</f>
        <v>333.89927999999998</v>
      </c>
      <c r="I469" s="60"/>
      <c r="J469" s="23">
        <f>2.75*1.85</f>
        <v>5.0875000000000004</v>
      </c>
      <c r="L469" s="153"/>
      <c r="M469" s="153"/>
      <c r="N469" s="60"/>
      <c r="T469" s="26"/>
    </row>
    <row r="470" spans="1:20" s="23" customFormat="1" ht="15.75" customHeight="1">
      <c r="A470" s="151" t="s">
        <v>239</v>
      </c>
      <c r="B470" s="152"/>
      <c r="C470" s="59" t="s">
        <v>195</v>
      </c>
      <c r="D470" s="59">
        <f>(2.5*7.05+1.8*1.2+1.5*0.7)*10.764</f>
        <v>224.26793999999998</v>
      </c>
      <c r="E470" s="59">
        <v>0</v>
      </c>
      <c r="F470" s="59">
        <f t="shared" si="91"/>
        <v>224.26793999999998</v>
      </c>
      <c r="G470" s="59">
        <v>0</v>
      </c>
      <c r="H470" s="59">
        <f t="shared" si="92"/>
        <v>358.82870400000002</v>
      </c>
      <c r="I470" s="60"/>
      <c r="J470" s="23">
        <f>2.5*1.85</f>
        <v>4.625</v>
      </c>
      <c r="L470" s="153"/>
      <c r="M470" s="153"/>
      <c r="N470" s="60"/>
      <c r="T470" s="26"/>
    </row>
    <row r="471" spans="1:20" s="23" customFormat="1" ht="15.75" customHeight="1">
      <c r="A471" s="151" t="s">
        <v>240</v>
      </c>
      <c r="B471" s="152"/>
      <c r="C471" s="59" t="s">
        <v>195</v>
      </c>
      <c r="D471" s="59">
        <f>(2.75*5.15+1.9*0.9+1.8+1.2)*10.764</f>
        <v>203.14359000000002</v>
      </c>
      <c r="E471" s="59">
        <v>0</v>
      </c>
      <c r="F471" s="59">
        <f t="shared" si="91"/>
        <v>203.14359000000002</v>
      </c>
      <c r="G471" s="59">
        <v>0</v>
      </c>
      <c r="H471" s="59">
        <f t="shared" si="92"/>
        <v>325.02974400000005</v>
      </c>
      <c r="I471" s="60"/>
      <c r="J471" s="23">
        <f>2.75*1.85</f>
        <v>5.0875000000000004</v>
      </c>
      <c r="L471" s="153"/>
      <c r="M471" s="153"/>
      <c r="N471" s="60"/>
      <c r="T471" s="26"/>
    </row>
    <row r="472" spans="1:20" s="23" customFormat="1" ht="15.75" customHeight="1">
      <c r="A472" s="151" t="s">
        <v>241</v>
      </c>
      <c r="B472" s="152"/>
      <c r="C472" s="59" t="s">
        <v>195</v>
      </c>
      <c r="D472" s="59">
        <f>(2.75*3.9)*10.764</f>
        <v>115.44389999999999</v>
      </c>
      <c r="E472" s="59">
        <v>0</v>
      </c>
      <c r="F472" s="59">
        <f t="shared" si="91"/>
        <v>115.44389999999999</v>
      </c>
      <c r="G472" s="59">
        <v>0</v>
      </c>
      <c r="H472" s="59">
        <f t="shared" si="92"/>
        <v>184.71024</v>
      </c>
      <c r="I472" s="60"/>
      <c r="J472" s="23">
        <f t="shared" ref="J472:J475" si="93">2.75*1.85</f>
        <v>5.0875000000000004</v>
      </c>
      <c r="L472" s="153"/>
      <c r="M472" s="153"/>
      <c r="N472" s="60"/>
      <c r="T472" s="26"/>
    </row>
    <row r="473" spans="1:20" s="23" customFormat="1" ht="15.75" customHeight="1">
      <c r="A473" s="151" t="s">
        <v>242</v>
      </c>
      <c r="B473" s="152"/>
      <c r="C473" s="59" t="s">
        <v>195</v>
      </c>
      <c r="D473" s="59">
        <f>(2.75*3.9+2.75*1.2)*10.764</f>
        <v>150.96509999999998</v>
      </c>
      <c r="E473" s="59">
        <v>0</v>
      </c>
      <c r="F473" s="59">
        <f t="shared" si="91"/>
        <v>150.96509999999998</v>
      </c>
      <c r="G473" s="59">
        <v>0</v>
      </c>
      <c r="H473" s="59">
        <f t="shared" si="92"/>
        <v>241.54415999999998</v>
      </c>
      <c r="I473" s="60"/>
      <c r="J473" s="23">
        <f t="shared" si="93"/>
        <v>5.0875000000000004</v>
      </c>
      <c r="L473" s="153"/>
      <c r="M473" s="153"/>
      <c r="N473" s="60"/>
      <c r="T473" s="26"/>
    </row>
    <row r="474" spans="1:20" s="23" customFormat="1" ht="15.75" customHeight="1">
      <c r="A474" s="151" t="s">
        <v>243</v>
      </c>
      <c r="B474" s="152"/>
      <c r="C474" s="59" t="s">
        <v>195</v>
      </c>
      <c r="D474" s="59">
        <f>(2.75*7.05)*10.764</f>
        <v>208.68704999999997</v>
      </c>
      <c r="E474" s="59">
        <v>0</v>
      </c>
      <c r="F474" s="59">
        <f t="shared" si="91"/>
        <v>208.68704999999997</v>
      </c>
      <c r="G474" s="59">
        <v>0</v>
      </c>
      <c r="H474" s="59">
        <f t="shared" si="92"/>
        <v>333.89927999999998</v>
      </c>
      <c r="I474" s="60"/>
      <c r="J474" s="23">
        <f t="shared" si="93"/>
        <v>5.0875000000000004</v>
      </c>
      <c r="L474" s="153"/>
      <c r="M474" s="153"/>
      <c r="N474" s="60"/>
      <c r="T474" s="26"/>
    </row>
    <row r="475" spans="1:20" s="23" customFormat="1" ht="15.75" customHeight="1">
      <c r="A475" s="151" t="s">
        <v>244</v>
      </c>
      <c r="B475" s="152"/>
      <c r="C475" s="59" t="s">
        <v>195</v>
      </c>
      <c r="D475" s="59">
        <f>(2.75*7.05)*10.764</f>
        <v>208.68704999999997</v>
      </c>
      <c r="E475" s="59">
        <v>0</v>
      </c>
      <c r="F475" s="59">
        <f t="shared" si="91"/>
        <v>208.68704999999997</v>
      </c>
      <c r="G475" s="59">
        <v>0</v>
      </c>
      <c r="H475" s="59">
        <f t="shared" si="92"/>
        <v>333.89927999999998</v>
      </c>
      <c r="I475" s="60"/>
      <c r="J475" s="23">
        <f t="shared" si="93"/>
        <v>5.0875000000000004</v>
      </c>
      <c r="L475" s="153"/>
      <c r="M475" s="153"/>
      <c r="N475" s="60"/>
      <c r="T475" s="26"/>
    </row>
    <row r="476" spans="1:20" s="23" customFormat="1">
      <c r="A476" s="151"/>
      <c r="B476" s="158"/>
      <c r="C476" s="158"/>
      <c r="D476" s="158"/>
      <c r="E476" s="158"/>
      <c r="F476" s="158"/>
      <c r="G476" s="158"/>
      <c r="H476" s="152"/>
      <c r="I476" s="60"/>
      <c r="N476" s="60"/>
    </row>
    <row r="477" spans="1:20" ht="47.25" customHeight="1">
      <c r="A477" s="162" t="s">
        <v>199</v>
      </c>
      <c r="B477" s="154" t="s">
        <v>245</v>
      </c>
      <c r="C477" s="154" t="s">
        <v>187</v>
      </c>
      <c r="D477" s="180" t="s">
        <v>227</v>
      </c>
      <c r="E477" s="154" t="s">
        <v>246</v>
      </c>
      <c r="F477" s="154" t="s">
        <v>188</v>
      </c>
      <c r="G477" s="156" t="s">
        <v>189</v>
      </c>
      <c r="H477" s="57" t="s">
        <v>229</v>
      </c>
      <c r="I477" s="60"/>
      <c r="T477" s="23"/>
    </row>
    <row r="478" spans="1:20" s="23" customFormat="1">
      <c r="A478" s="163"/>
      <c r="B478" s="155"/>
      <c r="C478" s="155"/>
      <c r="D478" s="181"/>
      <c r="E478" s="155"/>
      <c r="F478" s="155"/>
      <c r="G478" s="157"/>
      <c r="H478" s="62">
        <v>0.5</v>
      </c>
      <c r="I478" s="60"/>
    </row>
    <row r="479" spans="1:20" s="23" customFormat="1">
      <c r="A479" s="174" t="s">
        <v>230</v>
      </c>
      <c r="B479" s="175"/>
      <c r="C479" s="175"/>
      <c r="D479" s="175"/>
      <c r="E479" s="175"/>
      <c r="F479" s="175"/>
      <c r="G479" s="175"/>
      <c r="H479" s="176"/>
      <c r="J479" s="60"/>
      <c r="T479" s="24"/>
    </row>
    <row r="480" spans="1:20" s="23" customFormat="1">
      <c r="A480" s="177" t="s">
        <v>231</v>
      </c>
      <c r="B480" s="178"/>
      <c r="C480" s="178"/>
      <c r="D480" s="178"/>
      <c r="E480" s="178"/>
      <c r="F480" s="178"/>
      <c r="G480" s="178"/>
      <c r="H480" s="179"/>
      <c r="J480" s="60"/>
      <c r="T480" s="24"/>
    </row>
    <row r="481" spans="1:20" s="23" customFormat="1" ht="33.75" customHeight="1">
      <c r="A481" s="148" t="s">
        <v>247</v>
      </c>
      <c r="B481" s="149"/>
      <c r="C481" s="149"/>
      <c r="D481" s="149"/>
      <c r="E481" s="149"/>
      <c r="F481" s="149"/>
      <c r="G481" s="149"/>
      <c r="H481" s="150"/>
      <c r="J481" s="60"/>
      <c r="T481" s="24"/>
    </row>
    <row r="482" spans="1:20" s="23" customFormat="1" ht="15.75" customHeight="1">
      <c r="A482" s="151">
        <v>1</v>
      </c>
      <c r="B482" s="152"/>
      <c r="C482" s="59" t="s">
        <v>212</v>
      </c>
      <c r="D482" s="59">
        <f>(3.75*4+1.2*2.75+2.4*2.1+2.75*4+3.1*3.05+1.2*0.6+2.1*1.2+1.2*2.1+0.9*2.2+1.1*1.2)*10.764</f>
        <v>568.93122000000005</v>
      </c>
      <c r="E482" s="59">
        <f>(2.1*1+1.6*1)*10.764</f>
        <v>39.826799999999999</v>
      </c>
      <c r="F482" s="59">
        <f>D482+E482</f>
        <v>608.7580200000001</v>
      </c>
      <c r="G482" s="59">
        <v>0</v>
      </c>
      <c r="H482" s="59">
        <f>F482*(($H$478)+1)+(IF(G482&lt;101,G482,IF(G482&lt;201,G482/2,IF(G482&lt;=301,G482/3,G482/4))))</f>
        <v>913.1370300000001</v>
      </c>
      <c r="I482" s="60"/>
      <c r="L482" s="153"/>
      <c r="M482" s="153"/>
      <c r="N482" s="60"/>
    </row>
    <row r="483" spans="1:20" s="23" customFormat="1" ht="15.75" customHeight="1">
      <c r="A483" s="151">
        <f>A482+1</f>
        <v>2</v>
      </c>
      <c r="B483" s="152"/>
      <c r="C483" s="59" t="s">
        <v>219</v>
      </c>
      <c r="D483" s="59">
        <f>(4.1*3.05+3.2*1.25+2.75*2.45+3.75*2.75+1.1*0.6+2.2*1.2+1.2*2.1+0.9*1.4)*10.764</f>
        <v>437.39513999999997</v>
      </c>
      <c r="E483" s="59">
        <f>(3*1+2.1*1+1.5*1)*10.764</f>
        <v>71.042399999999986</v>
      </c>
      <c r="F483" s="59">
        <f>D483+E483</f>
        <v>508.43753999999996</v>
      </c>
      <c r="G483" s="59">
        <v>0</v>
      </c>
      <c r="H483" s="59">
        <f>F483*(($H$478)+1)+(IF(G483&lt;101,G483,IF(G483&lt;201,G483/2,IF(G483&lt;=301,G483/3,G483/4))))</f>
        <v>762.65630999999996</v>
      </c>
      <c r="I483" s="60"/>
      <c r="L483" s="153"/>
      <c r="M483" s="153"/>
      <c r="N483" s="60"/>
    </row>
    <row r="484" spans="1:20" s="23" customFormat="1" ht="15.75" hidden="1" customHeight="1">
      <c r="A484" s="151">
        <f>A483+1</f>
        <v>3</v>
      </c>
      <c r="B484" s="152"/>
      <c r="C484" s="59"/>
      <c r="D484" s="59"/>
      <c r="E484" s="59">
        <v>0</v>
      </c>
      <c r="F484" s="59">
        <f>D484+E484</f>
        <v>0</v>
      </c>
      <c r="G484" s="59">
        <v>0</v>
      </c>
      <c r="H484" s="59">
        <f>F484*(($H$478)+1)+(IF(G484&lt;101,G484,IF(G484&lt;201,G484/2,IF(G484&lt;=301,G484/3,G484/4))))</f>
        <v>0</v>
      </c>
      <c r="I484" s="60"/>
      <c r="L484" s="153"/>
      <c r="M484" s="153"/>
      <c r="N484" s="60"/>
    </row>
    <row r="485" spans="1:20" s="23" customFormat="1" ht="15.75" hidden="1" customHeight="1">
      <c r="A485" s="151">
        <f>A484+1</f>
        <v>4</v>
      </c>
      <c r="B485" s="152"/>
      <c r="C485" s="59"/>
      <c r="D485" s="59"/>
      <c r="E485" s="59">
        <v>0</v>
      </c>
      <c r="F485" s="59">
        <f>D485+E485</f>
        <v>0</v>
      </c>
      <c r="G485" s="59">
        <v>0</v>
      </c>
      <c r="H485" s="59">
        <f>F485*(($H$478)+1)+(IF(G485&lt;101,G485,IF(G485&lt;201,G485/2,IF(G485&lt;=301,G485/3,G485/4))))</f>
        <v>0</v>
      </c>
      <c r="I485" s="60"/>
      <c r="L485" s="153"/>
      <c r="M485" s="153"/>
      <c r="N485" s="60"/>
      <c r="T485" s="26"/>
    </row>
    <row r="486" spans="1:20" s="23" customFormat="1">
      <c r="A486" s="148" t="s">
        <v>248</v>
      </c>
      <c r="B486" s="149"/>
      <c r="C486" s="149"/>
      <c r="D486" s="149"/>
      <c r="E486" s="149"/>
      <c r="F486" s="149"/>
      <c r="G486" s="149"/>
      <c r="H486" s="150"/>
      <c r="I486" s="60"/>
      <c r="L486" s="153"/>
      <c r="M486" s="153"/>
    </row>
    <row r="487" spans="1:20" s="23" customFormat="1">
      <c r="A487" s="166">
        <v>1</v>
      </c>
      <c r="B487" s="166"/>
      <c r="C487" s="59" t="s">
        <v>212</v>
      </c>
      <c r="D487" s="59">
        <f>(4*3.75+1.2*2.75+2.4*2.1+2.75*4+3.1*3.05+1.2*0.6+2.1*1.2+1.2*2.1+0.9*2.2+1.1*1.2)*10.764</f>
        <v>568.93122000000005</v>
      </c>
      <c r="E487" s="59">
        <f>(0.6*(2.75+1.9)+1.6*1+2.1*1)*10.764</f>
        <v>69.858360000000005</v>
      </c>
      <c r="F487" s="59">
        <f>D487+E487</f>
        <v>638.78958000000011</v>
      </c>
      <c r="G487" s="59">
        <v>0</v>
      </c>
      <c r="H487" s="59">
        <f>F487*(($H$478)+1)+(IF(G487&lt;101,G487,IF(G487&lt;201,G487/2,IF(G487&lt;=301,G487/3,G487/4))))</f>
        <v>958.18437000000017</v>
      </c>
      <c r="I487" s="60"/>
      <c r="N487" s="60"/>
    </row>
    <row r="488" spans="1:20" s="23" customFormat="1">
      <c r="A488" s="166">
        <f>A487+1</f>
        <v>2</v>
      </c>
      <c r="B488" s="166"/>
      <c r="C488" s="59" t="s">
        <v>212</v>
      </c>
      <c r="D488" s="59">
        <f>(4*3.75+1.2*2.75+2.4*2.1+2.75*4+3.1*3.05+1.2*0.6+2.1*1.2+1.2*2.1+0.9*2.2+1.1*1.2)*10.764</f>
        <v>568.93122000000005</v>
      </c>
      <c r="E488" s="59">
        <f>(0.6*(2.75+1.9)+1.6*1+2.1*1)*10.764</f>
        <v>69.858360000000005</v>
      </c>
      <c r="F488" s="59">
        <f>D488+E488</f>
        <v>638.78958000000011</v>
      </c>
      <c r="G488" s="59">
        <v>0</v>
      </c>
      <c r="H488" s="59">
        <f>F488*(($H$478)+1)+(IF(G488&lt;101,G488,IF(G488&lt;201,G488/2,IF(G488&lt;=301,G488/3,G488/4))))</f>
        <v>958.18437000000017</v>
      </c>
      <c r="I488" s="60"/>
      <c r="N488" s="60"/>
    </row>
    <row r="489" spans="1:20" s="23" customFormat="1">
      <c r="A489" s="166">
        <f>A488+1</f>
        <v>3</v>
      </c>
      <c r="B489" s="166"/>
      <c r="C489" s="59" t="s">
        <v>212</v>
      </c>
      <c r="D489" s="59">
        <f>(4.1*3.05+3.2*1.25+2.75*2.45+2.75*2.75+0.6*1+3.75*2.75+2.2*1.2+2.1*1.2+0.9*4.1)*10.764</f>
        <v>544.30857000000003</v>
      </c>
      <c r="E489" s="59">
        <f>(3.15*1+1.95*1+3.7*1)*10.764</f>
        <v>94.723200000000006</v>
      </c>
      <c r="F489" s="59">
        <f>D489+E489</f>
        <v>639.03177000000005</v>
      </c>
      <c r="G489" s="59">
        <f>(5.7*1.7+2.9*1.3)*10.764</f>
        <v>144.88343999999998</v>
      </c>
      <c r="H489" s="59">
        <f>F489*(($H$478)+1)+(IF(G489&lt;101,G489,IF(G489&lt;201,G489/2,IF(G489&lt;=301,G489/3,G489/4))))</f>
        <v>1030.9893750000001</v>
      </c>
      <c r="I489" s="60"/>
      <c r="N489" s="60"/>
    </row>
    <row r="490" spans="1:20" s="23" customFormat="1">
      <c r="A490" s="166">
        <f>A489+1</f>
        <v>4</v>
      </c>
      <c r="B490" s="166"/>
      <c r="C490" s="59" t="s">
        <v>249</v>
      </c>
      <c r="D490" s="59">
        <f>(4.3*4.05+3.05*0.9+2.45*2.75+2.75*2.75+0.6*1+2.75*3.75+2.75*3.65+2.65*1.2+2.1*1.2+1.8*1.2+1*1.2+0.9*4.1+0.8*1.2)*10.764</f>
        <v>744.00768000000005</v>
      </c>
      <c r="E490" s="59">
        <v>0</v>
      </c>
      <c r="F490" s="59">
        <f>D490+E490</f>
        <v>744.00768000000005</v>
      </c>
      <c r="G490" s="59">
        <f>(3.075*1+2.825*1+5.9*2.95+((8.4*1.9)-(0.6*1)))*10.764</f>
        <v>416.19005999999996</v>
      </c>
      <c r="H490" s="59">
        <f>F490*(($H$478)+1)+(IF(G490&lt;101,G490,IF(G490&lt;201,G490/2,IF(G490&lt;=301,G490/3,G490/4))))</f>
        <v>1220.059035</v>
      </c>
      <c r="I490" s="60"/>
      <c r="N490" s="60"/>
    </row>
    <row r="491" spans="1:20" s="23" customFormat="1">
      <c r="A491" s="166">
        <v>5</v>
      </c>
      <c r="B491" s="166"/>
      <c r="C491" s="59" t="s">
        <v>212</v>
      </c>
      <c r="D491" s="59">
        <f>(4.3*4.05+3.05*0.9+2.45*2.75+2.75*2.75+2.75*3.75+2.1*1.2+2.65*1.2+0.9*4.2+1.2*1)*10.764</f>
        <v>596.89071000000001</v>
      </c>
      <c r="E491" s="59">
        <v>0</v>
      </c>
      <c r="F491" s="59">
        <f t="shared" ref="F491" si="94">D491+E491</f>
        <v>596.89071000000001</v>
      </c>
      <c r="G491" s="59">
        <f>(3*1+2.95*3+((8.45*2)-(1.2*0.6)))*10.764</f>
        <v>301.71492000000001</v>
      </c>
      <c r="H491" s="59">
        <f>F491*(($H$478)+1)+(IF(G491&lt;101,G491,IF(G491&lt;201,G491/2,IF(G491&lt;=301,G491/3,G491/4))))</f>
        <v>970.76479499999994</v>
      </c>
      <c r="I491" s="60"/>
      <c r="N491" s="60"/>
    </row>
    <row r="492" spans="1:20" s="23" customFormat="1">
      <c r="A492" s="166" t="s">
        <v>250</v>
      </c>
      <c r="B492" s="166"/>
      <c r="C492" s="167" t="s">
        <v>251</v>
      </c>
      <c r="D492" s="192"/>
      <c r="E492" s="192"/>
      <c r="F492" s="192"/>
      <c r="G492" s="192"/>
      <c r="H492" s="168"/>
      <c r="I492" s="60"/>
      <c r="N492" s="60"/>
    </row>
    <row r="493" spans="1:20" s="23" customFormat="1">
      <c r="A493" s="166" t="s">
        <v>250</v>
      </c>
      <c r="B493" s="166"/>
      <c r="C493" s="171"/>
      <c r="D493" s="193"/>
      <c r="E493" s="193"/>
      <c r="F493" s="193"/>
      <c r="G493" s="193"/>
      <c r="H493" s="172"/>
      <c r="I493" s="60"/>
      <c r="N493" s="60"/>
    </row>
    <row r="494" spans="1:20" s="23" customFormat="1">
      <c r="A494" s="166" t="s">
        <v>250</v>
      </c>
      <c r="B494" s="166"/>
      <c r="C494" s="167" t="s">
        <v>252</v>
      </c>
      <c r="D494" s="192"/>
      <c r="E494" s="192"/>
      <c r="F494" s="192"/>
      <c r="G494" s="192"/>
      <c r="H494" s="168"/>
      <c r="I494" s="60"/>
      <c r="N494" s="60"/>
    </row>
    <row r="495" spans="1:20" s="23" customFormat="1">
      <c r="A495" s="166" t="s">
        <v>250</v>
      </c>
      <c r="B495" s="166"/>
      <c r="C495" s="171"/>
      <c r="D495" s="193"/>
      <c r="E495" s="193"/>
      <c r="F495" s="193"/>
      <c r="G495" s="193"/>
      <c r="H495" s="172"/>
      <c r="I495" s="60"/>
      <c r="N495" s="60"/>
    </row>
    <row r="496" spans="1:20" s="23" customFormat="1" ht="15.75" customHeight="1">
      <c r="A496" s="148" t="s">
        <v>253</v>
      </c>
      <c r="B496" s="149"/>
      <c r="C496" s="149"/>
      <c r="D496" s="149"/>
      <c r="E496" s="149"/>
      <c r="F496" s="149"/>
      <c r="G496" s="149"/>
      <c r="H496" s="150"/>
      <c r="I496" s="60"/>
    </row>
    <row r="497" spans="1:9" s="23" customFormat="1" ht="15.75" customHeight="1">
      <c r="A497" s="151">
        <v>1</v>
      </c>
      <c r="B497" s="152"/>
      <c r="C497" s="59" t="s">
        <v>212</v>
      </c>
      <c r="D497" s="59">
        <f>(4*3.75+1.2*2.75+2.4*2.1+2.75*4+3.1*3.05+1.2*0.6+2.1*1.2+1.2*2.1+0.9*2.2+1.1*1.2)*10.764</f>
        <v>568.93122000000005</v>
      </c>
      <c r="E497" s="59">
        <f>(0.6*(2.75+1.9)+1.6*1+2.1*1)*10.764</f>
        <v>69.858360000000005</v>
      </c>
      <c r="F497" s="59">
        <f>D497+E497</f>
        <v>638.78958000000011</v>
      </c>
      <c r="G497" s="59">
        <v>0</v>
      </c>
      <c r="H497" s="59">
        <f>F497*(($H$478)+1)+(IF(G497&lt;101,G497,IF(G497&lt;201,G497/2,IF(G497&lt;=301,G497/3,G497/4))))</f>
        <v>958.18437000000017</v>
      </c>
      <c r="I497" s="60"/>
    </row>
    <row r="498" spans="1:9" s="23" customFormat="1" ht="15.75" customHeight="1">
      <c r="A498" s="151">
        <f>A497+1</f>
        <v>2</v>
      </c>
      <c r="B498" s="152"/>
      <c r="C498" s="59" t="s">
        <v>212</v>
      </c>
      <c r="D498" s="59">
        <f>(4*3.75+1.2*2.75+2.4*2.1+2.75*4+3.1*3.05+1.2*0.6+2.1*1.2+1.2*2.1+0.9*2.2+1.1*1.2)*10.764</f>
        <v>568.93122000000005</v>
      </c>
      <c r="E498" s="59">
        <f>(0.6*(2.75+1.9)+1.6*1+2.1*1)*10.764</f>
        <v>69.858360000000005</v>
      </c>
      <c r="F498" s="59">
        <f>D498+E498</f>
        <v>638.78958000000011</v>
      </c>
      <c r="G498" s="59">
        <v>0</v>
      </c>
      <c r="H498" s="59">
        <f>F498*(($H$478)+1)+(IF(G498&lt;101,G498,IF(G498&lt;201,G498/2,IF(G498&lt;=301,G498/3,G498/4))))</f>
        <v>958.18437000000017</v>
      </c>
      <c r="I498" s="60"/>
    </row>
    <row r="499" spans="1:9" s="23" customFormat="1" ht="15.75" customHeight="1">
      <c r="A499" s="151">
        <f t="shared" ref="A499:A501" si="95">A498+1</f>
        <v>3</v>
      </c>
      <c r="B499" s="152"/>
      <c r="C499" s="59" t="s">
        <v>212</v>
      </c>
      <c r="D499" s="59">
        <f>(4.1*3.05+3.2*1.25+2.75*2.45+2.75*2.75+0.6*1+3.75*2.75+2.2*1.2+2.1*1.2+0.9*4.1)*10.764</f>
        <v>544.30857000000003</v>
      </c>
      <c r="E499" s="59">
        <f>(3.15*1+1.95*1+3.7*1)*10.764</f>
        <v>94.723200000000006</v>
      </c>
      <c r="F499" s="59">
        <f>D499+E499</f>
        <v>639.03177000000005</v>
      </c>
      <c r="G499" s="59">
        <v>0</v>
      </c>
      <c r="H499" s="59">
        <f>F499*(($H$478)+1)+(IF(G499&lt;101,G499,IF(G499&lt;201,G499/2,IF(G499&lt;=301,G499/3,G499/4))))</f>
        <v>958.54765500000008</v>
      </c>
      <c r="I499" s="60"/>
    </row>
    <row r="500" spans="1:9" s="23" customFormat="1" ht="15.75" customHeight="1">
      <c r="A500" s="151">
        <f t="shared" si="95"/>
        <v>4</v>
      </c>
      <c r="B500" s="152"/>
      <c r="C500" s="59" t="s">
        <v>212</v>
      </c>
      <c r="D500" s="59">
        <f>(3.05*4.95+4.05*1.25+2.45*2.75+2.75*2.75+1*0.6+2.75*3.75+1.35*0.9+2.65*1.2+1.2*2.1+0.9*4.2+1.2*1)*10.764</f>
        <v>616.42737000000011</v>
      </c>
      <c r="E500" s="59">
        <f>(3*1+2.1*1+3.85*1)*10.764</f>
        <v>96.337799999999987</v>
      </c>
      <c r="F500" s="59">
        <f>D500+E500</f>
        <v>712.76517000000013</v>
      </c>
      <c r="G500" s="59">
        <v>0</v>
      </c>
      <c r="H500" s="59">
        <f>F500*(($H$478)+1)+(IF(G500&lt;101,G500,IF(G500&lt;201,G500/2,IF(G500&lt;=301,G500/3,G500/4))))</f>
        <v>1069.1477550000002</v>
      </c>
      <c r="I500" s="60"/>
    </row>
    <row r="501" spans="1:9" s="23" customFormat="1" ht="15.75" customHeight="1">
      <c r="A501" s="151">
        <f t="shared" si="95"/>
        <v>5</v>
      </c>
      <c r="B501" s="152"/>
      <c r="C501" s="59" t="s">
        <v>212</v>
      </c>
      <c r="D501" s="59">
        <f>(3.05*4.95+4.05*1.25+2.45*2.75+2.75*2.75+1*0.6+2.75*3.75+1.35*0.9+2.65*1.2+1.2*2.1+0.9*4.2+1.2*1)*10.764</f>
        <v>616.42737000000011</v>
      </c>
      <c r="E501" s="59">
        <f>(3*1)*10.764</f>
        <v>32.292000000000002</v>
      </c>
      <c r="F501" s="59">
        <f>D501+E501</f>
        <v>648.71937000000014</v>
      </c>
      <c r="G501" s="59">
        <f>(8.4*1.9-0.6*1.2)*10.764</f>
        <v>164.04335999999998</v>
      </c>
      <c r="H501" s="59">
        <f>F501*(($H$478)+1)+(IF(G501&lt;101,G501,IF(G501&lt;201,G501/2,IF(G501&lt;=301,G501/3,G501/4))))</f>
        <v>1055.1007350000002</v>
      </c>
      <c r="I501" s="60"/>
    </row>
    <row r="502" spans="1:9" s="23" customFormat="1" ht="15.75" customHeight="1">
      <c r="A502" s="151">
        <f t="shared" ref="A502:A509" si="96">A501+1</f>
        <v>6</v>
      </c>
      <c r="B502" s="152"/>
      <c r="C502" s="59" t="s">
        <v>219</v>
      </c>
      <c r="D502" s="59">
        <f>(4.05*3.05+2.05*2.45+2.75*3.75+1.2*1.8+2.2*1.15+0.9*1+1.1*1.1)*10.764</f>
        <v>371.22344999999996</v>
      </c>
      <c r="E502" s="59">
        <v>0</v>
      </c>
      <c r="F502" s="59">
        <f t="shared" ref="F502:F509" si="97">D502+E502</f>
        <v>371.22344999999996</v>
      </c>
      <c r="G502" s="59">
        <f>(1.9*5.9+2.2*3.2+2.75*1.9)*10.764</f>
        <v>252.6849</v>
      </c>
      <c r="H502" s="59">
        <f t="shared" ref="H502:H509" si="98">F502*(($H$478)+1)+(IF(G502&lt;101,G502,IF(G502&lt;201,G502/2,IF(G502&lt;=301,G502/3,G502/4))))</f>
        <v>641.06347499999993</v>
      </c>
      <c r="I502" s="60"/>
    </row>
    <row r="503" spans="1:9" s="23" customFormat="1" ht="15.75" customHeight="1">
      <c r="A503" s="151">
        <f t="shared" si="96"/>
        <v>7</v>
      </c>
      <c r="B503" s="152"/>
      <c r="C503" s="59" t="s">
        <v>219</v>
      </c>
      <c r="D503" s="59">
        <f>(4.05*3.05+2.05*2.45+2.75*3.75+1.2*1.8+2.2*1.15+0.9*1+1.1*1.1)*10.764</f>
        <v>371.22344999999996</v>
      </c>
      <c r="E503" s="59">
        <v>0</v>
      </c>
      <c r="F503" s="59">
        <f t="shared" si="97"/>
        <v>371.22344999999996</v>
      </c>
      <c r="G503" s="59">
        <f>(1.9*5.9+2.2*3.2+2.75*1.9)*10.764</f>
        <v>252.6849</v>
      </c>
      <c r="H503" s="59">
        <f t="shared" si="98"/>
        <v>641.06347499999993</v>
      </c>
      <c r="I503" s="60"/>
    </row>
    <row r="504" spans="1:9" s="23" customFormat="1" ht="15.75" customHeight="1">
      <c r="A504" s="151">
        <f t="shared" si="96"/>
        <v>8</v>
      </c>
      <c r="B504" s="152"/>
      <c r="C504" s="59" t="s">
        <v>212</v>
      </c>
      <c r="D504" s="59">
        <f>(3.05*4.95+4.05*1.25+2.45*2.75+2.75*2.75+1*0.6+2.75*3.75+1.35*0.9+2.65*1.2+1.2*2.1+0.9*4.2+1.2*1)*10.764</f>
        <v>616.42737000000011</v>
      </c>
      <c r="E504" s="59">
        <v>0</v>
      </c>
      <c r="F504" s="59">
        <f t="shared" si="97"/>
        <v>616.42737000000011</v>
      </c>
      <c r="G504" s="59">
        <f>(3.9*3+8.4*1.9-0.6*1.2)*10.764</f>
        <v>289.98215999999996</v>
      </c>
      <c r="H504" s="59">
        <f t="shared" si="98"/>
        <v>1021.3017750000001</v>
      </c>
      <c r="I504" s="60"/>
    </row>
    <row r="505" spans="1:9" s="23" customFormat="1" ht="15.75" customHeight="1">
      <c r="A505" s="151">
        <f t="shared" si="96"/>
        <v>9</v>
      </c>
      <c r="B505" s="152"/>
      <c r="C505" s="59" t="s">
        <v>212</v>
      </c>
      <c r="D505" s="59">
        <f>(3.05*4.95+4.05*1.25+2.45*2.75+2.75*2.75+1*0.6+2.75*3.75+1.35*0.9+2.65*1.2+1.2*2.1+0.9*4.2+1.2*1)*10.764</f>
        <v>616.42737000000011</v>
      </c>
      <c r="E505" s="59">
        <f>(3*1+2.1*1+3.85*1)*10.764</f>
        <v>96.337799999999987</v>
      </c>
      <c r="F505" s="59">
        <f t="shared" si="97"/>
        <v>712.76517000000013</v>
      </c>
      <c r="G505" s="59">
        <v>0</v>
      </c>
      <c r="H505" s="59">
        <f t="shared" si="98"/>
        <v>1069.1477550000002</v>
      </c>
      <c r="I505" s="60"/>
    </row>
    <row r="506" spans="1:9" s="23" customFormat="1" ht="15.75" customHeight="1">
      <c r="A506" s="151">
        <f t="shared" si="96"/>
        <v>10</v>
      </c>
      <c r="B506" s="152"/>
      <c r="C506" s="59" t="s">
        <v>219</v>
      </c>
      <c r="D506" s="59">
        <f>(2.75*4.05+2*0.6+2.75*3.6+1.2*2.1+1.2*2.1+1.2*1.9)*10.764</f>
        <v>318.15692999999993</v>
      </c>
      <c r="E506" s="59">
        <f>(0.6*2.05+4.35*1.1)*10.764</f>
        <v>64.745459999999994</v>
      </c>
      <c r="F506" s="59">
        <f t="shared" si="97"/>
        <v>382.90238999999991</v>
      </c>
      <c r="G506" s="59">
        <v>0</v>
      </c>
      <c r="H506" s="59">
        <f t="shared" si="98"/>
        <v>574.35358499999984</v>
      </c>
      <c r="I506" s="60"/>
    </row>
    <row r="507" spans="1:9" s="23" customFormat="1" ht="15.75" customHeight="1">
      <c r="A507" s="151">
        <f t="shared" si="96"/>
        <v>11</v>
      </c>
      <c r="B507" s="152"/>
      <c r="C507" s="59" t="s">
        <v>219</v>
      </c>
      <c r="D507" s="59">
        <f>(3.85*2.75+2.3*2.1+2.75*3.6+1.2*1.5+1.45*1+1*1.2)*10.764</f>
        <v>320.41737000000001</v>
      </c>
      <c r="E507" s="59">
        <f>(0.6*(1.6+2.4)+1.2*0.6)*10.764</f>
        <v>33.583680000000001</v>
      </c>
      <c r="F507" s="59">
        <f t="shared" si="97"/>
        <v>354.00105000000002</v>
      </c>
      <c r="G507" s="59">
        <v>0</v>
      </c>
      <c r="H507" s="59">
        <f t="shared" si="98"/>
        <v>531.001575</v>
      </c>
      <c r="I507" s="60"/>
    </row>
    <row r="508" spans="1:9" s="23" customFormat="1" ht="15.75" customHeight="1">
      <c r="A508" s="151">
        <f t="shared" si="96"/>
        <v>12</v>
      </c>
      <c r="B508" s="152"/>
      <c r="C508" s="59" t="s">
        <v>219</v>
      </c>
      <c r="D508" s="59">
        <f>(3.85*2.75+2.3*2.1+2.75*3.6+1.2*1.5+1.45*1+1*1.2)*10.764</f>
        <v>320.41737000000001</v>
      </c>
      <c r="E508" s="59">
        <f>(0.6*(1.6+2.4)+1.2*0.6)*10.764</f>
        <v>33.583680000000001</v>
      </c>
      <c r="F508" s="59">
        <f t="shared" si="97"/>
        <v>354.00105000000002</v>
      </c>
      <c r="G508" s="59">
        <v>0</v>
      </c>
      <c r="H508" s="59">
        <f t="shared" si="98"/>
        <v>531.001575</v>
      </c>
      <c r="I508" s="60"/>
    </row>
    <row r="509" spans="1:9" s="23" customFormat="1" ht="15.75" customHeight="1">
      <c r="A509" s="151">
        <f t="shared" si="96"/>
        <v>13</v>
      </c>
      <c r="B509" s="152"/>
      <c r="C509" s="59" t="s">
        <v>219</v>
      </c>
      <c r="D509" s="59">
        <f>(2.75*4.05+2*0.6+2.75*3.6+1.2*2.1+1.2*2.1+1.2*1.9)*10.764</f>
        <v>318.15692999999993</v>
      </c>
      <c r="E509" s="59">
        <f>(0.6*2.05+4.35*1.1)*10.764</f>
        <v>64.745459999999994</v>
      </c>
      <c r="F509" s="59">
        <f t="shared" si="97"/>
        <v>382.90238999999991</v>
      </c>
      <c r="G509" s="59">
        <v>0</v>
      </c>
      <c r="H509" s="59">
        <f t="shared" si="98"/>
        <v>574.35358499999984</v>
      </c>
      <c r="I509" s="60"/>
    </row>
    <row r="510" spans="1:9" s="23" customFormat="1" ht="15.75" customHeight="1">
      <c r="A510" s="148" t="s">
        <v>254</v>
      </c>
      <c r="B510" s="149"/>
      <c r="C510" s="149"/>
      <c r="D510" s="149"/>
      <c r="E510" s="149"/>
      <c r="F510" s="149"/>
      <c r="G510" s="149"/>
      <c r="H510" s="150"/>
      <c r="I510" s="60"/>
    </row>
    <row r="511" spans="1:9" s="23" customFormat="1" ht="15.75" customHeight="1">
      <c r="A511" s="151">
        <v>1</v>
      </c>
      <c r="B511" s="152"/>
      <c r="C511" s="59" t="s">
        <v>212</v>
      </c>
      <c r="D511" s="59">
        <f>(4*3.75+1.2*2.75+2.4*2.1+2.75*4+3.1*3.05+1.2*0.6+2.1*1.2+1.2*2.1+0.9*2.2+1.1*1.2)*10.764</f>
        <v>568.93122000000005</v>
      </c>
      <c r="E511" s="59">
        <f>(0.6*(2.75+1.9)+1.6*1+2.1*1)*10.764</f>
        <v>69.858360000000005</v>
      </c>
      <c r="F511" s="59">
        <f>D511+E511</f>
        <v>638.78958000000011</v>
      </c>
      <c r="G511" s="59">
        <v>0</v>
      </c>
      <c r="H511" s="59">
        <f>F511*(($H$478)+1)+(IF(G511&lt;101,G511,IF(G511&lt;201,G511/2,IF(G511&lt;=301,G511/3,G511/4))))</f>
        <v>958.18437000000017</v>
      </c>
      <c r="I511" s="60"/>
    </row>
    <row r="512" spans="1:9" s="23" customFormat="1" ht="15.75" customHeight="1">
      <c r="A512" s="151">
        <f>A511+1</f>
        <v>2</v>
      </c>
      <c r="B512" s="152"/>
      <c r="C512" s="59" t="s">
        <v>212</v>
      </c>
      <c r="D512" s="59">
        <f>(4*3.75+1.2*2.75+2.4*2.1+2.75*4+3.1*3.05+1.2*0.6+2.1*1.2+1.2*2.1+0.9*2.2+1.1*1.2)*10.764</f>
        <v>568.93122000000005</v>
      </c>
      <c r="E512" s="59">
        <f>(0.6*(2.75+1.9)+1.6*1+2.1*1)*10.764</f>
        <v>69.858360000000005</v>
      </c>
      <c r="F512" s="59">
        <f>D512+E512</f>
        <v>638.78958000000011</v>
      </c>
      <c r="G512" s="59">
        <v>0</v>
      </c>
      <c r="H512" s="59">
        <f>F512*(($H$478)+1)+(IF(G512&lt;101,G512,IF(G512&lt;201,G512/2,IF(G512&lt;=301,G512/3,G512/4))))</f>
        <v>958.18437000000017</v>
      </c>
      <c r="I512" s="60"/>
    </row>
    <row r="513" spans="1:9" s="23" customFormat="1" ht="15.75" customHeight="1">
      <c r="A513" s="151">
        <f t="shared" ref="A513:A523" si="99">A512+1</f>
        <v>3</v>
      </c>
      <c r="B513" s="152"/>
      <c r="C513" s="59" t="s">
        <v>212</v>
      </c>
      <c r="D513" s="59">
        <f>(4.1*3.05+3.2*1.25+2.75*2.45+2.75*2.75+0.6*1+3.75*2.75+2.2*1.2+2.1*1.2+0.9*4.1)*10.764</f>
        <v>544.30857000000003</v>
      </c>
      <c r="E513" s="59">
        <f>(3*1+2.1*1+3.85*1)*10.764</f>
        <v>96.337799999999987</v>
      </c>
      <c r="F513" s="59">
        <f>D513+E513</f>
        <v>640.64637000000005</v>
      </c>
      <c r="G513" s="59">
        <v>0</v>
      </c>
      <c r="H513" s="59">
        <f>F513*(($H$478)+1)+(IF(G513&lt;101,G513,IF(G513&lt;201,G513/2,IF(G513&lt;=301,G513/3,G513/4))))</f>
        <v>960.96955500000013</v>
      </c>
      <c r="I513" s="60"/>
    </row>
    <row r="514" spans="1:9" s="23" customFormat="1" ht="15.75" customHeight="1">
      <c r="A514" s="151">
        <f t="shared" si="99"/>
        <v>4</v>
      </c>
      <c r="B514" s="152"/>
      <c r="C514" s="59" t="s">
        <v>212</v>
      </c>
      <c r="D514" s="59">
        <f>(3.05*4.95+4.05*1.25+2.45*2.75+2.75*2.75+1*0.6+2.75*3.75+1.35*0.9+2.65*1.2+1.2*2.1+0.9*4.2+1.2*1)*10.764</f>
        <v>616.42737000000011</v>
      </c>
      <c r="E514" s="59">
        <f>(3*1+2.1*1+3.85*1)*10.764</f>
        <v>96.337799999999987</v>
      </c>
      <c r="F514" s="59">
        <f>D514+E514</f>
        <v>712.76517000000013</v>
      </c>
      <c r="G514" s="59">
        <v>0</v>
      </c>
      <c r="H514" s="59">
        <f>F514*(($H$478)+1)+(IF(G514&lt;101,G514,IF(G514&lt;201,G514/2,IF(G514&lt;=301,G514/3,G514/4))))</f>
        <v>1069.1477550000002</v>
      </c>
      <c r="I514" s="60"/>
    </row>
    <row r="515" spans="1:9" s="23" customFormat="1" ht="15.75" customHeight="1">
      <c r="A515" s="151">
        <f t="shared" si="99"/>
        <v>5</v>
      </c>
      <c r="B515" s="152"/>
      <c r="C515" s="59" t="s">
        <v>212</v>
      </c>
      <c r="D515" s="59">
        <f>(3.05*4.95+4.05*1.25+2.45*2.75+2.75*2.75+1*0.6+2.75*3.75+1.35*0.9+2.65*1.2+1.2*2.1+0.9*4.2+1.2*1)*10.764</f>
        <v>616.42737000000011</v>
      </c>
      <c r="E515" s="59">
        <f>(3*1+2.1*1+3.85*1)*10.764</f>
        <v>96.337799999999987</v>
      </c>
      <c r="F515" s="59">
        <f>D515+E515</f>
        <v>712.76517000000013</v>
      </c>
      <c r="G515" s="59">
        <v>0</v>
      </c>
      <c r="H515" s="59">
        <f>F515*(($H$478)+1)+(IF(G515&lt;101,G515,IF(G515&lt;201,G515/2,IF(G515&lt;=301,G515/3,G515/4))))</f>
        <v>1069.1477550000002</v>
      </c>
      <c r="I515" s="60"/>
    </row>
    <row r="516" spans="1:9" s="23" customFormat="1" ht="15.75" customHeight="1">
      <c r="A516" s="151">
        <f t="shared" si="99"/>
        <v>6</v>
      </c>
      <c r="B516" s="152"/>
      <c r="C516" s="59" t="s">
        <v>219</v>
      </c>
      <c r="D516" s="59">
        <f>(4.05*3.05+2.05*2.45+2.75*3.75+1.2*1.8+2.2*1.15+0.9*1+1.1*1.1)*10.764</f>
        <v>371.22344999999996</v>
      </c>
      <c r="E516" s="59">
        <f>(0.6*1.9+1.5*1.3+2.25*1)*10.764</f>
        <v>57.479759999999992</v>
      </c>
      <c r="F516" s="59">
        <f t="shared" ref="F516:F523" si="100">D516+E516</f>
        <v>428.70320999999996</v>
      </c>
      <c r="G516" s="59">
        <v>0</v>
      </c>
      <c r="H516" s="59">
        <f t="shared" ref="H516:H523" si="101">F516*(($H$478)+1)+(IF(G516&lt;101,G516,IF(G516&lt;201,G516/2,IF(G516&lt;=301,G516/3,G516/4))))</f>
        <v>643.05481499999996</v>
      </c>
      <c r="I516" s="60"/>
    </row>
    <row r="517" spans="1:9" s="23" customFormat="1" ht="15.75" customHeight="1">
      <c r="A517" s="151">
        <f t="shared" si="99"/>
        <v>7</v>
      </c>
      <c r="B517" s="152"/>
      <c r="C517" s="59" t="s">
        <v>219</v>
      </c>
      <c r="D517" s="59">
        <f>(4.05*3.05+2.05*2.45+2.75*3.75+1.2*1.8+2.2*1.15+0.9*1+1.1*1.1)*10.764</f>
        <v>371.22344999999996</v>
      </c>
      <c r="E517" s="59">
        <f>(0.6*1.9+1.5*1.3+2.25*1)*10.764</f>
        <v>57.479759999999992</v>
      </c>
      <c r="F517" s="59">
        <f t="shared" si="100"/>
        <v>428.70320999999996</v>
      </c>
      <c r="G517" s="59">
        <v>0</v>
      </c>
      <c r="H517" s="59">
        <f t="shared" si="101"/>
        <v>643.05481499999996</v>
      </c>
      <c r="I517" s="60"/>
    </row>
    <row r="518" spans="1:9" s="23" customFormat="1" ht="15.75" customHeight="1">
      <c r="A518" s="151">
        <f t="shared" si="99"/>
        <v>8</v>
      </c>
      <c r="B518" s="152"/>
      <c r="C518" s="59" t="s">
        <v>212</v>
      </c>
      <c r="D518" s="59">
        <f>(3.05*4.95+4.05*1.25+2.45*2.75+2.75*2.75+1*0.6+2.75*3.75+1.35*0.9+2.65*1.2+1.2*2.1+0.9*4.2+1.2*1)*10.764</f>
        <v>616.42737000000011</v>
      </c>
      <c r="E518" s="59">
        <f>(3*1+2.1*1+3.85*1)*10.764</f>
        <v>96.337799999999987</v>
      </c>
      <c r="F518" s="59">
        <f t="shared" si="100"/>
        <v>712.76517000000013</v>
      </c>
      <c r="G518" s="59">
        <v>0</v>
      </c>
      <c r="H518" s="59">
        <f t="shared" si="101"/>
        <v>1069.1477550000002</v>
      </c>
      <c r="I518" s="60"/>
    </row>
    <row r="519" spans="1:9" s="23" customFormat="1" ht="15.75" customHeight="1">
      <c r="A519" s="151">
        <f t="shared" si="99"/>
        <v>9</v>
      </c>
      <c r="B519" s="152"/>
      <c r="C519" s="59" t="s">
        <v>212</v>
      </c>
      <c r="D519" s="59">
        <f>(3.05*4.95+4.05*1.25+2.45*2.75+2.75*2.75+1*0.6+2.75*3.75+1.35*0.9+2.65*1.2+1.2*2.1+0.9*4.2+1.2*1)*10.764</f>
        <v>616.42737000000011</v>
      </c>
      <c r="E519" s="59">
        <f>(3*1+2.1*1+3.85*1)*10.764</f>
        <v>96.337799999999987</v>
      </c>
      <c r="F519" s="59">
        <f t="shared" si="100"/>
        <v>712.76517000000013</v>
      </c>
      <c r="G519" s="59">
        <v>0</v>
      </c>
      <c r="H519" s="59">
        <f t="shared" si="101"/>
        <v>1069.1477550000002</v>
      </c>
      <c r="I519" s="60"/>
    </row>
    <row r="520" spans="1:9" s="23" customFormat="1" ht="15.75" customHeight="1">
      <c r="A520" s="151">
        <f t="shared" si="99"/>
        <v>10</v>
      </c>
      <c r="B520" s="152"/>
      <c r="C520" s="59" t="s">
        <v>219</v>
      </c>
      <c r="D520" s="59">
        <f>(2.75*4.05+2*0.6+2.75*3.6+1.2*2.1+1.2*2.1+1.2*1.9)*10.764</f>
        <v>318.15692999999993</v>
      </c>
      <c r="E520" s="59">
        <f>(0.6*2.05+4.35*1.1)*10.764</f>
        <v>64.745459999999994</v>
      </c>
      <c r="F520" s="59">
        <f t="shared" si="100"/>
        <v>382.90238999999991</v>
      </c>
      <c r="G520" s="59">
        <v>0</v>
      </c>
      <c r="H520" s="59">
        <f t="shared" si="101"/>
        <v>574.35358499999984</v>
      </c>
      <c r="I520" s="60"/>
    </row>
    <row r="521" spans="1:9" s="23" customFormat="1" ht="15.75" customHeight="1">
      <c r="A521" s="151">
        <f t="shared" si="99"/>
        <v>11</v>
      </c>
      <c r="B521" s="152"/>
      <c r="C521" s="59" t="s">
        <v>219</v>
      </c>
      <c r="D521" s="59">
        <f>(3.85*2.75+2.3*2.1+2.75*3.6+1.2*1.5+1.45*1+1*1.2)*10.764</f>
        <v>320.41737000000001</v>
      </c>
      <c r="E521" s="59">
        <f>(0.6*(1.6+2.4)+1.2*0.6)*10.764</f>
        <v>33.583680000000001</v>
      </c>
      <c r="F521" s="59">
        <f t="shared" si="100"/>
        <v>354.00105000000002</v>
      </c>
      <c r="G521" s="59">
        <v>0</v>
      </c>
      <c r="H521" s="59">
        <f t="shared" si="101"/>
        <v>531.001575</v>
      </c>
      <c r="I521" s="60"/>
    </row>
    <row r="522" spans="1:9" s="23" customFormat="1" ht="15.75" customHeight="1">
      <c r="A522" s="151">
        <f t="shared" si="99"/>
        <v>12</v>
      </c>
      <c r="B522" s="152"/>
      <c r="C522" s="59" t="s">
        <v>219</v>
      </c>
      <c r="D522" s="59">
        <f>(3.85*2.75+2.3*2.1+2.75*3.6+1.2*1.5+1.45*1+1*1.2)*10.764</f>
        <v>320.41737000000001</v>
      </c>
      <c r="E522" s="59">
        <f>(0.6*(1.6+2.4)+1.2*0.6)*10.764</f>
        <v>33.583680000000001</v>
      </c>
      <c r="F522" s="59">
        <f t="shared" si="100"/>
        <v>354.00105000000002</v>
      </c>
      <c r="G522" s="59">
        <v>0</v>
      </c>
      <c r="H522" s="59">
        <f t="shared" si="101"/>
        <v>531.001575</v>
      </c>
      <c r="I522" s="60"/>
    </row>
    <row r="523" spans="1:9" s="23" customFormat="1" ht="15.75" customHeight="1">
      <c r="A523" s="151">
        <f t="shared" si="99"/>
        <v>13</v>
      </c>
      <c r="B523" s="152"/>
      <c r="C523" s="59" t="s">
        <v>219</v>
      </c>
      <c r="D523" s="59">
        <f>(2.75*4.05+2*0.6+2.75*3.6+1.2*2.1+1.2*2.1+1.2*1.9)*10.764</f>
        <v>318.15692999999993</v>
      </c>
      <c r="E523" s="59">
        <f>(0.6*2.05+4.35*1.1)*10.764</f>
        <v>64.745459999999994</v>
      </c>
      <c r="F523" s="59">
        <f t="shared" si="100"/>
        <v>382.90238999999991</v>
      </c>
      <c r="G523" s="59">
        <v>0</v>
      </c>
      <c r="H523" s="59">
        <f t="shared" si="101"/>
        <v>574.35358499999984</v>
      </c>
      <c r="I523" s="60"/>
    </row>
    <row r="524" spans="1:9" s="23" customFormat="1" ht="15.75" customHeight="1">
      <c r="A524" s="148" t="s">
        <v>255</v>
      </c>
      <c r="B524" s="149"/>
      <c r="C524" s="149"/>
      <c r="D524" s="149"/>
      <c r="E524" s="149"/>
      <c r="F524" s="149"/>
      <c r="G524" s="149"/>
      <c r="H524" s="150"/>
      <c r="I524" s="60"/>
    </row>
    <row r="525" spans="1:9" s="23" customFormat="1" ht="15.75" customHeight="1">
      <c r="A525" s="151">
        <v>1</v>
      </c>
      <c r="B525" s="152"/>
      <c r="C525" s="59" t="s">
        <v>212</v>
      </c>
      <c r="D525" s="59">
        <f>(4*3.75+1.2*2.75+2.4*2.1+2.75*4+3.1*3.05+1.2*0.6+2.1*1.2+1.2*2.1+0.9*2.2+1.1*1.2)*10.764</f>
        <v>568.93122000000005</v>
      </c>
      <c r="E525" s="59">
        <f>(0.6*(2.75+1.9)+1.6*1+2.1*1)*10.764</f>
        <v>69.858360000000005</v>
      </c>
      <c r="F525" s="59">
        <f>D525+E525</f>
        <v>638.78958000000011</v>
      </c>
      <c r="G525" s="59">
        <v>0</v>
      </c>
      <c r="H525" s="59">
        <f>F525*(($H$478)+1)+(IF(G525&lt;101,G525,IF(G525&lt;201,G525/2,IF(G525&lt;=301,G525/3,G525/4))))</f>
        <v>958.18437000000017</v>
      </c>
      <c r="I525" s="60"/>
    </row>
    <row r="526" spans="1:9" s="23" customFormat="1" ht="15.75" customHeight="1">
      <c r="A526" s="151">
        <f>A525+1</f>
        <v>2</v>
      </c>
      <c r="B526" s="152"/>
      <c r="C526" s="59" t="s">
        <v>212</v>
      </c>
      <c r="D526" s="59">
        <f>(4*3.75+1.2*2.75+2.4*2.1+2.75*4+3.1*3.05+1.2*0.6+2.1*1.2+1.2*2.1+0.9*2.2+1.1*1.2)*10.764</f>
        <v>568.93122000000005</v>
      </c>
      <c r="E526" s="59">
        <f>(0.6*(2.75+1.9)+1.6*1+2.1*1)*10.764</f>
        <v>69.858360000000005</v>
      </c>
      <c r="F526" s="59">
        <f>D526+E526</f>
        <v>638.78958000000011</v>
      </c>
      <c r="G526" s="59">
        <v>0</v>
      </c>
      <c r="H526" s="59">
        <f>F526*(($H$478)+1)+(IF(G526&lt;101,G526,IF(G526&lt;201,G526/2,IF(G526&lt;=301,G526/3,G526/4))))</f>
        <v>958.18437000000017</v>
      </c>
      <c r="I526" s="60"/>
    </row>
    <row r="527" spans="1:9" s="23" customFormat="1" ht="15.75" customHeight="1">
      <c r="A527" s="151">
        <f t="shared" ref="A527:A537" si="102">A526+1</f>
        <v>3</v>
      </c>
      <c r="B527" s="152"/>
      <c r="C527" s="59" t="s">
        <v>212</v>
      </c>
      <c r="D527" s="59">
        <f>(4.1*3.05+3.2*1.25+2.75*2.45+2.75*2.75+0.6*1+3.75*2.75+2.2*1.2+2.1*1.2+0.9*4.1)*10.764</f>
        <v>544.30857000000003</v>
      </c>
      <c r="E527" s="59">
        <f>(3*1+2.1*1+3.85*1)*10.764</f>
        <v>96.337799999999987</v>
      </c>
      <c r="F527" s="59">
        <f>D527+E527</f>
        <v>640.64637000000005</v>
      </c>
      <c r="G527" s="59">
        <v>0</v>
      </c>
      <c r="H527" s="59">
        <f>F527*(($H$478)+1)+(IF(G527&lt;101,G527,IF(G527&lt;201,G527/2,IF(G527&lt;=301,G527/3,G527/4))))</f>
        <v>960.96955500000013</v>
      </c>
      <c r="I527" s="60"/>
    </row>
    <row r="528" spans="1:9" s="23" customFormat="1" ht="15.75" customHeight="1">
      <c r="A528" s="151">
        <f t="shared" si="102"/>
        <v>4</v>
      </c>
      <c r="B528" s="152"/>
      <c r="C528" s="59" t="s">
        <v>212</v>
      </c>
      <c r="D528" s="59">
        <f>(3.05*4.95+4.05*1.25+2.45*2.75+2.75*2.75+1*0.6+2.75*3.75+1.35*0.9+2.65*1.2+1.2*2.1+0.9*4.2+1.2*1)*10.764</f>
        <v>616.42737000000011</v>
      </c>
      <c r="E528" s="59">
        <f>(3*1+2.1*1+3.85*1)*10.764</f>
        <v>96.337799999999987</v>
      </c>
      <c r="F528" s="59">
        <f>D528+E528</f>
        <v>712.76517000000013</v>
      </c>
      <c r="G528" s="59">
        <v>0</v>
      </c>
      <c r="H528" s="59">
        <f>F528*(($H$478)+1)+(IF(G528&lt;101,G528,IF(G528&lt;201,G528/2,IF(G528&lt;=301,G528/3,G528/4))))</f>
        <v>1069.1477550000002</v>
      </c>
      <c r="I528" s="60"/>
    </row>
    <row r="529" spans="1:9" s="23" customFormat="1" ht="15.75" customHeight="1">
      <c r="A529" s="151">
        <f t="shared" si="102"/>
        <v>5</v>
      </c>
      <c r="B529" s="152"/>
      <c r="C529" s="59" t="s">
        <v>212</v>
      </c>
      <c r="D529" s="59">
        <f>(3.05*4.95+4.05*1.25+2.45*2.75+2.75*2.75+1*0.6+2.75*3.75+1.35*0.9+2.65*1.2+1.2*2.1+0.9*4.2+1.2*1)*10.764</f>
        <v>616.42737000000011</v>
      </c>
      <c r="E529" s="59">
        <f>(3*1+2.1*1+3.85*1)*10.764</f>
        <v>96.337799999999987</v>
      </c>
      <c r="F529" s="59">
        <f>D529+E529</f>
        <v>712.76517000000013</v>
      </c>
      <c r="G529" s="59">
        <v>0</v>
      </c>
      <c r="H529" s="59">
        <f>F529*(($H$478)+1)+(IF(G529&lt;101,G529,IF(G529&lt;201,G529/2,IF(G529&lt;=301,G529/3,G529/4))))</f>
        <v>1069.1477550000002</v>
      </c>
      <c r="I529" s="60"/>
    </row>
    <row r="530" spans="1:9" s="23" customFormat="1" ht="15.75" customHeight="1">
      <c r="A530" s="151">
        <f t="shared" si="102"/>
        <v>6</v>
      </c>
      <c r="B530" s="152"/>
      <c r="C530" s="59" t="s">
        <v>219</v>
      </c>
      <c r="D530" s="59">
        <f>(4.05*3.05+2.05*2.45+2.75*3.75+1.2*1.8+2.2*1.15+0.9*1+1.1*1.1)*10.764</f>
        <v>371.22344999999996</v>
      </c>
      <c r="E530" s="59">
        <f>(0.6*1.9+1.5*1.3+2.25*1)*10.764</f>
        <v>57.479759999999992</v>
      </c>
      <c r="F530" s="59">
        <f t="shared" ref="F530:F537" si="103">D530+E530</f>
        <v>428.70320999999996</v>
      </c>
      <c r="G530" s="59">
        <v>0</v>
      </c>
      <c r="H530" s="59">
        <f t="shared" ref="H530:H537" si="104">F530*(($H$478)+1)+(IF(G530&lt;101,G530,IF(G530&lt;201,G530/2,IF(G530&lt;=301,G530/3,G530/4))))</f>
        <v>643.05481499999996</v>
      </c>
      <c r="I530" s="60"/>
    </row>
    <row r="531" spans="1:9" s="23" customFormat="1" ht="15.75" customHeight="1">
      <c r="A531" s="151">
        <f t="shared" si="102"/>
        <v>7</v>
      </c>
      <c r="B531" s="152"/>
      <c r="C531" s="59" t="s">
        <v>219</v>
      </c>
      <c r="D531" s="59">
        <f>(4.05*3.05+2.05*2.45+2.75*3.75+1.2*1.8+2.2*1.15+0.9*1+1.1*1.1)*10.764</f>
        <v>371.22344999999996</v>
      </c>
      <c r="E531" s="59">
        <f>(0.6*1.9+1.5*1.3+2.25*1)*10.764</f>
        <v>57.479759999999992</v>
      </c>
      <c r="F531" s="59">
        <f t="shared" si="103"/>
        <v>428.70320999999996</v>
      </c>
      <c r="G531" s="59">
        <v>0</v>
      </c>
      <c r="H531" s="59">
        <f t="shared" si="104"/>
        <v>643.05481499999996</v>
      </c>
      <c r="I531" s="60"/>
    </row>
    <row r="532" spans="1:9" s="23" customFormat="1" ht="15.75" customHeight="1">
      <c r="A532" s="151">
        <f t="shared" si="102"/>
        <v>8</v>
      </c>
      <c r="B532" s="152"/>
      <c r="C532" s="59" t="s">
        <v>212</v>
      </c>
      <c r="D532" s="59">
        <f>(3.05*4.95+4.05*1.25+2.45*2.75+2.75*2.75+1*0.6+2.75*3.75+1.35*0.9+2.65*1.2+1.2*2.1+0.9*4.2+1.2*1)*10.764</f>
        <v>616.42737000000011</v>
      </c>
      <c r="E532" s="59">
        <f>(3*1+2.1*1+3.85*1)*10.764</f>
        <v>96.337799999999987</v>
      </c>
      <c r="F532" s="59">
        <f t="shared" si="103"/>
        <v>712.76517000000013</v>
      </c>
      <c r="G532" s="59">
        <v>0</v>
      </c>
      <c r="H532" s="59">
        <f t="shared" si="104"/>
        <v>1069.1477550000002</v>
      </c>
      <c r="I532" s="60"/>
    </row>
    <row r="533" spans="1:9" s="23" customFormat="1" ht="15.75" customHeight="1">
      <c r="A533" s="151">
        <f t="shared" si="102"/>
        <v>9</v>
      </c>
      <c r="B533" s="152"/>
      <c r="C533" s="59" t="s">
        <v>212</v>
      </c>
      <c r="D533" s="59">
        <f>(3.05*4.95+4.05*1.25+2.45*2.75+2.75*2.75+1*0.6+2.75*3.75+1.35*0.9+2.65*1.2+1.2*2.1+0.9*4.2+1.2*1)*10.764</f>
        <v>616.42737000000011</v>
      </c>
      <c r="E533" s="59">
        <f>(3*1+2.1*1+3.85*1)*10.764</f>
        <v>96.337799999999987</v>
      </c>
      <c r="F533" s="59">
        <f t="shared" si="103"/>
        <v>712.76517000000013</v>
      </c>
      <c r="G533" s="59">
        <v>0</v>
      </c>
      <c r="H533" s="59">
        <f t="shared" si="104"/>
        <v>1069.1477550000002</v>
      </c>
      <c r="I533" s="60"/>
    </row>
    <row r="534" spans="1:9" s="23" customFormat="1" ht="15.75" customHeight="1">
      <c r="A534" s="151">
        <f t="shared" si="102"/>
        <v>10</v>
      </c>
      <c r="B534" s="152"/>
      <c r="C534" s="59" t="s">
        <v>219</v>
      </c>
      <c r="D534" s="59">
        <f>(2.75*4.05+2*0.6+2.75*3.6+1.2*2.1+1.2*2.1+1.2*1.9)*10.764</f>
        <v>318.15692999999993</v>
      </c>
      <c r="E534" s="59">
        <f>(0.6*2.05+4.35*1.1)*10.764</f>
        <v>64.745459999999994</v>
      </c>
      <c r="F534" s="59">
        <f t="shared" si="103"/>
        <v>382.90238999999991</v>
      </c>
      <c r="G534" s="59">
        <v>0</v>
      </c>
      <c r="H534" s="59">
        <f t="shared" si="104"/>
        <v>574.35358499999984</v>
      </c>
      <c r="I534" s="60"/>
    </row>
    <row r="535" spans="1:9" s="23" customFormat="1" ht="15.75" customHeight="1">
      <c r="A535" s="151">
        <f t="shared" si="102"/>
        <v>11</v>
      </c>
      <c r="B535" s="152"/>
      <c r="C535" s="59" t="s">
        <v>219</v>
      </c>
      <c r="D535" s="59">
        <f>(3.85*2.75+2.3*2.1+2.75*3.6+1.2*1.5+1.45*1+1*1.2)*10.764</f>
        <v>320.41737000000001</v>
      </c>
      <c r="E535" s="59">
        <f>(0.6*(1.6+2.4)+1.2*0.6)*10.764</f>
        <v>33.583680000000001</v>
      </c>
      <c r="F535" s="59">
        <f t="shared" si="103"/>
        <v>354.00105000000002</v>
      </c>
      <c r="G535" s="59">
        <v>0</v>
      </c>
      <c r="H535" s="59">
        <f t="shared" si="104"/>
        <v>531.001575</v>
      </c>
      <c r="I535" s="60"/>
    </row>
    <row r="536" spans="1:9" s="23" customFormat="1" ht="15.75" customHeight="1">
      <c r="A536" s="151">
        <f t="shared" si="102"/>
        <v>12</v>
      </c>
      <c r="B536" s="152"/>
      <c r="C536" s="59" t="s">
        <v>219</v>
      </c>
      <c r="D536" s="59">
        <f>(3.85*2.75+2.3*2.1+2.75*3.6+1.2*1.5+1.45*1+1*1.2)*10.764</f>
        <v>320.41737000000001</v>
      </c>
      <c r="E536" s="59">
        <f>(0.6*(1.6+2.4)+1.2*0.6)*10.764</f>
        <v>33.583680000000001</v>
      </c>
      <c r="F536" s="59">
        <f t="shared" si="103"/>
        <v>354.00105000000002</v>
      </c>
      <c r="G536" s="59">
        <v>0</v>
      </c>
      <c r="H536" s="59">
        <f t="shared" si="104"/>
        <v>531.001575</v>
      </c>
      <c r="I536" s="60"/>
    </row>
    <row r="537" spans="1:9" s="23" customFormat="1" ht="15.75" customHeight="1">
      <c r="A537" s="151">
        <f t="shared" si="102"/>
        <v>13</v>
      </c>
      <c r="B537" s="152"/>
      <c r="C537" s="59" t="s">
        <v>219</v>
      </c>
      <c r="D537" s="59">
        <f>(2.75*4.05+2*0.6+2.75*3.6+1.2*2.1+1.2*2.1+1.2*1.9)*10.764</f>
        <v>318.15692999999993</v>
      </c>
      <c r="E537" s="59">
        <f>(0.6*2.05+4.35*1.1)*10.764</f>
        <v>64.745459999999994</v>
      </c>
      <c r="F537" s="59">
        <f t="shared" si="103"/>
        <v>382.90238999999991</v>
      </c>
      <c r="G537" s="59">
        <v>0</v>
      </c>
      <c r="H537" s="59">
        <f t="shared" si="104"/>
        <v>574.35358499999984</v>
      </c>
      <c r="I537" s="60"/>
    </row>
    <row r="538" spans="1:9" s="23" customFormat="1">
      <c r="A538" s="174" t="s">
        <v>256</v>
      </c>
      <c r="B538" s="175"/>
      <c r="C538" s="175"/>
      <c r="D538" s="175"/>
      <c r="E538" s="175"/>
      <c r="F538" s="175"/>
      <c r="G538" s="175"/>
      <c r="H538" s="176"/>
      <c r="I538" s="60"/>
    </row>
    <row r="539" spans="1:9" s="23" customFormat="1" ht="16.5" customHeight="1">
      <c r="A539" s="177" t="s">
        <v>257</v>
      </c>
      <c r="B539" s="178"/>
      <c r="C539" s="178"/>
      <c r="D539" s="178"/>
      <c r="E539" s="178"/>
      <c r="F539" s="178"/>
      <c r="G539" s="178"/>
      <c r="H539" s="179"/>
      <c r="I539" s="60"/>
    </row>
    <row r="540" spans="1:9" s="23" customFormat="1">
      <c r="A540" s="148" t="s">
        <v>217</v>
      </c>
      <c r="B540" s="149"/>
      <c r="C540" s="149"/>
      <c r="D540" s="149"/>
      <c r="E540" s="149"/>
      <c r="F540" s="149"/>
      <c r="G540" s="149"/>
      <c r="H540" s="150"/>
      <c r="I540" s="60"/>
    </row>
    <row r="541" spans="1:9" s="23" customFormat="1">
      <c r="A541" s="148" t="s">
        <v>205</v>
      </c>
      <c r="B541" s="149"/>
      <c r="C541" s="149"/>
      <c r="D541" s="149"/>
      <c r="E541" s="149"/>
      <c r="F541" s="149"/>
      <c r="G541" s="149"/>
      <c r="H541" s="150"/>
      <c r="I541" s="60"/>
    </row>
    <row r="542" spans="1:9" s="23" customFormat="1" ht="15.75" customHeight="1">
      <c r="A542" s="151">
        <v>1</v>
      </c>
      <c r="B542" s="152"/>
      <c r="C542" s="59" t="s">
        <v>207</v>
      </c>
      <c r="D542" s="59">
        <f>(10.54+4.62+6.6+1.08+1.44+0.9*2.2+1.2*2.75+0.3*1.5)*10.764</f>
        <v>323.02763999999996</v>
      </c>
      <c r="E542" s="59">
        <f>(0.7*(2.75+2.2))*10.764</f>
        <v>37.297259999999994</v>
      </c>
      <c r="F542" s="59">
        <f>D542+E542</f>
        <v>360.32489999999996</v>
      </c>
      <c r="G542" s="59">
        <f>(2.75*2.2)*10.764</f>
        <v>65.122200000000007</v>
      </c>
      <c r="H542" s="59">
        <f>F542*(($H$478)+1)+(IF(G542&lt;101,G542,IF(G542&lt;201,G542/2,IF(G542&lt;=301,G542/3,G542/4))))</f>
        <v>605.6095499999999</v>
      </c>
      <c r="I542" s="60"/>
    </row>
    <row r="543" spans="1:9" s="23" customFormat="1" ht="15.75" customHeight="1">
      <c r="A543" s="151">
        <f>A542+1</f>
        <v>2</v>
      </c>
      <c r="B543" s="152"/>
      <c r="C543" s="59" t="s">
        <v>203</v>
      </c>
      <c r="D543" s="59">
        <f>(14.54+3.3+4.12+6.88+2.52+2.34+0.9*4+1.2*0.3+1.2*(2.75+2.75+2.2))*10.764</f>
        <v>504.83160000000004</v>
      </c>
      <c r="E543" s="59">
        <f>(0.7*(2.75+2.75+2.2))*10.764</f>
        <v>58.017959999999995</v>
      </c>
      <c r="F543" s="59">
        <f>D543+E543</f>
        <v>562.84956</v>
      </c>
      <c r="G543" s="59">
        <f>(2*2.7)*10.764</f>
        <v>58.125599999999999</v>
      </c>
      <c r="H543" s="59">
        <f>F543*(($H$478)+1)+(IF(G543&lt;101,G543,IF(G543&lt;201,G543/2,IF(G543&lt;=301,G543/3,G543/4))))</f>
        <v>902.3999399999999</v>
      </c>
      <c r="I543" s="60"/>
    </row>
    <row r="544" spans="1:9" s="23" customFormat="1" ht="15.75" customHeight="1">
      <c r="A544" s="151">
        <f t="shared" ref="A544:A546" si="105">A543+1</f>
        <v>3</v>
      </c>
      <c r="B544" s="152"/>
      <c r="C544" s="59" t="s">
        <v>203</v>
      </c>
      <c r="D544" s="59">
        <f>(14.54+3.3+4.12+6.88+2.52+2.34+0.9*4+1.2*0.3+1.2*(2.75+2.75+2.2))*10.764</f>
        <v>504.83160000000004</v>
      </c>
      <c r="E544" s="59">
        <f>(0.7*(2.75+2.75+2.2))*10.764</f>
        <v>58.017959999999995</v>
      </c>
      <c r="F544" s="59">
        <f>D544+E544</f>
        <v>562.84956</v>
      </c>
      <c r="G544" s="59">
        <f>(2*2.7)*10.764</f>
        <v>58.125599999999999</v>
      </c>
      <c r="H544" s="59">
        <f>F544*(($H$478)+1)+(IF(G544&lt;101,G544,IF(G544&lt;201,G544/2,IF(G544&lt;=301,G544/3,G544/4))))</f>
        <v>902.3999399999999</v>
      </c>
      <c r="I544" s="60"/>
    </row>
    <row r="545" spans="1:9" s="23" customFormat="1" ht="15.75" customHeight="1">
      <c r="A545" s="151">
        <f t="shared" si="105"/>
        <v>4</v>
      </c>
      <c r="B545" s="152"/>
      <c r="C545" s="59" t="s">
        <v>203</v>
      </c>
      <c r="D545" s="59">
        <f>(14.54+3.3+4.12+6.88+2.52+2.34+0.9*4+1.2*0.3+1.2*(2.75+2.75+2.2))*10.764</f>
        <v>504.83160000000004</v>
      </c>
      <c r="E545" s="59">
        <f>(0.7*(2.75+2.75+2.2))*10.764</f>
        <v>58.017959999999995</v>
      </c>
      <c r="F545" s="59">
        <f>D545+E545</f>
        <v>562.84956</v>
      </c>
      <c r="G545" s="59">
        <f>(2*2.7)*10.764</f>
        <v>58.125599999999999</v>
      </c>
      <c r="H545" s="59">
        <f>F545*(($H$478)+1)+(IF(G545&lt;101,G545,IF(G545&lt;201,G545/2,IF(G545&lt;=301,G545/3,G545/4))))</f>
        <v>902.3999399999999</v>
      </c>
      <c r="I545" s="60"/>
    </row>
    <row r="546" spans="1:9" s="23" customFormat="1" ht="15.75" customHeight="1">
      <c r="A546" s="151">
        <f t="shared" si="105"/>
        <v>5</v>
      </c>
      <c r="B546" s="152"/>
      <c r="C546" s="59" t="s">
        <v>203</v>
      </c>
      <c r="D546" s="59">
        <f>(15.44+3.36+4.88+7.71+2.52+2.52+0.9*(1.2+1.2))*10.764</f>
        <v>415.38276000000002</v>
      </c>
      <c r="E546" s="59">
        <f>(0.7*(2.1+3.05+3.1+2.4))*10.764</f>
        <v>80.245620000000002</v>
      </c>
      <c r="F546" s="59">
        <f>D546+E546</f>
        <v>495.62837999999999</v>
      </c>
      <c r="G546" s="59">
        <f>(2.4*1.5)*10.764</f>
        <v>38.750399999999992</v>
      </c>
      <c r="H546" s="59">
        <f>F546*(($H$478)+1)+(IF(G546&lt;101,G546,IF(G546&lt;201,G546/2,IF(G546&lt;=301,G546/3,G546/4))))</f>
        <v>782.19296999999995</v>
      </c>
      <c r="I546" s="60"/>
    </row>
    <row r="547" spans="1:9" s="23" customFormat="1">
      <c r="A547" s="148" t="s">
        <v>206</v>
      </c>
      <c r="B547" s="149"/>
      <c r="C547" s="149"/>
      <c r="D547" s="149"/>
      <c r="E547" s="149"/>
      <c r="F547" s="149"/>
      <c r="G547" s="149"/>
      <c r="H547" s="150"/>
      <c r="I547" s="60"/>
    </row>
    <row r="548" spans="1:9" s="23" customFormat="1" ht="15.75" customHeight="1">
      <c r="A548" s="151">
        <v>1</v>
      </c>
      <c r="B548" s="152"/>
      <c r="C548" s="59" t="s">
        <v>207</v>
      </c>
      <c r="D548" s="59">
        <f>(10.54+4.62+6.6+1.08+1.44+0.9*2.2+1.2*2.75+0.3*1.5)*10.764</f>
        <v>323.02763999999996</v>
      </c>
      <c r="E548" s="59">
        <f>(0.7*(2.75+2.2))*10.764</f>
        <v>37.297259999999994</v>
      </c>
      <c r="F548" s="59">
        <f>D548+E548</f>
        <v>360.32489999999996</v>
      </c>
      <c r="G548" s="59">
        <f>(2.75*2.2)*10.764</f>
        <v>65.122200000000007</v>
      </c>
      <c r="H548" s="59">
        <f>F548*(($H$478)+1)+(IF(G548&lt;101,G548,IF(G548&lt;201,G548/2,IF(G548&lt;=301,G548/3,G548/4))))</f>
        <v>605.6095499999999</v>
      </c>
      <c r="I548" s="60"/>
    </row>
    <row r="549" spans="1:9" s="23" customFormat="1" ht="15.75" customHeight="1">
      <c r="A549" s="151">
        <f>A548+1</f>
        <v>2</v>
      </c>
      <c r="B549" s="152"/>
      <c r="C549" s="59" t="s">
        <v>212</v>
      </c>
      <c r="D549" s="59">
        <f>(14.54+3.3+4.12+6.88+2.52+2.34+0.9*4+1.2*0.3+1.2*(2.75+2.75+2.2))*10.764</f>
        <v>504.83160000000004</v>
      </c>
      <c r="E549" s="59">
        <f>(0.7*(2.75+2.75+2.2))*10.764</f>
        <v>58.017959999999995</v>
      </c>
      <c r="F549" s="59">
        <f>D549+E549</f>
        <v>562.84956</v>
      </c>
      <c r="G549" s="59">
        <f>(2*2.7)*10.764</f>
        <v>58.125599999999999</v>
      </c>
      <c r="H549" s="59">
        <f>F549*(($H$478)+1)+(IF(G549&lt;101,G549,IF(G549&lt;201,G549/2,IF(G549&lt;=301,G549/3,G549/4))))</f>
        <v>902.3999399999999</v>
      </c>
      <c r="I549" s="60"/>
    </row>
    <row r="550" spans="1:9" s="23" customFormat="1" ht="15.75" customHeight="1">
      <c r="A550" s="151">
        <f t="shared" ref="A550:A554" si="106">A549+1</f>
        <v>3</v>
      </c>
      <c r="B550" s="152"/>
      <c r="C550" s="59" t="s">
        <v>203</v>
      </c>
      <c r="D550" s="59">
        <f>(14.54+3.3+4.12+6.88+2.52+2.34+0.9*4+1.2*0.3+1.2*(2.75+2.75+2.2))*10.764</f>
        <v>504.83160000000004</v>
      </c>
      <c r="E550" s="59">
        <f>(0.7*(2.75+2.75+2.2))*10.764</f>
        <v>58.017959999999995</v>
      </c>
      <c r="F550" s="59">
        <f>D550+E550</f>
        <v>562.84956</v>
      </c>
      <c r="G550" s="59">
        <f>(2*2.7)*10.764</f>
        <v>58.125599999999999</v>
      </c>
      <c r="H550" s="59">
        <f>F550*(($H$478)+1)+(IF(G550&lt;101,G550,IF(G550&lt;201,G550/2,IF(G550&lt;=301,G550/3,G550/4))))</f>
        <v>902.3999399999999</v>
      </c>
      <c r="I550" s="60"/>
    </row>
    <row r="551" spans="1:9" s="23" customFormat="1" ht="15.75" customHeight="1">
      <c r="A551" s="151">
        <f t="shared" si="106"/>
        <v>4</v>
      </c>
      <c r="B551" s="152"/>
      <c r="C551" s="59" t="s">
        <v>203</v>
      </c>
      <c r="D551" s="59">
        <f>(14.54+3.3+4.12+6.88+2.52+2.34+0.9*4+1.2*0.3+1.2*(2.75+2.75+2.2))*10.764</f>
        <v>504.83160000000004</v>
      </c>
      <c r="E551" s="59">
        <f>(0.7*(2.75+2.75+2.2))*10.764</f>
        <v>58.017959999999995</v>
      </c>
      <c r="F551" s="59">
        <f>D551+E551</f>
        <v>562.84956</v>
      </c>
      <c r="G551" s="59">
        <f>(2*2.7)*10.764</f>
        <v>58.125599999999999</v>
      </c>
      <c r="H551" s="59">
        <f>F551*(($H$478)+1)+(IF(G551&lt;101,G551,IF(G551&lt;201,G551/2,IF(G551&lt;=301,G551/3,G551/4))))</f>
        <v>902.3999399999999</v>
      </c>
      <c r="I551" s="60"/>
    </row>
    <row r="552" spans="1:9" s="23" customFormat="1" ht="15.75" customHeight="1">
      <c r="A552" s="151">
        <f t="shared" si="106"/>
        <v>5</v>
      </c>
      <c r="B552" s="152"/>
      <c r="C552" s="59" t="s">
        <v>203</v>
      </c>
      <c r="D552" s="59">
        <f>(15.44+3.36+4.88+7.71+2.52+2.52+0.9*(1.2+1.2))*10.764</f>
        <v>415.38276000000002</v>
      </c>
      <c r="E552" s="59">
        <f>(0.7*(2.1+3.05+3.1+2.4))*10.764</f>
        <v>80.245620000000002</v>
      </c>
      <c r="F552" s="59">
        <f>D552+E552</f>
        <v>495.62837999999999</v>
      </c>
      <c r="G552" s="59">
        <f>(2.4*1.5)*10.764</f>
        <v>38.750399999999992</v>
      </c>
      <c r="H552" s="59">
        <f>F552*(($H$478)+1)+(IF(G552&lt;101,G552,IF(G552&lt;201,G552/2,IF(G552&lt;=301,G552/3,G552/4))))</f>
        <v>782.19296999999995</v>
      </c>
      <c r="I552" s="60"/>
    </row>
    <row r="553" spans="1:9" s="23" customFormat="1" ht="15.75" customHeight="1">
      <c r="A553" s="151">
        <f t="shared" si="106"/>
        <v>6</v>
      </c>
      <c r="B553" s="152"/>
      <c r="C553" s="59" t="s">
        <v>207</v>
      </c>
      <c r="D553" s="59">
        <f>(14.54+3.3+4.12+6.88+2.52+2.34+0.9*4+1.2*0.3+1.2*(2.75+2.75+2.2))*10.764</f>
        <v>504.83160000000004</v>
      </c>
      <c r="E553" s="59">
        <f>(0.7*(2.75+2.75+2.2))*10.764</f>
        <v>58.017959999999995</v>
      </c>
      <c r="F553" s="59">
        <f t="shared" ref="F553:F554" si="107">D553+E553</f>
        <v>562.84956</v>
      </c>
      <c r="G553" s="59">
        <f>(2*2.7)*10.764</f>
        <v>58.125599999999999</v>
      </c>
      <c r="H553" s="59">
        <f t="shared" ref="H553:H554" si="108">F553*(($H$478)+1)+(IF(G553&lt;101,G553,IF(G553&lt;201,G553/2,IF(G553&lt;=301,G553/3,G553/4))))</f>
        <v>902.3999399999999</v>
      </c>
      <c r="I553" s="60"/>
    </row>
    <row r="554" spans="1:9" s="23" customFormat="1" ht="15.75" customHeight="1">
      <c r="A554" s="151">
        <f t="shared" si="106"/>
        <v>7</v>
      </c>
      <c r="B554" s="152"/>
      <c r="C554" s="59" t="s">
        <v>207</v>
      </c>
      <c r="D554" s="59">
        <f>(15.44+3.36+4.88+7.71+2.52+2.52+0.9*(1.2+1.2))*10.764</f>
        <v>415.38276000000002</v>
      </c>
      <c r="E554" s="59">
        <f>(0.7*(2.1+3.05+3.1+2.4))*10.764</f>
        <v>80.245620000000002</v>
      </c>
      <c r="F554" s="59">
        <f t="shared" si="107"/>
        <v>495.62837999999999</v>
      </c>
      <c r="G554" s="59">
        <f>(2.4*1.5)*10.764</f>
        <v>38.750399999999992</v>
      </c>
      <c r="H554" s="59">
        <f t="shared" si="108"/>
        <v>782.19296999999995</v>
      </c>
      <c r="I554" s="60"/>
    </row>
    <row r="555" spans="1:9" s="23" customFormat="1">
      <c r="A555" s="148" t="s">
        <v>213</v>
      </c>
      <c r="B555" s="149"/>
      <c r="C555" s="149"/>
      <c r="D555" s="149"/>
      <c r="E555" s="149"/>
      <c r="F555" s="149"/>
      <c r="G555" s="149"/>
      <c r="H555" s="150"/>
      <c r="I555" s="60"/>
    </row>
    <row r="556" spans="1:9" s="23" customFormat="1" ht="15.75" customHeight="1">
      <c r="A556" s="151">
        <v>1</v>
      </c>
      <c r="B556" s="152"/>
      <c r="C556" s="59" t="s">
        <v>207</v>
      </c>
      <c r="D556" s="59">
        <f>(10.54+4.62+6.6+1.08+1.44+0.9*2.2+2.75*1.2)*10.764</f>
        <v>318.18383999999998</v>
      </c>
      <c r="E556" s="59">
        <f>(0.7*(2.75+2.2))*10.764</f>
        <v>37.297259999999994</v>
      </c>
      <c r="F556" s="59">
        <f>D556+E556</f>
        <v>355.48109999999997</v>
      </c>
      <c r="G556" s="59">
        <f>(2.75*2)*10.764</f>
        <v>59.201999999999998</v>
      </c>
      <c r="H556" s="59">
        <f>F556*(($H$478)+1)+(IF(G556&lt;101,G556,IF(G556&lt;201,G556/2,IF(G556&lt;=301,G556/3,G556/4))))</f>
        <v>592.42364999999995</v>
      </c>
      <c r="I556" s="60"/>
    </row>
    <row r="557" spans="1:9" s="23" customFormat="1" ht="15.75" customHeight="1">
      <c r="A557" s="151">
        <f>A556+1</f>
        <v>2</v>
      </c>
      <c r="B557" s="152"/>
      <c r="C557" s="59" t="s">
        <v>203</v>
      </c>
      <c r="D557" s="59">
        <f>(14.64+3.3+4.12+6.88+2.52+2.34+0.9*3.9+0.6*1.2+1.2*(2.75+2.75+2.2))*10.764</f>
        <v>508.81427999999994</v>
      </c>
      <c r="E557" s="59">
        <f>(0.7*(2.75+2.75+2.2))*10.764</f>
        <v>58.017959999999995</v>
      </c>
      <c r="F557" s="59">
        <f>D557+E557</f>
        <v>566.83223999999996</v>
      </c>
      <c r="G557" s="59">
        <f>(2.5*2)*10.764</f>
        <v>53.819999999999993</v>
      </c>
      <c r="H557" s="59">
        <f>F557*(($H$478)+1)+(IF(G557&lt;101,G557,IF(G557&lt;201,G557/2,IF(G557&lt;=301,G557/3,G557/4))))</f>
        <v>904.06835999999998</v>
      </c>
      <c r="I557" s="60"/>
    </row>
    <row r="558" spans="1:9" s="23" customFormat="1" ht="15.75" customHeight="1">
      <c r="A558" s="151">
        <f t="shared" ref="A558:A562" si="109">A557+1</f>
        <v>3</v>
      </c>
      <c r="B558" s="152"/>
      <c r="C558" s="59" t="s">
        <v>203</v>
      </c>
      <c r="D558" s="59">
        <f>(14.64+3.3+4.12+6.88+2.52+2.34+0.9*3.9+0.6*1.2+1.2*(2.75+2.75+2.2))*10.764</f>
        <v>508.81427999999994</v>
      </c>
      <c r="E558" s="59">
        <f>(0.7*(2.75+2.75+2.2))*10.764</f>
        <v>58.017959999999995</v>
      </c>
      <c r="F558" s="59">
        <f>D558+E558</f>
        <v>566.83223999999996</v>
      </c>
      <c r="G558" s="59">
        <f>(2.5*2)*10.764</f>
        <v>53.819999999999993</v>
      </c>
      <c r="H558" s="59">
        <f>F558*(($H$478)+1)+(IF(G558&lt;101,G558,IF(G558&lt;201,G558/2,IF(G558&lt;=301,G558/3,G558/4))))</f>
        <v>904.06835999999998</v>
      </c>
      <c r="I558" s="60"/>
    </row>
    <row r="559" spans="1:9" s="23" customFormat="1" ht="15.75" customHeight="1">
      <c r="A559" s="151">
        <f t="shared" si="109"/>
        <v>4</v>
      </c>
      <c r="B559" s="152"/>
      <c r="C559" s="59" t="s">
        <v>203</v>
      </c>
      <c r="D559" s="59">
        <f>(14.64+3.3+4.12+6.88+2.52+2.34+0.9*3.9+0.6*1.2+1.2*(2.75+2.75+2.2))*10.764</f>
        <v>508.81427999999994</v>
      </c>
      <c r="E559" s="59">
        <f>(0.7*(2.75+2.75+2.2))*10.764</f>
        <v>58.017959999999995</v>
      </c>
      <c r="F559" s="59">
        <f>D559+E559</f>
        <v>566.83223999999996</v>
      </c>
      <c r="G559" s="59">
        <f>(2.5*2)*10.764</f>
        <v>53.819999999999993</v>
      </c>
      <c r="H559" s="59">
        <f>F559*(($H$478)+1)+(IF(G559&lt;101,G559,IF(G559&lt;201,G559/2,IF(G559&lt;=301,G559/3,G559/4))))</f>
        <v>904.06835999999998</v>
      </c>
      <c r="I559" s="60"/>
    </row>
    <row r="560" spans="1:9" s="23" customFormat="1" ht="15.75" customHeight="1">
      <c r="A560" s="151">
        <f t="shared" si="109"/>
        <v>5</v>
      </c>
      <c r="B560" s="152"/>
      <c r="C560" s="59" t="s">
        <v>203</v>
      </c>
      <c r="D560" s="59">
        <f>(15.44+3.36+4.88+7.71+2.52+2.52+0.9*2.5+1.2*(2.1+3.05+3.1))*10.764</f>
        <v>522.91512</v>
      </c>
      <c r="E560" s="59">
        <f>(0.7*(2.1+3.05+3.1+2.4))*10.764</f>
        <v>80.245620000000002</v>
      </c>
      <c r="F560" s="59">
        <f>D560+E560</f>
        <v>603.16074000000003</v>
      </c>
      <c r="G560" s="59">
        <f>(2.4*1.5)*10.764</f>
        <v>38.750399999999992</v>
      </c>
      <c r="H560" s="59">
        <f>F560*(($H$478)+1)+(IF(G560&lt;101,G560,IF(G560&lt;201,G560/2,IF(G560&lt;=301,G560/3,G560/4))))</f>
        <v>943.49151000000006</v>
      </c>
      <c r="I560" s="60"/>
    </row>
    <row r="561" spans="1:9" s="23" customFormat="1" ht="15.75" customHeight="1">
      <c r="A561" s="151">
        <f t="shared" si="109"/>
        <v>6</v>
      </c>
      <c r="B561" s="152"/>
      <c r="C561" s="59" t="s">
        <v>207</v>
      </c>
      <c r="D561" s="59">
        <f>(10.82+3.3+8.36+1.44+1.3+1*1.6+0.3*1.3+0.9*2)*10.764</f>
        <v>312.26364000000001</v>
      </c>
      <c r="E561" s="59">
        <f>(0.7*(2.75+2))*10.764</f>
        <v>35.790299999999995</v>
      </c>
      <c r="F561" s="59">
        <f t="shared" ref="F561:F562" si="110">D561+E561</f>
        <v>348.05394000000001</v>
      </c>
      <c r="G561" s="59">
        <f>(1.5*2.2)*10.764</f>
        <v>35.5212</v>
      </c>
      <c r="H561" s="59">
        <f t="shared" ref="H561:H562" si="111">F561*(($H$478)+1)+(IF(G561&lt;101,G561,IF(G561&lt;201,G561/2,IF(G561&lt;=301,G561/3,G561/4))))</f>
        <v>557.60211000000004</v>
      </c>
      <c r="I561" s="60"/>
    </row>
    <row r="562" spans="1:9" s="23" customFormat="1" ht="15.75" customHeight="1">
      <c r="A562" s="151">
        <f t="shared" si="109"/>
        <v>7</v>
      </c>
      <c r="B562" s="152"/>
      <c r="C562" s="59" t="s">
        <v>207</v>
      </c>
      <c r="D562" s="59">
        <f>(10.82+3.3+8.36+1.44+1.3+1*1.6+0.3*1.3+0.9*2)*10.764</f>
        <v>312.26364000000001</v>
      </c>
      <c r="E562" s="59">
        <f>(0.7*(2.75+2))*10.764</f>
        <v>35.790299999999995</v>
      </c>
      <c r="F562" s="59">
        <f t="shared" si="110"/>
        <v>348.05394000000001</v>
      </c>
      <c r="G562" s="59">
        <f>(1.5*2.2)*10.764</f>
        <v>35.5212</v>
      </c>
      <c r="H562" s="59">
        <f t="shared" si="111"/>
        <v>557.60211000000004</v>
      </c>
      <c r="I562" s="60"/>
    </row>
    <row r="563" spans="1:9" s="23" customFormat="1">
      <c r="A563" s="148" t="s">
        <v>214</v>
      </c>
      <c r="B563" s="149"/>
      <c r="C563" s="149"/>
      <c r="D563" s="149"/>
      <c r="E563" s="149"/>
      <c r="F563" s="149"/>
      <c r="G563" s="149"/>
      <c r="H563" s="150"/>
      <c r="I563" s="60"/>
    </row>
    <row r="564" spans="1:9" s="23" customFormat="1" ht="15.75" customHeight="1">
      <c r="A564" s="151">
        <v>1</v>
      </c>
      <c r="B564" s="152"/>
      <c r="C564" s="59" t="s">
        <v>207</v>
      </c>
      <c r="D564" s="59">
        <f>(10.54+4.62+6.6+1.08+1.44+0.9*2.2+2.75*1.2+0.6*1.5)*10.764</f>
        <v>327.87143999999995</v>
      </c>
      <c r="E564" s="59">
        <f>(0.7*(2.2+2.75))*10.764</f>
        <v>37.297259999999994</v>
      </c>
      <c r="F564" s="59">
        <f>D564+E564</f>
        <v>365.16869999999994</v>
      </c>
      <c r="G564" s="59">
        <f>(2.75*1.4)*10.764</f>
        <v>41.441399999999994</v>
      </c>
      <c r="H564" s="59">
        <f>F564*(($H$478)+1)+(IF(G564&lt;101,G564,IF(G564&lt;201,G564/2,IF(G564&lt;=301,G564/3,G564/4))))</f>
        <v>589.19444999999996</v>
      </c>
      <c r="I564" s="60"/>
    </row>
    <row r="565" spans="1:9" s="23" customFormat="1" ht="15.75" customHeight="1">
      <c r="A565" s="151">
        <f>A564+1</f>
        <v>2</v>
      </c>
      <c r="B565" s="152"/>
      <c r="C565" s="59" t="s">
        <v>203</v>
      </c>
      <c r="D565" s="59">
        <f>(14.54+3.3+4.12+6.88+2.52+2.34+3.4*0.9+0.6*1.2+1.2*(2.75+2.75+2.2))*10.764</f>
        <v>502.89408000000003</v>
      </c>
      <c r="E565" s="59">
        <f>(0.7*(2.75+2.75+2.2+2.4))*10.764</f>
        <v>76.101479999999995</v>
      </c>
      <c r="F565" s="59">
        <f>D565+E565</f>
        <v>578.99556000000007</v>
      </c>
      <c r="G565" s="59">
        <v>0</v>
      </c>
      <c r="H565" s="59">
        <f>F565*(($H$478)+1)+(IF(G565&lt;101,G565,IF(G565&lt;201,G565/2,IF(G565&lt;=301,G565/3,G565/4))))</f>
        <v>868.4933400000001</v>
      </c>
      <c r="I565" s="60"/>
    </row>
    <row r="566" spans="1:9" s="23" customFormat="1" ht="15.75" customHeight="1">
      <c r="A566" s="151">
        <f t="shared" ref="A566:A570" si="112">A565+1</f>
        <v>3</v>
      </c>
      <c r="B566" s="152"/>
      <c r="C566" s="59" t="s">
        <v>203</v>
      </c>
      <c r="D566" s="59">
        <f>(14.54+3.32+4.13+6.87+2.52+2.4+3.9*0.9+0.3*1.2+1.2*(2.2+2.75+2.75))*10.764</f>
        <v>504.72395999999998</v>
      </c>
      <c r="E566" s="59">
        <f>(0.7*(2.75+2.75+2.2+2.4))*10.764</f>
        <v>76.101479999999995</v>
      </c>
      <c r="F566" s="59">
        <f>D566+E566</f>
        <v>580.82543999999996</v>
      </c>
      <c r="G566" s="59">
        <v>0</v>
      </c>
      <c r="H566" s="59">
        <f>F566*(($H$478)+1)+(IF(G566&lt;101,G566,IF(G566&lt;201,G566/2,IF(G566&lt;=301,G566/3,G566/4))))</f>
        <v>871.23815999999988</v>
      </c>
      <c r="I566" s="60"/>
    </row>
    <row r="567" spans="1:9" s="23" customFormat="1" ht="15.75" customHeight="1">
      <c r="A567" s="151">
        <f t="shared" si="112"/>
        <v>4</v>
      </c>
      <c r="B567" s="152"/>
      <c r="C567" s="59" t="s">
        <v>203</v>
      </c>
      <c r="D567" s="59">
        <f>(14.54+3.32+4.13+6.87+2.52+2.4+3.9*0.9+0.3*1.2+1.2*(2.2+2.75+2.75))*10.764</f>
        <v>504.72395999999998</v>
      </c>
      <c r="E567" s="59">
        <f>(0.7*(2.75+2.75+2.2+2.4))*10.764</f>
        <v>76.101479999999995</v>
      </c>
      <c r="F567" s="59">
        <f>D567+E567</f>
        <v>580.82543999999996</v>
      </c>
      <c r="G567" s="59">
        <v>0</v>
      </c>
      <c r="H567" s="59">
        <f>F567*(($H$478)+1)+(IF(G567&lt;101,G567,IF(G567&lt;201,G567/2,IF(G567&lt;=301,G567/3,G567/4))))</f>
        <v>871.23815999999988</v>
      </c>
      <c r="I567" s="60"/>
    </row>
    <row r="568" spans="1:9" s="23" customFormat="1" ht="15.75" customHeight="1">
      <c r="A568" s="151">
        <f t="shared" si="112"/>
        <v>5</v>
      </c>
      <c r="B568" s="152"/>
      <c r="C568" s="59" t="s">
        <v>203</v>
      </c>
      <c r="D568" s="59">
        <f>(15.44+3.36+4.88+7.71+2.52+2.52+0.9*2.5+1.2*(2.1+3.05+3.1))*10.764</f>
        <v>522.91512</v>
      </c>
      <c r="E568" s="59">
        <f>(0.7*(2.1+3.05+3.1+2.5))*10.764</f>
        <v>80.999099999999984</v>
      </c>
      <c r="F568" s="59">
        <f>D568+E568</f>
        <v>603.91422</v>
      </c>
      <c r="G568" s="59">
        <f>(1.2*2.2)*10.764</f>
        <v>28.41696</v>
      </c>
      <c r="H568" s="59">
        <f>F568*(($H$478)+1)+(IF(G568&lt;101,G568,IF(G568&lt;201,G568/2,IF(G568&lt;=301,G568/3,G568/4))))</f>
        <v>934.28828999999996</v>
      </c>
      <c r="I568" s="60"/>
    </row>
    <row r="569" spans="1:9" s="23" customFormat="1" ht="15.75" customHeight="1">
      <c r="A569" s="151">
        <f t="shared" si="112"/>
        <v>6</v>
      </c>
      <c r="B569" s="152"/>
      <c r="C569" s="59" t="s">
        <v>207</v>
      </c>
      <c r="D569" s="59">
        <f>(10.82+3.3+8.38+1.44+1.3+1.5*0.9+0.3*1.3+0.9*2)*10.764</f>
        <v>309.78792000000004</v>
      </c>
      <c r="E569" s="59">
        <f>(0.7*(2.75+2+1.5))*10.764</f>
        <v>47.092499999999994</v>
      </c>
      <c r="F569" s="59">
        <f t="shared" ref="F569:F570" si="113">D569+E569</f>
        <v>356.88042000000002</v>
      </c>
      <c r="G569" s="59">
        <v>0</v>
      </c>
      <c r="H569" s="59">
        <f t="shared" ref="H569:H570" si="114">F569*(($H$478)+1)+(IF(G569&lt;101,G569,IF(G569&lt;201,G569/2,IF(G569&lt;=301,G569/3,G569/4))))</f>
        <v>535.32063000000005</v>
      </c>
      <c r="I569" s="60"/>
    </row>
    <row r="570" spans="1:9" s="23" customFormat="1" ht="15.75" customHeight="1">
      <c r="A570" s="151">
        <f t="shared" si="112"/>
        <v>7</v>
      </c>
      <c r="B570" s="152"/>
      <c r="C570" s="59" t="s">
        <v>207</v>
      </c>
      <c r="D570" s="59">
        <f>(10.82+3.3+8.38+1.44+1.3+1.5*0.9+0.3*1.3+0.9*2)*10.764</f>
        <v>309.78792000000004</v>
      </c>
      <c r="E570" s="59">
        <f>(0.7*(2.75+2+1.5))*10.764</f>
        <v>47.092499999999994</v>
      </c>
      <c r="F570" s="59">
        <f t="shared" si="113"/>
        <v>356.88042000000002</v>
      </c>
      <c r="G570" s="59">
        <v>0</v>
      </c>
      <c r="H570" s="59">
        <f t="shared" si="114"/>
        <v>535.32063000000005</v>
      </c>
      <c r="I570" s="60"/>
    </row>
    <row r="571" spans="1:9" s="23" customFormat="1">
      <c r="A571" s="148" t="s">
        <v>215</v>
      </c>
      <c r="B571" s="149"/>
      <c r="C571" s="149"/>
      <c r="D571" s="149"/>
      <c r="E571" s="149"/>
      <c r="F571" s="149"/>
      <c r="G571" s="149"/>
      <c r="H571" s="150"/>
      <c r="I571" s="60"/>
    </row>
    <row r="572" spans="1:9" s="23" customFormat="1" ht="15.75" customHeight="1">
      <c r="A572" s="151">
        <v>1</v>
      </c>
      <c r="B572" s="152"/>
      <c r="C572" s="59" t="s">
        <v>207</v>
      </c>
      <c r="D572" s="59">
        <f>(10.54+4.62+6.6+1.08+1.44+0.9*2.2+2.75*1.2+0.45*1.45)*10.764</f>
        <v>325.20734999999996</v>
      </c>
      <c r="E572" s="59">
        <f>(0.7*(2.2+2.75))*10.764</f>
        <v>37.297259999999994</v>
      </c>
      <c r="F572" s="59">
        <f>D572+E572</f>
        <v>362.50460999999996</v>
      </c>
      <c r="G572" s="59">
        <f>(2.75*1.4)*10.764</f>
        <v>41.441399999999994</v>
      </c>
      <c r="H572" s="59">
        <f>F572*(($H$478)+1)+(IF(G572&lt;101,G572,IF(G572&lt;201,G572/2,IF(G572&lt;=301,G572/3,G572/4))))</f>
        <v>585.19831499999998</v>
      </c>
      <c r="I572" s="60"/>
    </row>
    <row r="573" spans="1:9" s="23" customFormat="1" ht="15.75" customHeight="1">
      <c r="A573" s="151">
        <f>A572+1</f>
        <v>2</v>
      </c>
      <c r="B573" s="152"/>
      <c r="C573" s="59" t="s">
        <v>203</v>
      </c>
      <c r="D573" s="59">
        <f>(14.54+3.3+4.12+6.88+2.52+2.34+3.4*0.9+0.6*1.2+1.2*(2.75+2.75+2.2))*10.764</f>
        <v>502.89408000000003</v>
      </c>
      <c r="E573" s="59">
        <f>(0.7*(2.75+2.75+2.2+2.4))*10.764</f>
        <v>76.101479999999995</v>
      </c>
      <c r="F573" s="59">
        <f>D573+E573</f>
        <v>578.99556000000007</v>
      </c>
      <c r="G573" s="59">
        <v>0</v>
      </c>
      <c r="H573" s="59">
        <f>F573*(($H$478)+1)+(IF(G573&lt;101,G573,IF(G573&lt;201,G573/2,IF(G573&lt;=301,G573/3,G573/4))))</f>
        <v>868.4933400000001</v>
      </c>
      <c r="I573" s="60"/>
    </row>
    <row r="574" spans="1:9" s="23" customFormat="1" ht="15.75" customHeight="1">
      <c r="A574" s="151">
        <f t="shared" ref="A574:A578" si="115">A573+1</f>
        <v>3</v>
      </c>
      <c r="B574" s="152"/>
      <c r="C574" s="59" t="s">
        <v>203</v>
      </c>
      <c r="D574" s="59">
        <f>(14.54+3.32+4.13+6.87+2.52+2.4+3.9*0.9+0.3*1.2+1.2*(2.2+2.75+2.75))*10.764</f>
        <v>504.72395999999998</v>
      </c>
      <c r="E574" s="59">
        <f>(0.7*(2.75+2.75+2.2+2.4))*10.764</f>
        <v>76.101479999999995</v>
      </c>
      <c r="F574" s="59">
        <f>D574+E574</f>
        <v>580.82543999999996</v>
      </c>
      <c r="G574" s="59">
        <v>0</v>
      </c>
      <c r="H574" s="59">
        <f>F574*(($H$478)+1)+(IF(G574&lt;101,G574,IF(G574&lt;201,G574/2,IF(G574&lt;=301,G574/3,G574/4))))</f>
        <v>871.23815999999988</v>
      </c>
      <c r="I574" s="60"/>
    </row>
    <row r="575" spans="1:9" s="23" customFormat="1" ht="15.75" customHeight="1">
      <c r="A575" s="151">
        <f t="shared" si="115"/>
        <v>4</v>
      </c>
      <c r="B575" s="152"/>
      <c r="C575" s="59" t="s">
        <v>203</v>
      </c>
      <c r="D575" s="59">
        <f>(14.54+3.32+4.13+6.87+2.52+2.4+3.9*0.9+0.3*1.2+1.2*(2.2+2.75+2.75))*10.764</f>
        <v>504.72395999999998</v>
      </c>
      <c r="E575" s="59">
        <f>(0.7*(2.75+2.75+2.2+2.4))*10.764</f>
        <v>76.101479999999995</v>
      </c>
      <c r="F575" s="59">
        <f>D575+E575</f>
        <v>580.82543999999996</v>
      </c>
      <c r="G575" s="59">
        <v>0</v>
      </c>
      <c r="H575" s="59">
        <f>F575*(($H$478)+1)+(IF(G575&lt;101,G575,IF(G575&lt;201,G575/2,IF(G575&lt;=301,G575/3,G575/4))))</f>
        <v>871.23815999999988</v>
      </c>
      <c r="I575" s="60"/>
    </row>
    <row r="576" spans="1:9" s="23" customFormat="1" ht="15.75" customHeight="1">
      <c r="A576" s="151">
        <f t="shared" si="115"/>
        <v>5</v>
      </c>
      <c r="B576" s="152"/>
      <c r="C576" s="59" t="s">
        <v>203</v>
      </c>
      <c r="D576" s="59">
        <f>(15.44+3.36+4.88+7.71+2.52+2.52+0.9*2.5+1.2*(2.1+3.05+3.1))*10.764</f>
        <v>522.91512</v>
      </c>
      <c r="E576" s="59">
        <f>(0.7*(2.1+3.05+3.1+2.5))*10.764</f>
        <v>80.999099999999984</v>
      </c>
      <c r="F576" s="59">
        <f>D576+E576</f>
        <v>603.91422</v>
      </c>
      <c r="G576" s="59">
        <f>(1.2*2.2)*10.764</f>
        <v>28.41696</v>
      </c>
      <c r="H576" s="59">
        <f>F576*(($H$478)+1)+(IF(G576&lt;101,G576,IF(G576&lt;201,G576/2,IF(G576&lt;=301,G576/3,G576/4))))</f>
        <v>934.28828999999996</v>
      </c>
      <c r="I576" s="60"/>
    </row>
    <row r="577" spans="1:11" s="23" customFormat="1" ht="15.75" customHeight="1">
      <c r="A577" s="151">
        <f t="shared" si="115"/>
        <v>6</v>
      </c>
      <c r="B577" s="152"/>
      <c r="C577" s="59" t="s">
        <v>207</v>
      </c>
      <c r="D577" s="59">
        <f>(10.82+3.3+8.38+1.44+1.3+1.5*0.9+0.3*1.3+0.9*2)*10.764</f>
        <v>309.78792000000004</v>
      </c>
      <c r="E577" s="59">
        <f>(0.7*(2.75+2+1.5))*10.764</f>
        <v>47.092499999999994</v>
      </c>
      <c r="F577" s="59">
        <f t="shared" ref="F577:F578" si="116">D577+E577</f>
        <v>356.88042000000002</v>
      </c>
      <c r="G577" s="59">
        <v>0</v>
      </c>
      <c r="H577" s="59">
        <f t="shared" ref="H577:H578" si="117">F577*(($H$478)+1)+(IF(G577&lt;101,G577,IF(G577&lt;201,G577/2,IF(G577&lt;=301,G577/3,G577/4))))</f>
        <v>535.32063000000005</v>
      </c>
      <c r="I577" s="60"/>
    </row>
    <row r="578" spans="1:11" s="23" customFormat="1" ht="15.75" customHeight="1">
      <c r="A578" s="151">
        <f t="shared" si="115"/>
        <v>7</v>
      </c>
      <c r="B578" s="152"/>
      <c r="C578" s="59" t="s">
        <v>207</v>
      </c>
      <c r="D578" s="59">
        <f>(10.82+3.3+8.38+1.44+1.3+1.5*0.9+0.3*1.3+0.9*2)*10.764</f>
        <v>309.78792000000004</v>
      </c>
      <c r="E578" s="59">
        <f>(0.7*(2.75+2+1.5))*10.764</f>
        <v>47.092499999999994</v>
      </c>
      <c r="F578" s="59">
        <f t="shared" si="116"/>
        <v>356.88042000000002</v>
      </c>
      <c r="G578" s="59">
        <v>0</v>
      </c>
      <c r="H578" s="59">
        <f t="shared" si="117"/>
        <v>535.32063000000005</v>
      </c>
      <c r="I578" s="60"/>
      <c r="K578" s="59">
        <v>10.763999999999999</v>
      </c>
    </row>
    <row r="579" spans="1:11" s="23" customFormat="1">
      <c r="A579" s="148" t="s">
        <v>258</v>
      </c>
      <c r="B579" s="149"/>
      <c r="C579" s="149"/>
      <c r="D579" s="149"/>
      <c r="E579" s="149"/>
      <c r="F579" s="149"/>
      <c r="G579" s="149"/>
      <c r="H579" s="150"/>
      <c r="I579" s="60"/>
    </row>
    <row r="580" spans="1:11" s="23" customFormat="1" ht="15.75" customHeight="1">
      <c r="A580" s="151">
        <v>1</v>
      </c>
      <c r="B580" s="152"/>
      <c r="C580" s="59" t="s">
        <v>207</v>
      </c>
      <c r="D580" s="59">
        <f>(4*2.75+2.1*2.2+3.65*2.75+1.2*1.2+1.2*0.9+0.9*2.5)*10.764</f>
        <v>327.52161000000001</v>
      </c>
      <c r="E580" s="59">
        <f>(0.75*(2.2+2.75))*10.764</f>
        <v>39.961350000000003</v>
      </c>
      <c r="F580" s="59">
        <f>D580+E580</f>
        <v>367.48295999999999</v>
      </c>
      <c r="G580" s="59">
        <f>(3*2.2)*10.764</f>
        <v>71.042400000000001</v>
      </c>
      <c r="H580" s="59">
        <f>F580*(($H$478)+1)+(IF(G580&lt;101,G580,IF(G580&lt;201,G580/2,IF(G580&lt;=301,G580/3,G580/4))))</f>
        <v>622.26684</v>
      </c>
      <c r="I580" s="60"/>
    </row>
    <row r="581" spans="1:11" s="23" customFormat="1" ht="15.75" customHeight="1">
      <c r="A581" s="151">
        <f>A580+1</f>
        <v>2</v>
      </c>
      <c r="B581" s="152"/>
      <c r="C581" s="59" t="s">
        <v>203</v>
      </c>
      <c r="D581" s="59">
        <f>(4.05*2.77+3.4*1.1+2.75*2.2+2.7*2.75+3.7*2.75+1.95*1.2+1.2*2.1+0.9*4.2+0.4*1.2)*10.764</f>
        <v>513.74957399999994</v>
      </c>
      <c r="E581" s="59">
        <f>(0.75*(2.2+2.75+2.75))*10.764</f>
        <v>62.162100000000002</v>
      </c>
      <c r="F581" s="59">
        <f>D581+E581</f>
        <v>575.91167399999995</v>
      </c>
      <c r="G581" s="59">
        <f>(2.775*2.15)*10.764</f>
        <v>64.220714999999998</v>
      </c>
      <c r="H581" s="59">
        <f>F581*(($H$478)+1)+(IF(G581&lt;101,G581,IF(G581&lt;201,G581/2,IF(G581&lt;=301,G581/3,G581/4))))</f>
        <v>928.08822599999996</v>
      </c>
      <c r="I581" s="60"/>
    </row>
    <row r="582" spans="1:11" s="23" customFormat="1" ht="15.75" customHeight="1">
      <c r="A582" s="151">
        <f t="shared" ref="A582:A586" si="118">A581+1</f>
        <v>3</v>
      </c>
      <c r="B582" s="152"/>
      <c r="C582" s="59" t="s">
        <v>203</v>
      </c>
      <c r="D582" s="59">
        <f>(4.05*2.77+3.4*1.1+2.75*2.2+2.7*2.75+3.7*2.75+2*1.2+1.2*2.1+0.9*4.2+0.4*1.2)*10.764</f>
        <v>514.39541399999996</v>
      </c>
      <c r="E582" s="59">
        <f>(0.75*(2.2+2.75+2.75))*10.764</f>
        <v>62.162100000000002</v>
      </c>
      <c r="F582" s="59">
        <f>D582+E582</f>
        <v>576.55751399999997</v>
      </c>
      <c r="G582" s="59">
        <f>(2.775*2.15)*10.764</f>
        <v>64.220714999999998</v>
      </c>
      <c r="H582" s="59">
        <f>F582*(($H$478)+1)+(IF(G582&lt;101,G582,IF(G582&lt;201,G582/2,IF(G582&lt;=301,G582/3,G582/4))))</f>
        <v>929.05698599999994</v>
      </c>
      <c r="I582" s="60"/>
    </row>
    <row r="583" spans="1:11" s="23" customFormat="1" ht="15.75" customHeight="1">
      <c r="A583" s="151">
        <f t="shared" si="118"/>
        <v>4</v>
      </c>
      <c r="B583" s="152"/>
      <c r="C583" s="59" t="s">
        <v>203</v>
      </c>
      <c r="D583" s="59">
        <f>(4.05*2.77+3.4*1.1+2.75*2.2+2.7*2.75+3.7*2.75+2*1.2+1.2*2.1+0.9*4.2+0.4*1.2)*10.764</f>
        <v>514.39541399999996</v>
      </c>
      <c r="E583" s="59">
        <f>(0.75*(2.2+2.75+2.75))*10.764</f>
        <v>62.162100000000002</v>
      </c>
      <c r="F583" s="59">
        <f>D583+E583</f>
        <v>576.55751399999997</v>
      </c>
      <c r="G583" s="59">
        <f>(2.775*2.15)*10.764</f>
        <v>64.220714999999998</v>
      </c>
      <c r="H583" s="59">
        <f>F583*(($H$478)+1)+(IF(G583&lt;101,G583,IF(G583&lt;201,G583/2,IF(G583&lt;=301,G583/3,G583/4))))</f>
        <v>929.05698599999994</v>
      </c>
      <c r="I583" s="60"/>
    </row>
    <row r="584" spans="1:11" s="23" customFormat="1" ht="15.75" customHeight="1">
      <c r="A584" s="151">
        <f t="shared" si="118"/>
        <v>5</v>
      </c>
      <c r="B584" s="152"/>
      <c r="C584" s="59" t="s">
        <v>203</v>
      </c>
      <c r="D584" s="59">
        <f>(4.6*2.85+3.1*0.9+3*2.1+3*3.05+3.1*3.5+2.1*1.2+2.1*1.2+0.9*2.7)*10.764</f>
        <v>534.64787999999999</v>
      </c>
      <c r="E584" s="59">
        <f>(0.75*(2.1+3.05+4+1.75))*10.764</f>
        <v>87.995699999999999</v>
      </c>
      <c r="F584" s="59">
        <f>D584+E584</f>
        <v>622.64357999999993</v>
      </c>
      <c r="G584" s="59">
        <f>(2.85*1.6)*10.764</f>
        <v>49.083840000000002</v>
      </c>
      <c r="H584" s="59">
        <f>F584*(($H$478)+1)+(IF(G584&lt;101,G584,IF(G584&lt;201,G584/2,IF(G584&lt;=301,G584/3,G584/4))))</f>
        <v>983.0492099999999</v>
      </c>
      <c r="I584" s="60"/>
    </row>
    <row r="585" spans="1:11" s="23" customFormat="1" ht="15.75" customHeight="1">
      <c r="A585" s="151">
        <f t="shared" si="118"/>
        <v>6</v>
      </c>
      <c r="B585" s="152"/>
      <c r="C585" s="59" t="s">
        <v>207</v>
      </c>
      <c r="D585" s="59">
        <f>(4.05*2.75+1.65*2+3.2*2.75+1.3*1*1.2*1.2+1.8*1.2)*10.764</f>
        <v>293.52889799999997</v>
      </c>
      <c r="E585" s="59">
        <f>(0.75*(2+2.75))*10.764</f>
        <v>38.34675</v>
      </c>
      <c r="F585" s="59">
        <f t="shared" ref="F585:F586" si="119">D585+E585</f>
        <v>331.87564799999996</v>
      </c>
      <c r="G585" s="59">
        <f>(2.3*1.85)*10.764</f>
        <v>45.800819999999995</v>
      </c>
      <c r="H585" s="59">
        <f t="shared" ref="H585:H586" si="120">F585*(($H$478)+1)+(IF(G585&lt;101,G585,IF(G585&lt;201,G585/2,IF(G585&lt;=301,G585/3,G585/4))))</f>
        <v>543.61429199999998</v>
      </c>
      <c r="I585" s="60"/>
    </row>
    <row r="586" spans="1:11" s="23" customFormat="1" ht="15.75" customHeight="1">
      <c r="A586" s="151">
        <f t="shared" si="118"/>
        <v>7</v>
      </c>
      <c r="B586" s="152"/>
      <c r="C586" s="59" t="s">
        <v>207</v>
      </c>
      <c r="D586" s="59">
        <f>(4.05*2.75+1.65*2+3.2*2.75+1.3*1*1.2*1.2+1.8*1.2)*10.764</f>
        <v>293.52889799999997</v>
      </c>
      <c r="E586" s="59">
        <f>(0.75*(2+2.75))*10.764</f>
        <v>38.34675</v>
      </c>
      <c r="F586" s="59">
        <f t="shared" si="119"/>
        <v>331.87564799999996</v>
      </c>
      <c r="G586" s="59">
        <f>(2.3*1.85)*10.764</f>
        <v>45.800819999999995</v>
      </c>
      <c r="H586" s="59">
        <f t="shared" si="120"/>
        <v>543.61429199999998</v>
      </c>
      <c r="I586" s="60"/>
    </row>
    <row r="587" spans="1:11" s="23" customFormat="1">
      <c r="A587" s="148" t="s">
        <v>259</v>
      </c>
      <c r="B587" s="149"/>
      <c r="C587" s="149"/>
      <c r="D587" s="149"/>
      <c r="E587" s="149"/>
      <c r="F587" s="149"/>
      <c r="G587" s="149"/>
      <c r="H587" s="150"/>
      <c r="I587" s="60"/>
    </row>
    <row r="588" spans="1:11" s="23" customFormat="1" ht="15.75" customHeight="1">
      <c r="A588" s="151">
        <v>1</v>
      </c>
      <c r="B588" s="152"/>
      <c r="C588" s="59" t="s">
        <v>207</v>
      </c>
      <c r="D588" s="59">
        <f>(4*2.75+2.1*2.2+3.65*2.75+1.2*1.2+1.2*0.9+0.9*2.5)*10.764</f>
        <v>327.52161000000001</v>
      </c>
      <c r="E588" s="59">
        <f>(0.75*(2.75+2.2))*10.764</f>
        <v>39.961350000000003</v>
      </c>
      <c r="F588" s="59">
        <f>D588+E588</f>
        <v>367.48295999999999</v>
      </c>
      <c r="G588" s="59">
        <f>(3*1.5)*10.764</f>
        <v>48.437999999999995</v>
      </c>
      <c r="H588" s="59">
        <f>F588*(($H$478)+1)+(IF(G588&lt;101,G588,IF(G588&lt;201,G588/2,IF(G588&lt;=301,G588/3,G588/4))))</f>
        <v>599.66243999999995</v>
      </c>
      <c r="I588" s="60"/>
    </row>
    <row r="589" spans="1:11" s="23" customFormat="1" ht="15.75" customHeight="1">
      <c r="A589" s="151">
        <f>A588+1</f>
        <v>2</v>
      </c>
      <c r="B589" s="152"/>
      <c r="C589" s="59" t="s">
        <v>203</v>
      </c>
      <c r="D589" s="59">
        <f>(4.05*2.77+3.4*1.1+2.75*2.2+2.7*2.75+3.7*2.75+1.95*1.2+1.2*2.1+0.9*4.2+0.4*1.2)*10.764</f>
        <v>513.74957399999994</v>
      </c>
      <c r="E589" s="59">
        <f>(0.75*(2.75+2.2+2.75+2.75))*10.764</f>
        <v>84.362849999999995</v>
      </c>
      <c r="F589" s="59">
        <f>D589+E589</f>
        <v>598.11242399999992</v>
      </c>
      <c r="G589" s="59">
        <v>0</v>
      </c>
      <c r="H589" s="59">
        <f>F589*(($H$478)+1)+(IF(G589&lt;101,G589,IF(G589&lt;201,G589/2,IF(G589&lt;=301,G589/3,G589/4))))</f>
        <v>897.16863599999988</v>
      </c>
      <c r="I589" s="60"/>
    </row>
    <row r="590" spans="1:11" s="23" customFormat="1" ht="15.75" customHeight="1">
      <c r="A590" s="151">
        <f t="shared" ref="A590:A594" si="121">A589+1</f>
        <v>3</v>
      </c>
      <c r="B590" s="152"/>
      <c r="C590" s="59" t="s">
        <v>203</v>
      </c>
      <c r="D590" s="59">
        <f>(4.05*2.77+3.4*1.1+2.75*2.2+2.7*2.75+3.7*2.75+2*1.2+1.2*2.1+0.9*4.2+0.4*1.2)*10.764</f>
        <v>514.39541399999996</v>
      </c>
      <c r="E590" s="59">
        <f>(0.75*(2.75+2.2+2.75+2.75))*10.764</f>
        <v>84.362849999999995</v>
      </c>
      <c r="F590" s="59">
        <f>D590+E590</f>
        <v>598.75826399999994</v>
      </c>
      <c r="G590" s="59">
        <v>0</v>
      </c>
      <c r="H590" s="59">
        <f>F590*(($H$478)+1)+(IF(G590&lt;101,G590,IF(G590&lt;201,G590/2,IF(G590&lt;=301,G590/3,G590/4))))</f>
        <v>898.13739599999985</v>
      </c>
      <c r="I590" s="60"/>
    </row>
    <row r="591" spans="1:11" s="23" customFormat="1" ht="15.75" customHeight="1">
      <c r="A591" s="151">
        <f t="shared" si="121"/>
        <v>4</v>
      </c>
      <c r="B591" s="152"/>
      <c r="C591" s="59" t="s">
        <v>203</v>
      </c>
      <c r="D591" s="59">
        <f>(4.05*2.77+3.4*1.1+2.75*2.2+2.7*2.75+3.7*2.75+2*1.2+1.2*2.1+0.9*4.2+0.4*1.2)*10.764</f>
        <v>514.39541399999996</v>
      </c>
      <c r="E591" s="59">
        <f>(0.75*(2.75+2.2+2.75+2.75))*10.764</f>
        <v>84.362849999999995</v>
      </c>
      <c r="F591" s="59">
        <f>D591+E591</f>
        <v>598.75826399999994</v>
      </c>
      <c r="G591" s="59">
        <v>0</v>
      </c>
      <c r="H591" s="59">
        <f>F591*(($H$478)+1)+(IF(G591&lt;101,G591,IF(G591&lt;201,G591/2,IF(G591&lt;=301,G591/3,G591/4))))</f>
        <v>898.13739599999985</v>
      </c>
      <c r="I591" s="60"/>
    </row>
    <row r="592" spans="1:11" s="23" customFormat="1" ht="15.75" customHeight="1">
      <c r="A592" s="151">
        <f t="shared" si="121"/>
        <v>5</v>
      </c>
      <c r="B592" s="152"/>
      <c r="C592" s="59" t="s">
        <v>203</v>
      </c>
      <c r="D592" s="59">
        <f>(4.6*2.85+3.1*0.9+3*2.1+3*3.05+3.1*3.5+2.1*1.2+2.1*1.2+0.9*2.7)*10.764</f>
        <v>534.64787999999999</v>
      </c>
      <c r="E592" s="59">
        <f>(0.75*(2.75+2.1+3.05+3.1))*10.764</f>
        <v>88.802999999999997</v>
      </c>
      <c r="F592" s="59">
        <f>D592+E592</f>
        <v>623.45087999999998</v>
      </c>
      <c r="G592" s="59">
        <f>(2.5*1.5)*10.764</f>
        <v>40.364999999999995</v>
      </c>
      <c r="H592" s="59">
        <f>F592*(($H$478)+1)+(IF(G592&lt;101,G592,IF(G592&lt;201,G592/2,IF(G592&lt;=301,G592/3,G592/4))))</f>
        <v>975.54132000000004</v>
      </c>
      <c r="I592" s="60"/>
    </row>
    <row r="593" spans="1:9" s="23" customFormat="1" ht="15.75" customHeight="1">
      <c r="A593" s="151">
        <f t="shared" si="121"/>
        <v>6</v>
      </c>
      <c r="B593" s="152"/>
      <c r="C593" s="59" t="s">
        <v>207</v>
      </c>
      <c r="D593" s="59">
        <f>(4.05*2.75+1.65*2+3.2*2.75+1.3*1*1.2*1.2+1.8*1.2)*10.764</f>
        <v>293.52889799999997</v>
      </c>
      <c r="E593" s="59">
        <f>(0.75*(2+2.75))*10.764</f>
        <v>38.34675</v>
      </c>
      <c r="F593" s="59">
        <f t="shared" ref="F593:F594" si="122">D593+E593</f>
        <v>331.87564799999996</v>
      </c>
      <c r="G593" s="59">
        <v>0</v>
      </c>
      <c r="H593" s="59">
        <f t="shared" ref="H593:H594" si="123">F593*(($H$478)+1)+(IF(G593&lt;101,G593,IF(G593&lt;201,G593/2,IF(G593&lt;=301,G593/3,G593/4))))</f>
        <v>497.81347199999993</v>
      </c>
      <c r="I593" s="60"/>
    </row>
    <row r="594" spans="1:9" s="23" customFormat="1" ht="15.75" customHeight="1">
      <c r="A594" s="151">
        <f t="shared" si="121"/>
        <v>7</v>
      </c>
      <c r="B594" s="152"/>
      <c r="C594" s="59" t="s">
        <v>207</v>
      </c>
      <c r="D594" s="59">
        <f>(4.05*2.75+1.65*2+3.2*2.75+1.3*1*1.2*1.2+1.8*1.2)*10.764</f>
        <v>293.52889799999997</v>
      </c>
      <c r="E594" s="59">
        <f>(0.75*(2+2.75))*10.764</f>
        <v>38.34675</v>
      </c>
      <c r="F594" s="59">
        <f t="shared" si="122"/>
        <v>331.87564799999996</v>
      </c>
      <c r="G594" s="59">
        <v>0</v>
      </c>
      <c r="H594" s="59">
        <f t="shared" si="123"/>
        <v>497.81347199999993</v>
      </c>
      <c r="I594" s="60"/>
    </row>
    <row r="595" spans="1:9" s="23" customFormat="1">
      <c r="A595" s="177" t="s">
        <v>260</v>
      </c>
      <c r="B595" s="178"/>
      <c r="C595" s="178"/>
      <c r="D595" s="178"/>
      <c r="E595" s="178"/>
      <c r="F595" s="178"/>
      <c r="G595" s="178"/>
      <c r="H595" s="179"/>
      <c r="I595" s="60"/>
    </row>
    <row r="596" spans="1:9" s="23" customFormat="1">
      <c r="A596" s="148" t="s">
        <v>217</v>
      </c>
      <c r="B596" s="149"/>
      <c r="C596" s="149"/>
      <c r="D596" s="149"/>
      <c r="E596" s="149"/>
      <c r="F596" s="149"/>
      <c r="G596" s="149"/>
      <c r="H596" s="150"/>
      <c r="I596" s="60"/>
    </row>
    <row r="597" spans="1:9" s="23" customFormat="1">
      <c r="A597" s="148" t="s">
        <v>205</v>
      </c>
      <c r="B597" s="149"/>
      <c r="C597" s="149"/>
      <c r="D597" s="149"/>
      <c r="E597" s="149"/>
      <c r="F597" s="149"/>
      <c r="G597" s="149"/>
      <c r="H597" s="150"/>
      <c r="I597" s="60"/>
    </row>
    <row r="598" spans="1:9" s="23" customFormat="1" ht="15.75" customHeight="1">
      <c r="A598" s="151">
        <v>1</v>
      </c>
      <c r="B598" s="152"/>
      <c r="C598" s="59" t="s">
        <v>203</v>
      </c>
      <c r="D598" s="59">
        <f>(13.2+3.32+4.11+7.5+2.52+2.52+0.9*2.75+1.9*0.9+1.2*(3+2.75))*10.764</f>
        <v>476.36081999999999</v>
      </c>
      <c r="E598" s="59">
        <f>(0.7*(3+2.75))*10.764</f>
        <v>43.325099999999992</v>
      </c>
      <c r="F598" s="59">
        <f>D598+E598</f>
        <v>519.68592000000001</v>
      </c>
      <c r="G598" s="59">
        <f>(2.75*1.3)*10.764</f>
        <v>38.481299999999997</v>
      </c>
      <c r="H598" s="59">
        <f>F598*(($H$478)+1)+(IF(G598&lt;101,G598,IF(G598&lt;201,G598/2,IF(G598&lt;=301,G598/3,G598/4))))</f>
        <v>818.0101800000001</v>
      </c>
      <c r="I598" s="60"/>
    </row>
    <row r="599" spans="1:9" s="23" customFormat="1" ht="15.75" customHeight="1">
      <c r="A599" s="151">
        <f>A598+1</f>
        <v>2</v>
      </c>
      <c r="B599" s="152"/>
      <c r="C599" s="59" t="s">
        <v>207</v>
      </c>
      <c r="D599" s="59">
        <f>(11.14+3.36+6.58+2.4+2.52+1.2*1.7+0.9*0.7+0.9*(2.1+2.75))*10.764</f>
        <v>355.58873999999992</v>
      </c>
      <c r="E599" s="59">
        <f>(0.7*(2.1+2.75))*10.764</f>
        <v>36.543779999999991</v>
      </c>
      <c r="F599" s="59">
        <f>D599+E599</f>
        <v>392.13251999999989</v>
      </c>
      <c r="G599" s="59">
        <f>(2.75*2)*10.764</f>
        <v>59.201999999999998</v>
      </c>
      <c r="H599" s="59">
        <f>F599*(($H$478)+1)+(IF(G599&lt;101,G599,IF(G599&lt;201,G599/2,IF(G599&lt;=301,G599/3,G599/4))))</f>
        <v>647.40077999999983</v>
      </c>
      <c r="I599" s="60"/>
    </row>
    <row r="600" spans="1:9" s="23" customFormat="1" ht="15.75" customHeight="1">
      <c r="A600" s="151">
        <f t="shared" ref="A600" si="124">A599+1</f>
        <v>3</v>
      </c>
      <c r="B600" s="152"/>
      <c r="C600" s="59" t="s">
        <v>207</v>
      </c>
      <c r="D600" s="59">
        <f>(11.14+3.36+6.58+2.4+2.52+1.2*1.7+0.9*0.7+0.9*(2.1+2.75))*10.764</f>
        <v>355.58873999999992</v>
      </c>
      <c r="E600" s="59">
        <f>(0.7*(2.1+2.75))*10.764</f>
        <v>36.543779999999991</v>
      </c>
      <c r="F600" s="59">
        <f>D600+E600</f>
        <v>392.13251999999989</v>
      </c>
      <c r="G600" s="59">
        <f>(2.75*2)*10.764</f>
        <v>59.201999999999998</v>
      </c>
      <c r="H600" s="59">
        <f>F600*(($H$478)+1)+(IF(G600&lt;101,G600,IF(G600&lt;201,G600/2,IF(G600&lt;=301,G600/3,G600/4))))</f>
        <v>647.40077999999983</v>
      </c>
      <c r="I600" s="60"/>
    </row>
    <row r="601" spans="1:9" s="23" customFormat="1" ht="15.75" customHeight="1">
      <c r="A601" s="151">
        <f t="shared" ref="A601:A603" si="125">A600+1</f>
        <v>4</v>
      </c>
      <c r="B601" s="152"/>
      <c r="C601" s="59" t="s">
        <v>207</v>
      </c>
      <c r="D601" s="59">
        <f>(11.14+3.36+6.58+2.4+2.52+1.2*1.7+0.9*0.7+0.9*(2.1+2.75))*10.764</f>
        <v>355.58873999999992</v>
      </c>
      <c r="E601" s="59">
        <f>(0.7*(2.1+2.75))*10.764</f>
        <v>36.543779999999991</v>
      </c>
      <c r="F601" s="59">
        <f>D601+E601</f>
        <v>392.13251999999989</v>
      </c>
      <c r="G601" s="59">
        <f>(2.75*2)*10.764</f>
        <v>59.201999999999998</v>
      </c>
      <c r="H601" s="59">
        <f>F601*(($H$478)+1)+(IF(G601&lt;101,G601,IF(G601&lt;201,G601/2,IF(G601&lt;=301,G601/3,G601/4))))</f>
        <v>647.40077999999983</v>
      </c>
      <c r="I601" s="60"/>
    </row>
    <row r="602" spans="1:9" s="23" customFormat="1" ht="15.75" customHeight="1">
      <c r="A602" s="151">
        <f t="shared" si="125"/>
        <v>5</v>
      </c>
      <c r="B602" s="152"/>
      <c r="C602" s="59" t="s">
        <v>207</v>
      </c>
      <c r="D602" s="59">
        <f>(11.14+3.36+6.58+2.4+2.52+1.2*1.7+0.9*0.7+0.9*(2.1+2.75))*10.764</f>
        <v>355.58873999999992</v>
      </c>
      <c r="E602" s="59">
        <f>(0.7*(2.1+2.75))*10.764</f>
        <v>36.543779999999991</v>
      </c>
      <c r="F602" s="59">
        <f>D602+E602</f>
        <v>392.13251999999989</v>
      </c>
      <c r="G602" s="59">
        <f>(2.75*2)*10.764</f>
        <v>59.201999999999998</v>
      </c>
      <c r="H602" s="59">
        <f>F602*(($H$478)+1)+(IF(G602&lt;101,G602,IF(G602&lt;201,G602/2,IF(G602&lt;=301,G602/3,G602/4))))</f>
        <v>647.40077999999983</v>
      </c>
      <c r="I602" s="60"/>
    </row>
    <row r="603" spans="1:9" s="23" customFormat="1" ht="15.75" customHeight="1">
      <c r="A603" s="151">
        <f t="shared" si="125"/>
        <v>6</v>
      </c>
      <c r="B603" s="152"/>
      <c r="C603" s="59" t="s">
        <v>203</v>
      </c>
      <c r="D603" s="59">
        <f>(13.2+3.32+4.11+7.5+2.52+2.52+0.9*2.75+1.9*0.9+1.2*(3+2.75))*10.764</f>
        <v>476.36081999999999</v>
      </c>
      <c r="E603" s="59">
        <f>(0.7*(3+2.75))*10.764</f>
        <v>43.325099999999992</v>
      </c>
      <c r="F603" s="59">
        <f t="shared" ref="F603" si="126">D603+E603</f>
        <v>519.68592000000001</v>
      </c>
      <c r="G603" s="59">
        <f>(2.75*1.3)*10.764</f>
        <v>38.481299999999997</v>
      </c>
      <c r="H603" s="59">
        <f t="shared" ref="H603" si="127">F603*(($H$478)+1)+(IF(G603&lt;101,G603,IF(G603&lt;201,G603/2,IF(G603&lt;=301,G603/3,G603/4))))</f>
        <v>818.0101800000001</v>
      </c>
      <c r="I603" s="60"/>
    </row>
    <row r="604" spans="1:9" s="23" customFormat="1">
      <c r="A604" s="148" t="s">
        <v>206</v>
      </c>
      <c r="B604" s="149"/>
      <c r="C604" s="149"/>
      <c r="D604" s="149"/>
      <c r="E604" s="149"/>
      <c r="F604" s="149"/>
      <c r="G604" s="149"/>
      <c r="H604" s="150"/>
      <c r="I604" s="60"/>
    </row>
    <row r="605" spans="1:9" s="23" customFormat="1" ht="15.75" customHeight="1">
      <c r="A605" s="151">
        <v>1</v>
      </c>
      <c r="B605" s="152"/>
      <c r="C605" s="59" t="s">
        <v>203</v>
      </c>
      <c r="D605" s="59">
        <f>(13.2+3.32+4.11+7.5+2.52+2.52+2.75*0.9+0.9*1.9+1.2*(3+2.75))*10.764</f>
        <v>476.36081999999999</v>
      </c>
      <c r="E605" s="59">
        <f>(0.7*(3+2.75+2.75))*10.764</f>
        <v>64.045799999999986</v>
      </c>
      <c r="F605" s="59">
        <f>D605+E605</f>
        <v>540.40661999999998</v>
      </c>
      <c r="G605" s="59">
        <v>0</v>
      </c>
      <c r="H605" s="59">
        <f>F605*(($H$478)+1)+(IF(G605&lt;101,G605,IF(G605&lt;201,G605/2,IF(G605&lt;=301,G605/3,G605/4))))</f>
        <v>810.60992999999996</v>
      </c>
      <c r="I605" s="60"/>
    </row>
    <row r="606" spans="1:9" s="23" customFormat="1" ht="15.75" customHeight="1">
      <c r="A606" s="151">
        <f>A605+1</f>
        <v>2</v>
      </c>
      <c r="B606" s="152"/>
      <c r="C606" s="59" t="s">
        <v>207</v>
      </c>
      <c r="D606" s="59">
        <f>(11.14+3.36+6.58+2.4+2.52+0.9*2.1+1.2*0.9+0.8*(2.1+2.75))*10.764</f>
        <v>353.59739999999999</v>
      </c>
      <c r="E606" s="59">
        <f>(0.7*(2.75+2.1+2.75))*10.764</f>
        <v>57.264479999999992</v>
      </c>
      <c r="F606" s="59">
        <f>D606+E606</f>
        <v>410.86187999999999</v>
      </c>
      <c r="G606" s="59">
        <v>0</v>
      </c>
      <c r="H606" s="59">
        <f>F606*(($H$478)+1)+(IF(G606&lt;101,G606,IF(G606&lt;201,G606/2,IF(G606&lt;=301,G606/3,G606/4))))</f>
        <v>616.29282000000001</v>
      </c>
      <c r="I606" s="60"/>
    </row>
    <row r="607" spans="1:9" s="23" customFormat="1" ht="15.75" customHeight="1">
      <c r="A607" s="151">
        <f t="shared" ref="A607:A614" si="128">A606+1</f>
        <v>3</v>
      </c>
      <c r="B607" s="152"/>
      <c r="C607" s="59" t="s">
        <v>207</v>
      </c>
      <c r="D607" s="59">
        <f>(11.14+3.36+6.58+2.4+2.52+0.9*2.1+1.2*0.9+0.8*(2.1+2.75))*10.764</f>
        <v>353.59739999999999</v>
      </c>
      <c r="E607" s="59">
        <f>(0.7*(2.75+2.1+2.75))*10.764</f>
        <v>57.264479999999992</v>
      </c>
      <c r="F607" s="59">
        <f>D607+E607</f>
        <v>410.86187999999999</v>
      </c>
      <c r="G607" s="59">
        <v>0</v>
      </c>
      <c r="H607" s="59">
        <f>F607*(($H$478)+1)+(IF(G607&lt;101,G607,IF(G607&lt;201,G607/2,IF(G607&lt;=301,G607/3,G607/4))))</f>
        <v>616.29282000000001</v>
      </c>
      <c r="I607" s="60"/>
    </row>
    <row r="608" spans="1:9" s="23" customFormat="1" ht="15.75" customHeight="1">
      <c r="A608" s="151">
        <f t="shared" si="128"/>
        <v>4</v>
      </c>
      <c r="B608" s="152"/>
      <c r="C608" s="59" t="s">
        <v>207</v>
      </c>
      <c r="D608" s="59">
        <f>(11.14+3.36+6.58+2.4+2.52+0.9*2.1+1.2*0.9+0.8*(2.1+2.75))*10.764</f>
        <v>353.59739999999999</v>
      </c>
      <c r="E608" s="59">
        <f>(0.7*(2.75+2.1+2.75))*10.764</f>
        <v>57.264479999999992</v>
      </c>
      <c r="F608" s="59">
        <f>D608+E608</f>
        <v>410.86187999999999</v>
      </c>
      <c r="G608" s="59">
        <v>0</v>
      </c>
      <c r="H608" s="59">
        <f>F608*(($H$478)+1)+(IF(G608&lt;101,G608,IF(G608&lt;201,G608/2,IF(G608&lt;=301,G608/3,G608/4))))</f>
        <v>616.29282000000001</v>
      </c>
      <c r="I608" s="60"/>
    </row>
    <row r="609" spans="1:9" s="23" customFormat="1" ht="15.75" customHeight="1">
      <c r="A609" s="151">
        <f t="shared" si="128"/>
        <v>5</v>
      </c>
      <c r="B609" s="152"/>
      <c r="C609" s="59" t="s">
        <v>207</v>
      </c>
      <c r="D609" s="59">
        <f>(11.14+3.36+6.58+2.4+2.52+0.9*2.1+1.2*0.9+0.8*(2.1+2.75))*10.764</f>
        <v>353.59739999999999</v>
      </c>
      <c r="E609" s="59">
        <f>(0.7*(2.75+2.1+2.75))*10.764</f>
        <v>57.264479999999992</v>
      </c>
      <c r="F609" s="59">
        <f>D609+E609</f>
        <v>410.86187999999999</v>
      </c>
      <c r="G609" s="59">
        <v>0</v>
      </c>
      <c r="H609" s="59">
        <f>F609*(($H$478)+1)+(IF(G609&lt;101,G609,IF(G609&lt;201,G609/2,IF(G609&lt;=301,G609/3,G609/4))))</f>
        <v>616.29282000000001</v>
      </c>
      <c r="I609" s="60"/>
    </row>
    <row r="610" spans="1:9" s="23" customFormat="1" ht="15.75" customHeight="1">
      <c r="A610" s="151">
        <f t="shared" si="128"/>
        <v>6</v>
      </c>
      <c r="B610" s="152"/>
      <c r="C610" s="59" t="s">
        <v>203</v>
      </c>
      <c r="D610" s="59">
        <f>(13.2+3.32+4.11+7.5+2.52+2.52+2.75*0.9+0.9*1.9+1.2*(3+2.75))*10.764</f>
        <v>476.36081999999999</v>
      </c>
      <c r="E610" s="59">
        <f>(0.7*(3+2.75+2.75))*10.764</f>
        <v>64.045799999999986</v>
      </c>
      <c r="F610" s="59">
        <f t="shared" ref="F610:F614" si="129">D610+E610</f>
        <v>540.40661999999998</v>
      </c>
      <c r="G610" s="59">
        <v>0</v>
      </c>
      <c r="H610" s="59">
        <f t="shared" ref="H610:H614" si="130">F610*(($H$478)+1)+(IF(G610&lt;101,G610,IF(G610&lt;201,G610/2,IF(G610&lt;=301,G610/3,G610/4))))</f>
        <v>810.60992999999996</v>
      </c>
      <c r="I610" s="60"/>
    </row>
    <row r="611" spans="1:9" s="23" customFormat="1" ht="15.75" customHeight="1">
      <c r="A611" s="151">
        <f t="shared" si="128"/>
        <v>7</v>
      </c>
      <c r="B611" s="152"/>
      <c r="C611" s="59" t="s">
        <v>207</v>
      </c>
      <c r="D611" s="59">
        <f>(10.82+3.3+8.38+1.44+1.3+1.2*1.5+1.3*0.3+2*0.9)*10.764</f>
        <v>314.63172000000003</v>
      </c>
      <c r="E611" s="59">
        <f>(0.7*(2.75+2+1.5))*10.764</f>
        <v>47.092499999999994</v>
      </c>
      <c r="F611" s="59">
        <f t="shared" si="129"/>
        <v>361.72422</v>
      </c>
      <c r="G611" s="59">
        <v>0</v>
      </c>
      <c r="H611" s="59">
        <f t="shared" si="130"/>
        <v>542.58632999999998</v>
      </c>
      <c r="I611" s="60"/>
    </row>
    <row r="612" spans="1:9" s="23" customFormat="1" ht="15.75" customHeight="1">
      <c r="A612" s="151">
        <f t="shared" si="128"/>
        <v>8</v>
      </c>
      <c r="B612" s="152"/>
      <c r="C612" s="59" t="s">
        <v>207</v>
      </c>
      <c r="D612" s="59">
        <f>(11.14+3.36+8.16+2.52+2.4+1.2*1.5+0.7*0.9+0.3*2+2.1*0.9)*10.764</f>
        <v>349.83</v>
      </c>
      <c r="E612" s="59">
        <f>(0.7*(2.1+2.75))*10.764</f>
        <v>36.543779999999991</v>
      </c>
      <c r="F612" s="59">
        <f t="shared" si="129"/>
        <v>386.37377999999995</v>
      </c>
      <c r="G612" s="59">
        <f>(2.1*2.75)*10.764</f>
        <v>62.162100000000002</v>
      </c>
      <c r="H612" s="59">
        <f t="shared" si="130"/>
        <v>641.72276999999997</v>
      </c>
      <c r="I612" s="60"/>
    </row>
    <row r="613" spans="1:9" s="23" customFormat="1" ht="15.75" customHeight="1">
      <c r="A613" s="151">
        <f t="shared" si="128"/>
        <v>9</v>
      </c>
      <c r="B613" s="152"/>
      <c r="C613" s="59" t="s">
        <v>207</v>
      </c>
      <c r="D613" s="59">
        <f>(11.14+3.36+8.16+2.52+2.4+1.2*1.5+0.7*0.9+0.3*2+2.1*0.9)*10.764</f>
        <v>349.83</v>
      </c>
      <c r="E613" s="59">
        <f>(0.7*(2.1+2.75))*10.764</f>
        <v>36.543779999999991</v>
      </c>
      <c r="F613" s="59">
        <f t="shared" si="129"/>
        <v>386.37377999999995</v>
      </c>
      <c r="G613" s="59">
        <f>(2.1*2.75)*10.764</f>
        <v>62.162100000000002</v>
      </c>
      <c r="H613" s="59">
        <f t="shared" si="130"/>
        <v>641.72276999999997</v>
      </c>
      <c r="I613" s="60"/>
    </row>
    <row r="614" spans="1:9" s="23" customFormat="1" ht="15.75" customHeight="1">
      <c r="A614" s="151">
        <f t="shared" si="128"/>
        <v>10</v>
      </c>
      <c r="B614" s="152"/>
      <c r="C614" s="59" t="s">
        <v>207</v>
      </c>
      <c r="D614" s="59">
        <f>(10.82+3.3+8.38+1.44+1.3+1.2*1.5+1.3*0.3+2*0.9)*10.764</f>
        <v>314.63172000000003</v>
      </c>
      <c r="E614" s="59">
        <f>(0.7*(2.75+2+1.5))*10.764</f>
        <v>47.092499999999994</v>
      </c>
      <c r="F614" s="59">
        <f t="shared" si="129"/>
        <v>361.72422</v>
      </c>
      <c r="G614" s="59">
        <v>0</v>
      </c>
      <c r="H614" s="59">
        <f t="shared" si="130"/>
        <v>542.58632999999998</v>
      </c>
      <c r="I614" s="60"/>
    </row>
    <row r="615" spans="1:9" s="23" customFormat="1">
      <c r="A615" s="148" t="s">
        <v>213</v>
      </c>
      <c r="B615" s="149"/>
      <c r="C615" s="149"/>
      <c r="D615" s="149"/>
      <c r="E615" s="149"/>
      <c r="F615" s="149"/>
      <c r="G615" s="149"/>
      <c r="H615" s="150"/>
      <c r="I615" s="60"/>
    </row>
    <row r="616" spans="1:9" s="23" customFormat="1" ht="15.75" customHeight="1">
      <c r="A616" s="151">
        <v>1</v>
      </c>
      <c r="B616" s="152"/>
      <c r="C616" s="59" t="s">
        <v>203</v>
      </c>
      <c r="D616" s="59">
        <f>(13.2+3.32+4.11+7.5+2.52+2.52+2.75*0.9+0.9*1.9+1.2*(3+2.75))*10.764</f>
        <v>476.36081999999999</v>
      </c>
      <c r="E616" s="59">
        <f>(0.7*(3+2.75))*10.764</f>
        <v>43.325099999999992</v>
      </c>
      <c r="F616" s="59">
        <f>D616+E616</f>
        <v>519.68592000000001</v>
      </c>
      <c r="G616" s="59">
        <f>(2.75*1.4)*10.764</f>
        <v>41.441399999999994</v>
      </c>
      <c r="H616" s="59">
        <f>F616*(($H$478)+1)+(IF(G616&lt;101,G616,IF(G616&lt;201,G616/2,IF(G616&lt;=301,G616/3,G616/4))))</f>
        <v>820.97028000000012</v>
      </c>
      <c r="I616" s="60"/>
    </row>
    <row r="617" spans="1:9" s="23" customFormat="1" ht="15.75" customHeight="1">
      <c r="A617" s="151">
        <f>A616+1</f>
        <v>2</v>
      </c>
      <c r="B617" s="152"/>
      <c r="C617" s="59" t="s">
        <v>207</v>
      </c>
      <c r="D617" s="59">
        <f>(11.14+3.36+6.58+2.4+2.52+1.2*1.5+0.7*0.9+0.9*(2.1+2.75))*10.764</f>
        <v>353.00537999999995</v>
      </c>
      <c r="E617" s="59">
        <v>0</v>
      </c>
      <c r="F617" s="59">
        <f>D617+E617</f>
        <v>353.00537999999995</v>
      </c>
      <c r="G617" s="59">
        <f>(2.75*2)*10.764</f>
        <v>59.201999999999998</v>
      </c>
      <c r="H617" s="59">
        <f>F617*(($H$478)+1)+(IF(G617&lt;101,G617,IF(G617&lt;201,G617/2,IF(G617&lt;=301,G617/3,G617/4))))</f>
        <v>588.71006999999986</v>
      </c>
      <c r="I617" s="60"/>
    </row>
    <row r="618" spans="1:9" s="23" customFormat="1" ht="15.75" customHeight="1">
      <c r="A618" s="151">
        <f t="shared" ref="A618:A625" si="131">A617+1</f>
        <v>3</v>
      </c>
      <c r="B618" s="152"/>
      <c r="C618" s="59" t="s">
        <v>207</v>
      </c>
      <c r="D618" s="59">
        <f>(11.14+3.36+6.58+2.4+2.52+1.2*1.5+0.7*0.9+0.9*(2.1+2.75))*10.764</f>
        <v>353.00537999999995</v>
      </c>
      <c r="E618" s="59">
        <v>0</v>
      </c>
      <c r="F618" s="59">
        <f>D618+E618</f>
        <v>353.00537999999995</v>
      </c>
      <c r="G618" s="59">
        <f>(2.75*2)*10.764</f>
        <v>59.201999999999998</v>
      </c>
      <c r="H618" s="59">
        <f>F618*(($H$478)+1)+(IF(G618&lt;101,G618,IF(G618&lt;201,G618/2,IF(G618&lt;=301,G618/3,G618/4))))</f>
        <v>588.71006999999986</v>
      </c>
      <c r="I618" s="60"/>
    </row>
    <row r="619" spans="1:9" s="23" customFormat="1" ht="15.75" customHeight="1">
      <c r="A619" s="151">
        <f t="shared" si="131"/>
        <v>4</v>
      </c>
      <c r="B619" s="152"/>
      <c r="C619" s="59" t="s">
        <v>207</v>
      </c>
      <c r="D619" s="59">
        <f>(11.14+3.36+6.58+2.4+2.52+1.2*1.5+0.7*0.9+0.9*(2.1+2.75))*10.764</f>
        <v>353.00537999999995</v>
      </c>
      <c r="E619" s="59">
        <v>0</v>
      </c>
      <c r="F619" s="59">
        <f>D619+E619</f>
        <v>353.00537999999995</v>
      </c>
      <c r="G619" s="59">
        <f>(2.75*2)*10.764</f>
        <v>59.201999999999998</v>
      </c>
      <c r="H619" s="59">
        <f>F619*(($H$478)+1)+(IF(G619&lt;101,G619,IF(G619&lt;201,G619/2,IF(G619&lt;=301,G619/3,G619/4))))</f>
        <v>588.71006999999986</v>
      </c>
      <c r="I619" s="60"/>
    </row>
    <row r="620" spans="1:9" s="23" customFormat="1" ht="15.75" customHeight="1">
      <c r="A620" s="151">
        <f t="shared" si="131"/>
        <v>5</v>
      </c>
      <c r="B620" s="152"/>
      <c r="C620" s="59" t="s">
        <v>207</v>
      </c>
      <c r="D620" s="59">
        <f>(11.14+3.36+6.58+2.4+2.52+1.2*1.5+0.7*0.9+0.9*(2.1+2.75))*10.764</f>
        <v>353.00537999999995</v>
      </c>
      <c r="E620" s="59">
        <v>0</v>
      </c>
      <c r="F620" s="59">
        <f>D620+E620</f>
        <v>353.00537999999995</v>
      </c>
      <c r="G620" s="59">
        <f>(2.75*2)*10.764</f>
        <v>59.201999999999998</v>
      </c>
      <c r="H620" s="59">
        <f>F620*(($H$478)+1)+(IF(G620&lt;101,G620,IF(G620&lt;201,G620/2,IF(G620&lt;=301,G620/3,G620/4))))</f>
        <v>588.71006999999986</v>
      </c>
      <c r="I620" s="60"/>
    </row>
    <row r="621" spans="1:9" s="23" customFormat="1" ht="15.75" customHeight="1">
      <c r="A621" s="151">
        <f t="shared" si="131"/>
        <v>6</v>
      </c>
      <c r="B621" s="152"/>
      <c r="C621" s="59" t="s">
        <v>203</v>
      </c>
      <c r="D621" s="59">
        <f>(13.2+3.32+4.11+7.5+2.52+2.52+2.75*0.9+0.9*1.9+1.2*(3+2.75))*10.764</f>
        <v>476.36081999999999</v>
      </c>
      <c r="E621" s="59">
        <f>(0.7*(3+2.75))*10.764</f>
        <v>43.325099999999992</v>
      </c>
      <c r="F621" s="59">
        <f t="shared" ref="F621:F625" si="132">D621+E621</f>
        <v>519.68592000000001</v>
      </c>
      <c r="G621" s="59">
        <f>(2.75*1.4)*10.764</f>
        <v>41.441399999999994</v>
      </c>
      <c r="H621" s="59">
        <f t="shared" ref="H621:H625" si="133">F621*(($H$478)+1)+(IF(G621&lt;101,G621,IF(G621&lt;201,G621/2,IF(G621&lt;=301,G621/3,G621/4))))</f>
        <v>820.97028000000012</v>
      </c>
      <c r="I621" s="60"/>
    </row>
    <row r="622" spans="1:9" s="23" customFormat="1" ht="15.75" customHeight="1">
      <c r="A622" s="151">
        <f t="shared" si="131"/>
        <v>7</v>
      </c>
      <c r="B622" s="152"/>
      <c r="C622" s="59" t="s">
        <v>207</v>
      </c>
      <c r="D622" s="59">
        <f>(10.82+3.3+8.38+1.44+1.3+1.2*1.5+2*0.9+0.3*1.5)*10.764</f>
        <v>315.27755999999999</v>
      </c>
      <c r="E622" s="59">
        <f>(0.7*(2.75+2))*10.764</f>
        <v>35.790299999999995</v>
      </c>
      <c r="F622" s="59">
        <f t="shared" si="132"/>
        <v>351.06786</v>
      </c>
      <c r="G622" s="59">
        <f>(1.6*2)*10.764</f>
        <v>34.444800000000001</v>
      </c>
      <c r="H622" s="59">
        <f t="shared" si="133"/>
        <v>561.04658999999992</v>
      </c>
      <c r="I622" s="60"/>
    </row>
    <row r="623" spans="1:9" s="23" customFormat="1" ht="15.75" customHeight="1">
      <c r="A623" s="151">
        <f t="shared" si="131"/>
        <v>8</v>
      </c>
      <c r="B623" s="152"/>
      <c r="C623" s="59" t="s">
        <v>207</v>
      </c>
      <c r="D623" s="59">
        <f>(11.14+3.36+8.16+2.52+2.4+1.2*1.5+0.7*0.9+2.1*0.9+0.3*1.9)*10.764</f>
        <v>349.50707999999997</v>
      </c>
      <c r="E623" s="59">
        <f>(0.7*(2.1+2.75))*10.764</f>
        <v>36.543779999999991</v>
      </c>
      <c r="F623" s="59">
        <f t="shared" si="132"/>
        <v>386.05085999999994</v>
      </c>
      <c r="G623" s="59">
        <f>(2.75*2)*10.764</f>
        <v>59.201999999999998</v>
      </c>
      <c r="H623" s="59">
        <f t="shared" si="133"/>
        <v>638.27828999999997</v>
      </c>
      <c r="I623" s="60"/>
    </row>
    <row r="624" spans="1:9" s="23" customFormat="1" ht="15.75" customHeight="1">
      <c r="A624" s="151">
        <f t="shared" si="131"/>
        <v>9</v>
      </c>
      <c r="B624" s="152"/>
      <c r="C624" s="59" t="s">
        <v>207</v>
      </c>
      <c r="D624" s="59">
        <f>(11.14+3.36+8.16+2.52+2.4+1.2*1.5+0.7*0.9+2.1*0.9+0.3*1.9)*10.764</f>
        <v>349.50707999999997</v>
      </c>
      <c r="E624" s="59">
        <f>(0.7*(2.1+2.75))*10.764</f>
        <v>36.543779999999991</v>
      </c>
      <c r="F624" s="59">
        <f t="shared" si="132"/>
        <v>386.05085999999994</v>
      </c>
      <c r="G624" s="59">
        <f>(2.75*2)*10.764</f>
        <v>59.201999999999998</v>
      </c>
      <c r="H624" s="59">
        <f t="shared" si="133"/>
        <v>638.27828999999997</v>
      </c>
      <c r="I624" s="60"/>
    </row>
    <row r="625" spans="1:9" s="23" customFormat="1" ht="15.75" customHeight="1">
      <c r="A625" s="151">
        <f t="shared" si="131"/>
        <v>10</v>
      </c>
      <c r="B625" s="152"/>
      <c r="C625" s="59" t="s">
        <v>207</v>
      </c>
      <c r="D625" s="59">
        <f>(10.82+3.3+8.38+1.44+1.3+1.2*1.5+2*0.9+0.3*1.5)*10.764</f>
        <v>315.27755999999999</v>
      </c>
      <c r="E625" s="59">
        <f>(0.7*(2.75+2))*10.764</f>
        <v>35.790299999999995</v>
      </c>
      <c r="F625" s="59">
        <f t="shared" si="132"/>
        <v>351.06786</v>
      </c>
      <c r="G625" s="59">
        <f>(1.6*2)*10.764</f>
        <v>34.444800000000001</v>
      </c>
      <c r="H625" s="59">
        <f t="shared" si="133"/>
        <v>561.04658999999992</v>
      </c>
      <c r="I625" s="60"/>
    </row>
    <row r="626" spans="1:9" s="23" customFormat="1">
      <c r="A626" s="148" t="s">
        <v>214</v>
      </c>
      <c r="B626" s="149"/>
      <c r="C626" s="149"/>
      <c r="D626" s="149"/>
      <c r="E626" s="149"/>
      <c r="F626" s="149"/>
      <c r="G626" s="149"/>
      <c r="H626" s="150"/>
      <c r="I626" s="60"/>
    </row>
    <row r="627" spans="1:9" s="23" customFormat="1" ht="15.75" customHeight="1">
      <c r="A627" s="151">
        <v>1</v>
      </c>
      <c r="B627" s="152"/>
      <c r="C627" s="59" t="s">
        <v>203</v>
      </c>
      <c r="D627" s="59">
        <f>(13.2+3.32+4.11+7.5+2.52+2.52+0.9*2.75+0.9*1.9+1.2*(3+2.75))*10.764</f>
        <v>476.36081999999999</v>
      </c>
      <c r="E627" s="59">
        <f>(0.7*(3+2.75+2.75))*10.764</f>
        <v>64.045799999999986</v>
      </c>
      <c r="F627" s="59">
        <f>D627+E627</f>
        <v>540.40661999999998</v>
      </c>
      <c r="G627" s="59">
        <v>0</v>
      </c>
      <c r="H627" s="59">
        <f>F627*(($H$478)+1)+(IF(G627&lt;101,G627,IF(G627&lt;201,G627/2,IF(G627&lt;=301,G627/3,G627/4))))</f>
        <v>810.60992999999996</v>
      </c>
      <c r="I627" s="60"/>
    </row>
    <row r="628" spans="1:9" s="23" customFormat="1" ht="15.75" customHeight="1">
      <c r="A628" s="151">
        <f>A627+1</f>
        <v>2</v>
      </c>
      <c r="B628" s="152"/>
      <c r="C628" s="59" t="s">
        <v>207</v>
      </c>
      <c r="D628" s="59">
        <f>(11.14+3.36+6.58+2.52+2.4+1.2*1.5+0.7*0.9+0.9*(2.1+2.75))*10.764</f>
        <v>353.00537999999995</v>
      </c>
      <c r="E628" s="59">
        <f>(0.7*(2.1+2.75))*10.764</f>
        <v>36.543779999999991</v>
      </c>
      <c r="F628" s="59">
        <f>D628+E628</f>
        <v>389.54915999999992</v>
      </c>
      <c r="G628" s="59">
        <v>0</v>
      </c>
      <c r="H628" s="59">
        <f>F628*(($H$478)+1)+(IF(G628&lt;101,G628,IF(G628&lt;201,G628/2,IF(G628&lt;=301,G628/3,G628/4))))</f>
        <v>584.32373999999982</v>
      </c>
      <c r="I628" s="60"/>
    </row>
    <row r="629" spans="1:9" s="23" customFormat="1" ht="15.75" customHeight="1">
      <c r="A629" s="151">
        <f t="shared" ref="A629:A636" si="134">A628+1</f>
        <v>3</v>
      </c>
      <c r="B629" s="152"/>
      <c r="C629" s="59" t="s">
        <v>207</v>
      </c>
      <c r="D629" s="59">
        <f>(11.14+3.36+6.58+2.52+2.4+1.2*1.5+0.7*0.9+0.9*(2.1+2.75))*10.764</f>
        <v>353.00537999999995</v>
      </c>
      <c r="E629" s="59">
        <f>(0.7*(2.1+2.75))*10.764</f>
        <v>36.543779999999991</v>
      </c>
      <c r="F629" s="59">
        <f>D629+E629</f>
        <v>389.54915999999992</v>
      </c>
      <c r="G629" s="59">
        <v>0</v>
      </c>
      <c r="H629" s="59">
        <f>F629*(($H$478)+1)+(IF(G629&lt;101,G629,IF(G629&lt;201,G629/2,IF(G629&lt;=301,G629/3,G629/4))))</f>
        <v>584.32373999999982</v>
      </c>
      <c r="I629" s="60"/>
    </row>
    <row r="630" spans="1:9" s="23" customFormat="1" ht="15.75" customHeight="1">
      <c r="A630" s="151">
        <f t="shared" si="134"/>
        <v>4</v>
      </c>
      <c r="B630" s="152"/>
      <c r="C630" s="59" t="s">
        <v>207</v>
      </c>
      <c r="D630" s="59">
        <f>(11.14+3.36+6.58+2.52+2.4+1.2*1.5+0.7*0.9+0.9*(2.1+2.75))*10.764</f>
        <v>353.00537999999995</v>
      </c>
      <c r="E630" s="59">
        <f>(0.7*(2.1+2.75))*10.764</f>
        <v>36.543779999999991</v>
      </c>
      <c r="F630" s="59">
        <f>D630+E630</f>
        <v>389.54915999999992</v>
      </c>
      <c r="G630" s="59">
        <v>0</v>
      </c>
      <c r="H630" s="59">
        <f>F630*(($H$478)+1)+(IF(G630&lt;101,G630,IF(G630&lt;201,G630/2,IF(G630&lt;=301,G630/3,G630/4))))</f>
        <v>584.32373999999982</v>
      </c>
      <c r="I630" s="60"/>
    </row>
    <row r="631" spans="1:9" s="23" customFormat="1" ht="15.75" customHeight="1">
      <c r="A631" s="151">
        <f t="shared" si="134"/>
        <v>5</v>
      </c>
      <c r="B631" s="152"/>
      <c r="C631" s="59" t="s">
        <v>207</v>
      </c>
      <c r="D631" s="59">
        <f>(11.14+3.36+6.58+2.52+2.4+1.2*1.5+0.7*0.9+0.9*(2.1+2.75))*10.764</f>
        <v>353.00537999999995</v>
      </c>
      <c r="E631" s="59">
        <f>(0.7*(2.1+2.75))*10.764</f>
        <v>36.543779999999991</v>
      </c>
      <c r="F631" s="59">
        <f>D631+E631</f>
        <v>389.54915999999992</v>
      </c>
      <c r="G631" s="59">
        <v>0</v>
      </c>
      <c r="H631" s="59">
        <f>F631*(($H$478)+1)+(IF(G631&lt;101,G631,IF(G631&lt;201,G631/2,IF(G631&lt;=301,G631/3,G631/4))))</f>
        <v>584.32373999999982</v>
      </c>
      <c r="I631" s="60"/>
    </row>
    <row r="632" spans="1:9" s="23" customFormat="1" ht="15.75" customHeight="1">
      <c r="A632" s="151">
        <f t="shared" si="134"/>
        <v>6</v>
      </c>
      <c r="B632" s="152"/>
      <c r="C632" s="59" t="s">
        <v>203</v>
      </c>
      <c r="D632" s="59">
        <f>(13.2+3.32+4.11+7.5+2.52+2.52+0.9*2.75+0.9*1.9+1.2*(3+2.75))*10.764</f>
        <v>476.36081999999999</v>
      </c>
      <c r="E632" s="59">
        <f>(0.7*(3+2.75+2.75))*10.764</f>
        <v>64.045799999999986</v>
      </c>
      <c r="F632" s="59">
        <f t="shared" ref="F632:F636" si="135">D632+E632</f>
        <v>540.40661999999998</v>
      </c>
      <c r="G632" s="59">
        <v>0</v>
      </c>
      <c r="H632" s="59">
        <f t="shared" ref="H632:H636" si="136">F632*(($H$478)+1)+(IF(G632&lt;101,G632,IF(G632&lt;201,G632/2,IF(G632&lt;=301,G632/3,G632/4))))</f>
        <v>810.60992999999996</v>
      </c>
      <c r="I632" s="60"/>
    </row>
    <row r="633" spans="1:9" s="23" customFormat="1" ht="15.75" customHeight="1">
      <c r="A633" s="151">
        <f t="shared" si="134"/>
        <v>7</v>
      </c>
      <c r="B633" s="152"/>
      <c r="C633" s="59" t="s">
        <v>207</v>
      </c>
      <c r="D633" s="59">
        <f>(10.82+3.3+8.38+1.44+1.3+1.3*1.7+0.9*2+0.3*1.3)*10.764</f>
        <v>319.04496</v>
      </c>
      <c r="E633" s="59">
        <f>(0.7*(2.75+2+1.6))*10.764</f>
        <v>47.84597999999999</v>
      </c>
      <c r="F633" s="59">
        <f t="shared" si="135"/>
        <v>366.89094</v>
      </c>
      <c r="G633" s="59">
        <v>0</v>
      </c>
      <c r="H633" s="59">
        <f t="shared" si="136"/>
        <v>550.33641</v>
      </c>
      <c r="I633" s="60"/>
    </row>
    <row r="634" spans="1:9" s="23" customFormat="1" ht="15.75" customHeight="1">
      <c r="A634" s="151">
        <f t="shared" si="134"/>
        <v>8</v>
      </c>
      <c r="B634" s="152"/>
      <c r="C634" s="59" t="s">
        <v>207</v>
      </c>
      <c r="D634" s="59">
        <f>(11.14+3.36+8.16+2.52+2.4+1.2*1.5+0.9*0.7+0.9*2.1+0.3*2)*10.764</f>
        <v>349.83</v>
      </c>
      <c r="E634" s="59">
        <f>(0.7*(2.75+2.1+2.75))*10.764</f>
        <v>57.264479999999992</v>
      </c>
      <c r="F634" s="59">
        <f t="shared" si="135"/>
        <v>407.09447999999998</v>
      </c>
      <c r="G634" s="59">
        <v>0</v>
      </c>
      <c r="H634" s="59">
        <f t="shared" si="136"/>
        <v>610.64171999999996</v>
      </c>
      <c r="I634" s="60"/>
    </row>
    <row r="635" spans="1:9" s="23" customFormat="1" ht="15.75" customHeight="1">
      <c r="A635" s="151">
        <f t="shared" si="134"/>
        <v>9</v>
      </c>
      <c r="B635" s="152"/>
      <c r="C635" s="59" t="s">
        <v>207</v>
      </c>
      <c r="D635" s="59">
        <f>(11.14+3.36+8.16+2.52+2.4+1.2*1.5+0.9*0.7+0.9*2.1+0.3*2)*10.764</f>
        <v>349.83</v>
      </c>
      <c r="E635" s="59">
        <f>(0.7*(2.75+2.1+2.75))*10.764</f>
        <v>57.264479999999992</v>
      </c>
      <c r="F635" s="59">
        <f t="shared" si="135"/>
        <v>407.09447999999998</v>
      </c>
      <c r="G635" s="59">
        <v>0</v>
      </c>
      <c r="H635" s="59">
        <f t="shared" si="136"/>
        <v>610.64171999999996</v>
      </c>
      <c r="I635" s="60"/>
    </row>
    <row r="636" spans="1:9" s="23" customFormat="1" ht="15.75" customHeight="1">
      <c r="A636" s="151">
        <f t="shared" si="134"/>
        <v>10</v>
      </c>
      <c r="B636" s="152"/>
      <c r="C636" s="59" t="s">
        <v>207</v>
      </c>
      <c r="D636" s="59">
        <f>(10.82+3.3+8.38+1.44+1.3+1.3*1.7+0.9*2+0.3*1.3)*10.764</f>
        <v>319.04496</v>
      </c>
      <c r="E636" s="59">
        <f>(0.7*(2.75+2+1.6))*10.764</f>
        <v>47.84597999999999</v>
      </c>
      <c r="F636" s="59">
        <f t="shared" si="135"/>
        <v>366.89094</v>
      </c>
      <c r="G636" s="59">
        <v>0</v>
      </c>
      <c r="H636" s="59">
        <f t="shared" si="136"/>
        <v>550.33641</v>
      </c>
      <c r="I636" s="60"/>
    </row>
    <row r="637" spans="1:9" s="23" customFormat="1">
      <c r="A637" s="148" t="s">
        <v>215</v>
      </c>
      <c r="B637" s="149"/>
      <c r="C637" s="149"/>
      <c r="D637" s="149"/>
      <c r="E637" s="149"/>
      <c r="F637" s="149"/>
      <c r="G637" s="149"/>
      <c r="H637" s="150"/>
      <c r="I637" s="60"/>
    </row>
    <row r="638" spans="1:9" s="23" customFormat="1" ht="15.75" customHeight="1">
      <c r="A638" s="151">
        <v>1</v>
      </c>
      <c r="B638" s="152"/>
      <c r="C638" s="59" t="s">
        <v>203</v>
      </c>
      <c r="D638" s="59">
        <f>(13.2+3.32+4.11+7.5+2.52+2.52+0.9*2.75+0.9*1.9+1.2*(3+2.75))*10.764</f>
        <v>476.36081999999999</v>
      </c>
      <c r="E638" s="59">
        <f>(0.7*(3+2.75+2.75))*10.764</f>
        <v>64.045799999999986</v>
      </c>
      <c r="F638" s="59">
        <f>D638+E638</f>
        <v>540.40661999999998</v>
      </c>
      <c r="G638" s="59">
        <v>0</v>
      </c>
      <c r="H638" s="59">
        <f>F638*(($H$478)+1)+(IF(G638&lt;101,G638,IF(G638&lt;201,G638/2,IF(G638&lt;=301,G638/3,G638/4))))</f>
        <v>810.60992999999996</v>
      </c>
      <c r="I638" s="60"/>
    </row>
    <row r="639" spans="1:9" s="23" customFormat="1" ht="15.75" customHeight="1">
      <c r="A639" s="151">
        <f>A638+1</f>
        <v>2</v>
      </c>
      <c r="B639" s="152"/>
      <c r="C639" s="59" t="s">
        <v>207</v>
      </c>
      <c r="D639" s="59">
        <f>(11.14+3.36+6.58+2.4+2.52+1.2*1.5+0.9*0.7+0.9*(2.1+2.75))*10.764</f>
        <v>353.00537999999995</v>
      </c>
      <c r="E639" s="59">
        <f>(0.7*(2.1+2.75))*10.764</f>
        <v>36.543779999999991</v>
      </c>
      <c r="F639" s="59">
        <f>D639+E639</f>
        <v>389.54915999999992</v>
      </c>
      <c r="G639" s="59">
        <v>0</v>
      </c>
      <c r="H639" s="59">
        <f>F639*(($H$478)+1)+(IF(G639&lt;101,G639,IF(G639&lt;201,G639/2,IF(G639&lt;=301,G639/3,G639/4))))</f>
        <v>584.32373999999982</v>
      </c>
      <c r="I639" s="60"/>
    </row>
    <row r="640" spans="1:9" s="23" customFormat="1" ht="15.75" customHeight="1">
      <c r="A640" s="151">
        <f t="shared" ref="A640:A647" si="137">A639+1</f>
        <v>3</v>
      </c>
      <c r="B640" s="152"/>
      <c r="C640" s="59" t="s">
        <v>207</v>
      </c>
      <c r="D640" s="59">
        <f>(11.14+3.36+6.58+2.4+2.52+1.2*1.5+0.9*0.7+0.9*(2.1+2.75))*10.764</f>
        <v>353.00537999999995</v>
      </c>
      <c r="E640" s="59">
        <f>(0.7*(2.1+2.75))*10.764</f>
        <v>36.543779999999991</v>
      </c>
      <c r="F640" s="59">
        <f>D640+E640</f>
        <v>389.54915999999992</v>
      </c>
      <c r="G640" s="59">
        <v>0</v>
      </c>
      <c r="H640" s="59">
        <f>F640*(($H$478)+1)+(IF(G640&lt;101,G640,IF(G640&lt;201,G640/2,IF(G640&lt;=301,G640/3,G640/4))))</f>
        <v>584.32373999999982</v>
      </c>
      <c r="I640" s="60"/>
    </row>
    <row r="641" spans="1:11" s="23" customFormat="1" ht="15.75" customHeight="1">
      <c r="A641" s="151">
        <f t="shared" si="137"/>
        <v>4</v>
      </c>
      <c r="B641" s="152"/>
      <c r="C641" s="59" t="s">
        <v>207</v>
      </c>
      <c r="D641" s="59">
        <f>(11.14+3.36+6.58+2.4+2.52+1.2*1.5+0.9*0.7+0.9*(2.1+2.75))*10.764</f>
        <v>353.00537999999995</v>
      </c>
      <c r="E641" s="59">
        <f>(0.7*(2.1+2.75))*10.764</f>
        <v>36.543779999999991</v>
      </c>
      <c r="F641" s="59">
        <f>D641+E641</f>
        <v>389.54915999999992</v>
      </c>
      <c r="G641" s="59">
        <v>0</v>
      </c>
      <c r="H641" s="59">
        <f>F641*(($H$478)+1)+(IF(G641&lt;101,G641,IF(G641&lt;201,G641/2,IF(G641&lt;=301,G641/3,G641/4))))</f>
        <v>584.32373999999982</v>
      </c>
      <c r="I641" s="60"/>
    </row>
    <row r="642" spans="1:11" s="23" customFormat="1" ht="15.75" customHeight="1">
      <c r="A642" s="151">
        <f t="shared" si="137"/>
        <v>5</v>
      </c>
      <c r="B642" s="152"/>
      <c r="C642" s="59" t="s">
        <v>207</v>
      </c>
      <c r="D642" s="59">
        <f>(11.14+3.36+6.58+2.4+2.52+1.2*1.5+0.9*0.7+0.9*(2.1+2.75))*10.764</f>
        <v>353.00537999999995</v>
      </c>
      <c r="E642" s="59">
        <f>(0.7*(2.1+2.75))*10.764</f>
        <v>36.543779999999991</v>
      </c>
      <c r="F642" s="59">
        <f>D642+E642</f>
        <v>389.54915999999992</v>
      </c>
      <c r="G642" s="59">
        <v>0</v>
      </c>
      <c r="H642" s="59">
        <f>F642*(($H$478)+1)+(IF(G642&lt;101,G642,IF(G642&lt;201,G642/2,IF(G642&lt;=301,G642/3,G642/4))))</f>
        <v>584.32373999999982</v>
      </c>
      <c r="I642" s="60"/>
    </row>
    <row r="643" spans="1:11" s="23" customFormat="1" ht="15.75" customHeight="1">
      <c r="A643" s="151">
        <f t="shared" si="137"/>
        <v>6</v>
      </c>
      <c r="B643" s="152"/>
      <c r="C643" s="59" t="s">
        <v>203</v>
      </c>
      <c r="D643" s="59">
        <f>(13.2+3.32+4.11+7.5+2.52+2.52+0.9*2.75+0.9*1.9+1.2*(3+2.75))*10.764</f>
        <v>476.36081999999999</v>
      </c>
      <c r="E643" s="59">
        <f>(0.7*(3+2.75+2.75))*10.764</f>
        <v>64.045799999999986</v>
      </c>
      <c r="F643" s="59">
        <f t="shared" ref="F643:F647" si="138">D643+E643</f>
        <v>540.40661999999998</v>
      </c>
      <c r="G643" s="59">
        <v>0</v>
      </c>
      <c r="H643" s="59">
        <f t="shared" ref="H643:H647" si="139">F643*(($H$478)+1)+(IF(G643&lt;101,G643,IF(G643&lt;201,G643/2,IF(G643&lt;=301,G643/3,G643/4))))</f>
        <v>810.60992999999996</v>
      </c>
      <c r="I643" s="60"/>
    </row>
    <row r="644" spans="1:11" s="23" customFormat="1" ht="15.75" customHeight="1">
      <c r="A644" s="151">
        <f t="shared" si="137"/>
        <v>7</v>
      </c>
      <c r="B644" s="152"/>
      <c r="C644" s="59" t="s">
        <v>207</v>
      </c>
      <c r="D644" s="59">
        <f>(10.82+3.3+8.38+1.44+1.3+1.3*1.5+0.3*1.3+0.9*2)*10.764</f>
        <v>316.24632000000003</v>
      </c>
      <c r="E644" s="59">
        <f>(0.7*(2.75+2+1.6))*10.764</f>
        <v>47.84597999999999</v>
      </c>
      <c r="F644" s="59">
        <f t="shared" si="138"/>
        <v>364.09230000000002</v>
      </c>
      <c r="G644" s="59">
        <v>0</v>
      </c>
      <c r="H644" s="59">
        <f t="shared" si="139"/>
        <v>546.13845000000003</v>
      </c>
      <c r="I644" s="60"/>
    </row>
    <row r="645" spans="1:11" s="23" customFormat="1" ht="15.75" customHeight="1">
      <c r="A645" s="151">
        <f t="shared" si="137"/>
        <v>8</v>
      </c>
      <c r="B645" s="152"/>
      <c r="C645" s="59" t="s">
        <v>207</v>
      </c>
      <c r="D645" s="59">
        <f>(11.14+3.36+8.16+2.52+2.4+1.2*1.5+0.9*0.7+0.9*2.1+0.3*2)*10.764</f>
        <v>349.83</v>
      </c>
      <c r="E645" s="59">
        <f>(0.7*(2.75+2.1+2.75))*10.764</f>
        <v>57.264479999999992</v>
      </c>
      <c r="F645" s="59">
        <f t="shared" si="138"/>
        <v>407.09447999999998</v>
      </c>
      <c r="G645" s="59">
        <v>0</v>
      </c>
      <c r="H645" s="59">
        <f t="shared" si="139"/>
        <v>610.64171999999996</v>
      </c>
      <c r="I645" s="60"/>
    </row>
    <row r="646" spans="1:11" s="23" customFormat="1" ht="15.75" customHeight="1">
      <c r="A646" s="151">
        <f t="shared" si="137"/>
        <v>9</v>
      </c>
      <c r="B646" s="152"/>
      <c r="C646" s="59" t="s">
        <v>207</v>
      </c>
      <c r="D646" s="59">
        <f>(11.14+3.36+8.16+2.52+2.4+1.2*1.5+0.9*0.7+0.9*2.1+0.3*2)*10.764</f>
        <v>349.83</v>
      </c>
      <c r="E646" s="59">
        <f>(0.7*(2.75+2.1+2.75))*10.764</f>
        <v>57.264479999999992</v>
      </c>
      <c r="F646" s="59">
        <f t="shared" si="138"/>
        <v>407.09447999999998</v>
      </c>
      <c r="G646" s="59">
        <v>0</v>
      </c>
      <c r="H646" s="59">
        <f t="shared" si="139"/>
        <v>610.64171999999996</v>
      </c>
      <c r="I646" s="60"/>
    </row>
    <row r="647" spans="1:11" s="23" customFormat="1" ht="15.75" customHeight="1">
      <c r="A647" s="151">
        <f t="shared" si="137"/>
        <v>10</v>
      </c>
      <c r="B647" s="152"/>
      <c r="C647" s="59" t="s">
        <v>207</v>
      </c>
      <c r="D647" s="59">
        <f>(10.82+3.3+8.38+1.44+1.3+1.3*1.5+0.3*1.3+0.9*2)*10.764</f>
        <v>316.24632000000003</v>
      </c>
      <c r="E647" s="59">
        <f>(0.7*(2.75+2+1.6))*10.764</f>
        <v>47.84597999999999</v>
      </c>
      <c r="F647" s="59">
        <f t="shared" si="138"/>
        <v>364.09230000000002</v>
      </c>
      <c r="G647" s="59">
        <v>0</v>
      </c>
      <c r="H647" s="59">
        <f t="shared" si="139"/>
        <v>546.13845000000003</v>
      </c>
      <c r="I647" s="60"/>
    </row>
    <row r="648" spans="1:11" s="23" customFormat="1">
      <c r="A648" s="148" t="s">
        <v>258</v>
      </c>
      <c r="B648" s="149"/>
      <c r="C648" s="149"/>
      <c r="D648" s="149"/>
      <c r="E648" s="149"/>
      <c r="F648" s="149"/>
      <c r="G648" s="149"/>
      <c r="H648" s="150"/>
      <c r="I648" s="60"/>
    </row>
    <row r="649" spans="1:11" s="23" customFormat="1" ht="15.75" customHeight="1">
      <c r="A649" s="151">
        <v>1</v>
      </c>
      <c r="B649" s="152"/>
      <c r="C649" s="59" t="s">
        <v>203</v>
      </c>
      <c r="D649" s="59">
        <f>(2.75*4.8+1.9*2.5+2.75*2.75+3*3.75+2.1*1.2+2.1*1.2+0.9*3)*10.764</f>
        <v>479.02491000000009</v>
      </c>
      <c r="E649" s="59">
        <f>(0.75*(2.75+3))*10.764</f>
        <v>46.419750000000001</v>
      </c>
      <c r="F649" s="59">
        <f>D649+E649</f>
        <v>525.44466000000011</v>
      </c>
      <c r="G649" s="59">
        <f>(2.9*1.55)*10.764</f>
        <v>48.384180000000001</v>
      </c>
      <c r="H649" s="59">
        <f>F649*(($H$478)+1)+(IF(G649&lt;101,G649,IF(G649&lt;201,G649/2,IF(G649&lt;=301,G649/3,G649/4))))</f>
        <v>836.55117000000018</v>
      </c>
      <c r="I649" s="60"/>
    </row>
    <row r="650" spans="1:11" s="23" customFormat="1" ht="15.75" customHeight="1">
      <c r="A650" s="151">
        <f>A649+1</f>
        <v>2</v>
      </c>
      <c r="B650" s="152"/>
      <c r="C650" s="59" t="s">
        <v>207</v>
      </c>
      <c r="D650" s="59">
        <f>(2.75*4.05+2.1*2.2+2.75*3.2+2.1*1.2+2*1.2+0.9*2.5+1.2*1)*10.764</f>
        <v>354.43160999999998</v>
      </c>
      <c r="E650" s="59">
        <f>(0.75*(2.1+2.75))*10.764</f>
        <v>39.154049999999998</v>
      </c>
      <c r="F650" s="59">
        <f>D650+E650</f>
        <v>393.58565999999996</v>
      </c>
      <c r="G650" s="59">
        <f>(2.7*2.3)*10.764</f>
        <v>66.844439999999992</v>
      </c>
      <c r="H650" s="59">
        <f>F650*(($H$478)+1)+(IF(G650&lt;101,G650,IF(G650&lt;201,G650/2,IF(G650&lt;=301,G650/3,G650/4))))</f>
        <v>657.22292999999991</v>
      </c>
      <c r="I650" s="60"/>
    </row>
    <row r="651" spans="1:11" s="23" customFormat="1" ht="15.75" customHeight="1">
      <c r="A651" s="151">
        <f t="shared" ref="A651:A658" si="140">A650+1</f>
        <v>3</v>
      </c>
      <c r="B651" s="152"/>
      <c r="C651" s="59" t="s">
        <v>207</v>
      </c>
      <c r="D651" s="59">
        <f>(2.75*4.05+2.1*2.2+2.75*3.2+2.1*1.2+2*1.2+0.9*2.5+1.2*1)*10.764</f>
        <v>354.43160999999998</v>
      </c>
      <c r="E651" s="59">
        <f>(0.75*(2.1+2.75))*10.764</f>
        <v>39.154049999999998</v>
      </c>
      <c r="F651" s="59">
        <f>D651+E651</f>
        <v>393.58565999999996</v>
      </c>
      <c r="G651" s="59">
        <f>(2.7*2.3)*10.764</f>
        <v>66.844439999999992</v>
      </c>
      <c r="H651" s="59">
        <f>F651*(($H$478)+1)+(IF(G651&lt;101,G651,IF(G651&lt;201,G651/2,IF(G651&lt;=301,G651/3,G651/4))))</f>
        <v>657.22292999999991</v>
      </c>
      <c r="I651" s="60"/>
    </row>
    <row r="652" spans="1:11" s="23" customFormat="1" ht="15.75" customHeight="1">
      <c r="A652" s="151">
        <f t="shared" si="140"/>
        <v>4</v>
      </c>
      <c r="B652" s="152"/>
      <c r="C652" s="59" t="s">
        <v>207</v>
      </c>
      <c r="D652" s="59">
        <f>(2.75*4.05+2.1*2.2+2.75*3.2+2.1*1.2+2*1.2+0.9*2.5+1.2*1)*10.764</f>
        <v>354.43160999999998</v>
      </c>
      <c r="E652" s="59">
        <f>(0.75*(2.1+2.75))*10.764</f>
        <v>39.154049999999998</v>
      </c>
      <c r="F652" s="59">
        <f>D652+E652</f>
        <v>393.58565999999996</v>
      </c>
      <c r="G652" s="59">
        <f>(2.7*2.3)*10.764</f>
        <v>66.844439999999992</v>
      </c>
      <c r="H652" s="59">
        <f>F652*(($H$478)+1)+(IF(G652&lt;101,G652,IF(G652&lt;201,G652/2,IF(G652&lt;=301,G652/3,G652/4))))</f>
        <v>657.22292999999991</v>
      </c>
      <c r="I652" s="60"/>
    </row>
    <row r="653" spans="1:11" s="23" customFormat="1" ht="15.75" customHeight="1">
      <c r="A653" s="151">
        <f t="shared" si="140"/>
        <v>5</v>
      </c>
      <c r="B653" s="152"/>
      <c r="C653" s="59" t="s">
        <v>207</v>
      </c>
      <c r="D653" s="59">
        <f>(2.75*4.05+2.1*2.2+2.75*3.2+2.1*1.2+2*1.2+0.9*2.5+1.2*1)*10.764</f>
        <v>354.43160999999998</v>
      </c>
      <c r="E653" s="59">
        <f>(0.75*(2.1+2.75))*10.764</f>
        <v>39.154049999999998</v>
      </c>
      <c r="F653" s="59">
        <f>D653+E653</f>
        <v>393.58565999999996</v>
      </c>
      <c r="G653" s="59">
        <f>(2.7*2.3)*10.764</f>
        <v>66.844439999999992</v>
      </c>
      <c r="H653" s="59">
        <f>F653*(($H$478)+1)+(IF(G653&lt;101,G653,IF(G653&lt;201,G653/2,IF(G653&lt;=301,G653/3,G653/4))))</f>
        <v>657.22292999999991</v>
      </c>
      <c r="I653" s="60"/>
      <c r="K653" s="59">
        <v>10.763999999999999</v>
      </c>
    </row>
    <row r="654" spans="1:11" s="23" customFormat="1" ht="15.75" customHeight="1">
      <c r="A654" s="151">
        <f t="shared" si="140"/>
        <v>6</v>
      </c>
      <c r="B654" s="152"/>
      <c r="C654" s="59" t="s">
        <v>203</v>
      </c>
      <c r="D654" s="59">
        <f>(2.75*4.8+1.9*2.5+2.75*2.75+3*3.75+2.1*1.2+2.1*1.2+0.9*3)*10.764</f>
        <v>479.02491000000009</v>
      </c>
      <c r="E654" s="59">
        <f>(0.75*(2.75+3))*10.764</f>
        <v>46.419750000000001</v>
      </c>
      <c r="F654" s="59">
        <f t="shared" ref="F654:F658" si="141">D654+E654</f>
        <v>525.44466000000011</v>
      </c>
      <c r="G654" s="59">
        <f>(2.9*1.55)*10.764</f>
        <v>48.384180000000001</v>
      </c>
      <c r="H654" s="59">
        <f t="shared" ref="H654:H658" si="142">F654*(($H$478)+1)+(IF(G654&lt;101,G654,IF(G654&lt;201,G654/2,IF(G654&lt;=301,G654/3,G654/4))))</f>
        <v>836.55117000000018</v>
      </c>
      <c r="I654" s="60"/>
    </row>
    <row r="655" spans="1:11" s="23" customFormat="1" ht="15.75" customHeight="1">
      <c r="A655" s="151">
        <f t="shared" si="140"/>
        <v>7</v>
      </c>
      <c r="B655" s="152"/>
      <c r="C655" s="59" t="s">
        <v>207</v>
      </c>
      <c r="D655" s="59">
        <f>(2.75*4.05+2*2.2+2.75*3.2+1*1.3+1.2*1.2+1*1.8)*10.764</f>
        <v>310.83740999999998</v>
      </c>
      <c r="E655" s="59">
        <f>(0.75*(2+2.75))*10.764</f>
        <v>38.34675</v>
      </c>
      <c r="F655" s="59">
        <f t="shared" si="141"/>
        <v>349.18415999999996</v>
      </c>
      <c r="G655" s="59">
        <f>(2.3*1.85)*10.764</f>
        <v>45.800819999999995</v>
      </c>
      <c r="H655" s="59">
        <f t="shared" si="142"/>
        <v>569.57705999999996</v>
      </c>
      <c r="I655" s="60"/>
    </row>
    <row r="656" spans="1:11" s="23" customFormat="1" ht="15.75" customHeight="1">
      <c r="A656" s="151">
        <f t="shared" si="140"/>
        <v>8</v>
      </c>
      <c r="B656" s="152"/>
      <c r="C656" s="59" t="s">
        <v>207</v>
      </c>
      <c r="D656" s="59">
        <f>(2.75*4.05+2.1*2.2+2.75*3.2+2.1*1.2+2*1.2+0.9*2.5+1.2*1)*10.764</f>
        <v>354.43160999999998</v>
      </c>
      <c r="E656" s="59">
        <f>(0.75*(2.1+2.75))*10.764</f>
        <v>39.154049999999998</v>
      </c>
      <c r="F656" s="59">
        <f t="shared" si="141"/>
        <v>393.58565999999996</v>
      </c>
      <c r="G656" s="59">
        <f>(2.775*2.3)*10.764</f>
        <v>68.701229999999995</v>
      </c>
      <c r="H656" s="59">
        <f t="shared" si="142"/>
        <v>659.07971999999995</v>
      </c>
      <c r="I656" s="60"/>
    </row>
    <row r="657" spans="1:9" s="23" customFormat="1" ht="15.75" customHeight="1">
      <c r="A657" s="151">
        <f t="shared" si="140"/>
        <v>9</v>
      </c>
      <c r="B657" s="152"/>
      <c r="C657" s="59" t="s">
        <v>207</v>
      </c>
      <c r="D657" s="59">
        <f>(2.75*4.05+2.1*2.2+2.75*3.2+2.1*1.2+2*1.2+0.9*2.5+1.2*1)*10.764</f>
        <v>354.43160999999998</v>
      </c>
      <c r="E657" s="59">
        <f>(0.75*(2.1+2.75))*10.764</f>
        <v>39.154049999999998</v>
      </c>
      <c r="F657" s="59">
        <f t="shared" si="141"/>
        <v>393.58565999999996</v>
      </c>
      <c r="G657" s="59">
        <f>(2.775*2.3)*10.764</f>
        <v>68.701229999999995</v>
      </c>
      <c r="H657" s="59">
        <f t="shared" si="142"/>
        <v>659.07971999999995</v>
      </c>
      <c r="I657" s="60"/>
    </row>
    <row r="658" spans="1:9" s="23" customFormat="1" ht="15.75" customHeight="1">
      <c r="A658" s="151">
        <f t="shared" si="140"/>
        <v>10</v>
      </c>
      <c r="B658" s="152"/>
      <c r="C658" s="59" t="s">
        <v>207</v>
      </c>
      <c r="D658" s="59">
        <f>(2.75*4.05+2*2.2+2.75*3.2+1*1.3+1.2*1.2+1*1.8)*10.764</f>
        <v>310.83740999999998</v>
      </c>
      <c r="E658" s="59">
        <f>(0.75*(2+2.75))*10.764</f>
        <v>38.34675</v>
      </c>
      <c r="F658" s="59">
        <f t="shared" si="141"/>
        <v>349.18415999999996</v>
      </c>
      <c r="G658" s="59">
        <f>(2.3*1.85)*10.764</f>
        <v>45.800819999999995</v>
      </c>
      <c r="H658" s="59">
        <f t="shared" si="142"/>
        <v>569.57705999999996</v>
      </c>
      <c r="I658" s="60"/>
    </row>
    <row r="659" spans="1:9" s="23" customFormat="1">
      <c r="A659" s="148" t="s">
        <v>259</v>
      </c>
      <c r="B659" s="149"/>
      <c r="C659" s="149"/>
      <c r="D659" s="149"/>
      <c r="E659" s="149"/>
      <c r="F659" s="149"/>
      <c r="G659" s="149"/>
      <c r="H659" s="150"/>
      <c r="I659" s="60"/>
    </row>
    <row r="660" spans="1:9" s="23" customFormat="1" ht="15.75" customHeight="1">
      <c r="A660" s="151">
        <v>1</v>
      </c>
      <c r="B660" s="152"/>
      <c r="C660" s="59" t="s">
        <v>203</v>
      </c>
      <c r="D660" s="59">
        <f>(2.75*4.8+1.9*2.5+2.75*2.75+3*3.75+2.1*1.2+2.1*1.2+0.9*3)*10.764</f>
        <v>479.02491000000009</v>
      </c>
      <c r="E660" s="59">
        <f>(0.75*(2.75+2.75+3))*10.764</f>
        <v>68.620499999999993</v>
      </c>
      <c r="F660" s="59">
        <f>D660+E660</f>
        <v>547.64541000000008</v>
      </c>
      <c r="G660" s="59">
        <v>0</v>
      </c>
      <c r="H660" s="59">
        <f>F660*(($H$478)+1)+(IF(G660&lt;101,G660,IF(G660&lt;201,G660/2,IF(G660&lt;=301,G660/3,G660/4))))</f>
        <v>821.46811500000013</v>
      </c>
      <c r="I660" s="60"/>
    </row>
    <row r="661" spans="1:9" s="23" customFormat="1" ht="15.75" customHeight="1">
      <c r="A661" s="151">
        <f>A660+1</f>
        <v>2</v>
      </c>
      <c r="B661" s="152"/>
      <c r="C661" s="59" t="s">
        <v>207</v>
      </c>
      <c r="D661" s="59">
        <f>(2.75*4.05+2.1*2.2+2.75*3.2+2.1*1.2+2*1.2+0.9*2.5+1.2*1)*10.764</f>
        <v>354.43160999999998</v>
      </c>
      <c r="E661" s="59">
        <f>(0.75*(2.75+2.1+2.75))*10.764</f>
        <v>61.35479999999999</v>
      </c>
      <c r="F661" s="59">
        <f>D661+E661</f>
        <v>415.78640999999999</v>
      </c>
      <c r="G661" s="59">
        <v>0</v>
      </c>
      <c r="H661" s="59">
        <f>F661*(($H$478)+1)+(IF(G661&lt;101,G661,IF(G661&lt;201,G661/2,IF(G661&lt;=301,G661/3,G661/4))))</f>
        <v>623.67961500000001</v>
      </c>
      <c r="I661" s="60"/>
    </row>
    <row r="662" spans="1:9" s="23" customFormat="1" ht="15.75" customHeight="1">
      <c r="A662" s="151">
        <f t="shared" ref="A662:A669" si="143">A661+1</f>
        <v>3</v>
      </c>
      <c r="B662" s="152"/>
      <c r="C662" s="59" t="s">
        <v>207</v>
      </c>
      <c r="D662" s="59">
        <f>(2.75*4.05+2.1*2.2+2.75*3.2+2.1*1.2+2*1.2+0.9*2.5+1.2*1)*10.764</f>
        <v>354.43160999999998</v>
      </c>
      <c r="E662" s="59">
        <f>(0.75*(2.75+2.1+2.75))*10.764</f>
        <v>61.35479999999999</v>
      </c>
      <c r="F662" s="59">
        <f>D662+E662</f>
        <v>415.78640999999999</v>
      </c>
      <c r="G662" s="59">
        <v>0</v>
      </c>
      <c r="H662" s="59">
        <f>F662*(($H$478)+1)+(IF(G662&lt;101,G662,IF(G662&lt;201,G662/2,IF(G662&lt;=301,G662/3,G662/4))))</f>
        <v>623.67961500000001</v>
      </c>
      <c r="I662" s="60"/>
    </row>
    <row r="663" spans="1:9" s="23" customFormat="1" ht="15.75" customHeight="1">
      <c r="A663" s="151">
        <f t="shared" si="143"/>
        <v>4</v>
      </c>
      <c r="B663" s="152"/>
      <c r="C663" s="59" t="s">
        <v>207</v>
      </c>
      <c r="D663" s="59">
        <f>(2.75*4.05+2.1*2.2+2.75*3.2+2.1*1.2+2*1.2+0.9*2.5+1.2*1)*10.764</f>
        <v>354.43160999999998</v>
      </c>
      <c r="E663" s="59">
        <f>(0.75*(2.75+2.1+2.75))*10.764</f>
        <v>61.35479999999999</v>
      </c>
      <c r="F663" s="59">
        <f>D663+E663</f>
        <v>415.78640999999999</v>
      </c>
      <c r="G663" s="59">
        <v>0</v>
      </c>
      <c r="H663" s="59">
        <f>F663*(($H$478)+1)+(IF(G663&lt;101,G663,IF(G663&lt;201,G663/2,IF(G663&lt;=301,G663/3,G663/4))))</f>
        <v>623.67961500000001</v>
      </c>
      <c r="I663" s="60"/>
    </row>
    <row r="664" spans="1:9" s="23" customFormat="1" ht="15.75" customHeight="1">
      <c r="A664" s="151">
        <f t="shared" si="143"/>
        <v>5</v>
      </c>
      <c r="B664" s="152"/>
      <c r="C664" s="59" t="s">
        <v>207</v>
      </c>
      <c r="D664" s="59">
        <f>(2.75*4.05+2.1*2.2+2.75*3.2+2.1*1.2+2*1.2+0.9*2.5+1.2*1)*10.764</f>
        <v>354.43160999999998</v>
      </c>
      <c r="E664" s="59">
        <f>(0.75*(2.75+2.1+2.75))*10.764</f>
        <v>61.35479999999999</v>
      </c>
      <c r="F664" s="59">
        <f>D664+E664</f>
        <v>415.78640999999999</v>
      </c>
      <c r="G664" s="59">
        <v>0</v>
      </c>
      <c r="H664" s="59">
        <f>F664*(($H$478)+1)+(IF(G664&lt;101,G664,IF(G664&lt;201,G664/2,IF(G664&lt;=301,G664/3,G664/4))))</f>
        <v>623.67961500000001</v>
      </c>
      <c r="I664" s="60"/>
    </row>
    <row r="665" spans="1:9" s="23" customFormat="1" ht="15.75" customHeight="1">
      <c r="A665" s="151">
        <f t="shared" si="143"/>
        <v>6</v>
      </c>
      <c r="B665" s="152"/>
      <c r="C665" s="59" t="s">
        <v>203</v>
      </c>
      <c r="D665" s="59">
        <f>(2.75*4.8+1.9*2.5+2.75*2.75+3*3.75+2.1*1.2+2.1*1.2+0.9*3)*10.764</f>
        <v>479.02491000000009</v>
      </c>
      <c r="E665" s="59">
        <f>(0.75*(2.75+2.75+3))*10.764</f>
        <v>68.620499999999993</v>
      </c>
      <c r="F665" s="59">
        <f t="shared" ref="F665:F669" si="144">D665+E665</f>
        <v>547.64541000000008</v>
      </c>
      <c r="G665" s="59">
        <v>0</v>
      </c>
      <c r="H665" s="59">
        <f t="shared" ref="H665:H669" si="145">F665*(($H$478)+1)+(IF(G665&lt;101,G665,IF(G665&lt;201,G665/2,IF(G665&lt;=301,G665/3,G665/4))))</f>
        <v>821.46811500000013</v>
      </c>
      <c r="I665" s="60"/>
    </row>
    <row r="666" spans="1:9" s="23" customFormat="1" ht="15.75" customHeight="1">
      <c r="A666" s="151">
        <f t="shared" si="143"/>
        <v>7</v>
      </c>
      <c r="B666" s="152"/>
      <c r="C666" s="59" t="s">
        <v>207</v>
      </c>
      <c r="D666" s="59">
        <f>(2.75*4.05+2*2.2+2.75*3.2+1*1.3+1.2*1.2+1*1.8)*10.764</f>
        <v>310.83740999999998</v>
      </c>
      <c r="E666" s="59">
        <f>(0.75*(1.7+2+2.75))*10.764</f>
        <v>52.07085</v>
      </c>
      <c r="F666" s="59">
        <f t="shared" si="144"/>
        <v>362.90825999999998</v>
      </c>
      <c r="G666" s="59">
        <v>0</v>
      </c>
      <c r="H666" s="59">
        <f t="shared" si="145"/>
        <v>544.36239</v>
      </c>
      <c r="I666" s="60"/>
    </row>
    <row r="667" spans="1:9" s="23" customFormat="1" ht="15.75" customHeight="1">
      <c r="A667" s="151">
        <f t="shared" si="143"/>
        <v>8</v>
      </c>
      <c r="B667" s="152"/>
      <c r="C667" s="59" t="s">
        <v>207</v>
      </c>
      <c r="D667" s="59">
        <f>(2.75*4.05+2.1*2.2+2.75*3.2+2.1*1.2+2*1.2+0.9*2.5+1.2*1)*10.764</f>
        <v>354.43160999999998</v>
      </c>
      <c r="E667" s="59">
        <f>(0.75*(2.75+2.1+2.75))*10.764</f>
        <v>61.35479999999999</v>
      </c>
      <c r="F667" s="59">
        <f t="shared" si="144"/>
        <v>415.78640999999999</v>
      </c>
      <c r="G667" s="59">
        <v>0</v>
      </c>
      <c r="H667" s="59">
        <f t="shared" si="145"/>
        <v>623.67961500000001</v>
      </c>
      <c r="I667" s="60"/>
    </row>
    <row r="668" spans="1:9" s="23" customFormat="1" ht="15.75" customHeight="1">
      <c r="A668" s="151">
        <f t="shared" si="143"/>
        <v>9</v>
      </c>
      <c r="B668" s="152"/>
      <c r="C668" s="59" t="s">
        <v>207</v>
      </c>
      <c r="D668" s="59">
        <f>(2.75*4.05+2.1*2.2+2.75*3.2+2.1*1.2+2*1.2+0.9*2.5+1.2*1)*10.764</f>
        <v>354.43160999999998</v>
      </c>
      <c r="E668" s="59">
        <f>(0.75*(2.75+2.1+2.75))*10.764</f>
        <v>61.35479999999999</v>
      </c>
      <c r="F668" s="59">
        <f t="shared" si="144"/>
        <v>415.78640999999999</v>
      </c>
      <c r="G668" s="59">
        <v>0</v>
      </c>
      <c r="H668" s="59">
        <f t="shared" si="145"/>
        <v>623.67961500000001</v>
      </c>
      <c r="I668" s="60"/>
    </row>
    <row r="669" spans="1:9" s="23" customFormat="1" ht="15.75" customHeight="1">
      <c r="A669" s="151">
        <f t="shared" si="143"/>
        <v>10</v>
      </c>
      <c r="B669" s="152"/>
      <c r="C669" s="59" t="s">
        <v>207</v>
      </c>
      <c r="D669" s="59">
        <f>(2.75*4.05+2*2.2+2.75*3.2+1*1.3+1.2*1.2+1*1.8)*10.764</f>
        <v>310.83740999999998</v>
      </c>
      <c r="E669" s="59">
        <f>(0.75*(1.7+2+2.75))*10.764</f>
        <v>52.07085</v>
      </c>
      <c r="F669" s="59">
        <f t="shared" si="144"/>
        <v>362.90825999999998</v>
      </c>
      <c r="G669" s="59">
        <v>0</v>
      </c>
      <c r="H669" s="59">
        <f t="shared" si="145"/>
        <v>544.36239</v>
      </c>
      <c r="I669" s="60"/>
    </row>
    <row r="670" spans="1:9" s="23" customFormat="1">
      <c r="A670" s="177" t="s">
        <v>261</v>
      </c>
      <c r="B670" s="178"/>
      <c r="C670" s="178"/>
      <c r="D670" s="178"/>
      <c r="E670" s="178"/>
      <c r="F670" s="178"/>
      <c r="G670" s="178"/>
      <c r="H670" s="179"/>
      <c r="I670" s="60"/>
    </row>
    <row r="671" spans="1:9" s="23" customFormat="1">
      <c r="A671" s="148" t="s">
        <v>217</v>
      </c>
      <c r="B671" s="149"/>
      <c r="C671" s="149"/>
      <c r="D671" s="149"/>
      <c r="E671" s="149"/>
      <c r="F671" s="149"/>
      <c r="G671" s="149"/>
      <c r="H671" s="150"/>
      <c r="I671" s="60"/>
    </row>
    <row r="672" spans="1:9" s="23" customFormat="1">
      <c r="A672" s="148" t="s">
        <v>205</v>
      </c>
      <c r="B672" s="149"/>
      <c r="C672" s="149"/>
      <c r="D672" s="149"/>
      <c r="E672" s="149"/>
      <c r="F672" s="149"/>
      <c r="G672" s="149"/>
      <c r="H672" s="150"/>
      <c r="I672" s="60"/>
    </row>
    <row r="673" spans="1:9" s="23" customFormat="1" ht="15.75" customHeight="1">
      <c r="A673" s="151">
        <v>1</v>
      </c>
      <c r="B673" s="152"/>
      <c r="C673" s="59" t="s">
        <v>203</v>
      </c>
      <c r="D673" s="59">
        <f>(14.72+3.36+4.88+7.44+2.52+2.52+0.9*2.4+0.3*2.2+0.9*3.1+1.2*(3.05+2.1))*10.764</f>
        <v>508.38372000000004</v>
      </c>
      <c r="E673" s="59">
        <f>(0.7*(3.05+2.1+3.1+2.3))*10.764</f>
        <v>79.492139999999992</v>
      </c>
      <c r="F673" s="59">
        <f>D673+E673</f>
        <v>587.87585999999999</v>
      </c>
      <c r="G673" s="59">
        <f>(2.5*1.4)*10.764</f>
        <v>37.673999999999999</v>
      </c>
      <c r="H673" s="59">
        <f>F673*(($H$478)+1)+(IF(G673&lt;101,G673,IF(G673&lt;201,G673/2,IF(G673&lt;=301,G673/3,G673/4))))</f>
        <v>919.4877899999999</v>
      </c>
      <c r="I673" s="60"/>
    </row>
    <row r="674" spans="1:9" s="23" customFormat="1" ht="15.75" customHeight="1">
      <c r="A674" s="151">
        <f>A673+1</f>
        <v>2</v>
      </c>
      <c r="B674" s="152"/>
      <c r="C674" s="59" t="s">
        <v>207</v>
      </c>
      <c r="D674" s="59">
        <f>(10.66+3.3+7.97+1.44+1.3+1*1.5+0.3*1.2+0.9*2)*10.764</f>
        <v>304.94412</v>
      </c>
      <c r="E674" s="59">
        <f>(0.7*(2.75+2))*10.764</f>
        <v>35.790299999999995</v>
      </c>
      <c r="F674" s="59">
        <f>D674+E674</f>
        <v>340.73442</v>
      </c>
      <c r="G674" s="59">
        <f>(1.6*1.9)*10.764</f>
        <v>32.722560000000001</v>
      </c>
      <c r="H674" s="59">
        <f>F674*(($H$478)+1)+(IF(G674&lt;101,G674,IF(G674&lt;201,G674/2,IF(G674&lt;=301,G674/3,G674/4))))</f>
        <v>543.82419000000004</v>
      </c>
      <c r="I674" s="60"/>
    </row>
    <row r="675" spans="1:9" s="23" customFormat="1" ht="15.75" customHeight="1">
      <c r="A675" s="151">
        <f t="shared" ref="A675:A676" si="146">A674+1</f>
        <v>3</v>
      </c>
      <c r="B675" s="152"/>
      <c r="C675" s="59" t="s">
        <v>207</v>
      </c>
      <c r="D675" s="59">
        <f>(10.66+3.3+7.97+1.44+1.3+1*1.5+0.3*1.2+0.9*2)*10.764</f>
        <v>304.94412</v>
      </c>
      <c r="E675" s="59">
        <f>(0.7*(2.75+2))*10.764</f>
        <v>35.790299999999995</v>
      </c>
      <c r="F675" s="59">
        <f>D675+E675</f>
        <v>340.73442</v>
      </c>
      <c r="G675" s="59">
        <f>(1.6*1.9)*10.764</f>
        <v>32.722560000000001</v>
      </c>
      <c r="H675" s="59">
        <f>F675*(($H$478)+1)+(IF(G675&lt;101,G675,IF(G675&lt;201,G675/2,IF(G675&lt;=301,G675/3,G675/4))))</f>
        <v>543.82419000000004</v>
      </c>
      <c r="I675" s="60"/>
    </row>
    <row r="676" spans="1:9" s="23" customFormat="1" ht="15.75" customHeight="1">
      <c r="A676" s="151">
        <f t="shared" si="146"/>
        <v>4</v>
      </c>
      <c r="B676" s="152"/>
      <c r="C676" s="59" t="s">
        <v>207</v>
      </c>
      <c r="D676" s="59">
        <f>(9.21+4.13+7.71+1.74+1.35+1.2*1.5+1.2*2.75+0.3*2)*10.764</f>
        <v>321.19776000000002</v>
      </c>
      <c r="E676" s="59">
        <f>(0.7*(2.75+3.05))*10.764</f>
        <v>43.70183999999999</v>
      </c>
      <c r="F676" s="59">
        <f>D676+E676</f>
        <v>364.89960000000002</v>
      </c>
      <c r="G676" s="59">
        <v>0</v>
      </c>
      <c r="H676" s="59">
        <f>F676*(($H$478)+1)+(IF(G676&lt;101,G676,IF(G676&lt;201,G676/2,IF(G676&lt;=301,G676/3,G676/4))))</f>
        <v>547.34940000000006</v>
      </c>
      <c r="I676" s="60"/>
    </row>
    <row r="677" spans="1:9" s="23" customFormat="1">
      <c r="A677" s="148" t="s">
        <v>206</v>
      </c>
      <c r="B677" s="149"/>
      <c r="C677" s="149"/>
      <c r="D677" s="149"/>
      <c r="E677" s="149"/>
      <c r="F677" s="149"/>
      <c r="G677" s="149"/>
      <c r="H677" s="150"/>
      <c r="I677" s="60"/>
    </row>
    <row r="678" spans="1:9" s="23" customFormat="1" ht="15.75" customHeight="1">
      <c r="A678" s="151">
        <v>1</v>
      </c>
      <c r="B678" s="152"/>
      <c r="C678" s="59" t="s">
        <v>203</v>
      </c>
      <c r="D678" s="59">
        <f>(14.72+3.36+4.88+7.44+2.52+2.52+0.9*2.5+0.3*2.2+1*3.1+1.2*(3.05+2.1))*10.764</f>
        <v>512.68931999999995</v>
      </c>
      <c r="E678" s="59">
        <f>(0.7*(3.1+3.05+2.1+2.7))*10.764</f>
        <v>82.506059999999991</v>
      </c>
      <c r="F678" s="59">
        <f>D678+E678</f>
        <v>595.19537999999989</v>
      </c>
      <c r="G678" s="59">
        <f>(1.2*2.2)*10.764</f>
        <v>28.41696</v>
      </c>
      <c r="H678" s="59">
        <f>F678*(($H$478)+1)+(IF(G678&lt;101,G678,IF(G678&lt;201,G678/2,IF(G678&lt;=301,G678/3,G678/4))))</f>
        <v>921.21002999999985</v>
      </c>
      <c r="I678" s="60"/>
    </row>
    <row r="679" spans="1:9" s="23" customFormat="1" ht="15.75" customHeight="1">
      <c r="A679" s="151">
        <f>A678+1</f>
        <v>2</v>
      </c>
      <c r="B679" s="152"/>
      <c r="C679" s="59" t="s">
        <v>207</v>
      </c>
      <c r="D679" s="59">
        <f>(10.06+3.3+7.97+1.44+1.3+1*1.4+0.3*1.3+2*0.9)*10.764</f>
        <v>297.73223999999999</v>
      </c>
      <c r="E679" s="59">
        <f>(0.7*(2.75+2+1.7))*10.764</f>
        <v>48.599459999999993</v>
      </c>
      <c r="F679" s="59">
        <f>D679+E679</f>
        <v>346.33169999999996</v>
      </c>
      <c r="G679" s="59">
        <v>0</v>
      </c>
      <c r="H679" s="59">
        <f>F679*(($H$478)+1)+(IF(G679&lt;101,G679,IF(G679&lt;201,G679/2,IF(G679&lt;=301,G679/3,G679/4))))</f>
        <v>519.49754999999993</v>
      </c>
      <c r="I679" s="60"/>
    </row>
    <row r="680" spans="1:9" s="23" customFormat="1" ht="15.75" customHeight="1">
      <c r="A680" s="151">
        <f t="shared" ref="A680:A682" si="147">A679+1</f>
        <v>3</v>
      </c>
      <c r="B680" s="152"/>
      <c r="C680" s="59" t="s">
        <v>207</v>
      </c>
      <c r="D680" s="59">
        <f>(10.06+3.3+7.97+1.44+1.3+1*1.4+0.3*1.3+2*0.9)*10.764</f>
        <v>297.73223999999999</v>
      </c>
      <c r="E680" s="59">
        <f>(0.7*(2.75+2+1.7))*10.764</f>
        <v>48.599459999999993</v>
      </c>
      <c r="F680" s="59">
        <f>D680+E680</f>
        <v>346.33169999999996</v>
      </c>
      <c r="G680" s="59">
        <v>0</v>
      </c>
      <c r="H680" s="59">
        <f>F680*(($H$478)+1)+(IF(G680&lt;101,G680,IF(G680&lt;201,G680/2,IF(G680&lt;=301,G680/3,G680/4))))</f>
        <v>519.49754999999993</v>
      </c>
      <c r="I680" s="60"/>
    </row>
    <row r="681" spans="1:9" s="23" customFormat="1" ht="15.75" customHeight="1">
      <c r="A681" s="151">
        <f t="shared" si="147"/>
        <v>4</v>
      </c>
      <c r="B681" s="152"/>
      <c r="C681" s="59" t="s">
        <v>219</v>
      </c>
      <c r="D681" s="59">
        <f>(9.21+4.13+7.71+1.35+1.74+1.2*1.5+0.3*2+1.2*2.75)*10.764</f>
        <v>321.19776000000002</v>
      </c>
      <c r="E681" s="59">
        <f>(0.7*(3.05+2.75))*10.764</f>
        <v>43.70183999999999</v>
      </c>
      <c r="F681" s="59">
        <f>D681+E681</f>
        <v>364.89960000000002</v>
      </c>
      <c r="G681" s="59">
        <v>0</v>
      </c>
      <c r="H681" s="59">
        <f>F681*(($H$478)+1)+(IF(G681&lt;101,G681,IF(G681&lt;201,G681/2,IF(G681&lt;=301,G681/3,G681/4))))</f>
        <v>547.34940000000006</v>
      </c>
      <c r="I681" s="60"/>
    </row>
    <row r="682" spans="1:9" s="23" customFormat="1" ht="15.75" customHeight="1">
      <c r="A682" s="151">
        <f t="shared" si="147"/>
        <v>5</v>
      </c>
      <c r="B682" s="152"/>
      <c r="C682" s="59" t="s">
        <v>203</v>
      </c>
      <c r="D682" s="59">
        <f>(15.44+3.36+4.88+6.72+2.52+2.52+2.4*0.9+1*2.8+1.3*(3.05+2.1)+0.3*2.4)*10.764</f>
        <v>514.68065999999999</v>
      </c>
      <c r="E682" s="59">
        <f>(0.7*(3.05+2.1+2.5))*10.764</f>
        <v>57.64121999999999</v>
      </c>
      <c r="F682" s="59">
        <f>D682+E682</f>
        <v>572.32187999999996</v>
      </c>
      <c r="G682" s="59">
        <f>(1.6*2.9)*10.764</f>
        <v>49.944959999999995</v>
      </c>
      <c r="H682" s="59">
        <f>F682*(($H$478)+1)+(IF(G682&lt;101,G682,IF(G682&lt;201,G682/2,IF(G682&lt;=301,G682/3,G682/4))))</f>
        <v>908.42777999999998</v>
      </c>
      <c r="I682" s="60"/>
    </row>
    <row r="683" spans="1:9" s="23" customFormat="1">
      <c r="A683" s="148" t="s">
        <v>213</v>
      </c>
      <c r="B683" s="149"/>
      <c r="C683" s="149"/>
      <c r="D683" s="149"/>
      <c r="E683" s="149"/>
      <c r="F683" s="149"/>
      <c r="G683" s="149"/>
      <c r="H683" s="150"/>
      <c r="I683" s="60"/>
    </row>
    <row r="684" spans="1:9" s="23" customFormat="1" ht="15.75" customHeight="1">
      <c r="A684" s="151">
        <v>1</v>
      </c>
      <c r="B684" s="152"/>
      <c r="C684" s="59" t="s">
        <v>203</v>
      </c>
      <c r="D684" s="59">
        <f>(14.72+3.36+4.88+7.44+2.52+2.52+0.9*2.4+0.3*2.2+1*3.1+1.2*(3.05+2.1))*10.764</f>
        <v>511.72056000000003</v>
      </c>
      <c r="E684" s="59">
        <f>(0.7*(3.1+3.05+2.1+2.4))*10.764</f>
        <v>80.245620000000002</v>
      </c>
      <c r="F684" s="59">
        <f>D684+E684</f>
        <v>591.96618000000001</v>
      </c>
      <c r="G684" s="59">
        <f>(2.4*1.4)*10.764</f>
        <v>36.167039999999993</v>
      </c>
      <c r="H684" s="59">
        <f>F684*(($H$478)+1)+(IF(G684&lt;101,G684,IF(G684&lt;201,G684/2,IF(G684&lt;=301,G684/3,G684/4))))</f>
        <v>924.11631000000011</v>
      </c>
      <c r="I684" s="60"/>
    </row>
    <row r="685" spans="1:9" s="23" customFormat="1" ht="15.75" customHeight="1">
      <c r="A685" s="151">
        <f>A684+1</f>
        <v>2</v>
      </c>
      <c r="B685" s="152"/>
      <c r="C685" s="59" t="s">
        <v>207</v>
      </c>
      <c r="D685" s="59">
        <f>(10.66+3.3+7.97+1.44+1.3+1*1.3+0.3*1.2+0.9*2)*10.764</f>
        <v>302.79131999999998</v>
      </c>
      <c r="E685" s="59">
        <f>(0.7*(2+2.75))*10.764</f>
        <v>35.790299999999995</v>
      </c>
      <c r="F685" s="59">
        <f>D685+E685</f>
        <v>338.58161999999999</v>
      </c>
      <c r="G685" s="59">
        <f>(1.5*2)*10.764</f>
        <v>32.292000000000002</v>
      </c>
      <c r="H685" s="59">
        <f>F685*(($H$478)+1)+(IF(G685&lt;101,G685,IF(G685&lt;201,G685/2,IF(G685&lt;=301,G685/3,G685/4))))</f>
        <v>540.16443000000004</v>
      </c>
      <c r="I685" s="60"/>
    </row>
    <row r="686" spans="1:9" s="23" customFormat="1" ht="15.75" customHeight="1">
      <c r="A686" s="151">
        <f t="shared" ref="A686:A688" si="148">A685+1</f>
        <v>3</v>
      </c>
      <c r="B686" s="152"/>
      <c r="C686" s="59" t="s">
        <v>207</v>
      </c>
      <c r="D686" s="59">
        <f>(10.66+3.3+7.97+1.44+1.3+1*1.3+0.3*1.2+0.9*2)*10.764</f>
        <v>302.79131999999998</v>
      </c>
      <c r="E686" s="59">
        <f>(0.7*(2+2.75))*10.764</f>
        <v>35.790299999999995</v>
      </c>
      <c r="F686" s="59">
        <f>D686+E686</f>
        <v>338.58161999999999</v>
      </c>
      <c r="G686" s="59">
        <f>(1.5*2)*10.764</f>
        <v>32.292000000000002</v>
      </c>
      <c r="H686" s="59">
        <f>F686*(($H$478)+1)+(IF(G686&lt;101,G686,IF(G686&lt;201,G686/2,IF(G686&lt;=301,G686/3,G686/4))))</f>
        <v>540.16443000000004</v>
      </c>
      <c r="I686" s="60"/>
    </row>
    <row r="687" spans="1:9" s="23" customFormat="1" ht="15.75" customHeight="1">
      <c r="A687" s="151">
        <f t="shared" si="148"/>
        <v>4</v>
      </c>
      <c r="B687" s="152"/>
      <c r="C687" s="59" t="s">
        <v>219</v>
      </c>
      <c r="D687" s="59">
        <f>(9.21+4.13+7.71+1.35+1.74+1.2*1.5+0.3*2.2+1.2*2.75)*10.764</f>
        <v>321.84359999999998</v>
      </c>
      <c r="E687" s="59">
        <f>(0.7*(2.75+3.05))*10.764</f>
        <v>43.70183999999999</v>
      </c>
      <c r="F687" s="59">
        <f>D687+E687</f>
        <v>365.54543999999999</v>
      </c>
      <c r="G687" s="59">
        <v>0</v>
      </c>
      <c r="H687" s="59">
        <f>F687*(($H$478)+1)+(IF(G687&lt;101,G687,IF(G687&lt;201,G687/2,IF(G687&lt;=301,G687/3,G687/4))))</f>
        <v>548.31816000000003</v>
      </c>
      <c r="I687" s="60"/>
    </row>
    <row r="688" spans="1:9" s="23" customFormat="1" ht="15.75" customHeight="1">
      <c r="A688" s="151">
        <f t="shared" si="148"/>
        <v>5</v>
      </c>
      <c r="B688" s="152"/>
      <c r="C688" s="59" t="s">
        <v>203</v>
      </c>
      <c r="D688" s="59">
        <f>(15.44+3.36+4.88+6.72+2.52+2.52+0.9*2.5+0.3*2.4+1*2.8+1.2*(3.05+2.1))*10.764</f>
        <v>510.10595999999998</v>
      </c>
      <c r="E688" s="59">
        <f>(0.7*(2.1+3.05+1.5))*10.764</f>
        <v>50.10642</v>
      </c>
      <c r="F688" s="59">
        <f>D688+E688</f>
        <v>560.21237999999994</v>
      </c>
      <c r="G688" s="59">
        <f>(2.2*2.4)*10.764</f>
        <v>56.833919999999999</v>
      </c>
      <c r="H688" s="59">
        <f>F688*(($H$478)+1)+(IF(G688&lt;101,G688,IF(G688&lt;201,G688/2,IF(G688&lt;=301,G688/3,G688/4))))</f>
        <v>897.15248999999994</v>
      </c>
      <c r="I688" s="60"/>
    </row>
    <row r="689" spans="1:10" s="23" customFormat="1">
      <c r="A689" s="148" t="s">
        <v>214</v>
      </c>
      <c r="B689" s="149"/>
      <c r="C689" s="149"/>
      <c r="D689" s="149"/>
      <c r="E689" s="149"/>
      <c r="F689" s="149"/>
      <c r="G689" s="149"/>
      <c r="H689" s="150"/>
      <c r="I689" s="60"/>
    </row>
    <row r="690" spans="1:10" s="23" customFormat="1" ht="15.75" customHeight="1">
      <c r="A690" s="151">
        <v>1</v>
      </c>
      <c r="B690" s="152"/>
      <c r="C690" s="59" t="s">
        <v>203</v>
      </c>
      <c r="D690" s="59">
        <f>(14.72+3.36+4.88+7.44+2.52+2.52+0.9*2.4+0.3*2.2+1*3.1+1.2*(3.05+2.1))*10.764</f>
        <v>511.72056000000003</v>
      </c>
      <c r="E690" s="59">
        <f>(0.7*(3.1+3.05+2.1+2.6))*10.764</f>
        <v>81.75257999999998</v>
      </c>
      <c r="F690" s="59">
        <f>D690+E690</f>
        <v>593.47314000000006</v>
      </c>
      <c r="G690" s="59">
        <f>(2.1*1.2)*10.764</f>
        <v>27.12528</v>
      </c>
      <c r="H690" s="59">
        <f>F690*(($H$478)+1)+(IF(G690&lt;101,G690,IF(G690&lt;201,G690/2,IF(G690&lt;=301,G690/3,G690/4))))</f>
        <v>917.33499000000006</v>
      </c>
      <c r="I690" s="60"/>
    </row>
    <row r="691" spans="1:10" s="23" customFormat="1" ht="15.75" customHeight="1">
      <c r="A691" s="151">
        <f>A690+1</f>
        <v>2</v>
      </c>
      <c r="B691" s="152"/>
      <c r="C691" s="59" t="s">
        <v>207</v>
      </c>
      <c r="D691" s="59">
        <f>(10.66+3.3+7.97+1.44+1.3+1*1.5+0.3*1.2+0.9*2)*10.764</f>
        <v>304.94412</v>
      </c>
      <c r="E691" s="59">
        <f>(0.7*(2.75+2+1.5))*10.764</f>
        <v>47.092499999999994</v>
      </c>
      <c r="F691" s="59">
        <f>D691+E691</f>
        <v>352.03661999999997</v>
      </c>
      <c r="G691" s="59">
        <v>0</v>
      </c>
      <c r="H691" s="59">
        <f>F691*(($H$478)+1)+(IF(G691&lt;101,G691,IF(G691&lt;201,G691/2,IF(G691&lt;=301,G691/3,G691/4))))</f>
        <v>528.05493000000001</v>
      </c>
      <c r="I691" s="60"/>
    </row>
    <row r="692" spans="1:10" s="23" customFormat="1" ht="15.75" customHeight="1">
      <c r="A692" s="151">
        <f t="shared" ref="A692:A694" si="149">A691+1</f>
        <v>3</v>
      </c>
      <c r="B692" s="152"/>
      <c r="C692" s="59" t="s">
        <v>207</v>
      </c>
      <c r="D692" s="59">
        <f>(10.66+3.3+7.97+1.44+1.3+1*1.5+0.3*1.2+0.9*2)*10.764</f>
        <v>304.94412</v>
      </c>
      <c r="E692" s="59">
        <f>(0.7*(2.75+2+1.5))*10.764</f>
        <v>47.092499999999994</v>
      </c>
      <c r="F692" s="59">
        <f>D692+E692</f>
        <v>352.03661999999997</v>
      </c>
      <c r="G692" s="59">
        <v>0</v>
      </c>
      <c r="H692" s="59">
        <f>F692*(($H$478)+1)+(IF(G692&lt;101,G692,IF(G692&lt;201,G692/2,IF(G692&lt;=301,G692/3,G692/4))))</f>
        <v>528.05493000000001</v>
      </c>
      <c r="I692" s="60"/>
    </row>
    <row r="693" spans="1:10" s="23" customFormat="1" ht="15.75" customHeight="1">
      <c r="A693" s="151">
        <f t="shared" si="149"/>
        <v>4</v>
      </c>
      <c r="B693" s="152"/>
      <c r="C693" s="59" t="s">
        <v>207</v>
      </c>
      <c r="D693" s="59">
        <f>(9.21+4.13+7.71+1.74+1.35+1.2*1.5+1.2*2.75+0.3*2.2)*10.764</f>
        <v>321.84359999999998</v>
      </c>
      <c r="E693" s="59">
        <f>(0.7*(3.05+2.75))*10.764</f>
        <v>43.70183999999999</v>
      </c>
      <c r="F693" s="59">
        <f>D693+E693</f>
        <v>365.54543999999999</v>
      </c>
      <c r="G693" s="59">
        <v>0</v>
      </c>
      <c r="H693" s="59">
        <f>F693*(($H$478)+1)+(IF(G693&lt;101,G693,IF(G693&lt;201,G693/2,IF(G693&lt;=301,G693/3,G693/4))))</f>
        <v>548.31816000000003</v>
      </c>
      <c r="I693" s="60"/>
    </row>
    <row r="694" spans="1:10" s="23" customFormat="1" ht="15.75" customHeight="1">
      <c r="A694" s="151">
        <f t="shared" si="149"/>
        <v>5</v>
      </c>
      <c r="B694" s="152"/>
      <c r="C694" s="59" t="s">
        <v>203</v>
      </c>
      <c r="D694" s="59">
        <f>(15.44+3.36+4.88+6.72+2.52+2.52+0.9*2.4+0.3*2.3+1*2.8+1.2*(3.05+2.1))*10.764</f>
        <v>508.81428</v>
      </c>
      <c r="E694" s="59">
        <f>(0.7*(3.05+2.1+2.4))*10.764</f>
        <v>56.887740000000001</v>
      </c>
      <c r="F694" s="59">
        <f>D694+E694</f>
        <v>565.70201999999995</v>
      </c>
      <c r="G694" s="59">
        <f>(1.7*1.4)*10.764</f>
        <v>25.618319999999997</v>
      </c>
      <c r="H694" s="59">
        <f>F694*(($H$478)+1)+(IF(G694&lt;101,G694,IF(G694&lt;201,G694/2,IF(G694&lt;=301,G694/3,G694/4))))</f>
        <v>874.17134999999996</v>
      </c>
      <c r="I694" s="60"/>
    </row>
    <row r="695" spans="1:10" s="23" customFormat="1">
      <c r="A695" s="148" t="s">
        <v>220</v>
      </c>
      <c r="B695" s="149"/>
      <c r="C695" s="149"/>
      <c r="D695" s="149"/>
      <c r="E695" s="149"/>
      <c r="F695" s="149"/>
      <c r="G695" s="149"/>
      <c r="H695" s="150"/>
      <c r="I695" s="60"/>
    </row>
    <row r="696" spans="1:10" s="23" customFormat="1" ht="15.75" customHeight="1">
      <c r="A696" s="151">
        <v>1</v>
      </c>
      <c r="B696" s="152"/>
      <c r="C696" s="59" t="s">
        <v>203</v>
      </c>
      <c r="D696" s="59">
        <f>(14.72+3.36+4.88+7.44+2.52+2.52+0.9*2.4+0.3*2.2+1*3.1+1.2*(3.05+2.1))*10.764</f>
        <v>511.72056000000003</v>
      </c>
      <c r="E696" s="59">
        <f>(0.7*(3.1+3.05+2.1+2.5))*10.764</f>
        <v>80.999099999999984</v>
      </c>
      <c r="F696" s="59">
        <f>D696+E696</f>
        <v>592.71965999999998</v>
      </c>
      <c r="G696" s="59">
        <f>(2.1*1.2)*10.764</f>
        <v>27.12528</v>
      </c>
      <c r="H696" s="59">
        <f>F696*(($H$478)+1)+(IF(G696&lt;101,G696,IF(G696&lt;201,G696/2,IF(G696&lt;=301,G696/3,G696/4))))</f>
        <v>916.20476999999994</v>
      </c>
      <c r="I696" s="60"/>
    </row>
    <row r="697" spans="1:10" s="23" customFormat="1" ht="15.75" customHeight="1">
      <c r="A697" s="151">
        <f>A696+1</f>
        <v>2</v>
      </c>
      <c r="B697" s="152"/>
      <c r="C697" s="59" t="s">
        <v>207</v>
      </c>
      <c r="D697" s="59">
        <f>(10.66+3.3+7.97+1.44+1.3+1*1.5+0.3*1.2+0.9*2)*10.764</f>
        <v>304.94412</v>
      </c>
      <c r="E697" s="59">
        <f>(0.7*(2.75+2+1.5))*10.764</f>
        <v>47.092499999999994</v>
      </c>
      <c r="F697" s="59">
        <f>D697+E697</f>
        <v>352.03661999999997</v>
      </c>
      <c r="G697" s="59">
        <v>0</v>
      </c>
      <c r="H697" s="59">
        <f>F697*(($H$478)+1)+(IF(G697&lt;101,G697,IF(G697&lt;201,G697/2,IF(G697&lt;=301,G697/3,G697/4))))</f>
        <v>528.05493000000001</v>
      </c>
      <c r="I697" s="60"/>
    </row>
    <row r="698" spans="1:10" s="23" customFormat="1" ht="15.75" customHeight="1">
      <c r="A698" s="151">
        <f t="shared" ref="A698:A700" si="150">A697+1</f>
        <v>3</v>
      </c>
      <c r="B698" s="152"/>
      <c r="C698" s="59" t="s">
        <v>207</v>
      </c>
      <c r="D698" s="59">
        <f>(10.66+3.3+7.97+1.44+1.3+1*1.5+0.3*1.2+0.9*2)*10.764</f>
        <v>304.94412</v>
      </c>
      <c r="E698" s="59">
        <f>(0.7*(2.75+2+1.5))*10.764</f>
        <v>47.092499999999994</v>
      </c>
      <c r="F698" s="59">
        <f>D698+E698</f>
        <v>352.03661999999997</v>
      </c>
      <c r="G698" s="59">
        <v>0</v>
      </c>
      <c r="H698" s="59">
        <f>F698*(($H$478)+1)+(IF(G698&lt;101,G698,IF(G698&lt;201,G698/2,IF(G698&lt;=301,G698/3,G698/4))))</f>
        <v>528.05493000000001</v>
      </c>
      <c r="I698" s="60"/>
    </row>
    <row r="699" spans="1:10" s="23" customFormat="1" ht="15.75" customHeight="1">
      <c r="A699" s="151">
        <f t="shared" si="150"/>
        <v>4</v>
      </c>
      <c r="B699" s="152"/>
      <c r="C699" s="59" t="s">
        <v>207</v>
      </c>
      <c r="D699" s="59">
        <f>(9.21+4.13+7.71+1.74+1.35+1.2*1.5+1.2*2.75+0.3*2.2)*10.764</f>
        <v>321.84359999999998</v>
      </c>
      <c r="E699" s="59">
        <f>(0.7*(2.75+3.05))*10.764</f>
        <v>43.70183999999999</v>
      </c>
      <c r="F699" s="59">
        <f>D699+E699</f>
        <v>365.54543999999999</v>
      </c>
      <c r="G699" s="59">
        <v>0</v>
      </c>
      <c r="H699" s="59">
        <f>F699*(($H$478)+1)+(IF(G699&lt;101,G699,IF(G699&lt;201,G699/2,IF(G699&lt;=301,G699/3,G699/4))))</f>
        <v>548.31816000000003</v>
      </c>
      <c r="I699" s="60"/>
    </row>
    <row r="700" spans="1:10" s="23" customFormat="1" ht="15.75" customHeight="1">
      <c r="A700" s="151">
        <f t="shared" si="150"/>
        <v>5</v>
      </c>
      <c r="B700" s="152"/>
      <c r="C700" s="59" t="s">
        <v>203</v>
      </c>
      <c r="D700" s="59">
        <f>(15.44+3.36+4.88+6.72+2.52+2.52+0.9*2.4+0.3*2.4+1*2.8)*10.764</f>
        <v>442.61568</v>
      </c>
      <c r="E700" s="59">
        <f>(0.7*(3.05+2.1+2.4))*10.764</f>
        <v>56.887740000000001</v>
      </c>
      <c r="F700" s="59">
        <f>D700+E700</f>
        <v>499.50342000000001</v>
      </c>
      <c r="G700" s="59">
        <f>(1.2*1.4)*10.764</f>
        <v>18.083519999999996</v>
      </c>
      <c r="H700" s="59">
        <f>F700*(($H$478)+1)+(IF(G700&lt;101,G700,IF(G700&lt;201,G700/2,IF(G700&lt;=301,G700/3,G700/4))))</f>
        <v>767.33865000000003</v>
      </c>
      <c r="I700" s="60"/>
      <c r="J700" s="59">
        <v>10.763999999999999</v>
      </c>
    </row>
    <row r="701" spans="1:10" s="23" customFormat="1">
      <c r="A701" s="148" t="s">
        <v>258</v>
      </c>
      <c r="B701" s="149"/>
      <c r="C701" s="149"/>
      <c r="D701" s="149"/>
      <c r="E701" s="149"/>
      <c r="F701" s="149"/>
      <c r="G701" s="149"/>
      <c r="H701" s="150"/>
      <c r="I701" s="60"/>
    </row>
    <row r="702" spans="1:10" s="23" customFormat="1" ht="15.75" customHeight="1">
      <c r="A702" s="151">
        <v>1</v>
      </c>
      <c r="B702" s="152"/>
      <c r="C702" s="59" t="s">
        <v>203</v>
      </c>
      <c r="D702" s="59">
        <f>(4.6*2.85+3.1+0.9+3*2.1+3*3.05+3.1*3.5+2.1*1.2+2.1*1.2+0.9*2.8)*10.764</f>
        <v>548.6410800000001</v>
      </c>
      <c r="E702" s="59">
        <f>(0.75*(2.1+3.05+4+1.8))*10.764</f>
        <v>88.399349999999998</v>
      </c>
      <c r="F702" s="59">
        <f>D702+E702</f>
        <v>637.04043000000013</v>
      </c>
      <c r="G702" s="59">
        <f>(2.85*1.6)*10.764</f>
        <v>49.083840000000002</v>
      </c>
      <c r="H702" s="59">
        <f>F702*(($H$478)+1)+(IF(G702&lt;101,G702,IF(G702&lt;201,G702/2,IF(G702&lt;=301,G702/3,G702/4))))</f>
        <v>1004.6444850000003</v>
      </c>
      <c r="I702" s="60"/>
    </row>
    <row r="703" spans="1:10" s="23" customFormat="1" ht="15.75" customHeight="1">
      <c r="A703" s="151">
        <f>A702+1</f>
        <v>2</v>
      </c>
      <c r="B703" s="152"/>
      <c r="C703" s="59" t="s">
        <v>207</v>
      </c>
      <c r="D703" s="59">
        <f>(4.05*2.75+2.05*2+3.05+2.75+1.3*1+1.2*1.2+1.8*1)*10.764</f>
        <v>275.31621000000001</v>
      </c>
      <c r="E703" s="59">
        <f>(0.75*(2+2.75))*10.764</f>
        <v>38.34675</v>
      </c>
      <c r="F703" s="59">
        <f>D703+E703</f>
        <v>313.66296</v>
      </c>
      <c r="G703" s="59">
        <f>(2.15*1.7)*10.764</f>
        <v>39.342419999999997</v>
      </c>
      <c r="H703" s="59">
        <f>F703*(($H$478)+1)+(IF(G703&lt;101,G703,IF(G703&lt;201,G703/2,IF(G703&lt;=301,G703/3,G703/4))))</f>
        <v>509.83686</v>
      </c>
      <c r="I703" s="60"/>
    </row>
    <row r="704" spans="1:10" s="23" customFormat="1" ht="15.75" customHeight="1">
      <c r="A704" s="151">
        <f t="shared" ref="A704:A706" si="151">A703+1</f>
        <v>3</v>
      </c>
      <c r="B704" s="152"/>
      <c r="C704" s="59" t="s">
        <v>207</v>
      </c>
      <c r="D704" s="59">
        <f>(4.05*2.75+2.05*2+3.05+2.75+1.3*1+1.2*1.2+1.8*1)*10.764</f>
        <v>275.31621000000001</v>
      </c>
      <c r="E704" s="59">
        <f>(0.75*(2+2.75))*10.764</f>
        <v>38.34675</v>
      </c>
      <c r="F704" s="59">
        <f>D704+E704</f>
        <v>313.66296</v>
      </c>
      <c r="G704" s="59">
        <f>(2.15*1.7)*10.764</f>
        <v>39.342419999999997</v>
      </c>
      <c r="H704" s="59">
        <f>F704*(($H$478)+1)+(IF(G704&lt;101,G704,IF(G704&lt;201,G704/2,IF(G704&lt;=301,G704/3,G704/4))))</f>
        <v>509.83686</v>
      </c>
      <c r="I704" s="60"/>
    </row>
    <row r="705" spans="1:9" s="23" customFormat="1" ht="15.75" customHeight="1">
      <c r="A705" s="151">
        <f t="shared" si="151"/>
        <v>4</v>
      </c>
      <c r="B705" s="152"/>
      <c r="C705" s="59" t="s">
        <v>207</v>
      </c>
      <c r="D705" s="59">
        <f>(4.05*2.75+2.05*2.75+2.75*3.05+1.5*0.9+1.45*1.2+1.2*1.5)*10.764</f>
        <v>323.48510999999996</v>
      </c>
      <c r="E705" s="59">
        <f>(0.75*(2.75+3.05))*10.764</f>
        <v>46.823399999999992</v>
      </c>
      <c r="F705" s="59">
        <f>D705+E705</f>
        <v>370.30850999999996</v>
      </c>
      <c r="G705" s="59">
        <v>0</v>
      </c>
      <c r="H705" s="59">
        <f>F705*(($H$478)+1)+(IF(G705&lt;101,G705,IF(G705&lt;201,G705/2,IF(G705&lt;=301,G705/3,G705/4))))</f>
        <v>555.46276499999999</v>
      </c>
      <c r="I705" s="60"/>
    </row>
    <row r="706" spans="1:9" s="23" customFormat="1" ht="15.75" customHeight="1">
      <c r="A706" s="151">
        <f t="shared" si="151"/>
        <v>5</v>
      </c>
      <c r="B706" s="152"/>
      <c r="C706" s="59" t="s">
        <v>203</v>
      </c>
      <c r="D706" s="59">
        <f>(4.6*2.85+3.1+0.9+3*2.1+3*3.05+3.1*3.5+2.1*1.2+2.1*1.2+0.9*2.8)*10.764</f>
        <v>548.6410800000001</v>
      </c>
      <c r="E706" s="59">
        <f>(0.75*(2.1+3.05+1.75))*10.764</f>
        <v>55.703700000000005</v>
      </c>
      <c r="F706" s="59">
        <f>D706+E706</f>
        <v>604.34478000000013</v>
      </c>
      <c r="G706" s="59">
        <f>(3*2.35)*10.764</f>
        <v>75.886200000000002</v>
      </c>
      <c r="H706" s="59">
        <f>F706*(($H$478)+1)+(IF(G706&lt;101,G706,IF(G706&lt;201,G706/2,IF(G706&lt;=301,G706/3,G706/4))))</f>
        <v>982.40337000000022</v>
      </c>
      <c r="I706" s="60"/>
    </row>
    <row r="707" spans="1:9" s="23" customFormat="1">
      <c r="A707" s="148" t="s">
        <v>259</v>
      </c>
      <c r="B707" s="149"/>
      <c r="C707" s="149"/>
      <c r="D707" s="149"/>
      <c r="E707" s="149"/>
      <c r="F707" s="149"/>
      <c r="G707" s="149"/>
      <c r="H707" s="150"/>
      <c r="I707" s="60"/>
    </row>
    <row r="708" spans="1:9" s="23" customFormat="1" ht="15.75" customHeight="1">
      <c r="A708" s="151">
        <v>1</v>
      </c>
      <c r="B708" s="152"/>
      <c r="C708" s="59" t="s">
        <v>203</v>
      </c>
      <c r="D708" s="59">
        <f>(4.6*2.85+3.1+0.9+3*2.1+3*3.05+3.1*3.5+2.1*1.2+2.1*1.2+0.9*2.8)*10.764</f>
        <v>548.6410800000001</v>
      </c>
      <c r="E708" s="59">
        <f>(0.75*(2.75+2.1+3.05+3.1))*10.764</f>
        <v>88.802999999999997</v>
      </c>
      <c r="F708" s="59">
        <f>D708+E708</f>
        <v>637.4440800000001</v>
      </c>
      <c r="G708" s="59">
        <f>(2.5*1.5)*10.764</f>
        <v>40.364999999999995</v>
      </c>
      <c r="H708" s="59">
        <f>F708*(($H$478)+1)+(IF(G708&lt;101,G708,IF(G708&lt;201,G708/2,IF(G708&lt;=301,G708/3,G708/4))))</f>
        <v>996.5311200000001</v>
      </c>
      <c r="I708" s="60"/>
    </row>
    <row r="709" spans="1:9" s="23" customFormat="1" ht="15.75" customHeight="1">
      <c r="A709" s="151">
        <f>A708+1</f>
        <v>2</v>
      </c>
      <c r="B709" s="152"/>
      <c r="C709" s="59" t="s">
        <v>207</v>
      </c>
      <c r="D709" s="59">
        <f>(4.05*2.75+2.05*2+3.05+2.75+1.3*1+1.2*1.2+1.8*1)*10.764</f>
        <v>275.31621000000001</v>
      </c>
      <c r="E709" s="59">
        <f>(0.75*(1.7+2+2.75))*10.764</f>
        <v>52.07085</v>
      </c>
      <c r="F709" s="59">
        <f>D709+E709</f>
        <v>327.38706000000002</v>
      </c>
      <c r="G709" s="59">
        <v>0</v>
      </c>
      <c r="H709" s="59">
        <f>F709*(($H$478)+1)+(IF(G709&lt;101,G709,IF(G709&lt;201,G709/2,IF(G709&lt;=301,G709/3,G709/4))))</f>
        <v>491.08059000000003</v>
      </c>
      <c r="I709" s="60"/>
    </row>
    <row r="710" spans="1:9" s="23" customFormat="1" ht="15.75" customHeight="1">
      <c r="A710" s="151">
        <f t="shared" ref="A710:A712" si="152">A709+1</f>
        <v>3</v>
      </c>
      <c r="B710" s="152"/>
      <c r="C710" s="59" t="s">
        <v>207</v>
      </c>
      <c r="D710" s="59">
        <f>(4.05*2.75+2.05*2+3.05+2.75+1.3*1+1.2*1.2+1.8*1)*10.764</f>
        <v>275.31621000000001</v>
      </c>
      <c r="E710" s="59">
        <f>(0.75*(1.7+2+2.75))*10.764</f>
        <v>52.07085</v>
      </c>
      <c r="F710" s="59">
        <f>D710+E710</f>
        <v>327.38706000000002</v>
      </c>
      <c r="G710" s="59">
        <v>0</v>
      </c>
      <c r="H710" s="59">
        <f>F710*(($H$478)+1)+(IF(G710&lt;101,G710,IF(G710&lt;201,G710/2,IF(G710&lt;=301,G710/3,G710/4))))</f>
        <v>491.08059000000003</v>
      </c>
      <c r="I710" s="60"/>
    </row>
    <row r="711" spans="1:9" s="23" customFormat="1" ht="15.75" customHeight="1">
      <c r="A711" s="151">
        <f t="shared" si="152"/>
        <v>4</v>
      </c>
      <c r="B711" s="152"/>
      <c r="C711" s="59" t="s">
        <v>207</v>
      </c>
      <c r="D711" s="59">
        <f>(4.05*2.75+2.05*2.75+2.75*3.05+1.5*0.9+1.45*1.2+1.2*1.5)*10.764</f>
        <v>323.48510999999996</v>
      </c>
      <c r="E711" s="59">
        <f>(0.75*(2.75+3.05))*10.764</f>
        <v>46.823399999999992</v>
      </c>
      <c r="F711" s="59">
        <f>D711+E711</f>
        <v>370.30850999999996</v>
      </c>
      <c r="G711" s="59">
        <v>0</v>
      </c>
      <c r="H711" s="59">
        <f>F711*(($H$478)+1)+(IF(G711&lt;101,G711,IF(G711&lt;201,G711/2,IF(G711&lt;=301,G711/3,G711/4))))</f>
        <v>555.46276499999999</v>
      </c>
      <c r="I711" s="60"/>
    </row>
    <row r="712" spans="1:9" s="23" customFormat="1" ht="15.75" customHeight="1">
      <c r="A712" s="151">
        <f t="shared" si="152"/>
        <v>5</v>
      </c>
      <c r="B712" s="152"/>
      <c r="C712" s="59" t="s">
        <v>203</v>
      </c>
      <c r="D712" s="59">
        <f>(4.6*2.85+3.1+0.9+3*2.1+3*3.05+3.1*3.5+2.1*1.2+2.1*1.2+0.9*2.8)*10.764</f>
        <v>548.6410800000001</v>
      </c>
      <c r="E712" s="59">
        <f>(0.75*(2.7+2.1+3.05))*10.764</f>
        <v>63.373049999999999</v>
      </c>
      <c r="F712" s="59">
        <f>D712+E712</f>
        <v>612.01413000000014</v>
      </c>
      <c r="G712" s="59">
        <f>(2*1.75)*10.764</f>
        <v>37.673999999999999</v>
      </c>
      <c r="H712" s="59">
        <f>F712*(($H$478)+1)+(IF(G712&lt;101,G712,IF(G712&lt;201,G712/2,IF(G712&lt;=301,G712/3,G712/4))))</f>
        <v>955.69519500000024</v>
      </c>
      <c r="I712" s="60"/>
    </row>
    <row r="713" spans="1:9" s="23" customFormat="1">
      <c r="A713" s="174" t="s">
        <v>262</v>
      </c>
      <c r="B713" s="175"/>
      <c r="C713" s="175"/>
      <c r="D713" s="175"/>
      <c r="E713" s="175"/>
      <c r="F713" s="175"/>
      <c r="G713" s="175"/>
      <c r="H713" s="176"/>
      <c r="I713" s="60"/>
    </row>
    <row r="714" spans="1:9" s="23" customFormat="1">
      <c r="A714" s="177" t="s">
        <v>263</v>
      </c>
      <c r="B714" s="178"/>
      <c r="C714" s="178"/>
      <c r="D714" s="178"/>
      <c r="E714" s="178"/>
      <c r="F714" s="178"/>
      <c r="G714" s="178"/>
      <c r="H714" s="179"/>
      <c r="I714" s="60"/>
    </row>
    <row r="715" spans="1:9" s="23" customFormat="1">
      <c r="A715" s="148" t="s">
        <v>217</v>
      </c>
      <c r="B715" s="149"/>
      <c r="C715" s="149"/>
      <c r="D715" s="149"/>
      <c r="E715" s="149"/>
      <c r="F715" s="149"/>
      <c r="G715" s="149"/>
      <c r="H715" s="150"/>
      <c r="I715" s="60"/>
    </row>
    <row r="716" spans="1:9" s="23" customFormat="1">
      <c r="A716" s="148" t="s">
        <v>222</v>
      </c>
      <c r="B716" s="149"/>
      <c r="C716" s="149"/>
      <c r="D716" s="149"/>
      <c r="E716" s="149"/>
      <c r="F716" s="149"/>
      <c r="G716" s="149"/>
      <c r="H716" s="150"/>
      <c r="I716" s="60"/>
    </row>
    <row r="717" spans="1:9" s="23" customFormat="1" ht="15.75" customHeight="1">
      <c r="A717" s="151">
        <v>1</v>
      </c>
      <c r="B717" s="152"/>
      <c r="C717" s="59" t="s">
        <v>203</v>
      </c>
      <c r="D717" s="59">
        <f>(10.73+3.3+4.13+6.72+2.52+2.52+1.8*2.2+0.9*1.2+1.2*(2.8+2.75+2.2)+2.5*1.5)*10.764</f>
        <v>516.77963999999986</v>
      </c>
      <c r="E717" s="59">
        <f>(0.7*(2.8+3.4+2.7+2.2+2.5))*10.764</f>
        <v>102.47327999999997</v>
      </c>
      <c r="F717" s="59">
        <f>D717+E717</f>
        <v>619.25291999999979</v>
      </c>
      <c r="G717" s="59">
        <v>0</v>
      </c>
      <c r="H717" s="59">
        <f>F717*(($H$478)+1)+(IF(G717&lt;101,G717,IF(G717&lt;201,G717/2,IF(G717&lt;=301,G717/3,G717/4))))</f>
        <v>928.87937999999963</v>
      </c>
      <c r="I717" s="60"/>
    </row>
    <row r="718" spans="1:9" s="23" customFormat="1" ht="15.75" customHeight="1">
      <c r="A718" s="151">
        <f>A717+1</f>
        <v>2</v>
      </c>
      <c r="B718" s="152"/>
      <c r="C718" s="59" t="s">
        <v>207</v>
      </c>
      <c r="D718" s="59">
        <f>(9.64+5.4+6.6+1.62+1.08+1.2*1.2+1*2.75)*10.764</f>
        <v>307.09692000000001</v>
      </c>
      <c r="E718" s="59">
        <f>(0.7*(2.5+2.75))*10.764</f>
        <v>39.557699999999997</v>
      </c>
      <c r="F718" s="59">
        <f>D718+E718</f>
        <v>346.65462000000002</v>
      </c>
      <c r="G718" s="59">
        <f>(1.8*1.2)*10.764</f>
        <v>23.250240000000002</v>
      </c>
      <c r="H718" s="59">
        <f>F718*(($H$478)+1)+(IF(G718&lt;101,G718,IF(G718&lt;201,G718/2,IF(G718&lt;=301,G718/3,G718/4))))</f>
        <v>543.23217</v>
      </c>
      <c r="I718" s="60"/>
    </row>
    <row r="719" spans="1:9" s="23" customFormat="1" ht="15.75" customHeight="1">
      <c r="A719" s="151">
        <f t="shared" ref="A719:A721" si="153">A718+1</f>
        <v>3</v>
      </c>
      <c r="B719" s="152"/>
      <c r="C719" s="59" t="s">
        <v>207</v>
      </c>
      <c r="D719" s="59">
        <f>(11.14+3.36+8.16+2.52+2.4+1.2*1.7+0.9*0.7+0.9*2.1)*10.764</f>
        <v>345.95495999999991</v>
      </c>
      <c r="E719" s="59">
        <f>(0.7*(2.1+2.75))*10.764</f>
        <v>36.543779999999991</v>
      </c>
      <c r="F719" s="59">
        <f>D719+E719</f>
        <v>382.49873999999988</v>
      </c>
      <c r="G719" s="59">
        <f t="shared" ref="G719:G724" si="154">(2.2*2.5)*10.764</f>
        <v>59.201999999999998</v>
      </c>
      <c r="H719" s="59">
        <f>F719*(($H$478)+1)+(IF(G719&lt;101,G719,IF(G719&lt;201,G719/2,IF(G719&lt;=301,G719/3,G719/4))))</f>
        <v>632.95010999999977</v>
      </c>
      <c r="I719" s="60"/>
    </row>
    <row r="720" spans="1:9" s="23" customFormat="1" ht="15.75" customHeight="1">
      <c r="A720" s="151">
        <f t="shared" si="153"/>
        <v>4</v>
      </c>
      <c r="B720" s="152"/>
      <c r="C720" s="59" t="s">
        <v>207</v>
      </c>
      <c r="D720" s="59">
        <f>(11.14+3.36+8.16+2.52+2.4+1.2*1.7+0.9*0.7+0.9*2.1)*10.764</f>
        <v>345.95495999999991</v>
      </c>
      <c r="E720" s="59">
        <f>(0.7*(2.1+2.75))*10.764</f>
        <v>36.543779999999991</v>
      </c>
      <c r="F720" s="59">
        <f>D720+E720</f>
        <v>382.49873999999988</v>
      </c>
      <c r="G720" s="59">
        <f t="shared" si="154"/>
        <v>59.201999999999998</v>
      </c>
      <c r="H720" s="59">
        <f>F720*(($H$478)+1)+(IF(G720&lt;101,G720,IF(G720&lt;201,G720/2,IF(G720&lt;=301,G720/3,G720/4))))</f>
        <v>632.95010999999977</v>
      </c>
      <c r="I720" s="60"/>
    </row>
    <row r="721" spans="1:9" s="23" customFormat="1" ht="15.75" customHeight="1">
      <c r="A721" s="151">
        <f t="shared" si="153"/>
        <v>5</v>
      </c>
      <c r="B721" s="152"/>
      <c r="C721" s="59" t="s">
        <v>207</v>
      </c>
      <c r="D721" s="59">
        <f>(11.13+3.52+6.6+2.52+2.84+0.9*1.5+0.9*(2.2+2.75))*10.764</f>
        <v>348.91505999999998</v>
      </c>
      <c r="E721" s="59">
        <f>(0.7*(2.2+2.75))*10.764</f>
        <v>37.297259999999994</v>
      </c>
      <c r="F721" s="59">
        <f>D721+E721</f>
        <v>386.21231999999998</v>
      </c>
      <c r="G721" s="59">
        <f t="shared" si="154"/>
        <v>59.201999999999998</v>
      </c>
      <c r="H721" s="59">
        <f>F721*(($H$478)+1)+(IF(G721&lt;101,G721,IF(G721&lt;201,G721/2,IF(G721&lt;=301,G721/3,G721/4))))</f>
        <v>638.52047999999991</v>
      </c>
      <c r="I721" s="60"/>
    </row>
    <row r="722" spans="1:9" s="23" customFormat="1" ht="15.75" customHeight="1">
      <c r="A722" s="151">
        <f t="shared" ref="A722:A726" si="155">A721+1</f>
        <v>6</v>
      </c>
      <c r="B722" s="152"/>
      <c r="C722" s="59" t="s">
        <v>207</v>
      </c>
      <c r="D722" s="59">
        <f>(11.13+3.52+6.6+2.52+2.84+0.9*1.5+0.9*(2.2+2.75))*10.764</f>
        <v>348.91505999999998</v>
      </c>
      <c r="E722" s="59">
        <f>(0.7*(2.2+2.75))*10.764</f>
        <v>37.297259999999994</v>
      </c>
      <c r="F722" s="59">
        <f t="shared" ref="F722:F726" si="156">D722+E722</f>
        <v>386.21231999999998</v>
      </c>
      <c r="G722" s="59">
        <f t="shared" si="154"/>
        <v>59.201999999999998</v>
      </c>
      <c r="H722" s="59">
        <f t="shared" ref="H722:H726" si="157">F722*(($H$478)+1)+(IF(G722&lt;101,G722,IF(G722&lt;201,G722/2,IF(G722&lt;=301,G722/3,G722/4))))</f>
        <v>638.52047999999991</v>
      </c>
      <c r="I722" s="60"/>
    </row>
    <row r="723" spans="1:9" s="23" customFormat="1" ht="15.75" customHeight="1">
      <c r="A723" s="151">
        <f t="shared" si="155"/>
        <v>7</v>
      </c>
      <c r="B723" s="152"/>
      <c r="C723" s="59" t="s">
        <v>207</v>
      </c>
      <c r="D723" s="59">
        <f>(11.14+3.36+8.16+2.52+2.4+1.2*1.7+0.9*0.7+0.9*2.1)*10.764</f>
        <v>345.95495999999991</v>
      </c>
      <c r="E723" s="59">
        <f>(0.7*(2.1+2.75))*10.764</f>
        <v>36.543779999999991</v>
      </c>
      <c r="F723" s="59">
        <f t="shared" si="156"/>
        <v>382.49873999999988</v>
      </c>
      <c r="G723" s="59">
        <f t="shared" si="154"/>
        <v>59.201999999999998</v>
      </c>
      <c r="H723" s="59">
        <f t="shared" si="157"/>
        <v>632.95010999999977</v>
      </c>
      <c r="I723" s="60"/>
    </row>
    <row r="724" spans="1:9" s="23" customFormat="1" ht="15.75" customHeight="1">
      <c r="A724" s="151">
        <f t="shared" si="155"/>
        <v>8</v>
      </c>
      <c r="B724" s="152"/>
      <c r="C724" s="59" t="s">
        <v>207</v>
      </c>
      <c r="D724" s="59">
        <f>(11.14+3.36+8.16+2.52+2.4+1.2*1.7+0.9*0.7+0.9*2.1)*10.764</f>
        <v>345.95495999999991</v>
      </c>
      <c r="E724" s="59">
        <f>(0.7*(2.1+2.75))*10.764</f>
        <v>36.543779999999991</v>
      </c>
      <c r="F724" s="59">
        <f t="shared" si="156"/>
        <v>382.49873999999988</v>
      </c>
      <c r="G724" s="59">
        <f t="shared" si="154"/>
        <v>59.201999999999998</v>
      </c>
      <c r="H724" s="59">
        <f t="shared" si="157"/>
        <v>632.95010999999977</v>
      </c>
      <c r="I724" s="60"/>
    </row>
    <row r="725" spans="1:9" s="23" customFormat="1" ht="15.75" customHeight="1">
      <c r="A725" s="151">
        <f t="shared" si="155"/>
        <v>9</v>
      </c>
      <c r="B725" s="152"/>
      <c r="C725" s="59" t="s">
        <v>207</v>
      </c>
      <c r="D725" s="59">
        <f>(9.64+5.4+6.6+1.62+1.08+1.2*1.2+1*2.75)*10.764</f>
        <v>307.09692000000001</v>
      </c>
      <c r="E725" s="59">
        <f>(0.7*(2.5+2.75))*10.764</f>
        <v>39.557699999999997</v>
      </c>
      <c r="F725" s="59">
        <f t="shared" si="156"/>
        <v>346.65462000000002</v>
      </c>
      <c r="G725" s="59">
        <f>(1.8*1.2)*10.764</f>
        <v>23.250240000000002</v>
      </c>
      <c r="H725" s="59">
        <f t="shared" si="157"/>
        <v>543.23217</v>
      </c>
      <c r="I725" s="60"/>
    </row>
    <row r="726" spans="1:9" s="23" customFormat="1" ht="15.75" customHeight="1">
      <c r="A726" s="151">
        <f t="shared" si="155"/>
        <v>10</v>
      </c>
      <c r="B726" s="152"/>
      <c r="C726" s="59" t="s">
        <v>203</v>
      </c>
      <c r="D726" s="59">
        <f>(10.73+3.3+4.13+6.72+2.52+2.52+1.8*2.2+0.9*1.2+1.2*(2.8+2.75+2.2)+2.5*1.5)*10.764</f>
        <v>516.77963999999986</v>
      </c>
      <c r="E726" s="59">
        <f>(0.7*(2.8+3.4+2.7+2.2+2.5))*10.764</f>
        <v>102.47327999999997</v>
      </c>
      <c r="F726" s="59">
        <f t="shared" si="156"/>
        <v>619.25291999999979</v>
      </c>
      <c r="G726" s="59">
        <v>0</v>
      </c>
      <c r="H726" s="59">
        <f t="shared" si="157"/>
        <v>928.87937999999963</v>
      </c>
      <c r="I726" s="60"/>
    </row>
    <row r="727" spans="1:9" s="23" customFormat="1">
      <c r="A727" s="148" t="s">
        <v>223</v>
      </c>
      <c r="B727" s="149"/>
      <c r="C727" s="149"/>
      <c r="D727" s="149"/>
      <c r="E727" s="149"/>
      <c r="F727" s="149"/>
      <c r="G727" s="149"/>
      <c r="H727" s="150"/>
      <c r="I727" s="60"/>
    </row>
    <row r="728" spans="1:9" s="23" customFormat="1" ht="15.75" customHeight="1">
      <c r="A728" s="151">
        <v>1</v>
      </c>
      <c r="B728" s="152"/>
      <c r="C728" s="59" t="s">
        <v>203</v>
      </c>
      <c r="D728" s="59">
        <f>(10.736+3.3+4.13+6.72+2.2+2.52+2.2*1.7+0.9*1.2+1.2*(2.8+2.75+2.2)+2.5*1.5+0.3*2.4)*10.764</f>
        <v>518.78174399999989</v>
      </c>
      <c r="E728" s="59">
        <f>(0.7*(2.8+3.4+2.7+2.2+2.5))*10.764</f>
        <v>102.47327999999997</v>
      </c>
      <c r="F728" s="59">
        <f>D728+E728</f>
        <v>621.25502399999982</v>
      </c>
      <c r="G728" s="59">
        <v>0</v>
      </c>
      <c r="H728" s="59">
        <f>F728*(($H$478)+1)+(IF(G728&lt;101,G728,IF(G728&lt;201,G728/2,IF(G728&lt;=301,G728/3,G728/4))))</f>
        <v>931.88253599999973</v>
      </c>
      <c r="I728" s="60"/>
    </row>
    <row r="729" spans="1:9" s="23" customFormat="1" ht="15.75" customHeight="1">
      <c r="A729" s="151">
        <f>A728+1</f>
        <v>2</v>
      </c>
      <c r="B729" s="152"/>
      <c r="C729" s="59" t="s">
        <v>207</v>
      </c>
      <c r="D729" s="59">
        <f>(9.64+5.4+6.6+1.62+1.08+1.2*1.2+2.2*0.3+0.9*2.75+0.3*2.3)*10.764</f>
        <v>318.66822000000008</v>
      </c>
      <c r="E729" s="59">
        <f>(0.7*(2.35+2.75+1.7))*10.764</f>
        <v>51.236639999999994</v>
      </c>
      <c r="F729" s="59">
        <f>D729+E729</f>
        <v>369.9048600000001</v>
      </c>
      <c r="G729" s="59">
        <v>0</v>
      </c>
      <c r="H729" s="59">
        <f>F729*(($H$478)+1)+(IF(G729&lt;101,G729,IF(G729&lt;201,G729/2,IF(G729&lt;=301,G729/3,G729/4))))</f>
        <v>554.85729000000015</v>
      </c>
      <c r="I729" s="60"/>
    </row>
    <row r="730" spans="1:9" s="23" customFormat="1" ht="15.75" customHeight="1">
      <c r="A730" s="151">
        <f t="shared" ref="A730:A732" si="158">A729+1</f>
        <v>3</v>
      </c>
      <c r="B730" s="152"/>
      <c r="C730" s="59" t="s">
        <v>207</v>
      </c>
      <c r="D730" s="59">
        <f>(11.14+3.36+8.16+2.52+2.4+1.2*1.7+0.9*0.7+0.45*2.2+0.9*2.1)*10.764</f>
        <v>356.61131999999992</v>
      </c>
      <c r="E730" s="59">
        <f>(0.7*(2.75+2.1+2.75))*10.764</f>
        <v>57.264479999999992</v>
      </c>
      <c r="F730" s="59">
        <f>D730+E730</f>
        <v>413.87579999999991</v>
      </c>
      <c r="G730" s="59">
        <v>0</v>
      </c>
      <c r="H730" s="59">
        <f>F730*(($H$478)+1)+(IF(G730&lt;101,G730,IF(G730&lt;201,G730/2,IF(G730&lt;=301,G730/3,G730/4))))</f>
        <v>620.81369999999993</v>
      </c>
      <c r="I730" s="60"/>
    </row>
    <row r="731" spans="1:9" s="23" customFormat="1" ht="15.75" customHeight="1">
      <c r="A731" s="151">
        <f t="shared" si="158"/>
        <v>4</v>
      </c>
      <c r="B731" s="152"/>
      <c r="C731" s="59" t="s">
        <v>207</v>
      </c>
      <c r="D731" s="59">
        <f>(11.14+3.36+8.16+2.52+2.4+1.2*1.7+0.9*0.7+0.45*2.2+0.9*2.1)*10.764</f>
        <v>356.61131999999992</v>
      </c>
      <c r="E731" s="59">
        <f>(0.7*(2.75+2.1+2.75))*10.764</f>
        <v>57.264479999999992</v>
      </c>
      <c r="F731" s="59">
        <f>D731+E731</f>
        <v>413.87579999999991</v>
      </c>
      <c r="G731" s="59">
        <v>0</v>
      </c>
      <c r="H731" s="59">
        <f>F731*(($H$478)+1)+(IF(G731&lt;101,G731,IF(G731&lt;201,G731/2,IF(G731&lt;=301,G731/3,G731/4))))</f>
        <v>620.81369999999993</v>
      </c>
      <c r="I731" s="60"/>
    </row>
    <row r="732" spans="1:9" s="23" customFormat="1" ht="15.75" customHeight="1">
      <c r="A732" s="151">
        <f t="shared" si="158"/>
        <v>5</v>
      </c>
      <c r="B732" s="152"/>
      <c r="C732" s="59" t="s">
        <v>207</v>
      </c>
      <c r="D732" s="59">
        <f>(11.13+3.2+6.6+2.52+2.84+0.9*1.5+0.9*(2.2+2.75))*10.764</f>
        <v>345.47057999999998</v>
      </c>
      <c r="E732" s="59">
        <f>(0.7*(2.75+2.2+2.75))*10.764</f>
        <v>58.017959999999995</v>
      </c>
      <c r="F732" s="59">
        <f>D732+E732</f>
        <v>403.48854</v>
      </c>
      <c r="G732" s="59">
        <v>0</v>
      </c>
      <c r="H732" s="59">
        <f>F732*(($H$478)+1)+(IF(G732&lt;101,G732,IF(G732&lt;201,G732/2,IF(G732&lt;=301,G732/3,G732/4))))</f>
        <v>605.23280999999997</v>
      </c>
      <c r="I732" s="60"/>
    </row>
    <row r="733" spans="1:9" s="23" customFormat="1" ht="15.75" customHeight="1">
      <c r="A733" s="151">
        <f t="shared" ref="A733:A737" si="159">A732+1</f>
        <v>6</v>
      </c>
      <c r="B733" s="152"/>
      <c r="C733" s="59" t="s">
        <v>207</v>
      </c>
      <c r="D733" s="59">
        <f>(11.13+3.2+6.6+2.52+2.84+0.9*1.5+0.9*(2.2+2.75))*10.764</f>
        <v>345.47057999999998</v>
      </c>
      <c r="E733" s="59">
        <f>(0.7*(2.75+2.2+2.75))*10.764</f>
        <v>58.017959999999995</v>
      </c>
      <c r="F733" s="59">
        <f t="shared" ref="F733:F737" si="160">D733+E733</f>
        <v>403.48854</v>
      </c>
      <c r="G733" s="59">
        <v>0</v>
      </c>
      <c r="H733" s="59">
        <f t="shared" ref="H733:H737" si="161">F733*(($H$478)+1)+(IF(G733&lt;101,G733,IF(G733&lt;201,G733/2,IF(G733&lt;=301,G733/3,G733/4))))</f>
        <v>605.23280999999997</v>
      </c>
      <c r="I733" s="60"/>
    </row>
    <row r="734" spans="1:9" s="23" customFormat="1" ht="15.75" customHeight="1">
      <c r="A734" s="151">
        <f t="shared" si="159"/>
        <v>7</v>
      </c>
      <c r="B734" s="152"/>
      <c r="C734" s="59" t="s">
        <v>207</v>
      </c>
      <c r="D734" s="59">
        <f>(11.14+3.36+8.16+2.52+2.4+1.2*1.7+0.9*0.7+0.45*2.2+0.9*2.1)*10.764</f>
        <v>356.61131999999992</v>
      </c>
      <c r="E734" s="59">
        <f>(0.7*(2.75+2.1+2.75))*10.764</f>
        <v>57.264479999999992</v>
      </c>
      <c r="F734" s="59">
        <f t="shared" si="160"/>
        <v>413.87579999999991</v>
      </c>
      <c r="G734" s="59">
        <v>0</v>
      </c>
      <c r="H734" s="59">
        <f t="shared" si="161"/>
        <v>620.81369999999993</v>
      </c>
      <c r="I734" s="60"/>
    </row>
    <row r="735" spans="1:9" s="23" customFormat="1" ht="15.75" customHeight="1">
      <c r="A735" s="151">
        <f t="shared" si="159"/>
        <v>8</v>
      </c>
      <c r="B735" s="152"/>
      <c r="C735" s="59" t="s">
        <v>207</v>
      </c>
      <c r="D735" s="59">
        <f>(11.14+3.36+8.16+2.52+2.4+1.2*1.7+0.9*0.7+0.45*2.2+0.9*2.1)*10.764</f>
        <v>356.61131999999992</v>
      </c>
      <c r="E735" s="59">
        <f>(0.7*(2.75+2.1+2.75))*10.764</f>
        <v>57.264479999999992</v>
      </c>
      <c r="F735" s="59">
        <f t="shared" si="160"/>
        <v>413.87579999999991</v>
      </c>
      <c r="G735" s="59">
        <v>0</v>
      </c>
      <c r="H735" s="59">
        <f t="shared" si="161"/>
        <v>620.81369999999993</v>
      </c>
      <c r="I735" s="60"/>
    </row>
    <row r="736" spans="1:9" s="23" customFormat="1" ht="15.75" customHeight="1">
      <c r="A736" s="151">
        <f t="shared" si="159"/>
        <v>9</v>
      </c>
      <c r="B736" s="152"/>
      <c r="C736" s="59" t="s">
        <v>207</v>
      </c>
      <c r="D736" s="59">
        <f>(9.64+5.4+6.6+1.62+1.08+1.2*1.2+2.2*0.3+0.9*2.75+0.3*2.3)*10.764</f>
        <v>318.66822000000008</v>
      </c>
      <c r="E736" s="59">
        <f>(0.7*(2.35+2.75+1.7))*10.764</f>
        <v>51.236639999999994</v>
      </c>
      <c r="F736" s="59">
        <f t="shared" si="160"/>
        <v>369.9048600000001</v>
      </c>
      <c r="G736" s="59">
        <v>0</v>
      </c>
      <c r="H736" s="59">
        <f t="shared" si="161"/>
        <v>554.85729000000015</v>
      </c>
      <c r="I736" s="60"/>
    </row>
    <row r="737" spans="1:11" s="23" customFormat="1" ht="15.75" customHeight="1">
      <c r="A737" s="151">
        <f t="shared" si="159"/>
        <v>10</v>
      </c>
      <c r="B737" s="152"/>
      <c r="C737" s="59" t="s">
        <v>203</v>
      </c>
      <c r="D737" s="59">
        <f>(10.736+3.3+4.13+6.72+2.2+2.52+2.2*1.7+0.9*1.2+1.2*(2.8+2.75+2.2)+2.5*1.5+0.3*2.4)*10.764</f>
        <v>518.78174399999989</v>
      </c>
      <c r="E737" s="59">
        <f>(0.7*(2.8+3.4+2.7+2.2+2.5))*10.764</f>
        <v>102.47327999999997</v>
      </c>
      <c r="F737" s="59">
        <f t="shared" si="160"/>
        <v>621.25502399999982</v>
      </c>
      <c r="G737" s="59">
        <v>0</v>
      </c>
      <c r="H737" s="59">
        <f t="shared" si="161"/>
        <v>931.88253599999973</v>
      </c>
      <c r="I737" s="60"/>
    </row>
    <row r="738" spans="1:11" s="23" customFormat="1">
      <c r="A738" s="148" t="s">
        <v>220</v>
      </c>
      <c r="B738" s="149"/>
      <c r="C738" s="149"/>
      <c r="D738" s="149"/>
      <c r="E738" s="149"/>
      <c r="F738" s="149"/>
      <c r="G738" s="149"/>
      <c r="H738" s="150"/>
      <c r="I738" s="60"/>
    </row>
    <row r="739" spans="1:11" s="23" customFormat="1" ht="15.75" customHeight="1">
      <c r="A739" s="151">
        <v>1</v>
      </c>
      <c r="B739" s="152"/>
      <c r="C739" s="59" t="s">
        <v>203</v>
      </c>
      <c r="D739" s="59">
        <f>(10.73+3.3+4.13+6.72+2.52+2.52+1.8*2.2+0.9*1.2+1.2*(2.8+2.75+2.2)+2.5*1.5)*10.764</f>
        <v>516.77963999999986</v>
      </c>
      <c r="E739" s="59">
        <f>(0.7*(2.8+3.4+2.7+2.2+2.5))*10.764</f>
        <v>102.47327999999997</v>
      </c>
      <c r="F739" s="59">
        <f>D739+E739</f>
        <v>619.25291999999979</v>
      </c>
      <c r="G739" s="59">
        <v>0</v>
      </c>
      <c r="H739" s="59">
        <f>F739*(($H$478)+1)+(IF(G739&lt;101,G739,IF(G739&lt;201,G739/2,IF(G739&lt;=301,G739/3,G739/4))))</f>
        <v>928.87937999999963</v>
      </c>
      <c r="I739" s="60"/>
    </row>
    <row r="740" spans="1:11" s="23" customFormat="1" ht="15.75" customHeight="1">
      <c r="A740" s="151">
        <f>A739+1</f>
        <v>2</v>
      </c>
      <c r="B740" s="152"/>
      <c r="C740" s="59" t="s">
        <v>207</v>
      </c>
      <c r="D740" s="59">
        <f>(9.64+5.4+6.6+1.62+1.08+1.2*1.2+1*2.75)*10.764</f>
        <v>307.09692000000001</v>
      </c>
      <c r="E740" s="59">
        <f>(0.7*(2.5+2.75+1.7))*10.764</f>
        <v>52.366860000000003</v>
      </c>
      <c r="F740" s="59">
        <f>D740+E740</f>
        <v>359.46378000000004</v>
      </c>
      <c r="G740" s="59">
        <v>0</v>
      </c>
      <c r="H740" s="59">
        <f>F740*(($H$478)+1)+(IF(G740&lt;101,G740,IF(G740&lt;201,G740/2,IF(G740&lt;=301,G740/3,G740/4))))</f>
        <v>539.19567000000006</v>
      </c>
      <c r="I740" s="60"/>
    </row>
    <row r="741" spans="1:11" s="23" customFormat="1" ht="15.75" customHeight="1">
      <c r="A741" s="151">
        <f t="shared" ref="A741:A748" si="162">A740+1</f>
        <v>3</v>
      </c>
      <c r="B741" s="152"/>
      <c r="C741" s="59" t="s">
        <v>207</v>
      </c>
      <c r="D741" s="59">
        <f>(11.14+3.36+8.16+2.52+2.4+1.2*1.7+0.9*0.7+0.9*2.1)*10.764</f>
        <v>345.95495999999991</v>
      </c>
      <c r="E741" s="59">
        <f>(0.7*(2.1+2.75+2.75))*10.764</f>
        <v>57.264479999999992</v>
      </c>
      <c r="F741" s="59">
        <f>D741+E741</f>
        <v>403.21943999999991</v>
      </c>
      <c r="G741" s="59">
        <v>0</v>
      </c>
      <c r="H741" s="59">
        <f>F741*(($H$478)+1)+(IF(G741&lt;101,G741,IF(G741&lt;201,G741/2,IF(G741&lt;=301,G741/3,G741/4))))</f>
        <v>604.82915999999989</v>
      </c>
      <c r="I741" s="60"/>
    </row>
    <row r="742" spans="1:11" s="23" customFormat="1" ht="15.75" customHeight="1">
      <c r="A742" s="151">
        <f t="shared" si="162"/>
        <v>4</v>
      </c>
      <c r="B742" s="152"/>
      <c r="C742" s="59" t="s">
        <v>207</v>
      </c>
      <c r="D742" s="59">
        <f>(11.14+3.36+8.16+2.52+2.4+1.2*1.7+0.9*0.7+0.9*2.1)*10.764</f>
        <v>345.95495999999991</v>
      </c>
      <c r="E742" s="59">
        <f>(0.7*(2.1+2.75+2.75))*10.764</f>
        <v>57.264479999999992</v>
      </c>
      <c r="F742" s="59">
        <f>D742+E742</f>
        <v>403.21943999999991</v>
      </c>
      <c r="G742" s="59">
        <v>0</v>
      </c>
      <c r="H742" s="59">
        <f>F742*(($H$478)+1)+(IF(G742&lt;101,G742,IF(G742&lt;201,G742/2,IF(G742&lt;=301,G742/3,G742/4))))</f>
        <v>604.82915999999989</v>
      </c>
      <c r="I742" s="60"/>
    </row>
    <row r="743" spans="1:11" s="23" customFormat="1" ht="15.75" customHeight="1">
      <c r="A743" s="151">
        <f t="shared" si="162"/>
        <v>5</v>
      </c>
      <c r="B743" s="152"/>
      <c r="C743" s="59" t="s">
        <v>207</v>
      </c>
      <c r="D743" s="59">
        <f>(11.13+3.52+6.6+2.52+2.84+0.9*1.5+0.9*(2.2+2.75))*10.764</f>
        <v>348.91505999999998</v>
      </c>
      <c r="E743" s="59">
        <f>(0.7*(2.2+2.75+2.75))*10.764</f>
        <v>58.017959999999995</v>
      </c>
      <c r="F743" s="59">
        <f>D743+E743</f>
        <v>406.93302</v>
      </c>
      <c r="G743" s="59">
        <v>0</v>
      </c>
      <c r="H743" s="59">
        <f>F743*(($H$478)+1)+(IF(G743&lt;101,G743,IF(G743&lt;201,G743/2,IF(G743&lt;=301,G743/3,G743/4))))</f>
        <v>610.39953000000003</v>
      </c>
      <c r="I743" s="60"/>
    </row>
    <row r="744" spans="1:11" s="23" customFormat="1" ht="15.75" customHeight="1">
      <c r="A744" s="151">
        <f t="shared" si="162"/>
        <v>6</v>
      </c>
      <c r="B744" s="152"/>
      <c r="C744" s="59" t="s">
        <v>207</v>
      </c>
      <c r="D744" s="59">
        <f>(11.13+3.52+6.6+2.52+2.84+0.9*1.5+0.9*(2.2+2.75))*10.764</f>
        <v>348.91505999999998</v>
      </c>
      <c r="E744" s="59">
        <f>(0.7*(2.2+2.75+2.75))*10.764</f>
        <v>58.017959999999995</v>
      </c>
      <c r="F744" s="59">
        <f t="shared" ref="F744:F748" si="163">D744+E744</f>
        <v>406.93302</v>
      </c>
      <c r="G744" s="59">
        <v>0</v>
      </c>
      <c r="H744" s="59">
        <f t="shared" ref="H744:H748" si="164">F744*(($H$478)+1)+(IF(G744&lt;101,G744,IF(G744&lt;201,G744/2,IF(G744&lt;=301,G744/3,G744/4))))</f>
        <v>610.39953000000003</v>
      </c>
      <c r="I744" s="60"/>
    </row>
    <row r="745" spans="1:11" s="23" customFormat="1" ht="15.75" customHeight="1">
      <c r="A745" s="151">
        <f t="shared" si="162"/>
        <v>7</v>
      </c>
      <c r="B745" s="152"/>
      <c r="C745" s="59" t="s">
        <v>207</v>
      </c>
      <c r="D745" s="59">
        <f>(11.14+3.36+8.16+2.52+2.4+1.2*1.7+0.9*0.7+0.9*2.1)*10.764</f>
        <v>345.95495999999991</v>
      </c>
      <c r="E745" s="59">
        <f>(0.7*(2.1+2.75+2.75))*10.764</f>
        <v>57.264479999999992</v>
      </c>
      <c r="F745" s="59">
        <f t="shared" si="163"/>
        <v>403.21943999999991</v>
      </c>
      <c r="G745" s="59">
        <v>0</v>
      </c>
      <c r="H745" s="59">
        <f t="shared" si="164"/>
        <v>604.82915999999989</v>
      </c>
      <c r="I745" s="60"/>
    </row>
    <row r="746" spans="1:11" s="23" customFormat="1" ht="15.75" customHeight="1">
      <c r="A746" s="151">
        <f t="shared" si="162"/>
        <v>8</v>
      </c>
      <c r="B746" s="152"/>
      <c r="C746" s="59" t="s">
        <v>207</v>
      </c>
      <c r="D746" s="59">
        <f>(11.14+3.36+8.16+2.52+2.4+1.2*1.7+0.9*0.7+0.9*2.1)*10.764</f>
        <v>345.95495999999991</v>
      </c>
      <c r="E746" s="59">
        <f>(0.7*(2.1+2.75+2.75))*10.764</f>
        <v>57.264479999999992</v>
      </c>
      <c r="F746" s="59">
        <f t="shared" si="163"/>
        <v>403.21943999999991</v>
      </c>
      <c r="G746" s="59">
        <v>0</v>
      </c>
      <c r="H746" s="59">
        <f t="shared" si="164"/>
        <v>604.82915999999989</v>
      </c>
      <c r="I746" s="60"/>
    </row>
    <row r="747" spans="1:11" s="23" customFormat="1" ht="15.75" customHeight="1">
      <c r="A747" s="151">
        <f t="shared" si="162"/>
        <v>9</v>
      </c>
      <c r="B747" s="152"/>
      <c r="C747" s="59" t="s">
        <v>207</v>
      </c>
      <c r="D747" s="59">
        <f>(9.64+5.4+6.6+1.62+1.08+1.2*1.2+1*2.75)*10.764</f>
        <v>307.09692000000001</v>
      </c>
      <c r="E747" s="59">
        <f>(0.7*(2.5+2.75+1.7))*10.764</f>
        <v>52.366860000000003</v>
      </c>
      <c r="F747" s="59">
        <f t="shared" si="163"/>
        <v>359.46378000000004</v>
      </c>
      <c r="G747" s="59">
        <v>0</v>
      </c>
      <c r="H747" s="59">
        <f t="shared" si="164"/>
        <v>539.19567000000006</v>
      </c>
      <c r="I747" s="60"/>
      <c r="K747" s="59">
        <v>10.763999999999999</v>
      </c>
    </row>
    <row r="748" spans="1:11" s="23" customFormat="1" ht="15.75" customHeight="1">
      <c r="A748" s="151">
        <f t="shared" si="162"/>
        <v>10</v>
      </c>
      <c r="B748" s="152"/>
      <c r="C748" s="59" t="s">
        <v>203</v>
      </c>
      <c r="D748" s="59">
        <f>(10.73+3.3+4.13+6.72+2.52+2.52+1.8*2.2+0.9*1.2+1.2*(2.8+2.75+2.2)+2.5*1.5)*10.764</f>
        <v>516.77963999999986</v>
      </c>
      <c r="E748" s="59">
        <f>(0.7*(2.8+3.4+2.7+2.2+2.5))*10.764</f>
        <v>102.47327999999997</v>
      </c>
      <c r="F748" s="59">
        <f t="shared" si="163"/>
        <v>619.25291999999979</v>
      </c>
      <c r="G748" s="59">
        <v>0</v>
      </c>
      <c r="H748" s="59">
        <f t="shared" si="164"/>
        <v>928.87937999999963</v>
      </c>
      <c r="I748" s="60"/>
    </row>
    <row r="749" spans="1:11" s="23" customFormat="1">
      <c r="A749" s="148" t="s">
        <v>258</v>
      </c>
      <c r="B749" s="149"/>
      <c r="C749" s="149"/>
      <c r="D749" s="149"/>
      <c r="E749" s="149"/>
      <c r="F749" s="149"/>
      <c r="G749" s="149"/>
      <c r="H749" s="150"/>
      <c r="I749" s="60"/>
    </row>
    <row r="750" spans="1:11" s="23" customFormat="1" ht="15.75" customHeight="1">
      <c r="A750" s="151">
        <v>1</v>
      </c>
      <c r="B750" s="152"/>
      <c r="C750" s="59" t="s">
        <v>203</v>
      </c>
      <c r="D750" s="59">
        <f>(3.75*4.05+2.2*2.75+2.75*2.75+3.65*3.1+1.2*2.1+1.2*2.1+0.9*1.4+1.2*1.8)*10.764</f>
        <v>522.86130000000003</v>
      </c>
      <c r="E750" s="59">
        <f>(0.75*(2.7+2.2+3.6+2.75+2.9))*10.764</f>
        <v>114.23295</v>
      </c>
      <c r="F750" s="59">
        <f>D750+E750</f>
        <v>637.09424999999999</v>
      </c>
      <c r="G750" s="59">
        <v>0</v>
      </c>
      <c r="H750" s="59">
        <f>F750*(($H$478)+1)+(IF(G750&lt;101,G750,IF(G750&lt;201,G750/2,IF(G750&lt;=301,G750/3,G750/4))))</f>
        <v>955.64137499999993</v>
      </c>
      <c r="I750" s="60"/>
    </row>
    <row r="751" spans="1:11" s="23" customFormat="1" ht="15.75" customHeight="1">
      <c r="A751" s="151">
        <f>A750+1</f>
        <v>2</v>
      </c>
      <c r="B751" s="152"/>
      <c r="C751" s="59" t="s">
        <v>207</v>
      </c>
      <c r="D751" s="59">
        <f>(2.75*4.05+2.65*2.3+2.75*3.05+1.35*1.2+1.2*0.9*1.2*1.2)*10.764</f>
        <v>309.95153279999994</v>
      </c>
      <c r="E751" s="59">
        <f>(0.75*(2.65+2.75))*10.764</f>
        <v>43.594200000000008</v>
      </c>
      <c r="F751" s="59">
        <f>D751+E751</f>
        <v>353.54573279999994</v>
      </c>
      <c r="G751" s="59">
        <f>(1.85*1.3)*10.764</f>
        <v>25.887420000000002</v>
      </c>
      <c r="H751" s="59">
        <f>F751*(($H$478)+1)+(IF(G751&lt;101,G751,IF(G751&lt;201,G751/2,IF(G751&lt;=301,G751/3,G751/4))))</f>
        <v>556.2060191999999</v>
      </c>
      <c r="I751" s="60"/>
    </row>
    <row r="752" spans="1:11" s="23" customFormat="1" ht="15.75" customHeight="1">
      <c r="A752" s="151">
        <f t="shared" ref="A752:A759" si="165">A751+1</f>
        <v>3</v>
      </c>
      <c r="B752" s="152"/>
      <c r="C752" s="59" t="s">
        <v>207</v>
      </c>
      <c r="D752" s="59">
        <f>(2.75*4.05+2.1*2.2+2.75*3.2+1.2*2+1.2*2.1+0.9*1.4+1.2*1.8)*10.764</f>
        <v>354.10868999999997</v>
      </c>
      <c r="E752" s="59">
        <f>(0.75*(2.1+2.75))*10.764</f>
        <v>39.154049999999998</v>
      </c>
      <c r="F752" s="59">
        <f>D752+E752</f>
        <v>393.26273999999995</v>
      </c>
      <c r="G752" s="59">
        <f>(2.9*2.3)*10.764</f>
        <v>71.795879999999983</v>
      </c>
      <c r="H752" s="59">
        <f>F752*(($H$478)+1)+(IF(G752&lt;101,G752,IF(G752&lt;201,G752/2,IF(G752&lt;=301,G752/3,G752/4))))</f>
        <v>661.68998999999997</v>
      </c>
      <c r="I752" s="60"/>
    </row>
    <row r="753" spans="1:9" s="23" customFormat="1" ht="15.75" customHeight="1">
      <c r="A753" s="151">
        <f t="shared" si="165"/>
        <v>4</v>
      </c>
      <c r="B753" s="152"/>
      <c r="C753" s="59" t="s">
        <v>207</v>
      </c>
      <c r="D753" s="59">
        <f>(2.75*4.05+2.1*2.2+2.75*3.2+1.2*2+1.2*2.1+0.9*1.4+1.2*1.8)*10.764</f>
        <v>354.10868999999997</v>
      </c>
      <c r="E753" s="59">
        <f>(0.75*(2.1+2.75))*10.764</f>
        <v>39.154049999999998</v>
      </c>
      <c r="F753" s="59">
        <f>D753+E753</f>
        <v>393.26273999999995</v>
      </c>
      <c r="G753" s="59">
        <f>(2.825*2.3)*10.764</f>
        <v>69.939089999999993</v>
      </c>
      <c r="H753" s="59">
        <f>F753*(($H$478)+1)+(IF(G753&lt;101,G753,IF(G753&lt;201,G753/2,IF(G753&lt;=301,G753/3,G753/4))))</f>
        <v>659.83319999999992</v>
      </c>
      <c r="I753" s="60"/>
    </row>
    <row r="754" spans="1:9" s="23" customFormat="1" ht="15.75" customHeight="1">
      <c r="A754" s="151">
        <f t="shared" si="165"/>
        <v>5</v>
      </c>
      <c r="B754" s="152"/>
      <c r="C754" s="59" t="s">
        <v>207</v>
      </c>
      <c r="D754" s="59">
        <f>(2.75*4.05+2.2*2.2+2.75*3.2+1.2*2.1+2.1*1.48+0.9*1.6)*10.764</f>
        <v>342.78496200000001</v>
      </c>
      <c r="E754" s="59">
        <f>(0.75*(2.2+2.75))*10.764</f>
        <v>39.961350000000003</v>
      </c>
      <c r="F754" s="59">
        <f>D754+E754</f>
        <v>382.74631199999999</v>
      </c>
      <c r="G754" s="59">
        <f>(2.825*2.3)*10.764</f>
        <v>69.939089999999993</v>
      </c>
      <c r="H754" s="59">
        <f>F754*(($H$478)+1)+(IF(G754&lt;101,G754,IF(G754&lt;201,G754/2,IF(G754&lt;=301,G754/3,G754/4))))</f>
        <v>644.05855799999995</v>
      </c>
      <c r="I754" s="60"/>
    </row>
    <row r="755" spans="1:9" s="23" customFormat="1" ht="15.75" customHeight="1">
      <c r="A755" s="151">
        <f t="shared" si="165"/>
        <v>6</v>
      </c>
      <c r="B755" s="152"/>
      <c r="C755" s="59" t="s">
        <v>207</v>
      </c>
      <c r="D755" s="59">
        <f>(2.75*4.05+2.2*2.2+2.75*3.2+1.2*2.1+2.1*1.48+0.9*1.6)*10.764</f>
        <v>342.78496200000001</v>
      </c>
      <c r="E755" s="59">
        <f>(0.75*(2.2+2.75))*10.764</f>
        <v>39.961350000000003</v>
      </c>
      <c r="F755" s="59">
        <f t="shared" ref="F755:F759" si="166">D755+E755</f>
        <v>382.74631199999999</v>
      </c>
      <c r="G755" s="59">
        <f>(2.825*2.3)*10.764</f>
        <v>69.939089999999993</v>
      </c>
      <c r="H755" s="59">
        <f t="shared" ref="H755:H759" si="167">F755*(($H$478)+1)+(IF(G755&lt;101,G755,IF(G755&lt;201,G755/2,IF(G755&lt;=301,G755/3,G755/4))))</f>
        <v>644.05855799999995</v>
      </c>
      <c r="I755" s="60"/>
    </row>
    <row r="756" spans="1:9" s="23" customFormat="1" ht="15.75" customHeight="1">
      <c r="A756" s="151">
        <f t="shared" si="165"/>
        <v>7</v>
      </c>
      <c r="B756" s="152"/>
      <c r="C756" s="59" t="s">
        <v>207</v>
      </c>
      <c r="D756" s="59">
        <f>(2.75*4.05+2.1*2.2+2.75*3.2+1.2*2+1.2*2.1+0.9*1.4+1.2*1.8)*10.764</f>
        <v>354.10868999999997</v>
      </c>
      <c r="E756" s="59">
        <f>(0.75*(2.1+2.75))*10.764</f>
        <v>39.154049999999998</v>
      </c>
      <c r="F756" s="59">
        <f t="shared" si="166"/>
        <v>393.26273999999995</v>
      </c>
      <c r="G756" s="59">
        <f>(2.825*2.3)*10.764</f>
        <v>69.939089999999993</v>
      </c>
      <c r="H756" s="59">
        <f t="shared" si="167"/>
        <v>659.83319999999992</v>
      </c>
      <c r="I756" s="60"/>
    </row>
    <row r="757" spans="1:9" s="23" customFormat="1" ht="15.75" customHeight="1">
      <c r="A757" s="151">
        <f t="shared" si="165"/>
        <v>8</v>
      </c>
      <c r="B757" s="152"/>
      <c r="C757" s="59" t="s">
        <v>207</v>
      </c>
      <c r="D757" s="59">
        <f>(2.75*4.05+2.1*2.2+2.75*3.2+1.2*2+1.2*2.1+0.9*1.4+1.2*1.8)*10.764</f>
        <v>354.10868999999997</v>
      </c>
      <c r="E757" s="59">
        <f>(0.75*(2.1+2.75))*10.764</f>
        <v>39.154049999999998</v>
      </c>
      <c r="F757" s="59">
        <f t="shared" si="166"/>
        <v>393.26273999999995</v>
      </c>
      <c r="G757" s="59">
        <f>(2.9*2.3)*10.764</f>
        <v>71.795879999999983</v>
      </c>
      <c r="H757" s="59">
        <f t="shared" si="167"/>
        <v>661.68998999999997</v>
      </c>
      <c r="I757" s="60"/>
    </row>
    <row r="758" spans="1:9" s="23" customFormat="1" ht="15.75" customHeight="1">
      <c r="A758" s="151">
        <f t="shared" si="165"/>
        <v>9</v>
      </c>
      <c r="B758" s="152"/>
      <c r="C758" s="59" t="s">
        <v>207</v>
      </c>
      <c r="D758" s="59">
        <f>(2.75*4.05+2.65*2.3+2.75*3.05+1.35*1.2+1.2*0.9*1.2*1.2)*10.764</f>
        <v>309.95153279999994</v>
      </c>
      <c r="E758" s="59">
        <f>(0.75*(2.65+2.75))*10.764</f>
        <v>43.594200000000008</v>
      </c>
      <c r="F758" s="59">
        <f t="shared" si="166"/>
        <v>353.54573279999994</v>
      </c>
      <c r="G758" s="59">
        <f>(1.85*1.3)*10.764</f>
        <v>25.887420000000002</v>
      </c>
      <c r="H758" s="59">
        <f t="shared" si="167"/>
        <v>556.2060191999999</v>
      </c>
      <c r="I758" s="60"/>
    </row>
    <row r="759" spans="1:9" s="23" customFormat="1" ht="15.75" customHeight="1">
      <c r="A759" s="151">
        <f t="shared" si="165"/>
        <v>10</v>
      </c>
      <c r="B759" s="152"/>
      <c r="C759" s="59" t="s">
        <v>203</v>
      </c>
      <c r="D759" s="59">
        <f>(3.75*4.05+2.2*2.75+2.75*2.75+3.65*3.1+1.2*2.1+1.2*2.1+0.9*1.4+1.2*1.8)*10.764</f>
        <v>522.86130000000003</v>
      </c>
      <c r="E759" s="59">
        <f>(0.75*(2.7+2.2+3.6+2.75+2.9))*10.764</f>
        <v>114.23295</v>
      </c>
      <c r="F759" s="59">
        <f t="shared" si="166"/>
        <v>637.09424999999999</v>
      </c>
      <c r="G759" s="59">
        <v>0</v>
      </c>
      <c r="H759" s="59">
        <f t="shared" si="167"/>
        <v>955.64137499999993</v>
      </c>
      <c r="I759" s="60"/>
    </row>
    <row r="760" spans="1:9" s="23" customFormat="1">
      <c r="A760" s="148" t="s">
        <v>259</v>
      </c>
      <c r="B760" s="149"/>
      <c r="C760" s="149"/>
      <c r="D760" s="149"/>
      <c r="E760" s="149"/>
      <c r="F760" s="149"/>
      <c r="G760" s="149"/>
      <c r="H760" s="150"/>
      <c r="I760" s="60"/>
    </row>
    <row r="761" spans="1:9" s="23" customFormat="1" ht="15.75" customHeight="1">
      <c r="A761" s="151">
        <v>1</v>
      </c>
      <c r="B761" s="152"/>
      <c r="C761" s="59" t="s">
        <v>203</v>
      </c>
      <c r="D761" s="59">
        <f>(3.75*4.05+2.2*2.75+2.75*2.75+3.65*3.1+1.2*2.1+1.2*2.1+0.9*1.4+1.2*1.8)*10.764</f>
        <v>522.86130000000003</v>
      </c>
      <c r="E761" s="59">
        <f>(0.75*(2.7+2.2+3.6+2.75+2.9))*10.764</f>
        <v>114.23295</v>
      </c>
      <c r="F761" s="59">
        <f>D761+E761</f>
        <v>637.09424999999999</v>
      </c>
      <c r="G761" s="59">
        <v>0</v>
      </c>
      <c r="H761" s="59">
        <f>F761*(($H$478)+1)+(IF(G761&lt;101,G761,IF(G761&lt;201,G761/2,IF(G761&lt;=301,G761/3,G761/4))))</f>
        <v>955.64137499999993</v>
      </c>
      <c r="I761" s="60"/>
    </row>
    <row r="762" spans="1:9" s="23" customFormat="1" ht="15.75" customHeight="1">
      <c r="A762" s="151">
        <f>A761+1</f>
        <v>2</v>
      </c>
      <c r="B762" s="152"/>
      <c r="C762" s="59" t="s">
        <v>207</v>
      </c>
      <c r="D762" s="59">
        <f>(2.75*4.05+2.65*2.3+2.75*3.05+1.35*1.2+1.2*0.9*1.2*1.2)*10.764</f>
        <v>309.95153279999994</v>
      </c>
      <c r="E762" s="59">
        <f>(0.75*(1.6+2.65+2.75))*10.764</f>
        <v>56.510999999999996</v>
      </c>
      <c r="F762" s="59">
        <f>D762+E762</f>
        <v>366.46253279999996</v>
      </c>
      <c r="G762" s="59">
        <v>0</v>
      </c>
      <c r="H762" s="59">
        <f>F762*(($H$478)+1)+(IF(G762&lt;101,G762,IF(G762&lt;201,G762/2,IF(G762&lt;=301,G762/3,G762/4))))</f>
        <v>549.69379919999994</v>
      </c>
      <c r="I762" s="60"/>
    </row>
    <row r="763" spans="1:9" s="23" customFormat="1" ht="15.75" customHeight="1">
      <c r="A763" s="151">
        <f t="shared" ref="A763:A770" si="168">A762+1</f>
        <v>3</v>
      </c>
      <c r="B763" s="152"/>
      <c r="C763" s="59" t="s">
        <v>207</v>
      </c>
      <c r="D763" s="59">
        <f>(2.75*4.05+2.1*2.2+2.75*3.2+1.2*2+1.2*2.1+0.9*1.4+1.2*1.8)*10.764</f>
        <v>354.10868999999997</v>
      </c>
      <c r="E763" s="59">
        <f>(0.75*(2.75+2.1+2.75))*10.764</f>
        <v>61.35479999999999</v>
      </c>
      <c r="F763" s="59">
        <f>D763+E763</f>
        <v>415.46348999999998</v>
      </c>
      <c r="G763" s="59">
        <v>0</v>
      </c>
      <c r="H763" s="59">
        <f>F763*(($H$478)+1)+(IF(G763&lt;101,G763,IF(G763&lt;201,G763/2,IF(G763&lt;=301,G763/3,G763/4))))</f>
        <v>623.19523499999991</v>
      </c>
      <c r="I763" s="60"/>
    </row>
    <row r="764" spans="1:9" s="23" customFormat="1" ht="15.75" customHeight="1">
      <c r="A764" s="151">
        <f t="shared" si="168"/>
        <v>4</v>
      </c>
      <c r="B764" s="152"/>
      <c r="C764" s="59" t="s">
        <v>207</v>
      </c>
      <c r="D764" s="59">
        <f>(2.75*4.05+2.1*2.2+2.75*3.2+1.2*2+1.2*2.1+0.9*1.4+1.2*1.8)*10.764</f>
        <v>354.10868999999997</v>
      </c>
      <c r="E764" s="59">
        <f>(0.75*(2.75+2.1+2.75))*10.764</f>
        <v>61.35479999999999</v>
      </c>
      <c r="F764" s="59">
        <f>D764+E764</f>
        <v>415.46348999999998</v>
      </c>
      <c r="G764" s="59">
        <v>0</v>
      </c>
      <c r="H764" s="59">
        <f>F764*(($H$478)+1)+(IF(G764&lt;101,G764,IF(G764&lt;201,G764/2,IF(G764&lt;=301,G764/3,G764/4))))</f>
        <v>623.19523499999991</v>
      </c>
      <c r="I764" s="60"/>
    </row>
    <row r="765" spans="1:9" s="23" customFormat="1" ht="15.75" customHeight="1">
      <c r="A765" s="151">
        <f t="shared" si="168"/>
        <v>5</v>
      </c>
      <c r="B765" s="152"/>
      <c r="C765" s="59" t="s">
        <v>207</v>
      </c>
      <c r="D765" s="59">
        <f>(2.75*4.05+2.2*2.2+2.75*3.2+1.2*2.1+2.1*1.48+0.9*1.6)*10.764</f>
        <v>342.78496200000001</v>
      </c>
      <c r="E765" s="59">
        <f>(0.75*(2.75+2.2+2.75))*10.764</f>
        <v>62.162100000000002</v>
      </c>
      <c r="F765" s="59">
        <f>D765+E765</f>
        <v>404.94706200000002</v>
      </c>
      <c r="G765" s="59">
        <v>0</v>
      </c>
      <c r="H765" s="59">
        <f>F765*(($H$478)+1)+(IF(G765&lt;101,G765,IF(G765&lt;201,G765/2,IF(G765&lt;=301,G765/3,G765/4))))</f>
        <v>607.42059300000005</v>
      </c>
      <c r="I765" s="60"/>
    </row>
    <row r="766" spans="1:9" s="23" customFormat="1" ht="15.75" customHeight="1">
      <c r="A766" s="151">
        <f t="shared" si="168"/>
        <v>6</v>
      </c>
      <c r="B766" s="152"/>
      <c r="C766" s="59" t="s">
        <v>207</v>
      </c>
      <c r="D766" s="59">
        <f>(2.75*4.05+2.2*2.2+2.75*3.2+1.2*2.1+2.1*1.48+0.9*1.6)*10.764</f>
        <v>342.78496200000001</v>
      </c>
      <c r="E766" s="59">
        <f>(0.75*(2.75+2.2+2.75))*10.764</f>
        <v>62.162100000000002</v>
      </c>
      <c r="F766" s="59">
        <f t="shared" ref="F766:F770" si="169">D766+E766</f>
        <v>404.94706200000002</v>
      </c>
      <c r="G766" s="59">
        <v>0</v>
      </c>
      <c r="H766" s="59">
        <f t="shared" ref="H766:H770" si="170">F766*(($H$478)+1)+(IF(G766&lt;101,G766,IF(G766&lt;201,G766/2,IF(G766&lt;=301,G766/3,G766/4))))</f>
        <v>607.42059300000005</v>
      </c>
      <c r="I766" s="60"/>
    </row>
    <row r="767" spans="1:9" s="23" customFormat="1" ht="15.75" customHeight="1">
      <c r="A767" s="151">
        <f t="shared" si="168"/>
        <v>7</v>
      </c>
      <c r="B767" s="152"/>
      <c r="C767" s="59" t="s">
        <v>207</v>
      </c>
      <c r="D767" s="59">
        <f>(2.75*4.05+2.1*2.2+2.75*3.2+1.2*2+1.2*2.1+0.9*1.4+1.2*1.8)*10.764</f>
        <v>354.10868999999997</v>
      </c>
      <c r="E767" s="59">
        <f>(0.75*(2.75+2.1+2.75))*10.764</f>
        <v>61.35479999999999</v>
      </c>
      <c r="F767" s="59">
        <f t="shared" si="169"/>
        <v>415.46348999999998</v>
      </c>
      <c r="G767" s="59">
        <v>0</v>
      </c>
      <c r="H767" s="59">
        <f t="shared" si="170"/>
        <v>623.19523499999991</v>
      </c>
      <c r="I767" s="60"/>
    </row>
    <row r="768" spans="1:9" s="23" customFormat="1" ht="15.75" customHeight="1">
      <c r="A768" s="151">
        <f t="shared" si="168"/>
        <v>8</v>
      </c>
      <c r="B768" s="152"/>
      <c r="C768" s="59" t="s">
        <v>207</v>
      </c>
      <c r="D768" s="59">
        <f>(2.75*4.05+2.1*2.2+2.75*3.2+1.2*2+1.2*2.1+0.9*1.4+1.2*1.8)*10.764</f>
        <v>354.10868999999997</v>
      </c>
      <c r="E768" s="59">
        <f>(0.75*(2.75+2.1+2.75))*10.764</f>
        <v>61.35479999999999</v>
      </c>
      <c r="F768" s="59">
        <f t="shared" si="169"/>
        <v>415.46348999999998</v>
      </c>
      <c r="G768" s="59">
        <v>0</v>
      </c>
      <c r="H768" s="59">
        <f t="shared" si="170"/>
        <v>623.19523499999991</v>
      </c>
      <c r="I768" s="60"/>
    </row>
    <row r="769" spans="1:11" s="23" customFormat="1" ht="15.75" customHeight="1">
      <c r="A769" s="151">
        <f t="shared" si="168"/>
        <v>9</v>
      </c>
      <c r="B769" s="152"/>
      <c r="C769" s="59" t="s">
        <v>207</v>
      </c>
      <c r="D769" s="59">
        <f>(2.75*4.05+2.65*2.3+2.75*3.05+1.35*1.2+1.2*0.9*1.2*1.2)*10.764</f>
        <v>309.95153279999994</v>
      </c>
      <c r="E769" s="59">
        <f>(0.75*(1.6+2.65+2.75))*10.764</f>
        <v>56.510999999999996</v>
      </c>
      <c r="F769" s="59">
        <f t="shared" si="169"/>
        <v>366.46253279999996</v>
      </c>
      <c r="G769" s="59">
        <v>0</v>
      </c>
      <c r="H769" s="59">
        <f t="shared" si="170"/>
        <v>549.69379919999994</v>
      </c>
      <c r="I769" s="60"/>
      <c r="K769" s="59">
        <v>10.763999999999999</v>
      </c>
    </row>
    <row r="770" spans="1:11" s="23" customFormat="1" ht="15.75" customHeight="1">
      <c r="A770" s="151">
        <f t="shared" si="168"/>
        <v>10</v>
      </c>
      <c r="B770" s="152"/>
      <c r="C770" s="59" t="s">
        <v>203</v>
      </c>
      <c r="D770" s="59">
        <f>(3.75*4.05+2.2*2.75+2.75*2.75+3.65*3.1+1.2*2.1+1.2*2.1+0.9*1.4+1.2*1.8)*10.764</f>
        <v>522.86130000000003</v>
      </c>
      <c r="E770" s="59">
        <f>(0.75*(2.7+2.2+3.6+2.75+2.9))*10.764</f>
        <v>114.23295</v>
      </c>
      <c r="F770" s="59">
        <f t="shared" si="169"/>
        <v>637.09424999999999</v>
      </c>
      <c r="G770" s="59">
        <v>0</v>
      </c>
      <c r="H770" s="59">
        <f t="shared" si="170"/>
        <v>955.64137499999993</v>
      </c>
      <c r="I770" s="60"/>
    </row>
    <row r="771" spans="1:11" s="24" customFormat="1">
      <c r="A771" s="184" t="s">
        <v>264</v>
      </c>
      <c r="B771" s="184"/>
      <c r="C771" s="184"/>
      <c r="D771" s="184"/>
      <c r="E771" s="184"/>
      <c r="F771" s="184"/>
      <c r="G771" s="184"/>
      <c r="H771" s="184"/>
    </row>
    <row r="772" spans="1:11" s="24" customFormat="1" ht="51" customHeight="1">
      <c r="A772" s="64" t="s">
        <v>265</v>
      </c>
      <c r="B772" s="185" t="s">
        <v>332</v>
      </c>
      <c r="C772" s="186"/>
      <c r="D772" s="186"/>
      <c r="E772" s="186"/>
      <c r="F772" s="186"/>
      <c r="G772" s="186"/>
      <c r="H772" s="187"/>
      <c r="J772" s="24" t="s">
        <v>327</v>
      </c>
    </row>
    <row r="773" spans="1:11" s="24" customFormat="1">
      <c r="A773" s="64" t="s">
        <v>265</v>
      </c>
      <c r="B773" s="185" t="s">
        <v>266</v>
      </c>
      <c r="C773" s="186"/>
      <c r="D773" s="186"/>
      <c r="E773" s="186"/>
      <c r="F773" s="186"/>
      <c r="G773" s="186"/>
      <c r="H773" s="187"/>
    </row>
    <row r="774" spans="1:11" s="24" customFormat="1">
      <c r="A774" s="64" t="s">
        <v>265</v>
      </c>
      <c r="B774" s="188" t="s">
        <v>267</v>
      </c>
      <c r="C774" s="189"/>
      <c r="D774" s="189"/>
      <c r="E774" s="189"/>
      <c r="F774" s="189"/>
      <c r="G774" s="189"/>
      <c r="H774" s="190"/>
    </row>
    <row r="775" spans="1:11" s="24" customFormat="1">
      <c r="A775" s="64" t="s">
        <v>265</v>
      </c>
      <c r="B775" s="188" t="s">
        <v>268</v>
      </c>
      <c r="C775" s="189"/>
      <c r="D775" s="189"/>
      <c r="E775" s="189"/>
      <c r="F775" s="189"/>
      <c r="G775" s="189"/>
      <c r="H775" s="190"/>
    </row>
    <row r="776" spans="1:11" s="24" customFormat="1">
      <c r="A776" s="64" t="s">
        <v>265</v>
      </c>
      <c r="B776" s="188" t="s">
        <v>269</v>
      </c>
      <c r="C776" s="189"/>
      <c r="D776" s="189"/>
      <c r="E776" s="189"/>
      <c r="F776" s="189"/>
      <c r="G776" s="189"/>
      <c r="H776" s="190"/>
    </row>
    <row r="777" spans="1:11" s="24" customFormat="1">
      <c r="A777" s="64" t="s">
        <v>265</v>
      </c>
      <c r="B777" s="188" t="s">
        <v>270</v>
      </c>
      <c r="C777" s="189"/>
      <c r="D777" s="189"/>
      <c r="E777" s="189"/>
      <c r="F777" s="189"/>
      <c r="G777" s="189"/>
      <c r="H777" s="190"/>
    </row>
    <row r="778" spans="1:11" s="24" customFormat="1" hidden="1">
      <c r="A778" s="64" t="s">
        <v>265</v>
      </c>
      <c r="B778" s="185" t="s">
        <v>271</v>
      </c>
      <c r="C778" s="186"/>
      <c r="D778" s="186"/>
      <c r="E778" s="186"/>
      <c r="F778" s="186"/>
      <c r="G778" s="186"/>
      <c r="H778" s="187"/>
    </row>
    <row r="779" spans="1:11" s="24" customFormat="1">
      <c r="A779" s="64" t="s">
        <v>265</v>
      </c>
      <c r="B779" s="185" t="s">
        <v>272</v>
      </c>
      <c r="C779" s="186"/>
      <c r="D779" s="186"/>
      <c r="E779" s="186"/>
      <c r="F779" s="186"/>
      <c r="G779" s="186"/>
      <c r="H779" s="187"/>
    </row>
    <row r="780" spans="1:11" s="24" customFormat="1">
      <c r="A780" s="64" t="s">
        <v>265</v>
      </c>
      <c r="B780" s="185" t="s">
        <v>273</v>
      </c>
      <c r="C780" s="186"/>
      <c r="D780" s="186"/>
      <c r="E780" s="186"/>
      <c r="F780" s="186"/>
      <c r="G780" s="186"/>
      <c r="H780" s="187"/>
    </row>
    <row r="781" spans="1:11" s="24" customFormat="1" ht="64.5" customHeight="1">
      <c r="A781" s="64" t="s">
        <v>265</v>
      </c>
      <c r="B781" s="185" t="s">
        <v>274</v>
      </c>
      <c r="C781" s="186"/>
      <c r="D781" s="186"/>
      <c r="E781" s="186"/>
      <c r="F781" s="186"/>
      <c r="G781" s="186"/>
      <c r="H781" s="187"/>
    </row>
    <row r="782" spans="1:11" s="24" customFormat="1">
      <c r="A782" s="64" t="s">
        <v>265</v>
      </c>
      <c r="B782" s="185" t="s">
        <v>275</v>
      </c>
      <c r="C782" s="186"/>
      <c r="D782" s="186"/>
      <c r="E782" s="186"/>
      <c r="F782" s="186"/>
      <c r="G782" s="186"/>
      <c r="H782" s="187"/>
    </row>
    <row r="783" spans="1:11" s="24" customFormat="1">
      <c r="A783" s="64" t="s">
        <v>265</v>
      </c>
      <c r="B783" s="185" t="s">
        <v>276</v>
      </c>
      <c r="C783" s="186"/>
      <c r="D783" s="186"/>
      <c r="E783" s="186"/>
      <c r="F783" s="186"/>
      <c r="G783" s="186"/>
      <c r="H783" s="187"/>
    </row>
    <row r="784" spans="1:11" s="24" customFormat="1">
      <c r="A784" s="64" t="s">
        <v>265</v>
      </c>
      <c r="B784" s="185" t="s">
        <v>277</v>
      </c>
      <c r="C784" s="186"/>
      <c r="D784" s="186"/>
      <c r="E784" s="186"/>
      <c r="F784" s="186"/>
      <c r="G784" s="186"/>
      <c r="H784" s="187"/>
    </row>
    <row r="785" spans="1:8" s="24" customFormat="1" ht="112.5" customHeight="1">
      <c r="A785" s="64" t="s">
        <v>265</v>
      </c>
      <c r="B785" s="185" t="s">
        <v>278</v>
      </c>
      <c r="C785" s="186"/>
      <c r="D785" s="186"/>
      <c r="E785" s="186"/>
      <c r="F785" s="186"/>
      <c r="G785" s="186"/>
      <c r="H785" s="187"/>
    </row>
    <row r="786" spans="1:8" s="24" customFormat="1" ht="16.5" customHeight="1">
      <c r="A786" s="64" t="s">
        <v>265</v>
      </c>
      <c r="B786" s="185" t="s">
        <v>331</v>
      </c>
      <c r="C786" s="186"/>
      <c r="D786" s="186"/>
      <c r="E786" s="186"/>
      <c r="F786" s="186"/>
      <c r="G786" s="186"/>
      <c r="H786" s="187"/>
    </row>
    <row r="787" spans="1:8">
      <c r="A787" s="103" t="s">
        <v>279</v>
      </c>
      <c r="B787" s="103"/>
      <c r="C787" s="103"/>
      <c r="D787" s="103"/>
      <c r="E787" s="103"/>
      <c r="F787" s="103"/>
      <c r="G787" s="103"/>
      <c r="H787" s="103"/>
    </row>
    <row r="788" spans="1:8">
      <c r="A788" s="70" t="s">
        <v>280</v>
      </c>
      <c r="B788" s="70"/>
      <c r="C788" s="70"/>
      <c r="D788" s="70"/>
      <c r="E788" s="70"/>
      <c r="F788" s="70"/>
      <c r="G788" s="70"/>
      <c r="H788" s="70"/>
    </row>
    <row r="789" spans="1:8" ht="15.75" customHeight="1">
      <c r="A789" s="194" t="s">
        <v>281</v>
      </c>
      <c r="B789" s="194"/>
      <c r="C789" s="194"/>
      <c r="D789" s="194"/>
      <c r="E789" s="194"/>
      <c r="F789" s="194"/>
      <c r="G789" s="194"/>
      <c r="H789" s="194"/>
    </row>
    <row r="790" spans="1:8">
      <c r="A790" s="70" t="s">
        <v>282</v>
      </c>
      <c r="B790" s="70"/>
      <c r="C790" s="70"/>
      <c r="D790" s="70"/>
      <c r="E790" s="70"/>
      <c r="F790" s="70"/>
      <c r="G790" s="70"/>
      <c r="H790" s="70"/>
    </row>
    <row r="791" spans="1:8">
      <c r="A791" s="70" t="s">
        <v>283</v>
      </c>
      <c r="B791" s="70"/>
      <c r="C791" s="70"/>
      <c r="D791" s="70"/>
      <c r="E791" s="70"/>
      <c r="F791" s="70"/>
      <c r="G791" s="70"/>
      <c r="H791" s="70"/>
    </row>
    <row r="792" spans="1:8">
      <c r="A792" s="70" t="s">
        <v>284</v>
      </c>
      <c r="B792" s="70"/>
      <c r="C792" s="70"/>
      <c r="D792" s="70"/>
      <c r="E792" s="70"/>
      <c r="F792" s="70"/>
      <c r="G792" s="70"/>
      <c r="H792" s="70"/>
    </row>
    <row r="793" spans="1:8" ht="35.25" customHeight="1">
      <c r="A793" s="73" t="s">
        <v>285</v>
      </c>
      <c r="B793" s="73"/>
      <c r="C793" s="73"/>
      <c r="D793" s="73"/>
      <c r="E793" s="73"/>
      <c r="F793" s="73"/>
      <c r="G793" s="73"/>
      <c r="H793" s="73"/>
    </row>
    <row r="794" spans="1:8">
      <c r="A794" s="195" t="s">
        <v>286</v>
      </c>
      <c r="B794" s="195"/>
      <c r="C794" s="195" t="s">
        <v>287</v>
      </c>
      <c r="D794" s="195"/>
      <c r="E794" s="195" t="s">
        <v>288</v>
      </c>
      <c r="F794" s="195"/>
      <c r="G794" s="195" t="s">
        <v>333</v>
      </c>
      <c r="H794" s="195"/>
    </row>
    <row r="795" spans="1:8">
      <c r="A795" s="191" t="s">
        <v>289</v>
      </c>
      <c r="B795" s="191"/>
      <c r="C795" s="191"/>
      <c r="D795" s="191"/>
      <c r="E795" s="191"/>
      <c r="F795" s="191"/>
      <c r="G795" s="191"/>
      <c r="H795" s="191"/>
    </row>
    <row r="796" spans="1:8">
      <c r="A796" s="191"/>
      <c r="B796" s="191"/>
      <c r="C796" s="191"/>
      <c r="D796" s="191"/>
      <c r="E796" s="191"/>
      <c r="F796" s="191"/>
      <c r="G796" s="191"/>
      <c r="H796" s="191"/>
    </row>
    <row r="797" spans="1:8">
      <c r="A797" s="191"/>
      <c r="B797" s="191"/>
      <c r="C797" s="191"/>
      <c r="D797" s="191"/>
      <c r="E797" s="191"/>
      <c r="F797" s="191"/>
      <c r="G797" s="191"/>
      <c r="H797" s="191"/>
    </row>
    <row r="798" spans="1:8">
      <c r="A798" s="191"/>
      <c r="B798" s="191"/>
      <c r="C798" s="191"/>
      <c r="D798" s="191"/>
      <c r="E798" s="191"/>
      <c r="F798" s="191"/>
      <c r="G798" s="191"/>
      <c r="H798" s="191"/>
    </row>
    <row r="799" spans="1:8">
      <c r="A799" s="65" t="s">
        <v>290</v>
      </c>
      <c r="B799" s="66"/>
      <c r="C799" s="66"/>
      <c r="D799" s="65" t="str">
        <f>E8</f>
        <v>Unimont Imperia</v>
      </c>
      <c r="F799" s="66"/>
      <c r="G799" s="66"/>
      <c r="H799" s="66"/>
    </row>
    <row r="800" spans="1:8">
      <c r="A800" s="66"/>
      <c r="B800" s="66"/>
      <c r="C800" s="66"/>
      <c r="D800" s="66"/>
      <c r="E800" s="66"/>
      <c r="F800" s="66"/>
      <c r="G800" s="66"/>
      <c r="H800" s="66"/>
    </row>
    <row r="801" spans="1:8">
      <c r="A801" s="66"/>
      <c r="B801" s="66"/>
      <c r="C801" s="66"/>
      <c r="D801" s="66"/>
      <c r="E801" s="66"/>
      <c r="F801" s="66"/>
      <c r="G801" s="66"/>
      <c r="H801" s="66"/>
    </row>
    <row r="802" spans="1:8" ht="15" customHeight="1"/>
    <row r="841" spans="1:1">
      <c r="A841" s="67"/>
    </row>
    <row r="842" spans="1:1">
      <c r="A842" s="67" t="s">
        <v>291</v>
      </c>
    </row>
    <row r="882" spans="1:1">
      <c r="A882" s="67" t="s">
        <v>292</v>
      </c>
    </row>
  </sheetData>
  <mergeCells count="1064">
    <mergeCell ref="B786:H786"/>
    <mergeCell ref="A795:H798"/>
    <mergeCell ref="G193:H206"/>
    <mergeCell ref="G178:H191"/>
    <mergeCell ref="G173:H174"/>
    <mergeCell ref="C492:H493"/>
    <mergeCell ref="C494:H495"/>
    <mergeCell ref="B777:H777"/>
    <mergeCell ref="B778:H778"/>
    <mergeCell ref="B779:H779"/>
    <mergeCell ref="B780:H780"/>
    <mergeCell ref="B781:H781"/>
    <mergeCell ref="B782:H782"/>
    <mergeCell ref="B783:H783"/>
    <mergeCell ref="B784:H784"/>
    <mergeCell ref="B785:H785"/>
    <mergeCell ref="A787:H787"/>
    <mergeCell ref="A788:H788"/>
    <mergeCell ref="A789:H789"/>
    <mergeCell ref="A790:H790"/>
    <mergeCell ref="A791:H791"/>
    <mergeCell ref="A792:H792"/>
    <mergeCell ref="A793:H793"/>
    <mergeCell ref="A794:B794"/>
    <mergeCell ref="C794:D794"/>
    <mergeCell ref="E794:F794"/>
    <mergeCell ref="G794:H794"/>
    <mergeCell ref="A760:H760"/>
    <mergeCell ref="A761:B761"/>
    <mergeCell ref="A762:B762"/>
    <mergeCell ref="A763:B763"/>
    <mergeCell ref="A764:B764"/>
    <mergeCell ref="A765:B765"/>
    <mergeCell ref="A766:B766"/>
    <mergeCell ref="A767:B767"/>
    <mergeCell ref="A768:B768"/>
    <mergeCell ref="A769:B769"/>
    <mergeCell ref="A770:B770"/>
    <mergeCell ref="A771:H771"/>
    <mergeCell ref="B772:H772"/>
    <mergeCell ref="B773:H773"/>
    <mergeCell ref="B774:H774"/>
    <mergeCell ref="B775:H775"/>
    <mergeCell ref="B776:H776"/>
    <mergeCell ref="A743:B743"/>
    <mergeCell ref="A744:B744"/>
    <mergeCell ref="A745:B745"/>
    <mergeCell ref="A746:B746"/>
    <mergeCell ref="A747:B747"/>
    <mergeCell ref="A748:B748"/>
    <mergeCell ref="A749:H749"/>
    <mergeCell ref="A750:B750"/>
    <mergeCell ref="A751:B751"/>
    <mergeCell ref="A752:B752"/>
    <mergeCell ref="A753:B753"/>
    <mergeCell ref="A754:B754"/>
    <mergeCell ref="A755:B755"/>
    <mergeCell ref="A756:B756"/>
    <mergeCell ref="A757:B757"/>
    <mergeCell ref="A758:B758"/>
    <mergeCell ref="A759:B759"/>
    <mergeCell ref="A726:B726"/>
    <mergeCell ref="A727:H727"/>
    <mergeCell ref="A728:B728"/>
    <mergeCell ref="A729:B729"/>
    <mergeCell ref="A730:B730"/>
    <mergeCell ref="A731:B731"/>
    <mergeCell ref="A732:B732"/>
    <mergeCell ref="A733:B733"/>
    <mergeCell ref="A734:B734"/>
    <mergeCell ref="A735:B735"/>
    <mergeCell ref="A736:B736"/>
    <mergeCell ref="A737:B737"/>
    <mergeCell ref="A738:H738"/>
    <mergeCell ref="A739:B739"/>
    <mergeCell ref="A740:B740"/>
    <mergeCell ref="A741:B741"/>
    <mergeCell ref="A742:B742"/>
    <mergeCell ref="A709:B709"/>
    <mergeCell ref="A710:B710"/>
    <mergeCell ref="A711:B711"/>
    <mergeCell ref="A712:B712"/>
    <mergeCell ref="A713:H713"/>
    <mergeCell ref="A714:H714"/>
    <mergeCell ref="A715:H715"/>
    <mergeCell ref="A716:H716"/>
    <mergeCell ref="A717:B717"/>
    <mergeCell ref="A718:B718"/>
    <mergeCell ref="A719:B719"/>
    <mergeCell ref="A720:B720"/>
    <mergeCell ref="A721:B721"/>
    <mergeCell ref="A722:B722"/>
    <mergeCell ref="A723:B723"/>
    <mergeCell ref="A724:B724"/>
    <mergeCell ref="A725:B725"/>
    <mergeCell ref="A692:B692"/>
    <mergeCell ref="A693:B693"/>
    <mergeCell ref="A694:B694"/>
    <mergeCell ref="A695:H695"/>
    <mergeCell ref="A696:B696"/>
    <mergeCell ref="A697:B697"/>
    <mergeCell ref="A698:B698"/>
    <mergeCell ref="A699:B699"/>
    <mergeCell ref="A700:B700"/>
    <mergeCell ref="A701:H701"/>
    <mergeCell ref="A702:B702"/>
    <mergeCell ref="A703:B703"/>
    <mergeCell ref="A704:B704"/>
    <mergeCell ref="A705:B705"/>
    <mergeCell ref="A706:B706"/>
    <mergeCell ref="A707:H707"/>
    <mergeCell ref="A708:B708"/>
    <mergeCell ref="A675:B675"/>
    <mergeCell ref="A676:B676"/>
    <mergeCell ref="A677:H677"/>
    <mergeCell ref="A678:B678"/>
    <mergeCell ref="A679:B679"/>
    <mergeCell ref="A680:B680"/>
    <mergeCell ref="A681:B681"/>
    <mergeCell ref="A682:B682"/>
    <mergeCell ref="A683:H683"/>
    <mergeCell ref="A684:B684"/>
    <mergeCell ref="A685:B685"/>
    <mergeCell ref="A686:B686"/>
    <mergeCell ref="A687:B687"/>
    <mergeCell ref="A688:B688"/>
    <mergeCell ref="A689:H689"/>
    <mergeCell ref="A690:B690"/>
    <mergeCell ref="A691:B691"/>
    <mergeCell ref="A658:B658"/>
    <mergeCell ref="A659:H659"/>
    <mergeCell ref="A660:B660"/>
    <mergeCell ref="A661:B661"/>
    <mergeCell ref="A662:B662"/>
    <mergeCell ref="A663:B663"/>
    <mergeCell ref="A664:B664"/>
    <mergeCell ref="A665:B665"/>
    <mergeCell ref="A666:B666"/>
    <mergeCell ref="A667:B667"/>
    <mergeCell ref="A668:B668"/>
    <mergeCell ref="A669:B669"/>
    <mergeCell ref="A670:H670"/>
    <mergeCell ref="A671:H671"/>
    <mergeCell ref="A672:H672"/>
    <mergeCell ref="A673:B673"/>
    <mergeCell ref="A674:B674"/>
    <mergeCell ref="A641:B641"/>
    <mergeCell ref="A642:B642"/>
    <mergeCell ref="A643:B643"/>
    <mergeCell ref="A644:B644"/>
    <mergeCell ref="A645:B645"/>
    <mergeCell ref="A646:B646"/>
    <mergeCell ref="A647:B647"/>
    <mergeCell ref="A648:H648"/>
    <mergeCell ref="A649:B649"/>
    <mergeCell ref="A650:B650"/>
    <mergeCell ref="A651:B651"/>
    <mergeCell ref="A652:B652"/>
    <mergeCell ref="A653:B653"/>
    <mergeCell ref="A654:B654"/>
    <mergeCell ref="A655:B655"/>
    <mergeCell ref="A656:B656"/>
    <mergeCell ref="A657:B657"/>
    <mergeCell ref="A624:B624"/>
    <mergeCell ref="A625:B625"/>
    <mergeCell ref="A626:H626"/>
    <mergeCell ref="A627:B627"/>
    <mergeCell ref="A628:B628"/>
    <mergeCell ref="A629:B629"/>
    <mergeCell ref="A630:B630"/>
    <mergeCell ref="A631:B631"/>
    <mergeCell ref="A632:B632"/>
    <mergeCell ref="A633:B633"/>
    <mergeCell ref="A634:B634"/>
    <mergeCell ref="A635:B635"/>
    <mergeCell ref="A636:B636"/>
    <mergeCell ref="A637:H637"/>
    <mergeCell ref="A638:B638"/>
    <mergeCell ref="A639:B639"/>
    <mergeCell ref="A640:B640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615:H615"/>
    <mergeCell ref="A616:B616"/>
    <mergeCell ref="A617:B617"/>
    <mergeCell ref="A618:B618"/>
    <mergeCell ref="A619:B619"/>
    <mergeCell ref="A620:B620"/>
    <mergeCell ref="A621:B621"/>
    <mergeCell ref="A622:B622"/>
    <mergeCell ref="A623:B623"/>
    <mergeCell ref="A590:B590"/>
    <mergeCell ref="A591:B591"/>
    <mergeCell ref="A592:B592"/>
    <mergeCell ref="A593:B593"/>
    <mergeCell ref="A594:B594"/>
    <mergeCell ref="A595:H595"/>
    <mergeCell ref="A596:H596"/>
    <mergeCell ref="A597:H597"/>
    <mergeCell ref="A598:B598"/>
    <mergeCell ref="A599:B599"/>
    <mergeCell ref="A600:B600"/>
    <mergeCell ref="A601:B601"/>
    <mergeCell ref="A602:B602"/>
    <mergeCell ref="A603:B603"/>
    <mergeCell ref="A604:H604"/>
    <mergeCell ref="A605:B605"/>
    <mergeCell ref="A606:B606"/>
    <mergeCell ref="A573:B573"/>
    <mergeCell ref="A574:B574"/>
    <mergeCell ref="A575:B575"/>
    <mergeCell ref="A576:B576"/>
    <mergeCell ref="A577:B577"/>
    <mergeCell ref="A578:B578"/>
    <mergeCell ref="A579:H579"/>
    <mergeCell ref="A580:B580"/>
    <mergeCell ref="A581:B581"/>
    <mergeCell ref="A582:B582"/>
    <mergeCell ref="A583:B583"/>
    <mergeCell ref="A584:B584"/>
    <mergeCell ref="A585:B585"/>
    <mergeCell ref="A586:B586"/>
    <mergeCell ref="A587:H587"/>
    <mergeCell ref="A588:B588"/>
    <mergeCell ref="A589:B589"/>
    <mergeCell ref="A556:B556"/>
    <mergeCell ref="A557:B557"/>
    <mergeCell ref="A558:B558"/>
    <mergeCell ref="A559:B559"/>
    <mergeCell ref="A560:B560"/>
    <mergeCell ref="A561:B561"/>
    <mergeCell ref="A562:B562"/>
    <mergeCell ref="A563:H563"/>
    <mergeCell ref="A564:B564"/>
    <mergeCell ref="A565:B565"/>
    <mergeCell ref="A566:B566"/>
    <mergeCell ref="A567:B567"/>
    <mergeCell ref="A568:B568"/>
    <mergeCell ref="A569:B569"/>
    <mergeCell ref="A570:B570"/>
    <mergeCell ref="A571:H571"/>
    <mergeCell ref="A572:B572"/>
    <mergeCell ref="A539:H539"/>
    <mergeCell ref="A540:H540"/>
    <mergeCell ref="A541:H541"/>
    <mergeCell ref="A542:B542"/>
    <mergeCell ref="A543:B543"/>
    <mergeCell ref="A544:B544"/>
    <mergeCell ref="A545:B545"/>
    <mergeCell ref="A546:B546"/>
    <mergeCell ref="A547:H547"/>
    <mergeCell ref="A548:B548"/>
    <mergeCell ref="A549:B549"/>
    <mergeCell ref="A550:B550"/>
    <mergeCell ref="A551:B551"/>
    <mergeCell ref="A552:B552"/>
    <mergeCell ref="A553:B553"/>
    <mergeCell ref="A554:B554"/>
    <mergeCell ref="A555:H555"/>
    <mergeCell ref="A522:B522"/>
    <mergeCell ref="A523:B523"/>
    <mergeCell ref="A524:H524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533:B533"/>
    <mergeCell ref="A534:B534"/>
    <mergeCell ref="A535:B535"/>
    <mergeCell ref="A536:B536"/>
    <mergeCell ref="A537:B537"/>
    <mergeCell ref="A538:H538"/>
    <mergeCell ref="A505:B505"/>
    <mergeCell ref="A506:B506"/>
    <mergeCell ref="A507:B507"/>
    <mergeCell ref="A508:B508"/>
    <mergeCell ref="A509:B509"/>
    <mergeCell ref="A510:H510"/>
    <mergeCell ref="A511:B511"/>
    <mergeCell ref="A512:B512"/>
    <mergeCell ref="A513:B513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96:H496"/>
    <mergeCell ref="A497:B497"/>
    <mergeCell ref="A498:B498"/>
    <mergeCell ref="A499:B499"/>
    <mergeCell ref="A500:B500"/>
    <mergeCell ref="A501:B501"/>
    <mergeCell ref="A502:B502"/>
    <mergeCell ref="A503:B503"/>
    <mergeCell ref="A504:B504"/>
    <mergeCell ref="A475:B475"/>
    <mergeCell ref="L475:M475"/>
    <mergeCell ref="A476:H476"/>
    <mergeCell ref="A479:H479"/>
    <mergeCell ref="A480:H480"/>
    <mergeCell ref="A481:H481"/>
    <mergeCell ref="A482:B482"/>
    <mergeCell ref="L482:M482"/>
    <mergeCell ref="A483:B483"/>
    <mergeCell ref="L483:M483"/>
    <mergeCell ref="A484:B484"/>
    <mergeCell ref="L484:M484"/>
    <mergeCell ref="A485:B485"/>
    <mergeCell ref="L485:M485"/>
    <mergeCell ref="A486:H486"/>
    <mergeCell ref="L486:M486"/>
    <mergeCell ref="A487:B487"/>
    <mergeCell ref="A477:A478"/>
    <mergeCell ref="B477:B478"/>
    <mergeCell ref="C477:C478"/>
    <mergeCell ref="D477:D478"/>
    <mergeCell ref="E477:E478"/>
    <mergeCell ref="F477:F478"/>
    <mergeCell ref="G477:G478"/>
    <mergeCell ref="A466:B466"/>
    <mergeCell ref="L466:M466"/>
    <mergeCell ref="A467:B467"/>
    <mergeCell ref="L467:M467"/>
    <mergeCell ref="A468:B468"/>
    <mergeCell ref="L468:M468"/>
    <mergeCell ref="A469:B469"/>
    <mergeCell ref="L469:M469"/>
    <mergeCell ref="A470:B470"/>
    <mergeCell ref="L470:M470"/>
    <mergeCell ref="A471:B471"/>
    <mergeCell ref="L471:M471"/>
    <mergeCell ref="A472:B472"/>
    <mergeCell ref="L472:M472"/>
    <mergeCell ref="A473:B473"/>
    <mergeCell ref="L473:M473"/>
    <mergeCell ref="A474:B474"/>
    <mergeCell ref="L474:M474"/>
    <mergeCell ref="A457:B457"/>
    <mergeCell ref="L457:M457"/>
    <mergeCell ref="A458:B458"/>
    <mergeCell ref="L458:M458"/>
    <mergeCell ref="A459:B459"/>
    <mergeCell ref="L459:M459"/>
    <mergeCell ref="A460:B460"/>
    <mergeCell ref="L460:M460"/>
    <mergeCell ref="A461:B461"/>
    <mergeCell ref="L461:M461"/>
    <mergeCell ref="A462:B462"/>
    <mergeCell ref="L462:M462"/>
    <mergeCell ref="A463:B463"/>
    <mergeCell ref="L463:M463"/>
    <mergeCell ref="A464:H464"/>
    <mergeCell ref="A465:B465"/>
    <mergeCell ref="L465:M465"/>
    <mergeCell ref="A448:B448"/>
    <mergeCell ref="L448:M448"/>
    <mergeCell ref="A449:B449"/>
    <mergeCell ref="L449:M449"/>
    <mergeCell ref="A450:B450"/>
    <mergeCell ref="L450:M450"/>
    <mergeCell ref="A451:B451"/>
    <mergeCell ref="L451:M451"/>
    <mergeCell ref="A452:B452"/>
    <mergeCell ref="L452:M452"/>
    <mergeCell ref="A453:B453"/>
    <mergeCell ref="L453:M453"/>
    <mergeCell ref="A454:B454"/>
    <mergeCell ref="L454:M454"/>
    <mergeCell ref="A455:B455"/>
    <mergeCell ref="L455:M455"/>
    <mergeCell ref="A456:B456"/>
    <mergeCell ref="L456:M456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39:H439"/>
    <mergeCell ref="A442:H442"/>
    <mergeCell ref="A443:H443"/>
    <mergeCell ref="A444:H444"/>
    <mergeCell ref="A445:B445"/>
    <mergeCell ref="A446:B446"/>
    <mergeCell ref="L446:M446"/>
    <mergeCell ref="A447:B447"/>
    <mergeCell ref="L447:M447"/>
    <mergeCell ref="A440:A441"/>
    <mergeCell ref="B440:B441"/>
    <mergeCell ref="C440:C441"/>
    <mergeCell ref="D440:D441"/>
    <mergeCell ref="E440:E441"/>
    <mergeCell ref="F440:F441"/>
    <mergeCell ref="G440:G441"/>
    <mergeCell ref="G429:H438"/>
    <mergeCell ref="A413:B413"/>
    <mergeCell ref="A414:B414"/>
    <mergeCell ref="A415:B415"/>
    <mergeCell ref="A416:B416"/>
    <mergeCell ref="A417:H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H428"/>
    <mergeCell ref="A429:B429"/>
    <mergeCell ref="G407:H416"/>
    <mergeCell ref="G418:H427"/>
    <mergeCell ref="A396:B396"/>
    <mergeCell ref="A397:B397"/>
    <mergeCell ref="A398:H398"/>
    <mergeCell ref="A399:B399"/>
    <mergeCell ref="A400:B400"/>
    <mergeCell ref="A401:B401"/>
    <mergeCell ref="A402:B402"/>
    <mergeCell ref="A403:B403"/>
    <mergeCell ref="A404:H404"/>
    <mergeCell ref="A405:H405"/>
    <mergeCell ref="A406:H406"/>
    <mergeCell ref="A407:B407"/>
    <mergeCell ref="A408:B408"/>
    <mergeCell ref="A409:B409"/>
    <mergeCell ref="A410:B410"/>
    <mergeCell ref="A411:B411"/>
    <mergeCell ref="A412:B412"/>
    <mergeCell ref="G393:H397"/>
    <mergeCell ref="G399:H403"/>
    <mergeCell ref="A379:B379"/>
    <mergeCell ref="A380:H380"/>
    <mergeCell ref="A381:B381"/>
    <mergeCell ref="A382:B382"/>
    <mergeCell ref="A383:B383"/>
    <mergeCell ref="A384:B384"/>
    <mergeCell ref="A385:B385"/>
    <mergeCell ref="A386:H386"/>
    <mergeCell ref="A387:B387"/>
    <mergeCell ref="A388:B388"/>
    <mergeCell ref="A389:B389"/>
    <mergeCell ref="A390:B390"/>
    <mergeCell ref="A391:B391"/>
    <mergeCell ref="A392:H392"/>
    <mergeCell ref="A393:B393"/>
    <mergeCell ref="A394:B394"/>
    <mergeCell ref="A395:B395"/>
    <mergeCell ref="G376:H379"/>
    <mergeCell ref="G381:H385"/>
    <mergeCell ref="G387:H391"/>
    <mergeCell ref="A362:H362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H373"/>
    <mergeCell ref="A374:H374"/>
    <mergeCell ref="A375:H375"/>
    <mergeCell ref="A376:B376"/>
    <mergeCell ref="A377:B377"/>
    <mergeCell ref="A378:B378"/>
    <mergeCell ref="G363:H372"/>
    <mergeCell ref="A345:B345"/>
    <mergeCell ref="A346:B346"/>
    <mergeCell ref="A347:B347"/>
    <mergeCell ref="A348:B348"/>
    <mergeCell ref="A349:B349"/>
    <mergeCell ref="A350:B350"/>
    <mergeCell ref="A351:H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G352:H361"/>
    <mergeCell ref="G341:H350"/>
    <mergeCell ref="A328:B328"/>
    <mergeCell ref="A329:H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H340"/>
    <mergeCell ref="A341:B341"/>
    <mergeCell ref="A342:B342"/>
    <mergeCell ref="A343:B343"/>
    <mergeCell ref="A344:B344"/>
    <mergeCell ref="G330:H339"/>
    <mergeCell ref="G323:H328"/>
    <mergeCell ref="A311:B311"/>
    <mergeCell ref="A312:H312"/>
    <mergeCell ref="A313:B313"/>
    <mergeCell ref="A314:B314"/>
    <mergeCell ref="A315:B315"/>
    <mergeCell ref="A316:B316"/>
    <mergeCell ref="A317:B317"/>
    <mergeCell ref="A318:B318"/>
    <mergeCell ref="A319:B319"/>
    <mergeCell ref="A320:H320"/>
    <mergeCell ref="A321:H321"/>
    <mergeCell ref="A322:H322"/>
    <mergeCell ref="A323:B323"/>
    <mergeCell ref="A324:B324"/>
    <mergeCell ref="A325:B325"/>
    <mergeCell ref="A326:B326"/>
    <mergeCell ref="A327:B327"/>
    <mergeCell ref="G305:H311"/>
    <mergeCell ref="G313:H319"/>
    <mergeCell ref="A294:B294"/>
    <mergeCell ref="A295:B295"/>
    <mergeCell ref="A296:H296"/>
    <mergeCell ref="A297:B297"/>
    <mergeCell ref="A298:B298"/>
    <mergeCell ref="A299:B299"/>
    <mergeCell ref="A300:B300"/>
    <mergeCell ref="A301:B301"/>
    <mergeCell ref="A302:B302"/>
    <mergeCell ref="A303:B303"/>
    <mergeCell ref="A304:H304"/>
    <mergeCell ref="A305:B305"/>
    <mergeCell ref="A306:B306"/>
    <mergeCell ref="A307:B307"/>
    <mergeCell ref="A308:B308"/>
    <mergeCell ref="A309:B309"/>
    <mergeCell ref="A310:B310"/>
    <mergeCell ref="G297:H303"/>
    <mergeCell ref="G289:H295"/>
    <mergeCell ref="A277:B277"/>
    <mergeCell ref="A278:B278"/>
    <mergeCell ref="A279:B279"/>
    <mergeCell ref="A280:H280"/>
    <mergeCell ref="A281:H281"/>
    <mergeCell ref="A282:H282"/>
    <mergeCell ref="A283:B283"/>
    <mergeCell ref="A284:B284"/>
    <mergeCell ref="A285:B285"/>
    <mergeCell ref="A286:B286"/>
    <mergeCell ref="A287:B287"/>
    <mergeCell ref="A288:H288"/>
    <mergeCell ref="A289:B289"/>
    <mergeCell ref="A290:B290"/>
    <mergeCell ref="A291:B291"/>
    <mergeCell ref="A292:B292"/>
    <mergeCell ref="A293:B293"/>
    <mergeCell ref="G283:H287"/>
    <mergeCell ref="G266:H279"/>
    <mergeCell ref="A260:B260"/>
    <mergeCell ref="A261:B261"/>
    <mergeCell ref="A262:B262"/>
    <mergeCell ref="A263:B263"/>
    <mergeCell ref="A264:B264"/>
    <mergeCell ref="A265:H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G251:H264"/>
    <mergeCell ref="A243:B243"/>
    <mergeCell ref="A244:B244"/>
    <mergeCell ref="A245:B245"/>
    <mergeCell ref="A246:B246"/>
    <mergeCell ref="A247:B247"/>
    <mergeCell ref="A248:B248"/>
    <mergeCell ref="A249:B249"/>
    <mergeCell ref="A250:H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G236:H249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H235"/>
    <mergeCell ref="A236:B236"/>
    <mergeCell ref="A237:B237"/>
    <mergeCell ref="A238:B238"/>
    <mergeCell ref="A239:B239"/>
    <mergeCell ref="A240:B240"/>
    <mergeCell ref="A241:B241"/>
    <mergeCell ref="A242:B242"/>
    <mergeCell ref="G221:H234"/>
    <mergeCell ref="A212:H212"/>
    <mergeCell ref="L212:M212"/>
    <mergeCell ref="A213:B213"/>
    <mergeCell ref="A214:B214"/>
    <mergeCell ref="A215:B215"/>
    <mergeCell ref="A216:H216"/>
    <mergeCell ref="L216:M216"/>
    <mergeCell ref="A217:B217"/>
    <mergeCell ref="A218:B218"/>
    <mergeCell ref="A219:B219"/>
    <mergeCell ref="A220:H220"/>
    <mergeCell ref="L220:M220"/>
    <mergeCell ref="A221:B221"/>
    <mergeCell ref="A222:B222"/>
    <mergeCell ref="A223:B223"/>
    <mergeCell ref="A224:B224"/>
    <mergeCell ref="A225:B225"/>
    <mergeCell ref="G217:H219"/>
    <mergeCell ref="G213:H215"/>
    <mergeCell ref="A201:B201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C205:F205"/>
    <mergeCell ref="L205:M205"/>
    <mergeCell ref="A206:B206"/>
    <mergeCell ref="C206:F206"/>
    <mergeCell ref="L206:M206"/>
    <mergeCell ref="A207:H207"/>
    <mergeCell ref="A210:H210"/>
    <mergeCell ref="A211:H211"/>
    <mergeCell ref="A208:A209"/>
    <mergeCell ref="B208:B209"/>
    <mergeCell ref="C208:C209"/>
    <mergeCell ref="D208:D209"/>
    <mergeCell ref="E208:E209"/>
    <mergeCell ref="G208:H209"/>
    <mergeCell ref="A193:B193"/>
    <mergeCell ref="C193:F193"/>
    <mergeCell ref="L193:M193"/>
    <mergeCell ref="A194:B194"/>
    <mergeCell ref="C194:F194"/>
    <mergeCell ref="L194:M194"/>
    <mergeCell ref="A195:B195"/>
    <mergeCell ref="L195:M195"/>
    <mergeCell ref="A196:B196"/>
    <mergeCell ref="L196:M196"/>
    <mergeCell ref="A197:B197"/>
    <mergeCell ref="L197:M197"/>
    <mergeCell ref="A198:B198"/>
    <mergeCell ref="L198:M198"/>
    <mergeCell ref="A199:B199"/>
    <mergeCell ref="L199:M199"/>
    <mergeCell ref="A200:B200"/>
    <mergeCell ref="L200:M200"/>
    <mergeCell ref="A184:B184"/>
    <mergeCell ref="L184:M184"/>
    <mergeCell ref="A185:B185"/>
    <mergeCell ref="L185:M185"/>
    <mergeCell ref="A186:B186"/>
    <mergeCell ref="L186:M186"/>
    <mergeCell ref="A187:B187"/>
    <mergeCell ref="L187:M187"/>
    <mergeCell ref="A188:B188"/>
    <mergeCell ref="L188:M188"/>
    <mergeCell ref="A189:B189"/>
    <mergeCell ref="L189:M189"/>
    <mergeCell ref="A190:B190"/>
    <mergeCell ref="L190:M190"/>
    <mergeCell ref="A191:B191"/>
    <mergeCell ref="L191:M191"/>
    <mergeCell ref="A192:H192"/>
    <mergeCell ref="A171:H171"/>
    <mergeCell ref="A172:H172"/>
    <mergeCell ref="A175:H175"/>
    <mergeCell ref="A176:H176"/>
    <mergeCell ref="A177:H177"/>
    <mergeCell ref="A178:B178"/>
    <mergeCell ref="L178:M178"/>
    <mergeCell ref="A179:B179"/>
    <mergeCell ref="L179:M179"/>
    <mergeCell ref="A180:B180"/>
    <mergeCell ref="L180:M180"/>
    <mergeCell ref="A181:B181"/>
    <mergeCell ref="L181:M181"/>
    <mergeCell ref="A182:B182"/>
    <mergeCell ref="L182:M182"/>
    <mergeCell ref="A183:B183"/>
    <mergeCell ref="L183:M183"/>
    <mergeCell ref="A173:A174"/>
    <mergeCell ref="B173:B174"/>
    <mergeCell ref="C173:C174"/>
    <mergeCell ref="D173:D174"/>
    <mergeCell ref="E173:E174"/>
    <mergeCell ref="A166:B166"/>
    <mergeCell ref="C166:D166"/>
    <mergeCell ref="E166:F166"/>
    <mergeCell ref="G166:H166"/>
    <mergeCell ref="A167:B167"/>
    <mergeCell ref="C167:D167"/>
    <mergeCell ref="E167:F167"/>
    <mergeCell ref="G167:H167"/>
    <mergeCell ref="A168:B168"/>
    <mergeCell ref="C168:D168"/>
    <mergeCell ref="E168:F168"/>
    <mergeCell ref="G168:H168"/>
    <mergeCell ref="A169:B169"/>
    <mergeCell ref="C169:D169"/>
    <mergeCell ref="E169:F169"/>
    <mergeCell ref="G169:H169"/>
    <mergeCell ref="A170:B170"/>
    <mergeCell ref="C170:D170"/>
    <mergeCell ref="E170:F170"/>
    <mergeCell ref="G170:H170"/>
    <mergeCell ref="A161:B161"/>
    <mergeCell ref="C161:D161"/>
    <mergeCell ref="E161:F161"/>
    <mergeCell ref="G161:H161"/>
    <mergeCell ref="A162:H162"/>
    <mergeCell ref="A163:B163"/>
    <mergeCell ref="C163:D163"/>
    <mergeCell ref="E163:F163"/>
    <mergeCell ref="G163:H163"/>
    <mergeCell ref="A164:B164"/>
    <mergeCell ref="C164:D164"/>
    <mergeCell ref="E164:F164"/>
    <mergeCell ref="G164:H164"/>
    <mergeCell ref="A165:B165"/>
    <mergeCell ref="C165:D165"/>
    <mergeCell ref="E165:F165"/>
    <mergeCell ref="G165:H165"/>
    <mergeCell ref="A153:E153"/>
    <mergeCell ref="F153:H153"/>
    <mergeCell ref="A154:E154"/>
    <mergeCell ref="F154:H154"/>
    <mergeCell ref="A155:E155"/>
    <mergeCell ref="F155:H155"/>
    <mergeCell ref="A156:E156"/>
    <mergeCell ref="F156:H156"/>
    <mergeCell ref="A157:E157"/>
    <mergeCell ref="F157:H157"/>
    <mergeCell ref="A158:H158"/>
    <mergeCell ref="A159:B159"/>
    <mergeCell ref="C159:D159"/>
    <mergeCell ref="E159:F159"/>
    <mergeCell ref="G159:H159"/>
    <mergeCell ref="A160:B160"/>
    <mergeCell ref="C160:D160"/>
    <mergeCell ref="E160:F160"/>
    <mergeCell ref="G160:H160"/>
    <mergeCell ref="A144:H144"/>
    <mergeCell ref="A145:E145"/>
    <mergeCell ref="F145:H145"/>
    <mergeCell ref="A146:E146"/>
    <mergeCell ref="F146:H146"/>
    <mergeCell ref="A147:E147"/>
    <mergeCell ref="F147:H147"/>
    <mergeCell ref="A148:E148"/>
    <mergeCell ref="F148:H148"/>
    <mergeCell ref="A149:E149"/>
    <mergeCell ref="F149:H149"/>
    <mergeCell ref="A150:E150"/>
    <mergeCell ref="F150:H150"/>
    <mergeCell ref="A151:E151"/>
    <mergeCell ref="F151:H151"/>
    <mergeCell ref="A152:E152"/>
    <mergeCell ref="F152:H152"/>
    <mergeCell ref="A131:B131"/>
    <mergeCell ref="C131:H131"/>
    <mergeCell ref="A132:B132"/>
    <mergeCell ref="E132:F132"/>
    <mergeCell ref="G132:H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C143:D143"/>
    <mergeCell ref="E143:F143"/>
    <mergeCell ref="G143:H143"/>
    <mergeCell ref="E133:F142"/>
    <mergeCell ref="G133:H142"/>
    <mergeCell ref="A117:B117"/>
    <mergeCell ref="C117:H117"/>
    <mergeCell ref="A118:B118"/>
    <mergeCell ref="E118:F118"/>
    <mergeCell ref="G118:H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C129:H129"/>
    <mergeCell ref="E119:F128"/>
    <mergeCell ref="G119:H128"/>
    <mergeCell ref="A103:B103"/>
    <mergeCell ref="C103:H103"/>
    <mergeCell ref="A104:B104"/>
    <mergeCell ref="E104:F104"/>
    <mergeCell ref="G104:H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C115:H115"/>
    <mergeCell ref="E105:F114"/>
    <mergeCell ref="G105:H114"/>
    <mergeCell ref="A89:B89"/>
    <mergeCell ref="C89:H89"/>
    <mergeCell ref="A90:B90"/>
    <mergeCell ref="E90:F90"/>
    <mergeCell ref="G90:H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C101:H101"/>
    <mergeCell ref="E91:F100"/>
    <mergeCell ref="G91:H100"/>
    <mergeCell ref="A75:B75"/>
    <mergeCell ref="C75:H75"/>
    <mergeCell ref="A76:B76"/>
    <mergeCell ref="E76:F76"/>
    <mergeCell ref="G76:H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C87:H87"/>
    <mergeCell ref="E77:F86"/>
    <mergeCell ref="G77:H86"/>
    <mergeCell ref="D64:H64"/>
    <mergeCell ref="D65:H65"/>
    <mergeCell ref="A66:C66"/>
    <mergeCell ref="D66:H66"/>
    <mergeCell ref="A67:C67"/>
    <mergeCell ref="D67:H67"/>
    <mergeCell ref="A68:C68"/>
    <mergeCell ref="D68:H68"/>
    <mergeCell ref="A69:C69"/>
    <mergeCell ref="D69:H69"/>
    <mergeCell ref="A70:C70"/>
    <mergeCell ref="D70:H70"/>
    <mergeCell ref="A71:C71"/>
    <mergeCell ref="D71:H71"/>
    <mergeCell ref="A72:C72"/>
    <mergeCell ref="D72:H72"/>
    <mergeCell ref="A73:B73"/>
    <mergeCell ref="C73:H73"/>
    <mergeCell ref="A61:C65"/>
    <mergeCell ref="C53:H53"/>
    <mergeCell ref="C54:E54"/>
    <mergeCell ref="G54:H54"/>
    <mergeCell ref="C55:H55"/>
    <mergeCell ref="A56:B56"/>
    <mergeCell ref="C56:E56"/>
    <mergeCell ref="G56:H56"/>
    <mergeCell ref="A57:H57"/>
    <mergeCell ref="A58:C58"/>
    <mergeCell ref="D58:H58"/>
    <mergeCell ref="A59:C59"/>
    <mergeCell ref="D59:H59"/>
    <mergeCell ref="A60:C60"/>
    <mergeCell ref="D60:H60"/>
    <mergeCell ref="D61:H61"/>
    <mergeCell ref="D62:H62"/>
    <mergeCell ref="D63:H63"/>
    <mergeCell ref="A52:B53"/>
    <mergeCell ref="A54:B55"/>
    <mergeCell ref="A44:H44"/>
    <mergeCell ref="A45:B45"/>
    <mergeCell ref="C45:E45"/>
    <mergeCell ref="G45:H45"/>
    <mergeCell ref="A46:B46"/>
    <mergeCell ref="C46:E46"/>
    <mergeCell ref="G46:H46"/>
    <mergeCell ref="A47:B47"/>
    <mergeCell ref="C47:E47"/>
    <mergeCell ref="G47:H47"/>
    <mergeCell ref="C48:E48"/>
    <mergeCell ref="G48:H48"/>
    <mergeCell ref="C49:H49"/>
    <mergeCell ref="C50:E50"/>
    <mergeCell ref="G50:H50"/>
    <mergeCell ref="C51:H51"/>
    <mergeCell ref="C52:E52"/>
    <mergeCell ref="G52:H52"/>
    <mergeCell ref="A48:B49"/>
    <mergeCell ref="A50:B51"/>
    <mergeCell ref="A34:H34"/>
    <mergeCell ref="A35:B35"/>
    <mergeCell ref="C35:H35"/>
    <mergeCell ref="A36:B36"/>
    <mergeCell ref="C36:H36"/>
    <mergeCell ref="A37:H37"/>
    <mergeCell ref="A38:D38"/>
    <mergeCell ref="E38:H38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28:D28"/>
    <mergeCell ref="E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18:B18"/>
    <mergeCell ref="C18:D18"/>
    <mergeCell ref="E18:F18"/>
    <mergeCell ref="G18:H18"/>
    <mergeCell ref="A21:D21"/>
    <mergeCell ref="E21:H21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19:D20"/>
    <mergeCell ref="E19:H20"/>
    <mergeCell ref="A11:D11"/>
    <mergeCell ref="E11:H11"/>
    <mergeCell ref="A12:D12"/>
    <mergeCell ref="E12:H12"/>
    <mergeCell ref="A13:B13"/>
    <mergeCell ref="C13:H13"/>
    <mergeCell ref="A14:B14"/>
    <mergeCell ref="C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</mergeCells>
  <dataValidations count="7">
    <dataValidation type="list" allowBlank="1" showInputMessage="1" showErrorMessage="1" sqref="H440 H477">
      <formula1>"Saleable area Loading :,Builder Saleable Area"</formula1>
    </dataValidation>
    <dataValidation type="list" allowBlank="1" showInputMessage="1" showErrorMessage="1" sqref="H441 H478">
      <formula1>".45,.50,.55,.60"</formula1>
    </dataValidation>
    <dataValidation type="list" allowBlank="1" showInputMessage="1" showErrorMessage="1" sqref="B440:B441">
      <formula1>"Shop No. (Sale Plan),Sale / Rehab,Sale / Mhada"</formula1>
    </dataValidation>
    <dataValidation type="list" allowBlank="1" showInputMessage="1" showErrorMessage="1" sqref="B477:B478">
      <formula1>"Flat No. (Sale Plan),Sale / Rehab,Sale / Mhada"</formula1>
    </dataValidation>
    <dataValidation type="list" allowBlank="1" showInputMessage="1" showErrorMessage="1" sqref="D440:D441 D477:D478">
      <formula1>"Carpet area,RERA Carpet area"</formula1>
    </dataValidation>
    <dataValidation type="list" allowBlank="1" showInputMessage="1" showErrorMessage="1" sqref="E440:E441">
      <formula1>"Attached Passage area,Attached Loft area,Attached Otla area,Attached Mezzanine area"</formula1>
    </dataValidation>
    <dataValidation type="list" allowBlank="1" showInputMessage="1" showErrorMessage="1" sqref="E477:E478">
      <formula1>"Fungible area,Balcony + WS Area,Chajja Area,Cornice Area,AP Area,WS Area"</formula1>
    </dataValidation>
  </dataValidations>
  <hyperlinks>
    <hyperlink ref="C36" r:id="rId1"/>
    <hyperlink ref="I67" r:id="rId2"/>
  </hyperlinks>
  <printOptions horizontalCentered="1"/>
  <pageMargins left="0.39370078740157499" right="0.39370078740157499" top="0.86614173228346403" bottom="0.78740157480314998" header="0.196850393700787" footer="0.196850393700787"/>
  <pageSetup paperSize="2" orientation="portrait" r:id="rId3"/>
  <headerFooter>
    <oddHeader>&amp;C&amp;G</oddHeader>
    <oddFooter>&amp;L&amp;"Times New Roman,Bold"&amp;12Ref No: &amp;F&amp;C&amp;G&amp;R&amp;"Times New Roman,Bold"&amp;12                                                          &amp;P</oddFooter>
  </headerFooter>
  <rowBreaks count="3" manualBreakCount="3">
    <brk id="798" max="16383" man="1"/>
    <brk id="841" max="16383" man="1"/>
    <brk id="881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ColWidth="9" defaultRowHeight="14.5"/>
  <cols>
    <col min="2" max="2" width="12.26953125" customWidth="1"/>
  </cols>
  <sheetData>
    <row r="2" spans="1:12">
      <c r="B2" s="13" t="s">
        <v>293</v>
      </c>
      <c r="C2" s="196"/>
      <c r="D2" s="196"/>
    </row>
    <row r="3" spans="1:12">
      <c r="D3" s="14"/>
      <c r="E3" s="14"/>
      <c r="F3" s="14"/>
      <c r="G3" s="14"/>
      <c r="H3" s="14"/>
      <c r="I3" s="14"/>
    </row>
    <row r="4" spans="1:12">
      <c r="A4" s="13" t="s">
        <v>294</v>
      </c>
      <c r="B4" s="15" t="s">
        <v>295</v>
      </c>
      <c r="C4" s="197" t="s">
        <v>296</v>
      </c>
      <c r="D4" s="197"/>
      <c r="E4" s="197"/>
      <c r="F4" s="16"/>
      <c r="G4" s="197" t="s">
        <v>297</v>
      </c>
      <c r="H4" s="197"/>
      <c r="I4" s="197"/>
      <c r="J4" s="197" t="s">
        <v>298</v>
      </c>
      <c r="K4" s="197"/>
      <c r="L4" s="197"/>
    </row>
    <row r="5" spans="1:12">
      <c r="A5" s="13">
        <v>202</v>
      </c>
      <c r="B5" s="15"/>
      <c r="C5" s="15" t="s">
        <v>299</v>
      </c>
      <c r="D5" s="15" t="s">
        <v>300</v>
      </c>
      <c r="E5" s="15" t="s">
        <v>301</v>
      </c>
      <c r="F5" s="15"/>
      <c r="G5" s="15" t="s">
        <v>299</v>
      </c>
      <c r="H5" s="15" t="s">
        <v>300</v>
      </c>
      <c r="I5" s="15" t="s">
        <v>301</v>
      </c>
      <c r="J5" s="15" t="s">
        <v>299</v>
      </c>
      <c r="K5" s="15" t="s">
        <v>300</v>
      </c>
      <c r="L5" s="15" t="s">
        <v>301</v>
      </c>
    </row>
    <row r="6" spans="1:12">
      <c r="B6" s="17" t="s">
        <v>302</v>
      </c>
      <c r="C6" s="17"/>
      <c r="D6" s="17"/>
      <c r="E6" s="17">
        <f>C6*D6</f>
        <v>0</v>
      </c>
      <c r="F6" s="17" t="s">
        <v>303</v>
      </c>
      <c r="G6" s="17"/>
      <c r="H6" s="17"/>
      <c r="I6" s="17">
        <f>G6*H6</f>
        <v>0</v>
      </c>
      <c r="J6" s="17"/>
      <c r="K6" s="17"/>
      <c r="L6" s="17">
        <f>J6*K6</f>
        <v>0</v>
      </c>
    </row>
    <row r="7" spans="1:12">
      <c r="B7" s="17"/>
      <c r="C7" s="17"/>
      <c r="D7" s="17"/>
      <c r="E7" s="17">
        <f t="shared" ref="E7:E33" si="0">C7*D7</f>
        <v>0</v>
      </c>
      <c r="F7" s="17" t="s">
        <v>304</v>
      </c>
      <c r="G7" s="17"/>
      <c r="H7" s="17"/>
      <c r="I7" s="17">
        <f t="shared" ref="I7:I33" si="1">G7*H7</f>
        <v>0</v>
      </c>
      <c r="J7" s="17"/>
      <c r="K7" s="17"/>
      <c r="L7" s="17">
        <f t="shared" ref="L7:L33" si="2">J7*K7</f>
        <v>0</v>
      </c>
    </row>
    <row r="8" spans="1:12">
      <c r="B8" s="17"/>
      <c r="C8" s="17"/>
      <c r="D8" s="17"/>
      <c r="E8" s="17">
        <f t="shared" si="0"/>
        <v>0</v>
      </c>
      <c r="F8" s="17"/>
      <c r="G8" s="17"/>
      <c r="H8" s="17"/>
      <c r="I8" s="17">
        <f t="shared" si="1"/>
        <v>0</v>
      </c>
      <c r="J8" s="17"/>
      <c r="K8" s="17"/>
      <c r="L8" s="17">
        <f t="shared" si="2"/>
        <v>0</v>
      </c>
    </row>
    <row r="9" spans="1:12">
      <c r="B9" s="17" t="s">
        <v>305</v>
      </c>
      <c r="C9" s="17"/>
      <c r="D9" s="17"/>
      <c r="E9" s="17">
        <f t="shared" si="0"/>
        <v>0</v>
      </c>
      <c r="F9" s="17" t="s">
        <v>303</v>
      </c>
      <c r="G9" s="17"/>
      <c r="H9" s="17"/>
      <c r="I9" s="17">
        <f t="shared" si="1"/>
        <v>0</v>
      </c>
      <c r="J9" s="17"/>
      <c r="K9" s="17"/>
      <c r="L9" s="17">
        <f t="shared" si="2"/>
        <v>0</v>
      </c>
    </row>
    <row r="10" spans="1:12">
      <c r="B10" s="17"/>
      <c r="C10" s="17"/>
      <c r="D10" s="17"/>
      <c r="E10" s="17">
        <f t="shared" si="0"/>
        <v>0</v>
      </c>
      <c r="F10" s="17" t="s">
        <v>304</v>
      </c>
      <c r="G10" s="17"/>
      <c r="H10" s="17"/>
      <c r="I10" s="17">
        <f t="shared" si="1"/>
        <v>0</v>
      </c>
      <c r="J10" s="17"/>
      <c r="K10" s="17"/>
      <c r="L10" s="17">
        <f t="shared" si="2"/>
        <v>0</v>
      </c>
    </row>
    <row r="11" spans="1:12">
      <c r="B11" s="17"/>
      <c r="C11" s="17"/>
      <c r="D11" s="17"/>
      <c r="E11" s="17">
        <f t="shared" si="0"/>
        <v>0</v>
      </c>
      <c r="F11" s="17"/>
      <c r="G11" s="17"/>
      <c r="H11" s="17"/>
      <c r="I11" s="17">
        <f t="shared" si="1"/>
        <v>0</v>
      </c>
      <c r="J11" s="17"/>
      <c r="K11" s="17"/>
      <c r="L11" s="17">
        <f t="shared" si="2"/>
        <v>0</v>
      </c>
    </row>
    <row r="12" spans="1:12">
      <c r="B12" s="17"/>
      <c r="C12" s="17"/>
      <c r="D12" s="17"/>
      <c r="E12" s="17">
        <f t="shared" si="0"/>
        <v>0</v>
      </c>
      <c r="F12" s="17"/>
      <c r="G12" s="17"/>
      <c r="H12" s="17"/>
      <c r="I12" s="17">
        <f t="shared" si="1"/>
        <v>0</v>
      </c>
      <c r="J12" s="17"/>
      <c r="K12" s="17"/>
      <c r="L12" s="17">
        <f t="shared" si="2"/>
        <v>0</v>
      </c>
    </row>
    <row r="13" spans="1:12">
      <c r="B13" s="17" t="s">
        <v>306</v>
      </c>
      <c r="C13" s="17"/>
      <c r="D13" s="17"/>
      <c r="E13" s="17">
        <f t="shared" si="0"/>
        <v>0</v>
      </c>
      <c r="F13" s="17" t="s">
        <v>303</v>
      </c>
      <c r="G13" s="17"/>
      <c r="H13" s="17"/>
      <c r="I13" s="17">
        <f t="shared" si="1"/>
        <v>0</v>
      </c>
      <c r="J13" s="17"/>
      <c r="K13" s="17"/>
      <c r="L13" s="17">
        <f t="shared" si="2"/>
        <v>0</v>
      </c>
    </row>
    <row r="14" spans="1:12">
      <c r="B14" s="17"/>
      <c r="C14" s="17"/>
      <c r="D14" s="17"/>
      <c r="E14" s="17">
        <f t="shared" si="0"/>
        <v>0</v>
      </c>
      <c r="F14" s="17" t="s">
        <v>304</v>
      </c>
      <c r="G14" s="17"/>
      <c r="H14" s="17"/>
      <c r="I14" s="17">
        <f t="shared" si="1"/>
        <v>0</v>
      </c>
      <c r="J14" s="17"/>
      <c r="K14" s="17"/>
      <c r="L14" s="17">
        <f t="shared" si="2"/>
        <v>0</v>
      </c>
    </row>
    <row r="15" spans="1:12">
      <c r="B15" s="17"/>
      <c r="C15" s="17"/>
      <c r="D15" s="17"/>
      <c r="E15" s="17">
        <f t="shared" si="0"/>
        <v>0</v>
      </c>
      <c r="F15" s="17"/>
      <c r="G15" s="17"/>
      <c r="H15" s="17"/>
      <c r="I15" s="17">
        <f t="shared" si="1"/>
        <v>0</v>
      </c>
      <c r="J15" s="17"/>
      <c r="K15" s="17"/>
      <c r="L15" s="17">
        <f t="shared" si="2"/>
        <v>0</v>
      </c>
    </row>
    <row r="16" spans="1:12">
      <c r="B16" s="17"/>
      <c r="C16" s="17"/>
      <c r="D16" s="17"/>
      <c r="E16" s="17">
        <f t="shared" si="0"/>
        <v>0</v>
      </c>
      <c r="F16" s="17"/>
      <c r="G16" s="17"/>
      <c r="H16" s="17"/>
      <c r="I16" s="17">
        <f t="shared" si="1"/>
        <v>0</v>
      </c>
      <c r="J16" s="17"/>
      <c r="K16" s="17"/>
      <c r="L16" s="17">
        <f t="shared" si="2"/>
        <v>0</v>
      </c>
    </row>
    <row r="17" spans="2:12">
      <c r="B17" s="17" t="s">
        <v>307</v>
      </c>
      <c r="C17" s="17"/>
      <c r="D17" s="17"/>
      <c r="E17" s="17">
        <f t="shared" si="0"/>
        <v>0</v>
      </c>
      <c r="F17" s="17" t="s">
        <v>303</v>
      </c>
      <c r="G17" s="17"/>
      <c r="H17" s="17"/>
      <c r="I17" s="17">
        <f t="shared" si="1"/>
        <v>0</v>
      </c>
      <c r="J17" s="17"/>
      <c r="K17" s="17"/>
      <c r="L17" s="17">
        <f t="shared" si="2"/>
        <v>0</v>
      </c>
    </row>
    <row r="18" spans="2:12">
      <c r="B18" s="17"/>
      <c r="C18" s="17"/>
      <c r="D18" s="17"/>
      <c r="E18" s="17">
        <f t="shared" si="0"/>
        <v>0</v>
      </c>
      <c r="F18" s="17" t="s">
        <v>304</v>
      </c>
      <c r="G18" s="17"/>
      <c r="H18" s="17"/>
      <c r="I18" s="17">
        <f t="shared" si="1"/>
        <v>0</v>
      </c>
      <c r="J18" s="17"/>
      <c r="K18" s="17"/>
      <c r="L18" s="17">
        <f t="shared" si="2"/>
        <v>0</v>
      </c>
    </row>
    <row r="19" spans="2:12">
      <c r="B19" s="17"/>
      <c r="C19" s="17"/>
      <c r="D19" s="17"/>
      <c r="E19" s="17">
        <f t="shared" si="0"/>
        <v>0</v>
      </c>
      <c r="F19" s="17"/>
      <c r="G19" s="17"/>
      <c r="H19" s="17"/>
      <c r="I19" s="17">
        <f t="shared" si="1"/>
        <v>0</v>
      </c>
      <c r="J19" s="17"/>
      <c r="K19" s="17"/>
      <c r="L19" s="17">
        <f t="shared" si="2"/>
        <v>0</v>
      </c>
    </row>
    <row r="20" spans="2:12">
      <c r="B20" s="17" t="s">
        <v>307</v>
      </c>
      <c r="C20" s="17"/>
      <c r="D20" s="17"/>
      <c r="E20" s="17">
        <f t="shared" si="0"/>
        <v>0</v>
      </c>
      <c r="F20" s="17" t="s">
        <v>303</v>
      </c>
      <c r="G20" s="17"/>
      <c r="H20" s="17"/>
      <c r="I20" s="17">
        <f t="shared" si="1"/>
        <v>0</v>
      </c>
      <c r="J20" s="17"/>
      <c r="K20" s="17"/>
      <c r="L20" s="17">
        <f t="shared" si="2"/>
        <v>0</v>
      </c>
    </row>
    <row r="21" spans="2:12">
      <c r="B21" s="17"/>
      <c r="C21" s="17"/>
      <c r="D21" s="17"/>
      <c r="E21" s="17">
        <f t="shared" si="0"/>
        <v>0</v>
      </c>
      <c r="F21" s="17" t="s">
        <v>304</v>
      </c>
      <c r="G21" s="17"/>
      <c r="H21" s="17"/>
      <c r="I21" s="17">
        <f t="shared" si="1"/>
        <v>0</v>
      </c>
      <c r="J21" s="17"/>
      <c r="K21" s="17"/>
      <c r="L21" s="17">
        <f t="shared" si="2"/>
        <v>0</v>
      </c>
    </row>
    <row r="22" spans="2:12">
      <c r="B22" s="17"/>
      <c r="C22" s="17"/>
      <c r="D22" s="17"/>
      <c r="E22" s="17">
        <f t="shared" si="0"/>
        <v>0</v>
      </c>
      <c r="F22" s="17"/>
      <c r="G22" s="17"/>
      <c r="H22" s="17"/>
      <c r="I22" s="17">
        <f t="shared" si="1"/>
        <v>0</v>
      </c>
      <c r="J22" s="17"/>
      <c r="K22" s="17"/>
      <c r="L22" s="17">
        <f t="shared" si="2"/>
        <v>0</v>
      </c>
    </row>
    <row r="23" spans="2:12">
      <c r="B23" s="17" t="s">
        <v>308</v>
      </c>
      <c r="C23" s="17"/>
      <c r="D23" s="17"/>
      <c r="E23" s="17">
        <f t="shared" si="0"/>
        <v>0</v>
      </c>
      <c r="F23" s="17" t="s">
        <v>309</v>
      </c>
      <c r="G23" s="17"/>
      <c r="H23" s="17"/>
      <c r="I23" s="17">
        <f t="shared" si="1"/>
        <v>0</v>
      </c>
      <c r="J23" s="17"/>
      <c r="K23" s="17"/>
      <c r="L23" s="17">
        <f t="shared" si="2"/>
        <v>0</v>
      </c>
    </row>
    <row r="24" spans="2:12">
      <c r="B24" s="17" t="s">
        <v>310</v>
      </c>
      <c r="C24" s="17"/>
      <c r="D24" s="17"/>
      <c r="E24" s="17">
        <f t="shared" si="0"/>
        <v>0</v>
      </c>
      <c r="F24" s="17" t="s">
        <v>309</v>
      </c>
      <c r="G24" s="17"/>
      <c r="H24" s="17"/>
      <c r="I24" s="17">
        <f t="shared" si="1"/>
        <v>0</v>
      </c>
      <c r="J24" s="17"/>
      <c r="K24" s="17"/>
      <c r="L24" s="17">
        <f t="shared" si="2"/>
        <v>0</v>
      </c>
    </row>
    <row r="25" spans="2:12">
      <c r="B25" s="17" t="s">
        <v>311</v>
      </c>
      <c r="C25" s="17"/>
      <c r="D25" s="17"/>
      <c r="E25" s="17">
        <f t="shared" si="0"/>
        <v>0</v>
      </c>
      <c r="F25" s="17" t="s">
        <v>309</v>
      </c>
      <c r="G25" s="17"/>
      <c r="H25" s="17"/>
      <c r="I25" s="17">
        <f t="shared" si="1"/>
        <v>0</v>
      </c>
      <c r="J25" s="17"/>
      <c r="K25" s="17"/>
      <c r="L25" s="17">
        <f t="shared" si="2"/>
        <v>0</v>
      </c>
    </row>
    <row r="26" spans="2:12">
      <c r="B26" s="17"/>
      <c r="C26" s="17"/>
      <c r="D26" s="17"/>
      <c r="E26" s="17">
        <f t="shared" si="0"/>
        <v>0</v>
      </c>
      <c r="F26" s="17"/>
      <c r="G26" s="17"/>
      <c r="H26" s="17"/>
      <c r="I26" s="17">
        <f t="shared" si="1"/>
        <v>0</v>
      </c>
      <c r="J26" s="17"/>
      <c r="K26" s="17"/>
      <c r="L26" s="17">
        <f t="shared" si="2"/>
        <v>0</v>
      </c>
    </row>
    <row r="27" spans="2:12">
      <c r="B27" s="17" t="s">
        <v>312</v>
      </c>
      <c r="C27" s="17"/>
      <c r="D27" s="17"/>
      <c r="E27" s="17">
        <f t="shared" si="0"/>
        <v>0</v>
      </c>
      <c r="F27" s="17"/>
      <c r="G27" s="17"/>
      <c r="H27" s="17"/>
      <c r="I27" s="17">
        <f t="shared" si="1"/>
        <v>0</v>
      </c>
      <c r="J27" s="17"/>
      <c r="K27" s="17"/>
      <c r="L27" s="17">
        <f t="shared" si="2"/>
        <v>0</v>
      </c>
    </row>
    <row r="28" spans="2:12">
      <c r="B28" s="17" t="s">
        <v>313</v>
      </c>
      <c r="C28" s="17"/>
      <c r="D28" s="17"/>
      <c r="E28" s="17">
        <f t="shared" si="0"/>
        <v>0</v>
      </c>
      <c r="F28" s="17"/>
      <c r="G28" s="17"/>
      <c r="H28" s="17"/>
      <c r="I28" s="17">
        <f t="shared" si="1"/>
        <v>0</v>
      </c>
      <c r="J28" s="17"/>
      <c r="K28" s="17"/>
      <c r="L28" s="17">
        <f t="shared" si="2"/>
        <v>0</v>
      </c>
    </row>
    <row r="29" spans="2:12">
      <c r="B29" s="17" t="s">
        <v>314</v>
      </c>
      <c r="C29" s="17"/>
      <c r="D29" s="17"/>
      <c r="E29" s="17">
        <f t="shared" si="0"/>
        <v>0</v>
      </c>
      <c r="F29" s="17"/>
      <c r="G29" s="17"/>
      <c r="H29" s="17"/>
      <c r="I29" s="17">
        <f t="shared" si="1"/>
        <v>0</v>
      </c>
      <c r="J29" s="17"/>
      <c r="K29" s="17"/>
      <c r="L29" s="17">
        <f t="shared" si="2"/>
        <v>0</v>
      </c>
    </row>
    <row r="30" spans="2:12">
      <c r="B30" s="17" t="s">
        <v>315</v>
      </c>
      <c r="C30" s="17"/>
      <c r="D30" s="17"/>
      <c r="E30" s="17">
        <f t="shared" si="0"/>
        <v>0</v>
      </c>
      <c r="F30" s="17"/>
      <c r="G30" s="17"/>
      <c r="H30" s="17"/>
      <c r="I30" s="17">
        <f t="shared" si="1"/>
        <v>0</v>
      </c>
      <c r="J30" s="17"/>
      <c r="K30" s="17"/>
      <c r="L30" s="17">
        <f t="shared" si="2"/>
        <v>0</v>
      </c>
    </row>
    <row r="31" spans="2:12">
      <c r="B31" s="17"/>
      <c r="C31" s="17"/>
      <c r="D31" s="17"/>
      <c r="E31" s="17">
        <f t="shared" si="0"/>
        <v>0</v>
      </c>
      <c r="F31" s="17"/>
      <c r="G31" s="17"/>
      <c r="H31" s="17"/>
      <c r="I31" s="17">
        <f t="shared" si="1"/>
        <v>0</v>
      </c>
      <c r="J31" s="17"/>
      <c r="K31" s="17"/>
      <c r="L31" s="17">
        <f t="shared" si="2"/>
        <v>0</v>
      </c>
    </row>
    <row r="32" spans="2:12">
      <c r="B32" s="17"/>
      <c r="C32" s="17"/>
      <c r="D32" s="17"/>
      <c r="E32" s="17">
        <f t="shared" si="0"/>
        <v>0</v>
      </c>
      <c r="F32" s="17"/>
      <c r="G32" s="17"/>
      <c r="H32" s="17"/>
      <c r="I32" s="17">
        <f t="shared" si="1"/>
        <v>0</v>
      </c>
      <c r="J32" s="17"/>
      <c r="K32" s="17"/>
      <c r="L32" s="17">
        <f t="shared" si="2"/>
        <v>0</v>
      </c>
    </row>
    <row r="33" spans="2:12">
      <c r="B33" s="17"/>
      <c r="C33" s="17"/>
      <c r="D33" s="17"/>
      <c r="E33" s="17">
        <f t="shared" si="0"/>
        <v>0</v>
      </c>
      <c r="F33" s="17"/>
      <c r="G33" s="17"/>
      <c r="H33" s="17"/>
      <c r="I33" s="17">
        <f t="shared" si="1"/>
        <v>0</v>
      </c>
      <c r="J33" s="17"/>
      <c r="K33" s="17"/>
      <c r="L33" s="17">
        <f t="shared" si="2"/>
        <v>0</v>
      </c>
    </row>
    <row r="34" spans="2:12">
      <c r="B34" s="17" t="s">
        <v>176</v>
      </c>
      <c r="C34" s="17"/>
      <c r="D34" s="17">
        <f>E34*10.764</f>
        <v>0</v>
      </c>
      <c r="E34" s="17">
        <f>SUM(E6:E33)</f>
        <v>0</v>
      </c>
      <c r="F34" s="17"/>
      <c r="G34" s="17"/>
      <c r="H34" s="17">
        <f>I34*10.764</f>
        <v>0</v>
      </c>
      <c r="I34" s="17">
        <f>SUM(I6:I33)</f>
        <v>0</v>
      </c>
      <c r="J34" s="17"/>
      <c r="K34" s="17">
        <f>L34*10.764</f>
        <v>0</v>
      </c>
      <c r="L34" s="17">
        <f>SUM(L6:L33)</f>
        <v>0</v>
      </c>
    </row>
    <row r="36" spans="2:12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98" t="s">
        <v>316</v>
      </c>
      <c r="C3" s="198"/>
      <c r="D3" s="198"/>
      <c r="E3" s="198"/>
      <c r="F3" s="198"/>
      <c r="G3" s="198"/>
      <c r="H3" s="198"/>
    </row>
    <row r="4" spans="1:9">
      <c r="A4" s="2"/>
      <c r="B4" s="3" t="s">
        <v>317</v>
      </c>
      <c r="C4" s="3" t="s">
        <v>318</v>
      </c>
      <c r="D4" s="3" t="s">
        <v>294</v>
      </c>
      <c r="E4" s="3" t="s">
        <v>319</v>
      </c>
      <c r="F4" s="3" t="s">
        <v>320</v>
      </c>
      <c r="G4" s="3" t="s">
        <v>321</v>
      </c>
      <c r="H4" s="3" t="s">
        <v>322</v>
      </c>
    </row>
    <row r="5" spans="1:9" ht="15" customHeight="1">
      <c r="A5" s="2"/>
      <c r="B5" s="4" t="s">
        <v>323</v>
      </c>
      <c r="C5" s="5"/>
      <c r="D5" s="4" t="s">
        <v>249</v>
      </c>
      <c r="E5" s="4">
        <v>1106</v>
      </c>
      <c r="F5" s="6">
        <f>E5*1.6</f>
        <v>1769.6000000000001</v>
      </c>
      <c r="G5" s="6">
        <f>H5/F5</f>
        <v>31532.549728752259</v>
      </c>
      <c r="H5" s="7">
        <v>55800000</v>
      </c>
    </row>
    <row r="6" spans="1:9">
      <c r="A6" s="2"/>
      <c r="B6" s="4" t="s">
        <v>323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323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323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323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324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324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325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326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ColWidth="9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2025-09-17T15:10:00Z</cp:lastPrinted>
  <dcterms:created xsi:type="dcterms:W3CDTF">2019-07-16T09:29:00Z</dcterms:created>
  <dcterms:modified xsi:type="dcterms:W3CDTF">2025-09-17T15:10:14Z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D30BD53B70E747929064CF70DC299144_12</vt:lpwstr>
  </property>
  <property fmtid="{D5CDD505-2E9C-101B-9397-08002B2CF9AE}" pid="3" name="KSOProductBuildVer">
    <vt:lpwstr>1033-12.2.0.20326</vt:lpwstr>
  </property>
</Properties>
</file>