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VSJCV\Making\AXIS\2025-26\Axis\APF Dump\Sept 2025\17-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Report!$A$1:$H$359</definedName>
  </definedNames>
  <calcPr calcId="162913"/>
</workbook>
</file>

<file path=xl/calcChain.xml><?xml version="1.0" encoding="utf-8"?>
<calcChain xmlns="http://schemas.openxmlformats.org/spreadsheetml/2006/main">
  <c r="E44" i="7" l="1"/>
  <c r="D44" i="7"/>
  <c r="L42" i="7"/>
  <c r="K42" i="7"/>
  <c r="I42" i="7"/>
  <c r="H42" i="7"/>
  <c r="E42" i="7"/>
  <c r="D42" i="7"/>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G12" i="5"/>
  <c r="G11" i="5"/>
  <c r="F11" i="5"/>
  <c r="G10" i="5"/>
  <c r="F10" i="5"/>
  <c r="G9" i="5"/>
  <c r="F9" i="5"/>
  <c r="G8" i="5"/>
  <c r="F8" i="5"/>
  <c r="G7" i="5"/>
  <c r="F7" i="5"/>
  <c r="G6" i="5"/>
  <c r="F6" i="5"/>
  <c r="G5" i="5"/>
  <c r="F5" i="5"/>
  <c r="D233" i="1"/>
  <c r="B213" i="1"/>
  <c r="B212" i="1"/>
  <c r="F209" i="1"/>
  <c r="H209" i="1" s="1"/>
  <c r="F208" i="1"/>
  <c r="H208" i="1" s="1"/>
  <c r="F207" i="1"/>
  <c r="H207" i="1" s="1"/>
  <c r="F206" i="1"/>
  <c r="H206" i="1" s="1"/>
  <c r="F205" i="1"/>
  <c r="H205" i="1" s="1"/>
  <c r="F203" i="1"/>
  <c r="H203" i="1" s="1"/>
  <c r="F202" i="1"/>
  <c r="H202" i="1" s="1"/>
  <c r="F201" i="1"/>
  <c r="H201" i="1" s="1"/>
  <c r="F200" i="1"/>
  <c r="H200" i="1" s="1"/>
  <c r="F199" i="1"/>
  <c r="H199" i="1" s="1"/>
  <c r="F197" i="1"/>
  <c r="H197" i="1" s="1"/>
  <c r="F196" i="1"/>
  <c r="H196" i="1" s="1"/>
  <c r="F195" i="1"/>
  <c r="H195" i="1" s="1"/>
  <c r="F194" i="1"/>
  <c r="H194" i="1" s="1"/>
  <c r="F193" i="1"/>
  <c r="H193" i="1" s="1"/>
  <c r="F191" i="1"/>
  <c r="H191" i="1" s="1"/>
  <c r="F190" i="1"/>
  <c r="H190" i="1" s="1"/>
  <c r="F189" i="1"/>
  <c r="H189" i="1" s="1"/>
  <c r="F188" i="1"/>
  <c r="H188" i="1" s="1"/>
  <c r="A188" i="1"/>
  <c r="A189" i="1" s="1"/>
  <c r="A190" i="1" s="1"/>
  <c r="A191" i="1" s="1"/>
  <c r="F187" i="1"/>
  <c r="H187" i="1" s="1"/>
  <c r="A187" i="1"/>
  <c r="F185" i="1"/>
  <c r="H185" i="1" s="1"/>
  <c r="F184" i="1"/>
  <c r="H184" i="1" s="1"/>
  <c r="F183" i="1"/>
  <c r="H183" i="1" s="1"/>
  <c r="A183" i="1"/>
  <c r="A184" i="1" s="1"/>
  <c r="A185" i="1" s="1"/>
  <c r="F182" i="1"/>
  <c r="H182" i="1" s="1"/>
  <c r="E180" i="1"/>
  <c r="F180" i="1" s="1"/>
  <c r="K180" i="1" s="1"/>
  <c r="D180" i="1"/>
  <c r="K179" i="1"/>
  <c r="K178" i="1"/>
  <c r="K177" i="1"/>
  <c r="K176" i="1"/>
  <c r="E175" i="1"/>
  <c r="D175" i="1"/>
  <c r="F175" i="1" s="1"/>
  <c r="K175" i="1" s="1"/>
  <c r="A175" i="1"/>
  <c r="A176" i="1" s="1"/>
  <c r="A177" i="1" s="1"/>
  <c r="A178" i="1" s="1"/>
  <c r="A179" i="1" s="1"/>
  <c r="A180" i="1" s="1"/>
  <c r="E174" i="1"/>
  <c r="D174" i="1"/>
  <c r="A174" i="1"/>
  <c r="K173" i="1"/>
  <c r="E172" i="1"/>
  <c r="D172" i="1"/>
  <c r="F172" i="1" s="1"/>
  <c r="K172" i="1" s="1"/>
  <c r="E171" i="1"/>
  <c r="D171" i="1"/>
  <c r="E170" i="1"/>
  <c r="D170" i="1"/>
  <c r="F170" i="1" s="1"/>
  <c r="K170" i="1" s="1"/>
  <c r="E169" i="1"/>
  <c r="D169" i="1"/>
  <c r="E168" i="1"/>
  <c r="D168" i="1"/>
  <c r="F168" i="1" s="1"/>
  <c r="K168" i="1" s="1"/>
  <c r="A168" i="1"/>
  <c r="A169" i="1" s="1"/>
  <c r="A170" i="1" s="1"/>
  <c r="A171" i="1" s="1"/>
  <c r="A172" i="1" s="1"/>
  <c r="E167" i="1"/>
  <c r="D167" i="1"/>
  <c r="A167" i="1"/>
  <c r="E166" i="1"/>
  <c r="D166" i="1"/>
  <c r="F166" i="1" s="1"/>
  <c r="K166" i="1" s="1"/>
  <c r="K165" i="1"/>
  <c r="E164" i="1"/>
  <c r="D164" i="1"/>
  <c r="F164" i="1" s="1"/>
  <c r="K164" i="1" s="1"/>
  <c r="E163" i="1"/>
  <c r="D163" i="1"/>
  <c r="F163" i="1" s="1"/>
  <c r="K163" i="1" s="1"/>
  <c r="E162" i="1"/>
  <c r="D162" i="1"/>
  <c r="F162" i="1" s="1"/>
  <c r="K162" i="1" s="1"/>
  <c r="E161" i="1"/>
  <c r="D161" i="1"/>
  <c r="F161" i="1" s="1"/>
  <c r="K161" i="1" s="1"/>
  <c r="E160" i="1"/>
  <c r="F160" i="1" s="1"/>
  <c r="K160" i="1" s="1"/>
  <c r="D160" i="1"/>
  <c r="E159" i="1"/>
  <c r="D159" i="1"/>
  <c r="F159" i="1" s="1"/>
  <c r="K159" i="1" s="1"/>
  <c r="A159" i="1"/>
  <c r="A160" i="1" s="1"/>
  <c r="A161" i="1" s="1"/>
  <c r="A162" i="1" s="1"/>
  <c r="A163" i="1" s="1"/>
  <c r="A164" i="1" s="1"/>
  <c r="E158" i="1"/>
  <c r="D158" i="1"/>
  <c r="F158" i="1" s="1"/>
  <c r="K158" i="1" s="1"/>
  <c r="K157" i="1"/>
  <c r="J156" i="1"/>
  <c r="J103" i="1" s="1"/>
  <c r="I103" i="1" s="1"/>
  <c r="E156" i="1"/>
  <c r="F156" i="1" s="1"/>
  <c r="K156" i="1" s="1"/>
  <c r="D156" i="1"/>
  <c r="E155" i="1"/>
  <c r="D155" i="1"/>
  <c r="F155" i="1" s="1"/>
  <c r="K155" i="1" s="1"/>
  <c r="J154" i="1"/>
  <c r="E154" i="1"/>
  <c r="D154" i="1"/>
  <c r="F154" i="1" s="1"/>
  <c r="K154" i="1" s="1"/>
  <c r="E153" i="1"/>
  <c r="F153" i="1" s="1"/>
  <c r="K153" i="1" s="1"/>
  <c r="D153" i="1"/>
  <c r="K152" i="1"/>
  <c r="E151" i="1"/>
  <c r="D151" i="1"/>
  <c r="F151" i="1" s="1"/>
  <c r="K151" i="1" s="1"/>
  <c r="A151" i="1"/>
  <c r="A152" i="1" s="1"/>
  <c r="A153" i="1" s="1"/>
  <c r="A154" i="1" s="1"/>
  <c r="A155" i="1" s="1"/>
  <c r="A156" i="1" s="1"/>
  <c r="E150" i="1"/>
  <c r="D150" i="1"/>
  <c r="F150" i="1" s="1"/>
  <c r="K150" i="1" s="1"/>
  <c r="K149" i="1"/>
  <c r="G148" i="1"/>
  <c r="E148" i="1"/>
  <c r="D148" i="1"/>
  <c r="F148" i="1" s="1"/>
  <c r="H148" i="1" s="1"/>
  <c r="E147" i="1"/>
  <c r="D147" i="1"/>
  <c r="E146" i="1"/>
  <c r="D146" i="1"/>
  <c r="F146" i="1" s="1"/>
  <c r="K146" i="1" s="1"/>
  <c r="K145" i="1"/>
  <c r="K144" i="1"/>
  <c r="I143" i="1"/>
  <c r="E143" i="1"/>
  <c r="D143" i="1"/>
  <c r="F143" i="1" s="1"/>
  <c r="K143" i="1" s="1"/>
  <c r="A143" i="1"/>
  <c r="A144" i="1" s="1"/>
  <c r="A145" i="1" s="1"/>
  <c r="A146" i="1" s="1"/>
  <c r="A147" i="1" s="1"/>
  <c r="A148" i="1" s="1"/>
  <c r="L142" i="1"/>
  <c r="I142" i="1"/>
  <c r="E142" i="1"/>
  <c r="D142" i="1"/>
  <c r="F142" i="1" s="1"/>
  <c r="D137" i="1"/>
  <c r="F137" i="1" s="1"/>
  <c r="H137" i="1" s="1"/>
  <c r="K137" i="1" s="1"/>
  <c r="D136" i="1"/>
  <c r="F136" i="1" s="1"/>
  <c r="H136" i="1" s="1"/>
  <c r="K136" i="1" s="1"/>
  <c r="D135" i="1"/>
  <c r="F135" i="1" s="1"/>
  <c r="H135" i="1" s="1"/>
  <c r="K135" i="1" s="1"/>
  <c r="F134" i="1"/>
  <c r="H134" i="1" s="1"/>
  <c r="K134" i="1" s="1"/>
  <c r="D134" i="1"/>
  <c r="D133" i="1"/>
  <c r="F133" i="1" s="1"/>
  <c r="H133" i="1" s="1"/>
  <c r="K133" i="1" s="1"/>
  <c r="D132" i="1"/>
  <c r="F132" i="1" s="1"/>
  <c r="H132" i="1" s="1"/>
  <c r="K132" i="1" s="1"/>
  <c r="D131" i="1"/>
  <c r="F131" i="1" s="1"/>
  <c r="H131" i="1" s="1"/>
  <c r="K131" i="1" s="1"/>
  <c r="D130" i="1"/>
  <c r="F130" i="1" s="1"/>
  <c r="H130" i="1" s="1"/>
  <c r="K130" i="1" s="1"/>
  <c r="A130" i="1"/>
  <c r="A131" i="1" s="1"/>
  <c r="A132" i="1" s="1"/>
  <c r="A133" i="1" s="1"/>
  <c r="A134" i="1" s="1"/>
  <c r="A135" i="1" s="1"/>
  <c r="A136" i="1" s="1"/>
  <c r="A137" i="1" s="1"/>
  <c r="I129" i="1"/>
  <c r="D129" i="1"/>
  <c r="F129" i="1" s="1"/>
  <c r="F114" i="1"/>
  <c r="B88" i="1"/>
  <c r="J96" i="1" s="1"/>
  <c r="B74" i="1"/>
  <c r="J83" i="1" s="1"/>
  <c r="D67" i="1"/>
  <c r="D62" i="1"/>
  <c r="G51" i="1"/>
  <c r="G52" i="1" s="1"/>
  <c r="C51" i="1"/>
  <c r="C52" i="1" s="1"/>
  <c r="E44" i="1"/>
  <c r="E45" i="1" s="1"/>
  <c r="J43" i="1"/>
  <c r="S33" i="1"/>
  <c r="E31" i="1"/>
  <c r="E28" i="1"/>
  <c r="E26" i="1"/>
  <c r="C16" i="1"/>
  <c r="I15" i="1"/>
  <c r="Z13" i="1"/>
  <c r="E8" i="1"/>
  <c r="E3" i="1"/>
  <c r="A199" i="1"/>
  <c r="H88" i="1"/>
  <c r="H74" i="1"/>
  <c r="A205" i="1"/>
  <c r="A193" i="1"/>
  <c r="J97" i="1" l="1"/>
  <c r="J98" i="1"/>
  <c r="F167" i="1"/>
  <c r="K167" i="1" s="1"/>
  <c r="F174" i="1"/>
  <c r="K174" i="1" s="1"/>
  <c r="F147" i="1"/>
  <c r="K147" i="1" s="1"/>
  <c r="F169" i="1"/>
  <c r="K169" i="1" s="1"/>
  <c r="F171" i="1"/>
  <c r="K171" i="1" s="1"/>
  <c r="G121" i="1"/>
  <c r="G122" i="1" s="1"/>
  <c r="K148" i="1"/>
  <c r="K142" i="1"/>
  <c r="H129" i="1"/>
  <c r="E117" i="1"/>
  <c r="E118" i="1" s="1"/>
  <c r="C117" i="1"/>
  <c r="C118" i="1" s="1"/>
  <c r="J82" i="1"/>
  <c r="J84" i="1"/>
  <c r="J95" i="1"/>
  <c r="J81" i="1"/>
  <c r="J79" i="1"/>
  <c r="J80" i="1" s="1"/>
  <c r="J85" i="1" s="1"/>
  <c r="J86" i="1" s="1"/>
  <c r="E77" i="1"/>
  <c r="D84" i="1"/>
  <c r="D83" i="1"/>
  <c r="D79" i="1"/>
  <c r="J76" i="1"/>
  <c r="J73" i="1"/>
  <c r="J75" i="1" s="1"/>
  <c r="J78" i="1"/>
  <c r="C77" i="1" s="1"/>
  <c r="D77" i="1" s="1"/>
  <c r="D86" i="1"/>
  <c r="D82" i="1"/>
  <c r="D78" i="1"/>
  <c r="J77" i="1"/>
  <c r="D85" i="1"/>
  <c r="D81" i="1"/>
  <c r="D80" i="1"/>
  <c r="J92" i="1"/>
  <c r="C91" i="1" s="1"/>
  <c r="J90" i="1"/>
  <c r="J87" i="1"/>
  <c r="J89" i="1" s="1"/>
  <c r="D97" i="1"/>
  <c r="D100" i="1"/>
  <c r="D96" i="1"/>
  <c r="D99" i="1"/>
  <c r="D95" i="1"/>
  <c r="J91" i="1"/>
  <c r="D98" i="1"/>
  <c r="D94" i="1"/>
  <c r="J93" i="1"/>
  <c r="J94" i="1" s="1"/>
  <c r="J99" i="1" s="1"/>
  <c r="D93" i="1"/>
  <c r="A200" i="1"/>
  <c r="A206" i="1"/>
  <c r="A194" i="1"/>
  <c r="C121" i="1" l="1"/>
  <c r="C122" i="1" s="1"/>
  <c r="C123" i="1" s="1"/>
  <c r="E121" i="1"/>
  <c r="E122" i="1" s="1"/>
  <c r="E123" i="1" s="1"/>
  <c r="G117" i="1"/>
  <c r="G118" i="1" s="1"/>
  <c r="G123" i="1" s="1"/>
  <c r="K129" i="1"/>
  <c r="I74" i="1"/>
  <c r="I75" i="1" s="1"/>
  <c r="C92" i="1"/>
  <c r="G91" i="1" s="1"/>
  <c r="J100" i="1"/>
  <c r="J101" i="1" s="1"/>
  <c r="J74" i="1"/>
  <c r="G77" i="1"/>
  <c r="D91" i="1"/>
  <c r="A207" i="1"/>
  <c r="A201" i="1"/>
  <c r="A195" i="1"/>
  <c r="J88" i="1" l="1"/>
  <c r="I73" i="1"/>
  <c r="C75" i="1" s="1"/>
  <c r="E91" i="1"/>
  <c r="C101" i="1" s="1"/>
  <c r="D92" i="1"/>
  <c r="I88" i="1" s="1"/>
  <c r="D71" i="1"/>
  <c r="G101" i="1"/>
  <c r="A196" i="1"/>
  <c r="A202" i="1"/>
  <c r="A208" i="1"/>
  <c r="I89" i="1" l="1"/>
  <c r="I87" i="1" s="1"/>
  <c r="C89" i="1" s="1"/>
  <c r="F72" i="1"/>
  <c r="D72" i="1"/>
  <c r="A197" i="1"/>
  <c r="A209" i="1"/>
  <c r="A203" i="1"/>
</calcChain>
</file>

<file path=xl/comments1.xml><?xml version="1.0" encoding="utf-8"?>
<comments xmlns="http://schemas.openxmlformats.org/spreadsheetml/2006/main">
  <authors>
    <author>Sachin</author>
    <author>SACHIN</author>
  </authors>
  <commentList>
    <comment ref="E12" authorId="0" shapeId="0">
      <text>
        <r>
          <rPr>
            <b/>
            <sz val="9"/>
            <rFont val="Tahoma"/>
            <family val="2"/>
          </rPr>
          <t>Sachin:</t>
        </r>
        <r>
          <rPr>
            <sz val="9"/>
            <rFont val="Tahoma"/>
            <family val="2"/>
          </rPr>
          <t xml:space="preserve">
Building No. 
Tower No.
Wing 
Bunglow No., etc</t>
        </r>
      </text>
    </comment>
    <comment ref="E13" authorId="0" shapeId="0">
      <text>
        <r>
          <rPr>
            <b/>
            <sz val="9"/>
            <rFont val="Tahoma"/>
            <family val="2"/>
          </rPr>
          <t>Sachin:</t>
        </r>
        <r>
          <rPr>
            <sz val="9"/>
            <rFont val="Tahoma"/>
            <family val="2"/>
          </rPr>
          <t xml:space="preserve">
If exisiting Building is provided write it or else
NA</t>
        </r>
      </text>
    </comment>
    <comment ref="C55" authorId="1" shapeId="0">
      <text>
        <r>
          <rPr>
            <b/>
            <sz val="9"/>
            <rFont val="Tahoma"/>
            <family val="2"/>
          </rPr>
          <t>SACHIN:</t>
        </r>
        <r>
          <rPr>
            <sz val="9"/>
            <rFont val="Tahoma"/>
            <family val="2"/>
          </rPr>
          <t xml:space="preserve">
Floor with height</t>
        </r>
      </text>
    </comment>
    <comment ref="C57" authorId="1" shapeId="0">
      <text>
        <r>
          <rPr>
            <b/>
            <sz val="9"/>
            <rFont val="Tahoma"/>
            <family val="2"/>
          </rPr>
          <t>SACHIN:</t>
        </r>
        <r>
          <rPr>
            <sz val="9"/>
            <rFont val="Tahoma"/>
            <family val="2"/>
          </rPr>
          <t xml:space="preserve">
Survey Nos.</t>
        </r>
      </text>
    </comment>
    <comment ref="C59" authorId="1" shapeId="0">
      <text>
        <r>
          <rPr>
            <b/>
            <sz val="9"/>
            <rFont val="Tahoma"/>
            <family val="2"/>
          </rPr>
          <t>SACHIN:</t>
        </r>
        <r>
          <rPr>
            <sz val="9"/>
            <rFont val="Tahoma"/>
            <family val="2"/>
          </rPr>
          <t xml:space="preserve">
Height from AMSL</t>
        </r>
      </text>
    </comment>
    <comment ref="D62" authorId="0" shapeId="0">
      <text>
        <r>
          <rPr>
            <b/>
            <sz val="9"/>
            <rFont val="Tahoma"/>
            <family val="2"/>
          </rPr>
          <t>Sachin:</t>
        </r>
        <r>
          <rPr>
            <sz val="9"/>
            <rFont val="Tahoma"/>
            <family val="2"/>
          </rPr>
          <t xml:space="preserve">
If multiple building in project or complex just mention builtup of required building</t>
        </r>
      </text>
    </comment>
    <comment ref="F107" authorId="1" shapeId="0">
      <text>
        <r>
          <rPr>
            <b/>
            <sz val="9"/>
            <rFont val="Tahoma"/>
            <family val="2"/>
          </rPr>
          <t>SACHIN:</t>
        </r>
        <r>
          <rPr>
            <sz val="9"/>
            <rFont val="Tahoma"/>
            <family val="2"/>
          </rPr>
          <t xml:space="preserve">
Other charges should be given on basis of location amenties builder type n should not exceed above 12 lakhs or 8% of flat value</t>
        </r>
      </text>
    </comment>
    <comment ref="H140" authorId="1" shapeId="0">
      <text>
        <r>
          <rPr>
            <b/>
            <sz val="9"/>
            <rFont val="Tahoma"/>
            <family val="2"/>
          </rPr>
          <t>SACHIN:</t>
        </r>
        <r>
          <rPr>
            <sz val="9"/>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rFont val="Tahoma"/>
            <family val="2"/>
          </rPr>
          <t>SACHIN:</t>
        </r>
        <r>
          <rPr>
            <sz val="9"/>
            <rFont val="Tahoma"/>
            <family val="2"/>
          </rPr>
          <t xml:space="preserve">
If banker changes the rate</t>
        </r>
      </text>
    </comment>
    <comment ref="C10" authorId="0" shapeId="0">
      <text>
        <r>
          <rPr>
            <b/>
            <sz val="9"/>
            <rFont val="Tahoma"/>
            <family val="2"/>
          </rPr>
          <t>SACHIN:</t>
        </r>
        <r>
          <rPr>
            <sz val="9"/>
            <rFont val="Tahoma"/>
            <family val="2"/>
          </rPr>
          <t xml:space="preserve">
If we change the rate</t>
        </r>
      </text>
    </comment>
  </commentList>
</comments>
</file>

<file path=xl/sharedStrings.xml><?xml version="1.0" encoding="utf-8"?>
<sst xmlns="http://schemas.openxmlformats.org/spreadsheetml/2006/main" count="662" uniqueCount="384">
  <si>
    <t>Office No. 1031, Wing J, Akshar Business Park, Plot No. 03 Sector 25, Near APMC Market, Vashi, Navi Mumbai, Maharashtra 400703 TEL: 022-46090378/79/80                                                                       
E mail : vsjcapf@gmail.com. Web site : www.vsjadon.com</t>
  </si>
  <si>
    <t xml:space="preserve">Valuation Report </t>
  </si>
  <si>
    <t>Date:</t>
  </si>
  <si>
    <t>Bank</t>
  </si>
  <si>
    <t>Axis Bank</t>
  </si>
  <si>
    <t>PNB Housing Finance Limited</t>
  </si>
  <si>
    <t>Cent Bank</t>
  </si>
  <si>
    <t>Indiabulls Housing Finance Ltd</t>
  </si>
  <si>
    <t>ABFHL</t>
  </si>
  <si>
    <t>Bank Name:</t>
  </si>
  <si>
    <t>Branch</t>
  </si>
  <si>
    <t>Axis Goregaon</t>
  </si>
  <si>
    <t>PNB Thane</t>
  </si>
  <si>
    <t>Cent Kalyan</t>
  </si>
  <si>
    <t>IBHF Kalyan</t>
  </si>
  <si>
    <t>CPC Name:</t>
  </si>
  <si>
    <t>Axis Thane</t>
  </si>
  <si>
    <t>PNB Borivali</t>
  </si>
  <si>
    <t>Cent Belapur</t>
  </si>
  <si>
    <t>IBHF Badlapur</t>
  </si>
  <si>
    <t>Date Of Property Visit</t>
  </si>
  <si>
    <t>Axis Sanpada</t>
  </si>
  <si>
    <t>IBHF Vashi</t>
  </si>
  <si>
    <t>Name of the builder group</t>
  </si>
  <si>
    <t>SPS Heights LLP</t>
  </si>
  <si>
    <t>Axis Badlapur</t>
  </si>
  <si>
    <t>Name of the builder company</t>
  </si>
  <si>
    <t>IBHF Thane</t>
  </si>
  <si>
    <t>Name of the Project</t>
  </si>
  <si>
    <t>White Falcon</t>
  </si>
  <si>
    <t>IBHF Andheri</t>
  </si>
  <si>
    <t>Provided Contact Details (Name &amp; Contact No.)</t>
  </si>
  <si>
    <t>Jitendra : 9594244915</t>
  </si>
  <si>
    <t>Site Person - Contact Details (Name &amp; Contact No.)</t>
  </si>
  <si>
    <t>Mr Gajana Jadhav - 8888656675</t>
  </si>
  <si>
    <t>Name / No of the Building</t>
  </si>
  <si>
    <t>01 Building</t>
  </si>
  <si>
    <t>Name / No of the Existing Building</t>
  </si>
  <si>
    <t>NA</t>
  </si>
  <si>
    <t xml:space="preserve">Thane </t>
  </si>
  <si>
    <t>Palghar</t>
  </si>
  <si>
    <t>Mumbai</t>
  </si>
  <si>
    <t>Raigad</t>
  </si>
  <si>
    <t>Pune</t>
  </si>
  <si>
    <t>Documents Provided</t>
  </si>
  <si>
    <t>Approved Plans, CC, Sale Plans, Builder Saleable Area</t>
  </si>
  <si>
    <t>Thane</t>
  </si>
  <si>
    <t>Mokhada</t>
  </si>
  <si>
    <t>Andheri</t>
  </si>
  <si>
    <t>Alibag</t>
  </si>
  <si>
    <t>Pune City</t>
  </si>
  <si>
    <t>RERA No.</t>
  </si>
  <si>
    <t>P52000055595</t>
  </si>
  <si>
    <t>Shahpur</t>
  </si>
  <si>
    <t>Talasari</t>
  </si>
  <si>
    <t>Borivali</t>
  </si>
  <si>
    <t>Panvel</t>
  </si>
  <si>
    <t>Haveli</t>
  </si>
  <si>
    <t xml:space="preserve">Project location details       </t>
  </si>
  <si>
    <t>Kalyan</t>
  </si>
  <si>
    <t>Vasai</t>
  </si>
  <si>
    <t>Kurla</t>
  </si>
  <si>
    <t>Uran</t>
  </si>
  <si>
    <t>Khed</t>
  </si>
  <si>
    <t>Plot No</t>
  </si>
  <si>
    <t>95, Sector : 7</t>
  </si>
  <si>
    <t>Bhiwandi</t>
  </si>
  <si>
    <t>Vikramgad</t>
  </si>
  <si>
    <t>Karjat</t>
  </si>
  <si>
    <t>Baramati</t>
  </si>
  <si>
    <t>Locality</t>
  </si>
  <si>
    <t>Ulhasnagar</t>
  </si>
  <si>
    <t>Khalapur</t>
  </si>
  <si>
    <t>Junnar</t>
  </si>
  <si>
    <t>Road</t>
  </si>
  <si>
    <t>Internal Road</t>
  </si>
  <si>
    <t>Locality/Village</t>
  </si>
  <si>
    <t>Pushpak Node (Dapoli)</t>
  </si>
  <si>
    <t>Ambernath</t>
  </si>
  <si>
    <t>Dahanu</t>
  </si>
  <si>
    <t>Pen</t>
  </si>
  <si>
    <t>Shirur</t>
  </si>
  <si>
    <t>City</t>
  </si>
  <si>
    <t>Ulwe</t>
  </si>
  <si>
    <t>District</t>
  </si>
  <si>
    <t>Murbad</t>
  </si>
  <si>
    <t>Wada</t>
  </si>
  <si>
    <t>Sudhagad</t>
  </si>
  <si>
    <t>Indapur</t>
  </si>
  <si>
    <t>Taluka</t>
  </si>
  <si>
    <t>Pin Code</t>
  </si>
  <si>
    <t>Mahad</t>
  </si>
  <si>
    <t>Daund</t>
  </si>
  <si>
    <t>Nearby Landmark</t>
  </si>
  <si>
    <t>Bhaveshwar One</t>
  </si>
  <si>
    <t xml:space="preserve">Distance from city centre: </t>
  </si>
  <si>
    <t>8.4 KM from Khandeshwar Railway Station</t>
  </si>
  <si>
    <t>Roha</t>
  </si>
  <si>
    <t>Mawal</t>
  </si>
  <si>
    <t>Accessibility to the Project from the City: (Proximity to civic amenities like school, hospital, market, etc.)</t>
  </si>
  <si>
    <t>all available at  1 to 2 km.</t>
  </si>
  <si>
    <t>Mangaon</t>
  </si>
  <si>
    <t>Ambegaon</t>
  </si>
  <si>
    <t>Poladpur</t>
  </si>
  <si>
    <t>Purandhar</t>
  </si>
  <si>
    <t>Does property have Electricity / Water / Drainage Connection</t>
  </si>
  <si>
    <t>Yes</t>
  </si>
  <si>
    <t>Mahasala</t>
  </si>
  <si>
    <t>Bhor</t>
  </si>
  <si>
    <t>Class of locality</t>
  </si>
  <si>
    <t>Shriwardhan</t>
  </si>
  <si>
    <t>Mulshi</t>
  </si>
  <si>
    <t>Nature of land with topographical condtion</t>
  </si>
  <si>
    <t>Plane</t>
  </si>
  <si>
    <t>Murud</t>
  </si>
  <si>
    <t>Velhe</t>
  </si>
  <si>
    <t xml:space="preserve">Nature of the locality </t>
  </si>
  <si>
    <t>Quality of infrastructure in vicinity</t>
  </si>
  <si>
    <t>Good</t>
  </si>
  <si>
    <t>Type of Structure</t>
  </si>
  <si>
    <t>RCC Frame Structure</t>
  </si>
  <si>
    <t xml:space="preserve">Approved usage of the Property:                                                                                                                                             </t>
  </si>
  <si>
    <t>Restrictive Covenants in regard to Land Use</t>
  </si>
  <si>
    <t>No</t>
  </si>
  <si>
    <t>Boundries</t>
  </si>
  <si>
    <t>As per Layout</t>
  </si>
  <si>
    <t>At site</t>
  </si>
  <si>
    <t>East</t>
  </si>
  <si>
    <t>Plot No.94</t>
  </si>
  <si>
    <t>U/C Plot</t>
  </si>
  <si>
    <t>West</t>
  </si>
  <si>
    <t>20.0 M.Wide Road</t>
  </si>
  <si>
    <t>North</t>
  </si>
  <si>
    <t>South</t>
  </si>
  <si>
    <t>Does the boundaries at site match, as mentioned in the Documentation: NA</t>
  </si>
  <si>
    <t>Latitude, Longitude</t>
  </si>
  <si>
    <t>18.9683859,73.0773423</t>
  </si>
  <si>
    <t>Location Link</t>
  </si>
  <si>
    <t>https://maps.app.goo.gl/cAudYXuZ74r4jdRt5</t>
  </si>
  <si>
    <t>Area Statement Details :</t>
  </si>
  <si>
    <t>Total land area of the project in Sq. Mt.</t>
  </si>
  <si>
    <t>Permissible FSI</t>
  </si>
  <si>
    <t>Permissible TDR/Paid FSI</t>
  </si>
  <si>
    <t>Total FSI availaible for the project</t>
  </si>
  <si>
    <t>Total Approved Builtup area of the project (Sq.Mt)</t>
  </si>
  <si>
    <t>Total number of Buildings</t>
  </si>
  <si>
    <t xml:space="preserve">Approval Detail : Plan approval </t>
  </si>
  <si>
    <t>Name of Municipal Corporation/Authority</t>
  </si>
  <si>
    <t>City and Industrial Development Corporation (CIDCO)</t>
  </si>
  <si>
    <t>Authorites</t>
  </si>
  <si>
    <t xml:space="preserve">Layout Approval No     </t>
  </si>
  <si>
    <t>CIDCO/BP-18670/TPO(NM &amp; K)/2023/12901</t>
  </si>
  <si>
    <t>Dated</t>
  </si>
  <si>
    <t>Slum Rehabilitation Authority (SRA)</t>
  </si>
  <si>
    <t>Navi Mumbai Municipal Corporation (NMMC)</t>
  </si>
  <si>
    <t>Panvel Municipal Corporation</t>
  </si>
  <si>
    <t>Vasai-Virar City Municipal Corporation. (VVCMC)</t>
  </si>
  <si>
    <t xml:space="preserve">Approved Floor plan No.  </t>
  </si>
  <si>
    <t>Municipal Corporation of Greater Mumbai (MCGM)</t>
  </si>
  <si>
    <t>Thane Muncipal Cooperation (TMC)</t>
  </si>
  <si>
    <t>Collector Of Palghar</t>
  </si>
  <si>
    <t xml:space="preserve">Commencement-CC No
Valid Up to: </t>
  </si>
  <si>
    <t>Maharashtra Housing and Area Development Authority(MHADA)</t>
  </si>
  <si>
    <t>Kalyan Dombivli Municipal Corporation (KMDC)</t>
  </si>
  <si>
    <t>Maharashtra State Road Development Corporation Limited (MSRDC)</t>
  </si>
  <si>
    <t>Town Planner, Palghar</t>
  </si>
  <si>
    <t>Gr/Stilt + 1st to 7th Floor
Total Built Up Area = 2438.9 Sq.M.
Residential Units = 46 Nos &amp; Commercial Units = 9 Nos.</t>
  </si>
  <si>
    <t>Mumbai Metropolitan Region Development Authority (MMRDA)</t>
  </si>
  <si>
    <t>Ambernath Municipal Council (AMC)</t>
  </si>
  <si>
    <t>Navi Mumbai Airport Influence Notified Area (NAINA)</t>
  </si>
  <si>
    <t xml:space="preserve">Fire Noc No
Valid Up to: </t>
  </si>
  <si>
    <t>Kulgoan Badlapur Municipal Council</t>
  </si>
  <si>
    <t>Pen Municipal Council</t>
  </si>
  <si>
    <t xml:space="preserve">Environmental Clearance Certificate (EC) No
Valid Up for: </t>
  </si>
  <si>
    <t>Town Planning Thane</t>
  </si>
  <si>
    <t>Raigad Zilha Parishad</t>
  </si>
  <si>
    <t>Ulhasnagar Municipal Corporation</t>
  </si>
  <si>
    <t>Roha Municipal Council</t>
  </si>
  <si>
    <t xml:space="preserve">Airport Noc No
Valid Up to: </t>
  </si>
  <si>
    <t>Nagar Rachana Ani Mulya Nirdharan Vibhag Thane</t>
  </si>
  <si>
    <t>Collector Of Raigad</t>
  </si>
  <si>
    <t>Valid Upto 
Date</t>
  </si>
  <si>
    <t>Bhiwandi Nizampur City Municipal Corporation</t>
  </si>
  <si>
    <t xml:space="preserve">O. Certificate No.: </t>
  </si>
  <si>
    <t>NA
Approved upto : NA</t>
  </si>
  <si>
    <t>Maharashtra Industrial Development Corporation (MIDC)</t>
  </si>
  <si>
    <t>Building wise Construction details</t>
  </si>
  <si>
    <t>Mira-Bhayandar Municipal Corporation</t>
  </si>
  <si>
    <t>Approved area of building (Sq.Mt)</t>
  </si>
  <si>
    <t>Approved no of units</t>
  </si>
  <si>
    <t>Flats - 46, Shops - 09</t>
  </si>
  <si>
    <t>Approved no of Floors</t>
  </si>
  <si>
    <t>Gr/Stilt + 1st to 7th Floor</t>
  </si>
  <si>
    <t>Proposed no of Floors</t>
  </si>
  <si>
    <t>Expected Completion</t>
  </si>
  <si>
    <t>As per RERA - 31/12/2026</t>
  </si>
  <si>
    <t>Projected life of the structure</t>
  </si>
  <si>
    <t xml:space="preserve">Quality of construction: </t>
  </si>
  <si>
    <r>
      <rPr>
        <sz val="12"/>
        <rFont val="Times New Roman"/>
        <family val="1"/>
      </rPr>
      <t xml:space="preserve">Proposed Amenities :                                                                                                                                                                                                                         </t>
    </r>
    <r>
      <rPr>
        <b/>
        <sz val="12"/>
        <rFont val="Times New Roman"/>
        <family val="1"/>
      </rPr>
      <t xml:space="preserve">                                               </t>
    </r>
  </si>
  <si>
    <t>Fire Fighting System, Play Area, Jogging Track, Party Lawn, Viewing Deck</t>
  </si>
  <si>
    <t xml:space="preserve">Violations Observed if any : </t>
  </si>
  <si>
    <t xml:space="preserve">Material laying at Site: </t>
  </si>
  <si>
    <t xml:space="preserve">Wheather the construction is as per approved Building plan : </t>
  </si>
  <si>
    <t>Construction details:</t>
  </si>
  <si>
    <t>Basement</t>
  </si>
  <si>
    <t>Ground</t>
  </si>
  <si>
    <t>Podium</t>
  </si>
  <si>
    <t>Floors</t>
  </si>
  <si>
    <t xml:space="preserve">Stage of construction: </t>
  </si>
  <si>
    <t>Type of Work</t>
  </si>
  <si>
    <t>Slab/Floor</t>
  </si>
  <si>
    <t>Complition %</t>
  </si>
  <si>
    <t>Progress %</t>
  </si>
  <si>
    <t>Disbursement %</t>
  </si>
  <si>
    <t>Piling Work in process</t>
  </si>
  <si>
    <t>Excavation</t>
  </si>
  <si>
    <t>Excavation in process</t>
  </si>
  <si>
    <t>Plinth</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</si>
  <si>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</si>
  <si>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</si>
  <si>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</si>
  <si>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</si>
  <si>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</si>
  <si>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</si>
  <si>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</si>
  <si>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</si>
  <si>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</si>
  <si>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</si>
  <si>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</si>
  <si>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</si>
  <si>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</si>
  <si>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</si>
  <si>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</si>
  <si>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</si>
  <si>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</si>
  <si>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</si>
  <si>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</si>
  <si>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Part II = Gr/Stilt + 1st to 7th Floor</t>
  </si>
  <si>
    <t>Average Progress %</t>
  </si>
  <si>
    <t>Average Disbursement %</t>
  </si>
  <si>
    <t xml:space="preserve">Recommended Rates of the Property : </t>
  </si>
  <si>
    <t>On Saleable Area</t>
  </si>
  <si>
    <t>Online</t>
  </si>
  <si>
    <t>Builder</t>
  </si>
  <si>
    <t>MIS</t>
  </si>
  <si>
    <t>Recommended rate of the Flat Per Sq. Ft.</t>
  </si>
  <si>
    <t>Recommended rate of the Shop Per Sq. Ft.</t>
  </si>
  <si>
    <t>Recommended rate of the Office Per Sq. Ft.</t>
  </si>
  <si>
    <t>Floor Rise Rate from    Floor</t>
  </si>
  <si>
    <t>Development Charges</t>
  </si>
  <si>
    <t>Club Charges</t>
  </si>
  <si>
    <t>Gas Connection Charges</t>
  </si>
  <si>
    <t>Water, Electricity, Drainages, Sewerage Connection</t>
  </si>
  <si>
    <t>Society Formation Charges</t>
  </si>
  <si>
    <t>Advance Maintenance Charges</t>
  </si>
  <si>
    <t xml:space="preserve">Recommended rate of Parking </t>
  </si>
  <si>
    <t>Distressed valuation of the Property</t>
  </si>
  <si>
    <t>Commercial Area Details :</t>
  </si>
  <si>
    <t>Building &amp; Wing</t>
  </si>
  <si>
    <t>No. of Units</t>
  </si>
  <si>
    <t>Total Carpet Area</t>
  </si>
  <si>
    <t>Total Saleable Area</t>
  </si>
  <si>
    <t>Shop</t>
  </si>
  <si>
    <t>Total</t>
  </si>
  <si>
    <t>Residential Area Details :</t>
  </si>
  <si>
    <t>Flats</t>
  </si>
  <si>
    <t>Grand Total</t>
  </si>
  <si>
    <t>Building details Floor Wise</t>
  </si>
  <si>
    <t xml:space="preserve">Details of Residential &amp; Commercials in Building   </t>
  </si>
  <si>
    <r>
      <rPr>
        <b/>
        <sz val="12"/>
        <rFont val="Times New Roman"/>
        <family val="1"/>
      </rPr>
      <t xml:space="preserve">Shop No.
</t>
    </r>
    <r>
      <rPr>
        <b/>
        <sz val="11"/>
        <rFont val="Times New Roman"/>
        <family val="1"/>
      </rPr>
      <t>(Approved Plan)</t>
    </r>
  </si>
  <si>
    <t>Shop No. (Sale Plan)</t>
  </si>
  <si>
    <t>Description</t>
  </si>
  <si>
    <t>RERA Carpet area</t>
  </si>
  <si>
    <t>Attached Loft area</t>
  </si>
  <si>
    <t>Gross Carpet area</t>
  </si>
  <si>
    <t>Attached Terrace area</t>
  </si>
  <si>
    <t>Builder Saleable Area</t>
  </si>
  <si>
    <t>Ground Floor for Commercial &amp; Parking</t>
  </si>
  <si>
    <r>
      <rPr>
        <b/>
        <sz val="12"/>
        <rFont val="Times New Roman"/>
        <family val="1"/>
      </rPr>
      <t xml:space="preserve">Flat No.
</t>
    </r>
    <r>
      <rPr>
        <b/>
        <sz val="11"/>
        <rFont val="Times New Roman"/>
        <family val="1"/>
      </rPr>
      <t>(Approved Plan)</t>
    </r>
  </si>
  <si>
    <t>Flat No. (Sale Plan)</t>
  </si>
  <si>
    <t>Balcony + E.B.Area + C.B.Area</t>
  </si>
  <si>
    <t>1st Floor for Residential</t>
  </si>
  <si>
    <t>1BHK</t>
  </si>
  <si>
    <t>Void Area</t>
  </si>
  <si>
    <t>2BHK</t>
  </si>
  <si>
    <t>2nd Floor</t>
  </si>
  <si>
    <t>Drivers Room &amp; Society Office</t>
  </si>
  <si>
    <t>3rd to 5th Floor</t>
  </si>
  <si>
    <t>6th &amp; 7th Floor</t>
  </si>
  <si>
    <t>5th Floor (Part Terrace Area)</t>
  </si>
  <si>
    <t>Terrace Area</t>
  </si>
  <si>
    <t>Ground Floor</t>
  </si>
  <si>
    <t>3rd, 5th, 7th, 9th, 11th, 13th, 15th Floor</t>
  </si>
  <si>
    <t>2nd to 5th Floor</t>
  </si>
  <si>
    <t>2nd &amp; 5th Floor</t>
  </si>
  <si>
    <t xml:space="preserve">Remarks:  </t>
  </si>
  <si>
    <t>*</t>
  </si>
  <si>
    <t>Construction work is in process at the time of Visit.</t>
  </si>
  <si>
    <t>We considered Carpet area as per Approved Plan.</t>
  </si>
  <si>
    <t>We considered Gross carpet area = Net carpet + Enclose balcony + Balcony + C.B.Area.</t>
  </si>
  <si>
    <t>We have considered proposed No. of Floor for Stage Calculation.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</si>
  <si>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</si>
  <si>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</si>
  <si>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</si>
  <si>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have updated latest approved floor plans &amp; CC (On 03/09/2024).</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</si>
  <si>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</si>
  <si>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</si>
  <si>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</si>
  <si>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</si>
  <si>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</si>
  <si>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</si>
  <si>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</si>
  <si>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Inspected By :</t>
  </si>
  <si>
    <t>Report By :</t>
  </si>
  <si>
    <t>Authorized Signatory
Name &amp; Seal of the agency</t>
  </si>
  <si>
    <t xml:space="preserve">PHOTOGRAPHS OF PROPERTY : 
</t>
  </si>
  <si>
    <t>Layout :</t>
  </si>
  <si>
    <t>Google Map :</t>
  </si>
  <si>
    <t>Market Research Data</t>
  </si>
  <si>
    <t>Source</t>
  </si>
  <si>
    <t>Distance from proposed property</t>
  </si>
  <si>
    <t>Flat</t>
  </si>
  <si>
    <t>Net Carpet</t>
  </si>
  <si>
    <t>Saleable Area</t>
  </si>
  <si>
    <t>Rate on Saleable</t>
  </si>
  <si>
    <t>Market Value</t>
  </si>
  <si>
    <t>Magic Brick</t>
  </si>
  <si>
    <t>99 Acres</t>
  </si>
  <si>
    <t>Average</t>
  </si>
  <si>
    <t xml:space="preserve">Valuation Adopted </t>
  </si>
  <si>
    <t>Approved Plans, CC, Sale Plans, Builder Saleable Area, Cost Sheet, Airport Noc, Railway Noc, OC</t>
  </si>
  <si>
    <t>Approved Plans, CC</t>
  </si>
  <si>
    <t>Approved Plans, CC, Sale Plans</t>
  </si>
  <si>
    <t>Approved Plans, CC, Sale Plans, Builder Saleable Area, Cost Sheet,</t>
  </si>
  <si>
    <t>Approved Plans, CC, Builder Saleable Area,</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</si>
  <si>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</si>
  <si>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</si>
  <si>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</si>
  <si>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</si>
  <si>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</si>
  <si>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</si>
  <si>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</si>
  <si>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rPr>
        <sz val="11"/>
        <color rgb="FF000000"/>
        <rFont val="Calibri"/>
        <family val="2"/>
      </rP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</si>
  <si>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</si>
  <si>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</si>
  <si>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</si>
  <si>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</si>
  <si>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</si>
  <si>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</si>
  <si>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</si>
  <si>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</si>
  <si>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</si>
  <si>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</si>
  <si>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</si>
  <si>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r>
      <rPr>
        <sz val="11"/>
        <color rgb="FF000000"/>
        <rFont val="Calibri"/>
        <family val="2"/>
      </rP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</si>
  <si>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rPr>
        <sz val="11"/>
        <color rgb="FF000000"/>
        <rFont val="Calibri"/>
        <family val="2"/>
      </rP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</si>
  <si>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 xml:space="preserve">Floor No </t>
  </si>
  <si>
    <t>Discription</t>
  </si>
  <si>
    <t>Carpet</t>
  </si>
  <si>
    <t>Fungible</t>
  </si>
  <si>
    <t>Terrace</t>
  </si>
  <si>
    <t>L</t>
  </si>
  <si>
    <t>W</t>
  </si>
  <si>
    <t>A</t>
  </si>
  <si>
    <t>Hall</t>
  </si>
  <si>
    <t>Balcony</t>
  </si>
  <si>
    <t>CB</t>
  </si>
  <si>
    <t>kitch</t>
  </si>
  <si>
    <t>FB</t>
  </si>
  <si>
    <t>Bed1</t>
  </si>
  <si>
    <t>Bed2</t>
  </si>
  <si>
    <t>Bed3</t>
  </si>
  <si>
    <t>Bed4</t>
  </si>
  <si>
    <t>DB</t>
  </si>
  <si>
    <t>toilet2</t>
  </si>
  <si>
    <t>toilet3</t>
  </si>
  <si>
    <t>toilet4</t>
  </si>
  <si>
    <t>passage1</t>
  </si>
  <si>
    <t>passage2</t>
  </si>
  <si>
    <t>passage3</t>
  </si>
  <si>
    <t>passage4</t>
  </si>
  <si>
    <t>Servant room</t>
  </si>
  <si>
    <t>Ravindra vishwakarma</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</si>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</sst>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0.00_);_(* \(#,##0.00\);_(* &quot;-&quot;??_);_(@_)"/>
    <numFmt numFmtId="165" formatCode="_(* #,##0_);_(* \(#,##0\);_(* &quot;-&quot;??_);_(@_)"/>
    <numFmt numFmtId="166" formatCode="0.0"/>
    <numFmt numFmtId="167" formatCode="_ * #,##0_ ;_ * \-#,##0_ ;_ * &quot;-&quot;??_ ;_ @_ "/>
    <numFmt numFmtId="168" formatCode="0.000"/>
  </numFmts>
  <fonts count="28">
    <font>
      <sz val="11"/>
      <color rgb="FF000000"/>
      <name val="Calibri"/>
      <charset val="134"/>
    </font>
    <font>
      <b/>
      <sz val="11"/>
      <color theme="1"/>
      <name val="Calibri"/>
      <family val="2"/>
      <scheme val="minor"/>
    </font>
    <font>
      <sz val="11"/>
      <color indexed="8"/>
      <name val="Calibri"/>
      <family val="2"/>
    </font>
    <font>
      <sz val="11"/>
      <color theme="1"/>
      <name val="Calibri"/>
      <family val="2"/>
      <scheme val="minor"/>
    </font>
    <font>
      <sz val="11"/>
      <color rgb="FFFF0000"/>
      <name val="Calibri"/>
      <family val="2"/>
      <scheme val="minor"/>
    </font>
    <font>
      <sz val="11"/>
      <color rgb="FFFF0000"/>
      <name val="Calibri"/>
      <family val="2"/>
    </font>
    <font>
      <sz val="12"/>
      <color rgb="FFFF0000"/>
      <name val="Times New Roman"/>
      <family val="1"/>
    </font>
    <font>
      <sz val="12"/>
      <name val="Times New Roman"/>
      <family val="1"/>
    </font>
    <font>
      <sz val="11"/>
      <color theme="1"/>
      <name val="Times New Roman"/>
      <family val="1"/>
    </font>
    <font>
      <sz val="12"/>
      <color indexed="8"/>
      <name val="Times New Roman"/>
      <family val="1"/>
    </font>
    <font>
      <sz val="12"/>
      <color theme="1"/>
      <name val="Times New Roman"/>
      <family val="1"/>
    </font>
    <font>
      <b/>
      <sz val="11.5"/>
      <name val="Times New Roman"/>
      <family val="1"/>
    </font>
    <font>
      <b/>
      <sz val="12"/>
      <name val="Times New Roman"/>
      <family val="1"/>
    </font>
    <font>
      <b/>
      <sz val="12"/>
      <color indexed="8"/>
      <name val="Times New Roman"/>
      <family val="1"/>
    </font>
    <font>
      <u/>
      <sz val="11"/>
      <color theme="10"/>
      <name val="Calibri"/>
      <family val="2"/>
    </font>
    <font>
      <b/>
      <sz val="12"/>
      <color theme="1"/>
      <name val="Times New Roman"/>
      <family val="1"/>
    </font>
    <font>
      <b/>
      <sz val="11"/>
      <name val="Times New Roman"/>
      <family val="1"/>
    </font>
    <font>
      <sz val="10"/>
      <color theme="1"/>
      <name val="Times New Roman"/>
      <family val="1"/>
    </font>
    <font>
      <sz val="11"/>
      <name val="Calibri"/>
      <family val="2"/>
    </font>
    <font>
      <sz val="11"/>
      <color theme="0"/>
      <name val="Calibri"/>
      <family val="2"/>
    </font>
    <font>
      <sz val="11"/>
      <color rgb="FF000000"/>
      <name val="Times New Roman"/>
      <family val="1"/>
    </font>
    <font>
      <sz val="11"/>
      <color rgb="FFFF0000"/>
      <name val="Times New Roman"/>
      <family val="1"/>
    </font>
    <font>
      <sz val="11"/>
      <name val="Times New Roman"/>
      <family val="1"/>
    </font>
    <font>
      <sz val="10"/>
      <name val="Arial"/>
      <family val="2"/>
    </font>
    <font>
      <b/>
      <sz val="11"/>
      <color rgb="FF000000"/>
      <name val="Calibri"/>
      <family val="2"/>
    </font>
    <font>
      <b/>
      <sz val="9"/>
      <name val="Tahoma"/>
      <family val="2"/>
    </font>
    <font>
      <sz val="9"/>
      <name val="Tahoma"/>
      <family val="2"/>
    </font>
    <font>
      <sz val="11"/>
      <color rgb="FF000000"/>
      <name val="Calibri"/>
      <family val="2"/>
    </font>
  </fonts>
  <fills count="7">
    <fill>
      <patternFill patternType="none"/>
    </fill>
    <fill>
      <patternFill patternType="gray125"/>
    </fill>
    <fill>
      <patternFill patternType="solid">
        <fgColor rgb="FFFFFF00"/>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9" tint="0.79995117038483843"/>
        <bgColor indexed="64"/>
      </patternFill>
    </fill>
    <fill>
      <patternFill patternType="solid">
        <fgColor theme="0" tint="-4.9989318521683403E-2"/>
        <bgColor indexed="64"/>
      </patternFill>
    </fill>
  </fills>
  <borders count="3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diagonal/>
    </border>
    <border>
      <left/>
      <right style="thin">
        <color auto="1"/>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medium">
        <color auto="1"/>
      </bottom>
      <diagonal/>
    </border>
  </borders>
  <cellStyleXfs count="11">
    <xf numFmtId="0" fontId="0" fillId="0" borderId="0"/>
    <xf numFmtId="43" fontId="27" fillId="0" borderId="0" applyFont="0" applyFill="0" applyBorder="0" applyAlignment="0" applyProtection="0"/>
    <xf numFmtId="9" fontId="27" fillId="0" borderId="0" applyFont="0" applyFill="0" applyBorder="0" applyAlignment="0" applyProtection="0"/>
    <xf numFmtId="0" fontId="14" fillId="0" borderId="0" applyNumberFormat="0" applyFill="0" applyBorder="0" applyAlignment="0" applyProtection="0"/>
    <xf numFmtId="164" fontId="2" fillId="0" borderId="0" applyFont="0" applyFill="0" applyBorder="0" applyAlignment="0" applyProtection="0"/>
    <xf numFmtId="0" fontId="2" fillId="0" borderId="0"/>
    <xf numFmtId="0" fontId="2" fillId="0" borderId="0"/>
    <xf numFmtId="0" fontId="3" fillId="0" borderId="0"/>
    <xf numFmtId="0" fontId="3" fillId="0" borderId="0"/>
    <xf numFmtId="0" fontId="23" fillId="0" borderId="0"/>
    <xf numFmtId="0" fontId="3" fillId="0" borderId="0"/>
  </cellStyleXfs>
  <cellXfs count="238">
    <xf numFmtId="0" fontId="0" fillId="0" borderId="0" xfId="0"/>
    <xf numFmtId="0" fontId="0" fillId="0" borderId="0" xfId="0"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0" borderId="0" xfId="0" applyAlignment="1">
      <alignment horizontal="left" vertical="top"/>
    </xf>
    <xf numFmtId="0" fontId="0" fillId="0" borderId="1" xfId="0" applyBorder="1"/>
    <xf numFmtId="0" fontId="0" fillId="0" borderId="1" xfId="0" applyBorder="1" applyAlignment="1">
      <alignment horizontal="left" vertical="top" wrapText="1"/>
    </xf>
    <xf numFmtId="0" fontId="0" fillId="0" borderId="1" xfId="0" applyBorder="1" applyAlignment="1">
      <alignment wrapText="1"/>
    </xf>
    <xf numFmtId="0" fontId="0" fillId="0" borderId="3" xfId="0" applyBorder="1"/>
    <xf numFmtId="0" fontId="0" fillId="0" borderId="1" xfId="0" applyBorder="1" applyAlignment="1">
      <alignment vertical="top" wrapText="1"/>
    </xf>
    <xf numFmtId="0" fontId="0" fillId="0" borderId="4" xfId="0" applyBorder="1"/>
    <xf numFmtId="0" fontId="0" fillId="0" borderId="1" xfId="0" applyBorder="1" applyAlignment="1">
      <alignment horizontal="left" vertical="top"/>
    </xf>
    <xf numFmtId="0" fontId="0" fillId="0" borderId="4" xfId="0" applyBorder="1" applyAlignment="1">
      <alignment horizontal="left" vertical="top"/>
    </xf>
    <xf numFmtId="0" fontId="0" fillId="0" borderId="0" xfId="0" applyAlignment="1">
      <alignment horizontal="center"/>
    </xf>
    <xf numFmtId="0" fontId="2" fillId="0" borderId="0" xfId="6"/>
    <xf numFmtId="0" fontId="3" fillId="0" borderId="0" xfId="10"/>
    <xf numFmtId="0" fontId="1" fillId="0" borderId="1" xfId="10" applyFont="1" applyBorder="1" applyAlignment="1">
      <alignment horizontal="center" vertical="top" wrapText="1"/>
    </xf>
    <xf numFmtId="0" fontId="3" fillId="0" borderId="1" xfId="10" applyBorder="1" applyAlignment="1">
      <alignment horizontal="center" vertical="center"/>
    </xf>
    <xf numFmtId="0" fontId="3" fillId="0" borderId="1" xfId="10" applyBorder="1" applyAlignment="1">
      <alignment horizontal="left" vertical="center"/>
    </xf>
    <xf numFmtId="1" fontId="3" fillId="0" borderId="1" xfId="10" applyNumberFormat="1" applyBorder="1" applyAlignment="1">
      <alignment horizontal="center" vertical="center"/>
    </xf>
    <xf numFmtId="165" fontId="3" fillId="0" borderId="1" xfId="4" applyNumberFormat="1" applyFont="1" applyBorder="1" applyAlignment="1">
      <alignment horizontal="right" vertical="center"/>
    </xf>
    <xf numFmtId="0" fontId="3" fillId="0" borderId="1" xfId="10" applyBorder="1" applyAlignment="1">
      <alignment horizontal="left" vertical="center" wrapText="1"/>
    </xf>
    <xf numFmtId="0" fontId="1" fillId="0" borderId="1" xfId="10" applyFont="1" applyBorder="1" applyAlignment="1">
      <alignment horizontal="center" vertical="center"/>
    </xf>
    <xf numFmtId="1" fontId="4" fillId="0" borderId="1" xfId="10" applyNumberFormat="1" applyFont="1" applyBorder="1" applyAlignment="1">
      <alignment horizontal="center" vertical="center"/>
    </xf>
    <xf numFmtId="0" fontId="2" fillId="0" borderId="1" xfId="6" applyBorder="1" applyAlignment="1">
      <alignment horizontal="center" vertical="center"/>
    </xf>
    <xf numFmtId="0" fontId="5" fillId="0" borderId="0" xfId="6" applyFont="1"/>
    <xf numFmtId="0" fontId="6" fillId="0" borderId="0" xfId="8" applyFont="1"/>
    <xf numFmtId="0" fontId="7" fillId="0" borderId="0" xfId="8" applyFont="1"/>
    <xf numFmtId="0" fontId="8" fillId="0" borderId="0" xfId="8" applyFont="1"/>
    <xf numFmtId="0" fontId="9" fillId="0" borderId="0" xfId="5" applyFont="1"/>
    <xf numFmtId="0" fontId="10" fillId="0" borderId="0" xfId="0" applyFont="1" applyAlignment="1">
      <alignment horizontal="center" vertical="center"/>
    </xf>
    <xf numFmtId="0" fontId="10" fillId="0" borderId="0" xfId="8" applyFont="1" applyAlignment="1">
      <alignment horizontal="center" vertical="center"/>
    </xf>
    <xf numFmtId="0" fontId="10" fillId="0" borderId="0" xfId="8" applyFont="1" applyProtection="1">
      <protection locked="0"/>
    </xf>
    <xf numFmtId="0" fontId="10" fillId="0" borderId="0" xfId="8" applyFont="1"/>
    <xf numFmtId="0" fontId="9" fillId="0" borderId="1" xfId="8" applyFont="1" applyBorder="1" applyAlignment="1" applyProtection="1">
      <alignment vertical="top" wrapText="1"/>
      <protection locked="0"/>
    </xf>
    <xf numFmtId="0" fontId="13" fillId="0" borderId="1" xfId="8" applyFont="1" applyBorder="1" applyAlignment="1" applyProtection="1">
      <alignment vertical="top"/>
      <protection locked="0"/>
    </xf>
    <xf numFmtId="2" fontId="10" fillId="0" borderId="0" xfId="8" applyNumberFormat="1" applyFont="1"/>
    <xf numFmtId="1" fontId="10" fillId="0" borderId="0" xfId="8" applyNumberFormat="1" applyFont="1"/>
    <xf numFmtId="0" fontId="7" fillId="0" borderId="19" xfId="8" applyFont="1" applyBorder="1" applyAlignment="1" applyProtection="1">
      <alignment horizontal="center" vertical="top"/>
      <protection locked="0"/>
    </xf>
    <xf numFmtId="0" fontId="7" fillId="0" borderId="1" xfId="8" applyFont="1" applyBorder="1" applyAlignment="1" applyProtection="1">
      <alignment horizontal="center" vertical="top"/>
      <protection locked="0"/>
    </xf>
    <xf numFmtId="0" fontId="7" fillId="0" borderId="20" xfId="8" applyFont="1" applyBorder="1" applyAlignment="1" applyProtection="1">
      <alignment horizontal="center" vertical="top"/>
      <protection locked="0"/>
    </xf>
    <xf numFmtId="0" fontId="7" fillId="0" borderId="1" xfId="8" applyFont="1" applyBorder="1" applyAlignment="1" applyProtection="1">
      <alignment horizontal="center" vertical="top" wrapText="1"/>
      <protection locked="0"/>
    </xf>
    <xf numFmtId="9" fontId="7" fillId="0" borderId="1" xfId="2" applyFont="1" applyFill="1" applyBorder="1" applyAlignment="1" applyProtection="1">
      <alignment horizontal="center" vertical="top" wrapText="1"/>
      <protection locked="0"/>
    </xf>
    <xf numFmtId="1" fontId="7" fillId="0" borderId="1" xfId="8" applyNumberFormat="1" applyFont="1" applyBorder="1" applyAlignment="1" applyProtection="1">
      <alignment horizontal="center" vertical="top" wrapText="1"/>
      <protection locked="0"/>
    </xf>
    <xf numFmtId="0" fontId="7" fillId="0" borderId="25" xfId="8" applyFont="1" applyBorder="1" applyAlignment="1" applyProtection="1">
      <alignment horizontal="center" vertical="top" wrapText="1"/>
      <protection locked="0"/>
    </xf>
    <xf numFmtId="9" fontId="7" fillId="0" borderId="25" xfId="2" applyFont="1" applyFill="1" applyBorder="1" applyAlignment="1" applyProtection="1">
      <alignment horizontal="center" vertical="top" wrapText="1"/>
      <protection locked="0"/>
    </xf>
    <xf numFmtId="0" fontId="7" fillId="0" borderId="13" xfId="8" applyFont="1" applyBorder="1" applyAlignment="1" applyProtection="1">
      <alignment horizontal="center" vertical="top" wrapText="1"/>
      <protection locked="0"/>
    </xf>
    <xf numFmtId="9" fontId="7" fillId="0" borderId="13" xfId="2" applyFont="1" applyFill="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2" fillId="0" borderId="13" xfId="8" applyNumberFormat="1" applyFont="1" applyBorder="1" applyAlignment="1" applyProtection="1">
      <alignment horizontal="center" vertical="top" wrapText="1"/>
      <protection locked="0"/>
    </xf>
    <xf numFmtId="9" fontId="12" fillId="0" borderId="12" xfId="2" applyFont="1" applyFill="1" applyBorder="1" applyAlignment="1" applyProtection="1">
      <alignment horizontal="center" vertical="top" wrapText="1"/>
      <protection locked="0"/>
    </xf>
    <xf numFmtId="14" fontId="10" fillId="0" borderId="0" xfId="8" applyNumberFormat="1" applyFont="1"/>
    <xf numFmtId="0" fontId="10" fillId="0" borderId="0" xfId="8" applyFont="1" applyProtection="1">
      <protection hidden="1"/>
    </xf>
    <xf numFmtId="0" fontId="17" fillId="0" borderId="0" xfId="8" applyFont="1"/>
    <xf numFmtId="0" fontId="18" fillId="2" borderId="33" xfId="0" applyFont="1" applyFill="1" applyBorder="1"/>
    <xf numFmtId="0" fontId="19" fillId="0" borderId="34" xfId="0" applyFont="1" applyBorder="1"/>
    <xf numFmtId="0" fontId="19" fillId="0" borderId="1" xfId="0" applyFont="1" applyBorder="1"/>
    <xf numFmtId="0" fontId="19" fillId="0" borderId="20" xfId="0" applyFont="1" applyBorder="1"/>
    <xf numFmtId="0" fontId="20" fillId="0" borderId="0" xfId="0" applyFont="1" applyProtection="1">
      <protection hidden="1"/>
    </xf>
    <xf numFmtId="0" fontId="10" fillId="0" borderId="23" xfId="8" applyFont="1" applyBorder="1"/>
    <xf numFmtId="0" fontId="20"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0" fillId="0" borderId="35" xfId="0" applyFont="1" applyBorder="1" applyProtection="1">
      <protection hidden="1"/>
    </xf>
    <xf numFmtId="1" fontId="0" fillId="0" borderId="28" xfId="0" applyNumberFormat="1" applyBorder="1"/>
    <xf numFmtId="0" fontId="6" fillId="0" borderId="0" xfId="8" applyFont="1" applyAlignment="1">
      <alignment horizontal="center" vertical="center"/>
    </xf>
    <xf numFmtId="1" fontId="6" fillId="0" borderId="0" xfId="8" applyNumberFormat="1" applyFont="1" applyAlignment="1">
      <alignment horizontal="center" vertical="center"/>
    </xf>
    <xf numFmtId="0" fontId="21" fillId="0" borderId="0" xfId="8" applyFont="1" applyAlignment="1">
      <alignment horizontal="center" vertical="center"/>
    </xf>
    <xf numFmtId="0" fontId="6" fillId="0" borderId="0" xfId="5" applyFont="1" applyAlignment="1">
      <alignment horizontal="center" vertical="center"/>
    </xf>
    <xf numFmtId="1" fontId="10" fillId="0" borderId="1" xfId="8" applyNumberFormat="1" applyFont="1" applyBorder="1" applyAlignment="1">
      <alignment horizontal="center" vertical="center"/>
    </xf>
    <xf numFmtId="1" fontId="7" fillId="0" borderId="1" xfId="8" applyNumberFormat="1" applyFont="1" applyBorder="1" applyAlignment="1" applyProtection="1">
      <alignment horizontal="center" vertical="center" wrapText="1"/>
      <protection locked="0"/>
    </xf>
    <xf numFmtId="1" fontId="7" fillId="0" borderId="1" xfId="8" applyNumberFormat="1" applyFont="1" applyBorder="1" applyAlignment="1">
      <alignment horizontal="center" vertical="center"/>
    </xf>
    <xf numFmtId="1" fontId="9" fillId="0" borderId="1" xfId="8" applyNumberFormat="1" applyFont="1" applyBorder="1" applyAlignment="1" applyProtection="1">
      <alignment horizontal="center" vertical="center" wrapText="1"/>
      <protection locked="0"/>
    </xf>
    <xf numFmtId="1" fontId="10" fillId="0" borderId="0" xfId="8" applyNumberFormat="1" applyFont="1" applyAlignment="1">
      <alignment horizontal="center" vertical="center"/>
    </xf>
    <xf numFmtId="0" fontId="10" fillId="0" borderId="1" xfId="8" applyFont="1" applyBorder="1" applyAlignment="1">
      <alignment horizontal="center" vertical="center"/>
    </xf>
    <xf numFmtId="166" fontId="10" fillId="0" borderId="0" xfId="8" applyNumberFormat="1" applyFont="1" applyAlignment="1">
      <alignment horizontal="center" vertical="center"/>
    </xf>
    <xf numFmtId="2" fontId="10" fillId="0" borderId="0" xfId="8" applyNumberFormat="1" applyFont="1" applyAlignment="1">
      <alignment horizontal="center" vertical="center"/>
    </xf>
    <xf numFmtId="168" fontId="10" fillId="0" borderId="0" xfId="8" applyNumberFormat="1" applyFont="1" applyAlignment="1">
      <alignment horizontal="center" vertical="center"/>
    </xf>
    <xf numFmtId="0" fontId="13" fillId="0" borderId="0" xfId="8" applyFont="1" applyAlignment="1" applyProtection="1">
      <alignment vertical="top"/>
      <protection locked="0"/>
    </xf>
    <xf numFmtId="0" fontId="13" fillId="0" borderId="0" xfId="8" applyFont="1" applyAlignment="1" applyProtection="1">
      <alignment vertical="top" wrapText="1"/>
      <protection locked="0"/>
    </xf>
    <xf numFmtId="0" fontId="15" fillId="0" borderId="0" xfId="8" applyFont="1" applyProtection="1">
      <protection locked="0"/>
    </xf>
    <xf numFmtId="0" fontId="6" fillId="0" borderId="7" xfId="8" applyFont="1" applyBorder="1" applyAlignment="1" applyProtection="1">
      <alignment horizontal="left" vertical="top" wrapText="1"/>
      <protection locked="0"/>
    </xf>
    <xf numFmtId="0" fontId="6" fillId="0" borderId="8" xfId="8" applyFont="1" applyBorder="1" applyAlignment="1" applyProtection="1">
      <alignment horizontal="left" vertical="top" wrapText="1"/>
      <protection locked="0"/>
    </xf>
    <xf numFmtId="0" fontId="6" fillId="0" borderId="9" xfId="8" applyFont="1" applyBorder="1" applyAlignment="1" applyProtection="1">
      <alignment horizontal="left" vertical="top" wrapText="1"/>
      <protection locked="0"/>
    </xf>
    <xf numFmtId="0" fontId="6" fillId="0" borderId="10" xfId="8" applyFont="1" applyBorder="1" applyAlignment="1" applyProtection="1">
      <alignment horizontal="left" vertical="top" wrapText="1"/>
      <protection locked="0"/>
    </xf>
    <xf numFmtId="0" fontId="9" fillId="0" borderId="7" xfId="8" applyFont="1" applyBorder="1" applyAlignment="1" applyProtection="1">
      <alignment horizontal="left" vertical="top" wrapText="1"/>
      <protection locked="0"/>
    </xf>
    <xf numFmtId="0" fontId="9" fillId="0" borderId="8" xfId="8" applyFont="1" applyBorder="1" applyAlignment="1" applyProtection="1">
      <alignment horizontal="left" vertical="top" wrapText="1"/>
      <protection locked="0"/>
    </xf>
    <xf numFmtId="0" fontId="9" fillId="0" borderId="9" xfId="8" applyFont="1" applyBorder="1" applyAlignment="1" applyProtection="1">
      <alignment horizontal="left" vertical="top" wrapText="1"/>
      <protection locked="0"/>
    </xf>
    <xf numFmtId="0" fontId="9" fillId="0" borderId="10" xfId="8" applyFont="1" applyBorder="1" applyAlignment="1" applyProtection="1">
      <alignment horizontal="left" vertical="top" wrapText="1"/>
      <protection locked="0"/>
    </xf>
    <xf numFmtId="0" fontId="12" fillId="0" borderId="1" xfId="8" applyFont="1" applyBorder="1" applyAlignment="1" applyProtection="1">
      <alignment horizontal="center" vertical="top" wrapText="1"/>
      <protection locked="0"/>
    </xf>
    <xf numFmtId="0" fontId="9" fillId="0" borderId="1" xfId="8" applyFont="1" applyBorder="1" applyAlignment="1" applyProtection="1">
      <alignment horizontal="left" vertical="top" wrapText="1"/>
      <protection locked="0"/>
    </xf>
    <xf numFmtId="0" fontId="7" fillId="0" borderId="1" xfId="8" applyFont="1" applyBorder="1" applyAlignment="1" applyProtection="1">
      <alignment horizontal="left" vertical="top"/>
      <protection locked="0"/>
    </xf>
    <xf numFmtId="9" fontId="7" fillId="0" borderId="7" xfId="2" applyFont="1" applyFill="1" applyBorder="1" applyAlignment="1" applyProtection="1">
      <alignment horizontal="center" vertical="center" wrapText="1"/>
      <protection locked="0"/>
    </xf>
    <xf numFmtId="9" fontId="7" fillId="0" borderId="8" xfId="2" applyFont="1" applyFill="1" applyBorder="1" applyAlignment="1" applyProtection="1">
      <alignment horizontal="center" vertical="center" wrapText="1"/>
      <protection locked="0"/>
    </xf>
    <xf numFmtId="9" fontId="7" fillId="0" borderId="3" xfId="2" applyFont="1" applyFill="1" applyBorder="1" applyAlignment="1" applyProtection="1">
      <alignment horizontal="center" vertical="center" wrapText="1"/>
      <protection locked="0"/>
    </xf>
    <xf numFmtId="9" fontId="7" fillId="0" borderId="22" xfId="2" applyFont="1" applyFill="1" applyBorder="1" applyAlignment="1" applyProtection="1">
      <alignment horizontal="center" vertical="center" wrapText="1"/>
      <protection locked="0"/>
    </xf>
    <xf numFmtId="9" fontId="7" fillId="0" borderId="26" xfId="2" applyFont="1" applyFill="1" applyBorder="1" applyAlignment="1" applyProtection="1">
      <alignment horizontal="center" vertical="center" wrapText="1"/>
      <protection locked="0"/>
    </xf>
    <xf numFmtId="9" fontId="7" fillId="0" borderId="27" xfId="2" applyFont="1" applyFill="1" applyBorder="1" applyAlignment="1" applyProtection="1">
      <alignment horizontal="center" vertical="center" wrapText="1"/>
      <protection locked="0"/>
    </xf>
    <xf numFmtId="9" fontId="7" fillId="0" borderId="21" xfId="2" applyFont="1" applyFill="1" applyBorder="1" applyAlignment="1" applyProtection="1">
      <alignment horizontal="center" vertical="center" wrapText="1"/>
      <protection locked="0"/>
    </xf>
    <xf numFmtId="9" fontId="7" fillId="0" borderId="23" xfId="2" applyFont="1" applyFill="1" applyBorder="1" applyAlignment="1" applyProtection="1">
      <alignment horizontal="center" vertical="center" wrapText="1"/>
      <protection locked="0"/>
    </xf>
    <xf numFmtId="9" fontId="7" fillId="0" borderId="28" xfId="2" applyFont="1" applyFill="1" applyBorder="1" applyAlignment="1" applyProtection="1">
      <alignment horizontal="center" vertical="center" wrapText="1"/>
      <protection locked="0"/>
    </xf>
    <xf numFmtId="1" fontId="9" fillId="0" borderId="7" xfId="8" applyNumberFormat="1" applyFont="1" applyBorder="1" applyAlignment="1" applyProtection="1">
      <alignment horizontal="center" vertical="center" wrapText="1"/>
      <protection locked="0"/>
    </xf>
    <xf numFmtId="1" fontId="9" fillId="0" borderId="11" xfId="8" applyNumberFormat="1" applyFont="1" applyBorder="1" applyAlignment="1" applyProtection="1">
      <alignment horizontal="center" vertical="center" wrapText="1"/>
      <protection locked="0"/>
    </xf>
    <xf numFmtId="1" fontId="9" fillId="0" borderId="8" xfId="8" applyNumberFormat="1" applyFont="1" applyBorder="1" applyAlignment="1" applyProtection="1">
      <alignment horizontal="center" vertical="center" wrapText="1"/>
      <protection locked="0"/>
    </xf>
    <xf numFmtId="1" fontId="9" fillId="0" borderId="9" xfId="8" applyNumberFormat="1" applyFont="1" applyBorder="1" applyAlignment="1" applyProtection="1">
      <alignment horizontal="center" vertical="center" wrapText="1"/>
      <protection locked="0"/>
    </xf>
    <xf numFmtId="1" fontId="9" fillId="0" borderId="2" xfId="8" applyNumberFormat="1" applyFont="1" applyBorder="1" applyAlignment="1" applyProtection="1">
      <alignment horizontal="center" vertical="center" wrapText="1"/>
      <protection locked="0"/>
    </xf>
    <xf numFmtId="1" fontId="9" fillId="0" borderId="10" xfId="8" applyNumberFormat="1" applyFont="1" applyBorder="1" applyAlignment="1" applyProtection="1">
      <alignment horizontal="center" vertical="center" wrapText="1"/>
      <protection locked="0"/>
    </xf>
    <xf numFmtId="1" fontId="9" fillId="0" borderId="3" xfId="8" applyNumberFormat="1" applyFont="1" applyBorder="1" applyAlignment="1" applyProtection="1">
      <alignment horizontal="center" vertical="center" wrapText="1"/>
      <protection locked="0"/>
    </xf>
    <xf numFmtId="1" fontId="9" fillId="0" borderId="0" xfId="8" applyNumberFormat="1" applyFont="1" applyAlignment="1" applyProtection="1">
      <alignment horizontal="center" vertical="center" wrapText="1"/>
      <protection locked="0"/>
    </xf>
    <xf numFmtId="1" fontId="9" fillId="0" borderId="22" xfId="8" applyNumberFormat="1" applyFont="1" applyBorder="1" applyAlignment="1" applyProtection="1">
      <alignment horizontal="center" vertical="center" wrapText="1"/>
      <protection locked="0"/>
    </xf>
    <xf numFmtId="0" fontId="13" fillId="0" borderId="1" xfId="8" applyFont="1" applyBorder="1" applyAlignment="1" applyProtection="1">
      <alignment vertical="top"/>
      <protection locked="0"/>
    </xf>
    <xf numFmtId="0" fontId="9" fillId="0" borderId="1" xfId="8" applyFont="1" applyBorder="1" applyAlignment="1" applyProtection="1">
      <alignment horizontal="left" vertical="top"/>
      <protection locked="0"/>
    </xf>
    <xf numFmtId="0" fontId="9" fillId="0" borderId="1" xfId="8" applyFont="1" applyBorder="1" applyAlignment="1" applyProtection="1">
      <alignment vertical="top"/>
      <protection locked="0"/>
    </xf>
    <xf numFmtId="0" fontId="22" fillId="0" borderId="1" xfId="8" applyFont="1" applyBorder="1" applyAlignment="1" applyProtection="1">
      <alignment horizontal="center" vertical="top" wrapText="1"/>
      <protection locked="0"/>
    </xf>
    <xf numFmtId="1" fontId="12" fillId="0" borderId="4" xfId="0" applyNumberFormat="1" applyFont="1" applyBorder="1" applyAlignment="1" applyProtection="1">
      <alignment vertical="top" wrapText="1"/>
      <protection locked="0"/>
    </xf>
    <xf numFmtId="1" fontId="12" fillId="0" borderId="5" xfId="0" applyNumberFormat="1" applyFont="1" applyBorder="1" applyAlignment="1" applyProtection="1">
      <alignment vertical="top" wrapText="1"/>
      <protection locked="0"/>
    </xf>
    <xf numFmtId="1" fontId="12" fillId="0" borderId="6"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1" fontId="9" fillId="0" borderId="4" xfId="8" applyNumberFormat="1" applyFont="1" applyBorder="1" applyAlignment="1" applyProtection="1">
      <alignment horizontal="center" vertical="center" wrapText="1"/>
      <protection locked="0"/>
    </xf>
    <xf numFmtId="1" fontId="9" fillId="0" borderId="6" xfId="8" applyNumberFormat="1" applyFont="1" applyBorder="1" applyAlignment="1" applyProtection="1">
      <alignment horizontal="center" vertical="center" wrapText="1"/>
      <protection locked="0"/>
    </xf>
    <xf numFmtId="1" fontId="13" fillId="0" borderId="4" xfId="8" applyNumberFormat="1" applyFont="1" applyBorder="1" applyAlignment="1" applyProtection="1">
      <alignment horizontal="center" vertical="center" wrapText="1"/>
      <protection locked="0"/>
    </xf>
    <xf numFmtId="1" fontId="13" fillId="0" borderId="5" xfId="8" applyNumberFormat="1" applyFont="1" applyBorder="1" applyAlignment="1" applyProtection="1">
      <alignment horizontal="center" vertical="center" wrapText="1"/>
      <protection locked="0"/>
    </xf>
    <xf numFmtId="1" fontId="13" fillId="0" borderId="6" xfId="8"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left" vertical="top" wrapText="1"/>
      <protection locked="0"/>
    </xf>
    <xf numFmtId="1" fontId="13" fillId="0" borderId="1" xfId="8" applyNumberFormat="1" applyFont="1" applyBorder="1" applyAlignment="1" applyProtection="1">
      <alignment horizontal="center" vertical="center" wrapText="1"/>
      <protection locked="0"/>
    </xf>
    <xf numFmtId="0" fontId="10" fillId="0" borderId="0" xfId="8" applyFont="1" applyAlignment="1">
      <alignment horizontal="center" vertical="center"/>
    </xf>
    <xf numFmtId="1" fontId="9" fillId="0" borderId="1" xfId="8" applyNumberFormat="1" applyFont="1" applyBorder="1" applyAlignment="1" applyProtection="1">
      <alignment horizontal="center" vertical="center" wrapText="1"/>
      <protection locked="0"/>
    </xf>
    <xf numFmtId="1" fontId="9" fillId="0" borderId="5" xfId="8" applyNumberFormat="1" applyFont="1" applyBorder="1" applyAlignment="1" applyProtection="1">
      <alignment horizontal="center" vertical="center" wrapText="1"/>
      <protection locked="0"/>
    </xf>
    <xf numFmtId="1" fontId="7" fillId="0" borderId="4" xfId="8" applyNumberFormat="1" applyFont="1" applyBorder="1" applyAlignment="1" applyProtection="1">
      <alignment horizontal="center" vertical="center" wrapText="1"/>
      <protection locked="0"/>
    </xf>
    <xf numFmtId="1" fontId="7" fillId="0" borderId="5" xfId="8" applyNumberFormat="1" applyFont="1" applyBorder="1" applyAlignment="1" applyProtection="1">
      <alignment horizontal="center" vertical="center" wrapText="1"/>
      <protection locked="0"/>
    </xf>
    <xf numFmtId="1" fontId="7" fillId="0" borderId="6" xfId="8" applyNumberFormat="1" applyFont="1" applyBorder="1" applyAlignment="1" applyProtection="1">
      <alignment horizontal="center" vertical="center" wrapText="1"/>
      <protection locked="0"/>
    </xf>
    <xf numFmtId="1" fontId="12" fillId="0" borderId="1" xfId="8" applyNumberFormat="1" applyFont="1" applyBorder="1" applyAlignment="1" applyProtection="1">
      <alignment horizontal="center" vertical="center" wrapText="1"/>
      <protection locked="0"/>
    </xf>
    <xf numFmtId="1" fontId="7" fillId="0" borderId="1" xfId="8" applyNumberFormat="1" applyFont="1" applyBorder="1" applyAlignment="1" applyProtection="1">
      <alignment horizontal="center" vertical="center" wrapText="1"/>
      <protection locked="0"/>
    </xf>
    <xf numFmtId="1" fontId="12" fillId="0" borderId="7" xfId="8" applyNumberFormat="1" applyFont="1" applyBorder="1" applyAlignment="1" applyProtection="1">
      <alignment horizontal="center" vertical="top" wrapText="1"/>
      <protection locked="0"/>
    </xf>
    <xf numFmtId="1" fontId="12" fillId="0" borderId="9" xfId="8" applyNumberFormat="1" applyFont="1" applyBorder="1" applyAlignment="1" applyProtection="1">
      <alignment horizontal="center" vertical="top" wrapText="1"/>
      <protection locked="0"/>
    </xf>
    <xf numFmtId="1" fontId="12" fillId="0" borderId="13" xfId="8" applyNumberFormat="1" applyFont="1" applyBorder="1" applyAlignment="1" applyProtection="1">
      <alignment horizontal="center" vertical="top" wrapText="1"/>
      <protection locked="0"/>
    </xf>
    <xf numFmtId="1" fontId="12" fillId="0" borderId="12" xfId="8" applyNumberFormat="1" applyFont="1" applyBorder="1" applyAlignment="1" applyProtection="1">
      <alignment horizontal="center" vertical="top" wrapText="1"/>
      <protection locked="0"/>
    </xf>
    <xf numFmtId="1" fontId="16" fillId="0" borderId="13" xfId="8" applyNumberFormat="1" applyFont="1" applyBorder="1" applyAlignment="1" applyProtection="1">
      <alignment horizontal="center" vertical="top" wrapText="1"/>
      <protection locked="0"/>
    </xf>
    <xf numFmtId="1" fontId="16" fillId="0" borderId="12" xfId="8" applyNumberFormat="1" applyFont="1" applyBorder="1" applyAlignment="1" applyProtection="1">
      <alignment horizontal="center" vertical="top" wrapText="1"/>
      <protection locked="0"/>
    </xf>
    <xf numFmtId="0" fontId="12" fillId="0" borderId="1" xfId="8" applyFont="1" applyBorder="1" applyAlignment="1" applyProtection="1">
      <alignment horizontal="center" vertical="top"/>
      <protection locked="0"/>
    </xf>
    <xf numFmtId="1" fontId="12" fillId="0" borderId="4" xfId="8" applyNumberFormat="1" applyFont="1" applyBorder="1" applyAlignment="1" applyProtection="1">
      <alignment horizontal="center" vertical="center" wrapText="1"/>
      <protection locked="0"/>
    </xf>
    <xf numFmtId="1" fontId="12" fillId="0" borderId="5" xfId="8" applyNumberFormat="1" applyFont="1" applyBorder="1" applyAlignment="1" applyProtection="1">
      <alignment horizontal="center" vertical="center" wrapText="1"/>
      <protection locked="0"/>
    </xf>
    <xf numFmtId="1" fontId="12" fillId="0" borderId="6" xfId="8" applyNumberFormat="1" applyFont="1" applyBorder="1" applyAlignment="1" applyProtection="1">
      <alignment horizontal="center" vertical="center" wrapText="1"/>
      <protection locked="0"/>
    </xf>
    <xf numFmtId="1" fontId="13" fillId="0" borderId="13" xfId="0" applyNumberFormat="1" applyFont="1" applyBorder="1" applyAlignment="1" applyProtection="1">
      <alignment horizontal="center" vertical="center" wrapText="1"/>
      <protection locked="0"/>
    </xf>
    <xf numFmtId="1" fontId="15" fillId="0" borderId="13" xfId="0" applyNumberFormat="1"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1" fontId="15" fillId="0" borderId="13" xfId="0" applyNumberFormat="1" applyFont="1" applyBorder="1" applyAlignment="1" applyProtection="1">
      <alignment horizontal="center" vertical="top" wrapText="1"/>
      <protection locked="0"/>
    </xf>
    <xf numFmtId="0" fontId="15" fillId="0" borderId="13" xfId="0" applyFont="1" applyBorder="1" applyAlignment="1" applyProtection="1">
      <alignment horizontal="center" vertical="top" wrapText="1"/>
      <protection locked="0"/>
    </xf>
    <xf numFmtId="1" fontId="13" fillId="0" borderId="13" xfId="0" applyNumberFormat="1" applyFont="1" applyBorder="1" applyAlignment="1" applyProtection="1">
      <alignment horizontal="center" vertical="top" wrapText="1"/>
      <protection locked="0"/>
    </xf>
    <xf numFmtId="1" fontId="13" fillId="0" borderId="30" xfId="0" applyNumberFormat="1" applyFont="1" applyBorder="1" applyAlignment="1" applyProtection="1">
      <alignment horizontal="center" vertical="center" wrapText="1"/>
      <protection locked="0"/>
    </xf>
    <xf numFmtId="1" fontId="13" fillId="0" borderId="31" xfId="0" applyNumberFormat="1" applyFont="1" applyBorder="1" applyAlignment="1" applyProtection="1">
      <alignment horizontal="center" vertical="center" wrapText="1"/>
      <protection locked="0"/>
    </xf>
    <xf numFmtId="0" fontId="15" fillId="0" borderId="31" xfId="0" applyFont="1" applyBorder="1" applyAlignment="1" applyProtection="1">
      <alignment horizontal="center" vertical="center"/>
      <protection locked="0"/>
    </xf>
    <xf numFmtId="1" fontId="15" fillId="0" borderId="31" xfId="0" applyNumberFormat="1" applyFont="1" applyBorder="1" applyAlignment="1" applyProtection="1">
      <alignment horizontal="center" vertical="top" wrapText="1"/>
      <protection locked="0"/>
    </xf>
    <xf numFmtId="1" fontId="13" fillId="0" borderId="31" xfId="0" applyNumberFormat="1" applyFont="1" applyBorder="1" applyAlignment="1" applyProtection="1">
      <alignment horizontal="center" vertical="top" wrapText="1"/>
      <protection locked="0"/>
    </xf>
    <xf numFmtId="1" fontId="13" fillId="0" borderId="32" xfId="0" applyNumberFormat="1" applyFont="1" applyBorder="1" applyAlignment="1" applyProtection="1">
      <alignment horizontal="center" vertical="top" wrapText="1"/>
      <protection locked="0"/>
    </xf>
    <xf numFmtId="0" fontId="12" fillId="0" borderId="12" xfId="8" applyFont="1" applyBorder="1" applyAlignment="1" applyProtection="1">
      <alignment horizontal="center" vertical="top"/>
      <protection locked="0"/>
    </xf>
    <xf numFmtId="1" fontId="13"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top" wrapText="1"/>
      <protection locked="0"/>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15" fillId="0" borderId="1" xfId="0" applyNumberFormat="1" applyFont="1" applyBorder="1" applyAlignment="1" applyProtection="1">
      <alignment horizontal="center" vertical="center"/>
      <protection locked="0"/>
    </xf>
    <xf numFmtId="1" fontId="15" fillId="0" borderId="1" xfId="0" applyNumberFormat="1" applyFont="1" applyBorder="1" applyAlignment="1" applyProtection="1">
      <alignment horizontal="center" vertical="top" wrapText="1"/>
      <protection locked="0"/>
    </xf>
    <xf numFmtId="167" fontId="7" fillId="0" borderId="1" xfId="1" applyNumberFormat="1" applyFont="1" applyFill="1" applyBorder="1" applyAlignment="1" applyProtection="1">
      <alignment horizontal="left" vertical="top"/>
      <protection locked="0"/>
    </xf>
    <xf numFmtId="0" fontId="13" fillId="0" borderId="1" xfId="8" applyFont="1" applyBorder="1" applyAlignment="1" applyProtection="1">
      <alignment horizontal="left" vertical="top"/>
      <protection locked="0"/>
    </xf>
    <xf numFmtId="0" fontId="12" fillId="6" borderId="31" xfId="8" applyFont="1" applyFill="1" applyBorder="1" applyAlignment="1" applyProtection="1">
      <alignment horizontal="center" vertical="center" wrapText="1"/>
      <protection locked="0"/>
    </xf>
    <xf numFmtId="9" fontId="12" fillId="6" borderId="31" xfId="8" applyNumberFormat="1" applyFont="1" applyFill="1" applyBorder="1" applyAlignment="1" applyProtection="1">
      <alignment horizontal="center" vertical="center" wrapText="1"/>
      <protection locked="0"/>
    </xf>
    <xf numFmtId="0" fontId="12" fillId="6" borderId="32" xfId="8" applyFont="1" applyFill="1" applyBorder="1" applyAlignment="1" applyProtection="1">
      <alignment horizontal="center" vertical="center" wrapText="1"/>
      <protection locked="0"/>
    </xf>
    <xf numFmtId="0" fontId="13" fillId="0" borderId="12" xfId="8" applyFont="1" applyBorder="1" applyAlignment="1" applyProtection="1">
      <alignment horizontal="left" vertical="top"/>
      <protection locked="0"/>
    </xf>
    <xf numFmtId="0" fontId="13" fillId="0" borderId="12" xfId="8" applyFont="1" applyBorder="1" applyAlignment="1" applyProtection="1">
      <alignment horizontal="center" vertical="top"/>
      <protection locked="0"/>
    </xf>
    <xf numFmtId="0" fontId="7" fillId="0" borderId="19" xfId="8" applyFont="1" applyBorder="1" applyAlignment="1" applyProtection="1">
      <alignment horizontal="center" vertical="top" wrapText="1"/>
      <protection locked="0"/>
    </xf>
    <xf numFmtId="0" fontId="7" fillId="0" borderId="1" xfId="8" applyFont="1" applyBorder="1" applyAlignment="1" applyProtection="1">
      <alignment horizontal="center" vertical="top" wrapText="1"/>
      <protection locked="0"/>
    </xf>
    <xf numFmtId="0" fontId="7" fillId="0" borderId="29" xfId="8" applyFont="1" applyBorder="1" applyAlignment="1" applyProtection="1">
      <alignment horizontal="center" vertical="top" wrapText="1"/>
      <protection locked="0"/>
    </xf>
    <xf numFmtId="0" fontId="7" fillId="0" borderId="13" xfId="8" applyFont="1" applyBorder="1" applyAlignment="1" applyProtection="1">
      <alignment horizontal="center" vertical="top" wrapText="1"/>
      <protection locked="0"/>
    </xf>
    <xf numFmtId="0" fontId="12" fillId="6" borderId="30" xfId="8" applyFont="1" applyFill="1" applyBorder="1" applyAlignment="1" applyProtection="1">
      <alignment horizontal="center" vertical="center" wrapText="1"/>
      <protection locked="0"/>
    </xf>
    <xf numFmtId="0" fontId="12" fillId="0" borderId="16" xfId="8" applyFont="1" applyBorder="1" applyAlignment="1" applyProtection="1">
      <alignment horizontal="left" vertical="top" wrapText="1"/>
      <protection locked="0"/>
    </xf>
    <xf numFmtId="0" fontId="12" fillId="0" borderId="17" xfId="8" applyFont="1" applyBorder="1" applyAlignment="1" applyProtection="1">
      <alignment horizontal="left" vertical="top" wrapText="1"/>
      <protection locked="0"/>
    </xf>
    <xf numFmtId="0" fontId="12" fillId="0" borderId="18" xfId="8" applyFont="1" applyBorder="1" applyAlignment="1" applyProtection="1">
      <alignment horizontal="left" vertical="top" wrapText="1"/>
      <protection locked="0"/>
    </xf>
    <xf numFmtId="0" fontId="12" fillId="0" borderId="19" xfId="8" applyFont="1" applyBorder="1" applyAlignment="1" applyProtection="1">
      <alignment horizontal="left" vertical="top"/>
      <protection locked="0"/>
    </xf>
    <xf numFmtId="0" fontId="12" fillId="0" borderId="1" xfId="8" applyFont="1" applyBorder="1" applyAlignment="1" applyProtection="1">
      <alignment horizontal="left" vertical="top"/>
      <protection locked="0"/>
    </xf>
    <xf numFmtId="0" fontId="12" fillId="0" borderId="1" xfId="8" applyFont="1" applyBorder="1" applyAlignment="1" applyProtection="1">
      <alignment horizontal="left" vertical="top" wrapText="1"/>
      <protection locked="0"/>
    </xf>
    <xf numFmtId="0" fontId="12" fillId="0" borderId="20" xfId="8" applyFont="1" applyBorder="1" applyAlignment="1" applyProtection="1">
      <alignment horizontal="left" vertical="top" wrapText="1"/>
      <protection locked="0"/>
    </xf>
    <xf numFmtId="0" fontId="7" fillId="0" borderId="20" xfId="8" applyFont="1" applyBorder="1" applyAlignment="1" applyProtection="1">
      <alignment horizontal="center" vertical="top" wrapText="1"/>
      <protection locked="0"/>
    </xf>
    <xf numFmtId="0" fontId="7" fillId="0" borderId="24" xfId="8" applyFont="1" applyBorder="1" applyAlignment="1" applyProtection="1">
      <alignment horizontal="center" vertical="top" wrapText="1"/>
      <protection locked="0"/>
    </xf>
    <xf numFmtId="0" fontId="7" fillId="0" borderId="25" xfId="8" applyFont="1" applyBorder="1" applyAlignment="1" applyProtection="1">
      <alignment horizontal="center" vertical="top" wrapText="1"/>
      <protection locked="0"/>
    </xf>
    <xf numFmtId="0" fontId="12" fillId="0" borderId="14" xfId="8" applyFont="1" applyBorder="1" applyAlignment="1" applyProtection="1">
      <alignment horizontal="left" vertical="top" wrapText="1"/>
      <protection locked="0"/>
    </xf>
    <xf numFmtId="0" fontId="12" fillId="0" borderId="15" xfId="8" applyFont="1" applyBorder="1" applyAlignment="1" applyProtection="1">
      <alignment horizontal="left" vertical="top" wrapText="1"/>
      <protection locked="0"/>
    </xf>
    <xf numFmtId="0" fontId="7" fillId="0" borderId="1" xfId="8" applyFont="1" applyBorder="1" applyAlignment="1" applyProtection="1">
      <alignment horizontal="left" vertical="top" wrapText="1"/>
      <protection locked="0"/>
    </xf>
    <xf numFmtId="0" fontId="9" fillId="0" borderId="13" xfId="8" applyFont="1" applyBorder="1" applyAlignment="1" applyProtection="1">
      <alignment horizontal="left" vertical="top"/>
      <protection locked="0"/>
    </xf>
    <xf numFmtId="0" fontId="7" fillId="0" borderId="13" xfId="8" applyFont="1" applyBorder="1" applyAlignment="1" applyProtection="1">
      <alignment horizontal="left" vertical="top" wrapText="1"/>
      <protection locked="0"/>
    </xf>
    <xf numFmtId="0" fontId="9" fillId="0" borderId="13" xfId="8" applyFont="1" applyBorder="1" applyAlignment="1" applyProtection="1">
      <alignment horizontal="left" vertical="top" wrapText="1"/>
      <protection locked="0"/>
    </xf>
    <xf numFmtId="0" fontId="7" fillId="0" borderId="7" xfId="8" applyFont="1" applyBorder="1" applyAlignment="1" applyProtection="1">
      <alignment horizontal="left" vertical="top" wrapText="1"/>
      <protection locked="0"/>
    </xf>
    <xf numFmtId="0" fontId="7" fillId="0" borderId="11" xfId="8" applyFont="1" applyBorder="1" applyAlignment="1" applyProtection="1">
      <alignment horizontal="left" vertical="top" wrapText="1"/>
      <protection locked="0"/>
    </xf>
    <xf numFmtId="0" fontId="7" fillId="0" borderId="8" xfId="8" applyFont="1" applyBorder="1" applyAlignment="1" applyProtection="1">
      <alignment horizontal="left" vertical="top" wrapText="1"/>
      <protection locked="0"/>
    </xf>
    <xf numFmtId="0" fontId="9" fillId="0" borderId="12" xfId="8" applyFont="1" applyBorder="1" applyAlignment="1" applyProtection="1">
      <alignment horizontal="left" vertical="top" wrapText="1"/>
      <protection locked="0"/>
    </xf>
    <xf numFmtId="1" fontId="9" fillId="0" borderId="1" xfId="8" applyNumberFormat="1" applyFont="1" applyBorder="1" applyAlignment="1" applyProtection="1">
      <alignment horizontal="left" vertical="top" wrapText="1"/>
      <protection locked="0"/>
    </xf>
    <xf numFmtId="0" fontId="9" fillId="0" borderId="4" xfId="8" applyFont="1" applyBorder="1" applyAlignment="1" applyProtection="1">
      <alignment horizontal="left" vertical="top" wrapText="1"/>
      <protection locked="0"/>
    </xf>
    <xf numFmtId="0" fontId="9" fillId="0" borderId="5" xfId="8" applyFont="1" applyBorder="1" applyAlignment="1" applyProtection="1">
      <alignment horizontal="left" vertical="top" wrapText="1"/>
      <protection locked="0"/>
    </xf>
    <xf numFmtId="0" fontId="9" fillId="0" borderId="6" xfId="8" applyFont="1" applyBorder="1" applyAlignment="1" applyProtection="1">
      <alignment horizontal="left" vertical="top" wrapText="1"/>
      <protection locked="0"/>
    </xf>
    <xf numFmtId="0" fontId="13" fillId="0" borderId="4" xfId="8" applyFont="1" applyBorder="1" applyAlignment="1" applyProtection="1">
      <alignment horizontal="left" vertical="top" wrapText="1"/>
      <protection locked="0"/>
    </xf>
    <xf numFmtId="0" fontId="13" fillId="0" borderId="6" xfId="8" applyFont="1" applyBorder="1" applyAlignment="1" applyProtection="1">
      <alignment horizontal="left" vertical="top" wrapText="1"/>
      <protection locked="0"/>
    </xf>
    <xf numFmtId="0" fontId="13" fillId="0" borderId="5" xfId="8" applyFont="1" applyBorder="1" applyAlignment="1" applyProtection="1">
      <alignment horizontal="left" vertical="top" wrapText="1"/>
      <protection locked="0"/>
    </xf>
    <xf numFmtId="0" fontId="13" fillId="0" borderId="4" xfId="8" applyFont="1" applyBorder="1" applyAlignment="1" applyProtection="1">
      <alignment horizontal="left" vertical="top"/>
      <protection locked="0"/>
    </xf>
    <xf numFmtId="0" fontId="13" fillId="0" borderId="6" xfId="8" applyFont="1" applyBorder="1" applyAlignment="1" applyProtection="1">
      <alignment horizontal="left" vertical="top"/>
      <protection locked="0"/>
    </xf>
    <xf numFmtId="14" fontId="9" fillId="0" borderId="4" xfId="8" applyNumberFormat="1" applyFont="1" applyBorder="1" applyAlignment="1" applyProtection="1">
      <alignment horizontal="left" vertical="top" wrapText="1"/>
      <protection locked="0"/>
    </xf>
    <xf numFmtId="14" fontId="9" fillId="0" borderId="6" xfId="8" applyNumberFormat="1" applyFont="1" applyBorder="1" applyAlignment="1" applyProtection="1">
      <alignment horizontal="left" vertical="top" wrapText="1"/>
      <protection locked="0"/>
    </xf>
    <xf numFmtId="0" fontId="9" fillId="0" borderId="4" xfId="8" applyFont="1" applyBorder="1" applyAlignment="1" applyProtection="1">
      <alignment vertical="top" wrapText="1"/>
      <protection locked="0"/>
    </xf>
    <xf numFmtId="0" fontId="9" fillId="0" borderId="5" xfId="8" applyFont="1" applyBorder="1" applyAlignment="1" applyProtection="1">
      <alignment vertical="top" wrapText="1"/>
      <protection locked="0"/>
    </xf>
    <xf numFmtId="0" fontId="9" fillId="0" borderId="6" xfId="8" applyFont="1" applyBorder="1" applyAlignment="1" applyProtection="1">
      <alignment vertical="top" wrapText="1"/>
      <protection locked="0"/>
    </xf>
    <xf numFmtId="0" fontId="12" fillId="0" borderId="4" xfId="8" applyFont="1" applyBorder="1" applyAlignment="1" applyProtection="1">
      <alignment horizontal="left" vertical="top"/>
      <protection locked="0"/>
    </xf>
    <xf numFmtId="0" fontId="12" fillId="0" borderId="5" xfId="8" applyFont="1" applyBorder="1" applyAlignment="1" applyProtection="1">
      <alignment horizontal="left" vertical="top"/>
      <protection locked="0"/>
    </xf>
    <xf numFmtId="0" fontId="12" fillId="0" borderId="6" xfId="8" applyFont="1" applyBorder="1" applyAlignment="1" applyProtection="1">
      <alignment horizontal="left" vertical="top"/>
      <protection locked="0"/>
    </xf>
    <xf numFmtId="2" fontId="9" fillId="0" borderId="1" xfId="8" applyNumberFormat="1" applyFont="1" applyBorder="1" applyAlignment="1" applyProtection="1">
      <alignment horizontal="left" vertical="top" wrapText="1"/>
      <protection locked="0"/>
    </xf>
    <xf numFmtId="166" fontId="9" fillId="0" borderId="1" xfId="8" applyNumberFormat="1" applyFont="1" applyBorder="1" applyAlignment="1" applyProtection="1">
      <alignment horizontal="left" vertical="top"/>
      <protection locked="0"/>
    </xf>
    <xf numFmtId="2" fontId="9" fillId="0" borderId="1" xfId="8" applyNumberFormat="1" applyFont="1" applyBorder="1" applyAlignment="1" applyProtection="1">
      <alignment horizontal="left" vertical="top"/>
      <protection locked="0"/>
    </xf>
    <xf numFmtId="0" fontId="7" fillId="0" borderId="1" xfId="8" applyFont="1" applyBorder="1" applyAlignment="1" applyProtection="1">
      <alignment horizontal="center"/>
      <protection locked="0"/>
    </xf>
    <xf numFmtId="0" fontId="14" fillId="0" borderId="1" xfId="3" applyFill="1" applyBorder="1" applyAlignment="1" applyProtection="1">
      <alignment horizontal="left" vertical="top" wrapText="1"/>
      <protection locked="0"/>
    </xf>
    <xf numFmtId="0" fontId="12" fillId="0" borderId="1" xfId="8" applyFont="1" applyBorder="1" applyAlignment="1" applyProtection="1">
      <alignment horizontal="center"/>
      <protection locked="0"/>
    </xf>
    <xf numFmtId="0" fontId="7" fillId="0" borderId="1" xfId="8" applyFont="1" applyBorder="1" applyAlignment="1" applyProtection="1">
      <alignment horizontal="left"/>
      <protection locked="0"/>
    </xf>
    <xf numFmtId="0" fontId="10" fillId="0" borderId="3" xfId="8" applyFont="1" applyBorder="1" applyAlignment="1">
      <alignment horizontal="center"/>
    </xf>
    <xf numFmtId="0" fontId="10" fillId="0" borderId="0" xfId="8" applyFont="1" applyAlignment="1">
      <alignment horizontal="center"/>
    </xf>
    <xf numFmtId="0" fontId="11" fillId="0" borderId="1" xfId="8" applyFont="1" applyBorder="1" applyAlignment="1" applyProtection="1">
      <alignment horizontal="center" vertical="top" wrapText="1"/>
      <protection locked="0"/>
    </xf>
    <xf numFmtId="14" fontId="7" fillId="0" borderId="1" xfId="8" applyNumberFormat="1" applyFont="1" applyBorder="1" applyAlignment="1" applyProtection="1">
      <alignment horizontal="left" vertical="top"/>
      <protection locked="0"/>
    </xf>
    <xf numFmtId="0" fontId="1" fillId="0" borderId="1" xfId="10" applyFont="1" applyBorder="1" applyAlignment="1">
      <alignment horizontal="left"/>
    </xf>
    <xf numFmtId="0" fontId="0" fillId="2" borderId="1" xfId="0" applyFill="1" applyBorder="1" applyAlignment="1">
      <alignment horizontal="center" vertical="center"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7" fillId="0" borderId="1" xfId="8" applyFont="1" applyBorder="1" applyAlignment="1" applyProtection="1">
      <alignment horizontal="center" vertical="top"/>
      <protection locked="0"/>
    </xf>
  </cellXfs>
  <cellStyles count="11">
    <cellStyle name="Comma" xfId="1" builtinId="3"/>
    <cellStyle name="Comma 2" xfId="4"/>
    <cellStyle name="Excel Built-in Normal" xfId="5"/>
    <cellStyle name="Excel Built-in Normal 2" xfId="6"/>
    <cellStyle name="Hyperlink" xfId="3" builtinId="8"/>
    <cellStyle name="Normal" xfId="0" builtinId="0"/>
    <cellStyle name="Normal 2" xfId="7"/>
    <cellStyle name="Normal 3" xfId="8"/>
    <cellStyle name="Normal 3 3" xfId="9"/>
    <cellStyle name="Normal 4" xfId="1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3.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8</xdr:col>
      <xdr:colOff>266700</xdr:colOff>
      <xdr:row>17</xdr:row>
      <xdr:rowOff>1</xdr:rowOff>
    </xdr:from>
    <xdr:to>
      <xdr:col>13</xdr:col>
      <xdr:colOff>400100</xdr:colOff>
      <xdr:row>19</xdr:row>
      <xdr:rowOff>100892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screen"/>
        <a:stretch>
          <a:fillRect/>
        </a:stretch>
      </xdr:blipFill>
      <xdr:spPr>
        <a:xfrm>
          <a:off x="6588125" y="4018280"/>
          <a:ext cx="4473575" cy="500380"/>
        </a:xfrm>
        <a:prstGeom prst="rect">
          <a:avLst/>
        </a:prstGeom>
        <a:ln>
          <a:solidFill>
            <a:schemeClr val="tx1"/>
          </a:solidFill>
        </a:ln>
      </xdr:spPr>
    </xdr:pic>
    <xdr:clientData/>
  </xdr:twoCellAnchor>
  <xdr:twoCellAnchor>
    <xdr:from>
      <xdr:col>1</xdr:col>
      <xdr:colOff>184150</xdr:colOff>
      <xdr:row>318</xdr:row>
      <xdr:rowOff>76200</xdr:rowOff>
    </xdr:from>
    <xdr:to>
      <xdr:col>6</xdr:col>
      <xdr:colOff>577900</xdr:colOff>
      <xdr:row>357</xdr:row>
      <xdr:rowOff>83820</xdr:rowOff>
    </xdr:to>
    <xdr:grpSp>
      <xdr:nvGrpSpPr>
        <xdr:cNvPr id="22" name="Group 21">
          <a:extLst>
            <a:ext uri="{FF2B5EF4-FFF2-40B4-BE49-F238E27FC236}">
              <a16:creationId xmlns:a16="http://schemas.microsoft.com/office/drawing/2014/main" id="{00000000-0008-0000-0000-000016000000}"/>
            </a:ext>
          </a:extLst>
        </xdr:cNvPr>
        <xdr:cNvGrpSpPr/>
      </xdr:nvGrpSpPr>
      <xdr:grpSpPr>
        <a:xfrm>
          <a:off x="984250" y="54330600"/>
          <a:ext cx="4660950" cy="7684770"/>
          <a:chOff x="946150" y="58493025"/>
          <a:chExt cx="4479975" cy="8188325"/>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srcRect/>
          <a:stretch>
            <a:fillRect/>
          </a:stretch>
        </xdr:blipFill>
        <xdr:spPr>
          <a:xfrm>
            <a:off x="946150" y="58493025"/>
            <a:ext cx="4479975" cy="4257403"/>
          </a:xfrm>
          <a:prstGeom prst="rect">
            <a:avLst/>
          </a:prstGeom>
          <a:ln>
            <a:solidFill>
              <a:schemeClr val="tx1"/>
            </a:solidFill>
          </a:ln>
        </xdr:spPr>
      </xdr:pic>
      <xdr:grpSp>
        <xdr:nvGrpSpPr>
          <xdr:cNvPr id="21" name="Group 20">
            <a:extLst>
              <a:ext uri="{FF2B5EF4-FFF2-40B4-BE49-F238E27FC236}">
                <a16:creationId xmlns:a16="http://schemas.microsoft.com/office/drawing/2014/main" id="{00000000-0008-0000-0000-000015000000}"/>
              </a:ext>
            </a:extLst>
          </xdr:cNvPr>
          <xdr:cNvGrpSpPr/>
        </xdr:nvGrpSpPr>
        <xdr:grpSpPr>
          <a:xfrm>
            <a:off x="946150" y="62833034"/>
            <a:ext cx="4479975" cy="3848316"/>
            <a:chOff x="946150" y="62833034"/>
            <a:chExt cx="4479975" cy="3848316"/>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srcRect/>
            <a:stretch>
              <a:fillRect/>
            </a:stretch>
          </xdr:blipFill>
          <xdr:spPr>
            <a:xfrm>
              <a:off x="946150" y="62833034"/>
              <a:ext cx="4479975" cy="3848316"/>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rot="1916617">
              <a:off x="2321901" y="64484309"/>
              <a:ext cx="1157396" cy="119736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grpSp>
    <xdr:clientData/>
  </xdr:twoCellAnchor>
  <xdr:twoCellAnchor>
    <xdr:from>
      <xdr:col>1</xdr:col>
      <xdr:colOff>361950</xdr:colOff>
      <xdr:row>275</xdr:row>
      <xdr:rowOff>63500</xdr:rowOff>
    </xdr:from>
    <xdr:to>
      <xdr:col>6</xdr:col>
      <xdr:colOff>395700</xdr:colOff>
      <xdr:row>314</xdr:row>
      <xdr:rowOff>82079</xdr:rowOff>
    </xdr:to>
    <xdr:grpSp>
      <xdr:nvGrpSpPr>
        <xdr:cNvPr id="18" name="Group 17">
          <a:extLst>
            <a:ext uri="{FF2B5EF4-FFF2-40B4-BE49-F238E27FC236}">
              <a16:creationId xmlns:a16="http://schemas.microsoft.com/office/drawing/2014/main" id="{00000000-0008-0000-0000-000012000000}"/>
            </a:ext>
          </a:extLst>
        </xdr:cNvPr>
        <xdr:cNvGrpSpPr/>
      </xdr:nvGrpSpPr>
      <xdr:grpSpPr>
        <a:xfrm>
          <a:off x="1162050" y="46050200"/>
          <a:ext cx="4300950" cy="7695729"/>
          <a:chOff x="1123950" y="49879250"/>
          <a:chExt cx="4119975" cy="7819554"/>
        </a:xfrm>
      </xdr:grpSpPr>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screen"/>
          <a:stretch>
            <a:fillRect/>
          </a:stretch>
        </xdr:blipFill>
        <xdr:spPr>
          <a:xfrm>
            <a:off x="2205900" y="54961834"/>
            <a:ext cx="2036175" cy="2736970"/>
          </a:xfrm>
          <a:prstGeom prst="rect">
            <a:avLst/>
          </a:prstGeom>
          <a:ln>
            <a:solidFill>
              <a:schemeClr val="tx1"/>
            </a:solidFill>
          </a:ln>
        </xdr:spPr>
      </xdr:pic>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
          <a:stretch>
            <a:fillRect/>
          </a:stretch>
        </xdr:blipFill>
        <xdr:spPr>
          <a:xfrm>
            <a:off x="1123950" y="49879250"/>
            <a:ext cx="4119975" cy="4977517"/>
          </a:xfrm>
          <a:prstGeom prst="rect">
            <a:avLst/>
          </a:prstGeom>
          <a:ln>
            <a:solidFill>
              <a:schemeClr val="tx1"/>
            </a:solidFill>
          </a:ln>
        </xdr:spPr>
      </xdr:pic>
    </xdr:grpSp>
    <xdr:clientData/>
  </xdr:twoCellAnchor>
  <xdr:twoCellAnchor editAs="oneCell">
    <xdr:from>
      <xdr:col>1</xdr:col>
      <xdr:colOff>361950</xdr:colOff>
      <xdr:row>295</xdr:row>
      <xdr:rowOff>63500</xdr:rowOff>
    </xdr:from>
    <xdr:to>
      <xdr:col>1</xdr:col>
      <xdr:colOff>721950</xdr:colOff>
      <xdr:row>297</xdr:row>
      <xdr:rowOff>77290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6" cstate="screen"/>
        <a:stretch>
          <a:fillRect/>
        </a:stretch>
      </xdr:blipFill>
      <xdr:spPr>
        <a:xfrm>
          <a:off x="1125855" y="50881280"/>
          <a:ext cx="359410" cy="413385"/>
        </a:xfrm>
        <a:prstGeom prst="rect">
          <a:avLst/>
        </a:prstGeom>
        <a:ln>
          <a:solidFill>
            <a:schemeClr val="tx1"/>
          </a:solidFill>
        </a:ln>
      </xdr:spPr>
    </xdr:pic>
    <xdr:clientData/>
  </xdr:twoCellAnchor>
  <xdr:twoCellAnchor editAs="oneCell">
    <xdr:from>
      <xdr:col>9</xdr:col>
      <xdr:colOff>304801</xdr:colOff>
      <xdr:row>44</xdr:row>
      <xdr:rowOff>6350</xdr:rowOff>
    </xdr:from>
    <xdr:to>
      <xdr:col>12</xdr:col>
      <xdr:colOff>312250</xdr:colOff>
      <xdr:row>49</xdr:row>
      <xdr:rowOff>233500</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7"/>
        <a:stretch>
          <a:fillRect/>
        </a:stretch>
      </xdr:blipFill>
      <xdr:spPr>
        <a:xfrm>
          <a:off x="7790180" y="9834880"/>
          <a:ext cx="2395220" cy="1455420"/>
        </a:xfrm>
        <a:prstGeom prst="rect">
          <a:avLst/>
        </a:prstGeom>
        <a:ln>
          <a:solidFill>
            <a:schemeClr val="tx1"/>
          </a:solidFill>
        </a:ln>
      </xdr:spPr>
    </xdr:pic>
    <xdr:clientData/>
  </xdr:twoCellAnchor>
  <xdr:twoCellAnchor editAs="oneCell">
    <xdr:from>
      <xdr:col>8</xdr:col>
      <xdr:colOff>298450</xdr:colOff>
      <xdr:row>49</xdr:row>
      <xdr:rowOff>387350</xdr:rowOff>
    </xdr:from>
    <xdr:to>
      <xdr:col>13</xdr:col>
      <xdr:colOff>54288</xdr:colOff>
      <xdr:row>62</xdr:row>
      <xdr:rowOff>128000</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a:stretch>
          <a:fillRect/>
        </a:stretch>
      </xdr:blipFill>
      <xdr:spPr>
        <a:xfrm>
          <a:off x="6619875" y="11444605"/>
          <a:ext cx="4095750" cy="2169160"/>
        </a:xfrm>
        <a:prstGeom prst="rect">
          <a:avLst/>
        </a:prstGeom>
        <a:ln>
          <a:solidFill>
            <a:schemeClr val="tx1"/>
          </a:solidFill>
        </a:ln>
      </xdr:spPr>
    </xdr:pic>
    <xdr:clientData/>
  </xdr:twoCellAnchor>
  <xdr:twoCellAnchor editAs="oneCell">
    <xdr:from>
      <xdr:col>8</xdr:col>
      <xdr:colOff>711200</xdr:colOff>
      <xdr:row>125</xdr:row>
      <xdr:rowOff>558800</xdr:rowOff>
    </xdr:from>
    <xdr:to>
      <xdr:col>12</xdr:col>
      <xdr:colOff>590100</xdr:colOff>
      <xdr:row>136</xdr:row>
      <xdr:rowOff>93400</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9"/>
        <a:stretch>
          <a:fillRect/>
        </a:stretch>
      </xdr:blipFill>
      <xdr:spPr>
        <a:xfrm>
          <a:off x="7032625" y="23312755"/>
          <a:ext cx="3430905" cy="2134870"/>
        </a:xfrm>
        <a:prstGeom prst="rect">
          <a:avLst/>
        </a:prstGeom>
        <a:ln>
          <a:solidFill>
            <a:schemeClr val="tx1"/>
          </a:solidFill>
        </a:ln>
      </xdr:spPr>
    </xdr:pic>
    <xdr:clientData/>
  </xdr:twoCellAnchor>
  <xdr:twoCellAnchor editAs="oneCell">
    <xdr:from>
      <xdr:col>10</xdr:col>
      <xdr:colOff>577850</xdr:colOff>
      <xdr:row>137</xdr:row>
      <xdr:rowOff>128868</xdr:rowOff>
    </xdr:from>
    <xdr:to>
      <xdr:col>15</xdr:col>
      <xdr:colOff>732920</xdr:colOff>
      <xdr:row>170</xdr:row>
      <xdr:rowOff>99195</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0"/>
        <a:stretch>
          <a:fillRect/>
        </a:stretch>
      </xdr:blipFill>
      <xdr:spPr>
        <a:xfrm>
          <a:off x="8827135" y="25682575"/>
          <a:ext cx="4215765" cy="6971665"/>
        </a:xfrm>
        <a:prstGeom prst="rect">
          <a:avLst/>
        </a:prstGeom>
        <a:ln>
          <a:solidFill>
            <a:schemeClr val="tx1"/>
          </a:solidFill>
        </a:ln>
      </xdr:spPr>
    </xdr:pic>
    <xdr:clientData/>
  </xdr:twoCellAnchor>
  <xdr:twoCellAnchor>
    <xdr:from>
      <xdr:col>8</xdr:col>
      <xdr:colOff>703580</xdr:colOff>
      <xdr:row>233</xdr:row>
      <xdr:rowOff>0</xdr:rowOff>
    </xdr:from>
    <xdr:to>
      <xdr:col>16</xdr:col>
      <xdr:colOff>80645</xdr:colOff>
      <xdr:row>261</xdr:row>
      <xdr:rowOff>64135</xdr:rowOff>
    </xdr:to>
    <xdr:grpSp>
      <xdr:nvGrpSpPr>
        <xdr:cNvPr id="28" name="Group 27">
          <a:extLst>
            <a:ext uri="{FF2B5EF4-FFF2-40B4-BE49-F238E27FC236}">
              <a16:creationId xmlns:a16="http://schemas.microsoft.com/office/drawing/2014/main" id="{00000000-0008-0000-0000-00001C000000}"/>
            </a:ext>
          </a:extLst>
        </xdr:cNvPr>
        <xdr:cNvGrpSpPr/>
      </xdr:nvGrpSpPr>
      <xdr:grpSpPr>
        <a:xfrm>
          <a:off x="7307580" y="37725350"/>
          <a:ext cx="6463665" cy="5569585"/>
          <a:chOff x="120" y="59605"/>
          <a:chExt cx="9731" cy="8856"/>
        </a:xfrm>
      </xdr:grpSpPr>
      <xdr:pic>
        <xdr:nvPicPr>
          <xdr:cNvPr id="9" name="Picture 36" descr="https://vsjcllp.vsjadon.com/upload/insp-220690-1525.jpg">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6667" y="64349"/>
            <a:ext cx="3119" cy="41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40" descr="https://vsjcllp.vsjadon.com/upload/insp-220690-845.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3410" y="64334"/>
            <a:ext cx="3096" cy="41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42" descr="https://vsjcllp.vsjadon.com/upload/insp-220690-877.jpg">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120" y="64334"/>
            <a:ext cx="3112" cy="411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44" descr="https://vsjcllp.vsjadon.com/upload/insp-220690-940.jpg">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6369" y="59605"/>
            <a:ext cx="3482" cy="4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46" descr="https://vsjcllp.vsjadon.com/upload/insp-220690-1512.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150" y="59610"/>
            <a:ext cx="6057" cy="45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279400</xdr:colOff>
      <xdr:row>233</xdr:row>
      <xdr:rowOff>76200</xdr:rowOff>
    </xdr:from>
    <xdr:to>
      <xdr:col>7</xdr:col>
      <xdr:colOff>531726</xdr:colOff>
      <xdr:row>273</xdr:row>
      <xdr:rowOff>19548</xdr:rowOff>
    </xdr:to>
    <xdr:grpSp>
      <xdr:nvGrpSpPr>
        <xdr:cNvPr id="37" name="Group 36"/>
        <xdr:cNvGrpSpPr/>
      </xdr:nvGrpSpPr>
      <xdr:grpSpPr>
        <a:xfrm>
          <a:off x="279400" y="37801550"/>
          <a:ext cx="6087976" cy="7810998"/>
          <a:chOff x="279400" y="37801550"/>
          <a:chExt cx="6087976" cy="7810998"/>
        </a:xfrm>
      </xdr:grpSpPr>
      <xdr:pic>
        <xdr:nvPicPr>
          <xdr:cNvPr id="32" name="Picture 3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277540" y="44172548"/>
            <a:ext cx="1918222" cy="1440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79400" y="37801550"/>
            <a:ext cx="2966907" cy="39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999125" y="41896574"/>
            <a:ext cx="2877333"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00469" y="37801550"/>
            <a:ext cx="2966907" cy="39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011724" y="41896574"/>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36269"/>
        <a:stretch>
          <a:fillRect/>
        </a:stretch>
      </xdr:blipFill>
      <xdr:spPr>
        <a:xfrm>
          <a:off x="9912350" y="358140"/>
          <a:ext cx="3250565" cy="43186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AudYXuZ74r4jdRt5"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18"/>
  <sheetViews>
    <sheetView tabSelected="1" view="pageBreakPreview" zoomScaleNormal="100" zoomScalePageLayoutView="85" workbookViewId="0">
      <selection activeCell="E10" sqref="E10:H10"/>
    </sheetView>
  </sheetViews>
  <sheetFormatPr defaultColWidth="9.1796875" defaultRowHeight="15.5"/>
  <cols>
    <col min="1" max="1" width="11.453125" style="37" customWidth="1"/>
    <col min="2" max="2" width="12" style="37" customWidth="1"/>
    <col min="3" max="3" width="12.6328125" style="37" customWidth="1"/>
    <col min="4" max="4" width="13.6328125" style="37" customWidth="1"/>
    <col min="5" max="5" width="11.6328125" style="37" customWidth="1"/>
    <col min="6" max="6" width="11.1796875" style="37" customWidth="1"/>
    <col min="7" max="8" width="11" style="37" customWidth="1"/>
    <col min="9" max="9" width="17.453125" style="38" customWidth="1"/>
    <col min="10" max="10" width="11.453125" style="38" customWidth="1"/>
    <col min="11" max="11" width="10.54296875" style="38" customWidth="1"/>
    <col min="12" max="12" width="13.81640625" style="38" customWidth="1"/>
    <col min="13" max="13" width="11.81640625" style="38" customWidth="1"/>
    <col min="14" max="14" width="12.54296875" style="38" customWidth="1"/>
    <col min="15" max="15" width="12.1796875" style="38" customWidth="1"/>
    <col min="16" max="16" width="11.6328125" style="38" customWidth="1"/>
    <col min="17" max="18" width="9.1796875" style="38"/>
    <col min="19" max="19" width="10.81640625" style="38" customWidth="1"/>
    <col min="20" max="20" width="10.6328125" style="38" customWidth="1"/>
    <col min="21" max="247" width="9.1796875" style="38"/>
    <col min="248" max="248" width="8.6328125" style="38" customWidth="1"/>
    <col min="249" max="249" width="9.81640625" style="38" customWidth="1"/>
    <col min="250" max="250" width="14.453125" style="38" customWidth="1"/>
    <col min="251" max="251" width="7.1796875" style="38" customWidth="1"/>
    <col min="252" max="252" width="5.54296875" style="38" customWidth="1"/>
    <col min="253" max="253" width="9" style="38" customWidth="1"/>
    <col min="254" max="255" width="9.81640625" style="38" customWidth="1"/>
    <col min="256" max="256" width="11.1796875" style="38" customWidth="1"/>
    <col min="257" max="257" width="2.81640625" style="38" customWidth="1"/>
    <col min="258" max="258" width="3.54296875" style="38" customWidth="1"/>
    <col min="259" max="503" width="9.1796875" style="38"/>
    <col min="504" max="504" width="8.6328125" style="38" customWidth="1"/>
    <col min="505" max="505" width="9.81640625" style="38" customWidth="1"/>
    <col min="506" max="506" width="14.453125" style="38" customWidth="1"/>
    <col min="507" max="507" width="7.1796875" style="38" customWidth="1"/>
    <col min="508" max="508" width="5.54296875" style="38" customWidth="1"/>
    <col min="509" max="509" width="9" style="38" customWidth="1"/>
    <col min="510" max="511" width="9.81640625" style="38" customWidth="1"/>
    <col min="512" max="512" width="11.1796875" style="38" customWidth="1"/>
    <col min="513" max="513" width="2.81640625" style="38" customWidth="1"/>
    <col min="514" max="514" width="3.54296875" style="38" customWidth="1"/>
    <col min="515" max="759" width="9.1796875" style="38"/>
    <col min="760" max="760" width="8.6328125" style="38" customWidth="1"/>
    <col min="761" max="761" width="9.81640625" style="38" customWidth="1"/>
    <col min="762" max="762" width="14.453125" style="38" customWidth="1"/>
    <col min="763" max="763" width="7.1796875" style="38" customWidth="1"/>
    <col min="764" max="764" width="5.54296875" style="38" customWidth="1"/>
    <col min="765" max="765" width="9" style="38" customWidth="1"/>
    <col min="766" max="767" width="9.81640625" style="38" customWidth="1"/>
    <col min="768" max="768" width="11.1796875" style="38" customWidth="1"/>
    <col min="769" max="769" width="2.81640625" style="38" customWidth="1"/>
    <col min="770" max="770" width="3.54296875" style="38" customWidth="1"/>
    <col min="771" max="1015" width="9.1796875" style="38"/>
    <col min="1016" max="1016" width="8.6328125" style="38" customWidth="1"/>
    <col min="1017" max="1017" width="9.81640625" style="38" customWidth="1"/>
    <col min="1018" max="1018" width="14.453125" style="38" customWidth="1"/>
    <col min="1019" max="1019" width="7.1796875" style="38" customWidth="1"/>
    <col min="1020" max="1020" width="5.54296875" style="38" customWidth="1"/>
    <col min="1021" max="1021" width="9" style="38" customWidth="1"/>
    <col min="1022" max="1023" width="9.81640625" style="38" customWidth="1"/>
    <col min="1024" max="1024" width="11.1796875" style="38" customWidth="1"/>
    <col min="1025" max="1025" width="2.81640625" style="38" customWidth="1"/>
    <col min="1026" max="1026" width="3.54296875" style="38" customWidth="1"/>
    <col min="1027" max="1271" width="9.1796875" style="38"/>
    <col min="1272" max="1272" width="8.6328125" style="38" customWidth="1"/>
    <col min="1273" max="1273" width="9.81640625" style="38" customWidth="1"/>
    <col min="1274" max="1274" width="14.453125" style="38" customWidth="1"/>
    <col min="1275" max="1275" width="7.1796875" style="38" customWidth="1"/>
    <col min="1276" max="1276" width="5.54296875" style="38" customWidth="1"/>
    <col min="1277" max="1277" width="9" style="38" customWidth="1"/>
    <col min="1278" max="1279" width="9.81640625" style="38" customWidth="1"/>
    <col min="1280" max="1280" width="11.1796875" style="38" customWidth="1"/>
    <col min="1281" max="1281" width="2.81640625" style="38" customWidth="1"/>
    <col min="1282" max="1282" width="3.54296875" style="38" customWidth="1"/>
    <col min="1283" max="1527" width="9.1796875" style="38"/>
    <col min="1528" max="1528" width="8.6328125" style="38" customWidth="1"/>
    <col min="1529" max="1529" width="9.81640625" style="38" customWidth="1"/>
    <col min="1530" max="1530" width="14.453125" style="38" customWidth="1"/>
    <col min="1531" max="1531" width="7.1796875" style="38" customWidth="1"/>
    <col min="1532" max="1532" width="5.54296875" style="38" customWidth="1"/>
    <col min="1533" max="1533" width="9" style="38" customWidth="1"/>
    <col min="1534" max="1535" width="9.81640625" style="38" customWidth="1"/>
    <col min="1536" max="1536" width="11.1796875" style="38" customWidth="1"/>
    <col min="1537" max="1537" width="2.81640625" style="38" customWidth="1"/>
    <col min="1538" max="1538" width="3.54296875" style="38" customWidth="1"/>
    <col min="1539" max="1783" width="9.1796875" style="38"/>
    <col min="1784" max="1784" width="8.6328125" style="38" customWidth="1"/>
    <col min="1785" max="1785" width="9.81640625" style="38" customWidth="1"/>
    <col min="1786" max="1786" width="14.453125" style="38" customWidth="1"/>
    <col min="1787" max="1787" width="7.1796875" style="38" customWidth="1"/>
    <col min="1788" max="1788" width="5.54296875" style="38" customWidth="1"/>
    <col min="1789" max="1789" width="9" style="38" customWidth="1"/>
    <col min="1790" max="1791" width="9.81640625" style="38" customWidth="1"/>
    <col min="1792" max="1792" width="11.1796875" style="38" customWidth="1"/>
    <col min="1793" max="1793" width="2.81640625" style="38" customWidth="1"/>
    <col min="1794" max="1794" width="3.54296875" style="38" customWidth="1"/>
    <col min="1795" max="2039" width="9.1796875" style="38"/>
    <col min="2040" max="2040" width="8.6328125" style="38" customWidth="1"/>
    <col min="2041" max="2041" width="9.81640625" style="38" customWidth="1"/>
    <col min="2042" max="2042" width="14.453125" style="38" customWidth="1"/>
    <col min="2043" max="2043" width="7.1796875" style="38" customWidth="1"/>
    <col min="2044" max="2044" width="5.54296875" style="38" customWidth="1"/>
    <col min="2045" max="2045" width="9" style="38" customWidth="1"/>
    <col min="2046" max="2047" width="9.81640625" style="38" customWidth="1"/>
    <col min="2048" max="2048" width="11.1796875" style="38" customWidth="1"/>
    <col min="2049" max="2049" width="2.81640625" style="38" customWidth="1"/>
    <col min="2050" max="2050" width="3.54296875" style="38" customWidth="1"/>
    <col min="2051" max="2295" width="9.1796875" style="38"/>
    <col min="2296" max="2296" width="8.6328125" style="38" customWidth="1"/>
    <col min="2297" max="2297" width="9.81640625" style="38" customWidth="1"/>
    <col min="2298" max="2298" width="14.453125" style="38" customWidth="1"/>
    <col min="2299" max="2299" width="7.1796875" style="38" customWidth="1"/>
    <col min="2300" max="2300" width="5.54296875" style="38" customWidth="1"/>
    <col min="2301" max="2301" width="9" style="38" customWidth="1"/>
    <col min="2302" max="2303" width="9.81640625" style="38" customWidth="1"/>
    <col min="2304" max="2304" width="11.1796875" style="38" customWidth="1"/>
    <col min="2305" max="2305" width="2.81640625" style="38" customWidth="1"/>
    <col min="2306" max="2306" width="3.54296875" style="38" customWidth="1"/>
    <col min="2307" max="2551" width="9.1796875" style="38"/>
    <col min="2552" max="2552" width="8.6328125" style="38" customWidth="1"/>
    <col min="2553" max="2553" width="9.81640625" style="38" customWidth="1"/>
    <col min="2554" max="2554" width="14.453125" style="38" customWidth="1"/>
    <col min="2555" max="2555" width="7.1796875" style="38" customWidth="1"/>
    <col min="2556" max="2556" width="5.54296875" style="38" customWidth="1"/>
    <col min="2557" max="2557" width="9" style="38" customWidth="1"/>
    <col min="2558" max="2559" width="9.81640625" style="38" customWidth="1"/>
    <col min="2560" max="2560" width="11.1796875" style="38" customWidth="1"/>
    <col min="2561" max="2561" width="2.81640625" style="38" customWidth="1"/>
    <col min="2562" max="2562" width="3.54296875" style="38" customWidth="1"/>
    <col min="2563" max="2807" width="9.1796875" style="38"/>
    <col min="2808" max="2808" width="8.6328125" style="38" customWidth="1"/>
    <col min="2809" max="2809" width="9.81640625" style="38" customWidth="1"/>
    <col min="2810" max="2810" width="14.453125" style="38" customWidth="1"/>
    <col min="2811" max="2811" width="7.1796875" style="38" customWidth="1"/>
    <col min="2812" max="2812" width="5.54296875" style="38" customWidth="1"/>
    <col min="2813" max="2813" width="9" style="38" customWidth="1"/>
    <col min="2814" max="2815" width="9.81640625" style="38" customWidth="1"/>
    <col min="2816" max="2816" width="11.1796875" style="38" customWidth="1"/>
    <col min="2817" max="2817" width="2.81640625" style="38" customWidth="1"/>
    <col min="2818" max="2818" width="3.54296875" style="38" customWidth="1"/>
    <col min="2819" max="3063" width="9.1796875" style="38"/>
    <col min="3064" max="3064" width="8.6328125" style="38" customWidth="1"/>
    <col min="3065" max="3065" width="9.81640625" style="38" customWidth="1"/>
    <col min="3066" max="3066" width="14.453125" style="38" customWidth="1"/>
    <col min="3067" max="3067" width="7.1796875" style="38" customWidth="1"/>
    <col min="3068" max="3068" width="5.54296875" style="38" customWidth="1"/>
    <col min="3069" max="3069" width="9" style="38" customWidth="1"/>
    <col min="3070" max="3071" width="9.81640625" style="38" customWidth="1"/>
    <col min="3072" max="3072" width="11.1796875" style="38" customWidth="1"/>
    <col min="3073" max="3073" width="2.81640625" style="38" customWidth="1"/>
    <col min="3074" max="3074" width="3.54296875" style="38" customWidth="1"/>
    <col min="3075" max="3319" width="9.1796875" style="38"/>
    <col min="3320" max="3320" width="8.6328125" style="38" customWidth="1"/>
    <col min="3321" max="3321" width="9.81640625" style="38" customWidth="1"/>
    <col min="3322" max="3322" width="14.453125" style="38" customWidth="1"/>
    <col min="3323" max="3323" width="7.1796875" style="38" customWidth="1"/>
    <col min="3324" max="3324" width="5.54296875" style="38" customWidth="1"/>
    <col min="3325" max="3325" width="9" style="38" customWidth="1"/>
    <col min="3326" max="3327" width="9.81640625" style="38" customWidth="1"/>
    <col min="3328" max="3328" width="11.1796875" style="38" customWidth="1"/>
    <col min="3329" max="3329" width="2.81640625" style="38" customWidth="1"/>
    <col min="3330" max="3330" width="3.54296875" style="38" customWidth="1"/>
    <col min="3331" max="3575" width="9.1796875" style="38"/>
    <col min="3576" max="3576" width="8.6328125" style="38" customWidth="1"/>
    <col min="3577" max="3577" width="9.81640625" style="38" customWidth="1"/>
    <col min="3578" max="3578" width="14.453125" style="38" customWidth="1"/>
    <col min="3579" max="3579" width="7.1796875" style="38" customWidth="1"/>
    <col min="3580" max="3580" width="5.54296875" style="38" customWidth="1"/>
    <col min="3581" max="3581" width="9" style="38" customWidth="1"/>
    <col min="3582" max="3583" width="9.81640625" style="38" customWidth="1"/>
    <col min="3584" max="3584" width="11.1796875" style="38" customWidth="1"/>
    <col min="3585" max="3585" width="2.81640625" style="38" customWidth="1"/>
    <col min="3586" max="3586" width="3.54296875" style="38" customWidth="1"/>
    <col min="3587" max="3831" width="9.1796875" style="38"/>
    <col min="3832" max="3832" width="8.6328125" style="38" customWidth="1"/>
    <col min="3833" max="3833" width="9.81640625" style="38" customWidth="1"/>
    <col min="3834" max="3834" width="14.453125" style="38" customWidth="1"/>
    <col min="3835" max="3835" width="7.1796875" style="38" customWidth="1"/>
    <col min="3836" max="3836" width="5.54296875" style="38" customWidth="1"/>
    <col min="3837" max="3837" width="9" style="38" customWidth="1"/>
    <col min="3838" max="3839" width="9.81640625" style="38" customWidth="1"/>
    <col min="3840" max="3840" width="11.1796875" style="38" customWidth="1"/>
    <col min="3841" max="3841" width="2.81640625" style="38" customWidth="1"/>
    <col min="3842" max="3842" width="3.54296875" style="38" customWidth="1"/>
    <col min="3843" max="4087" width="9.1796875" style="38"/>
    <col min="4088" max="4088" width="8.6328125" style="38" customWidth="1"/>
    <col min="4089" max="4089" width="9.81640625" style="38" customWidth="1"/>
    <col min="4090" max="4090" width="14.453125" style="38" customWidth="1"/>
    <col min="4091" max="4091" width="7.1796875" style="38" customWidth="1"/>
    <col min="4092" max="4092" width="5.54296875" style="38" customWidth="1"/>
    <col min="4093" max="4093" width="9" style="38" customWidth="1"/>
    <col min="4094" max="4095" width="9.81640625" style="38" customWidth="1"/>
    <col min="4096" max="4096" width="11.1796875" style="38" customWidth="1"/>
    <col min="4097" max="4097" width="2.81640625" style="38" customWidth="1"/>
    <col min="4098" max="4098" width="3.54296875" style="38" customWidth="1"/>
    <col min="4099" max="4343" width="9.1796875" style="38"/>
    <col min="4344" max="4344" width="8.6328125" style="38" customWidth="1"/>
    <col min="4345" max="4345" width="9.81640625" style="38" customWidth="1"/>
    <col min="4346" max="4346" width="14.453125" style="38" customWidth="1"/>
    <col min="4347" max="4347" width="7.1796875" style="38" customWidth="1"/>
    <col min="4348" max="4348" width="5.54296875" style="38" customWidth="1"/>
    <col min="4349" max="4349" width="9" style="38" customWidth="1"/>
    <col min="4350" max="4351" width="9.81640625" style="38" customWidth="1"/>
    <col min="4352" max="4352" width="11.1796875" style="38" customWidth="1"/>
    <col min="4353" max="4353" width="2.81640625" style="38" customWidth="1"/>
    <col min="4354" max="4354" width="3.54296875" style="38" customWidth="1"/>
    <col min="4355" max="4599" width="9.1796875" style="38"/>
    <col min="4600" max="4600" width="8.6328125" style="38" customWidth="1"/>
    <col min="4601" max="4601" width="9.81640625" style="38" customWidth="1"/>
    <col min="4602" max="4602" width="14.453125" style="38" customWidth="1"/>
    <col min="4603" max="4603" width="7.1796875" style="38" customWidth="1"/>
    <col min="4604" max="4604" width="5.54296875" style="38" customWidth="1"/>
    <col min="4605" max="4605" width="9" style="38" customWidth="1"/>
    <col min="4606" max="4607" width="9.81640625" style="38" customWidth="1"/>
    <col min="4608" max="4608" width="11.1796875" style="38" customWidth="1"/>
    <col min="4609" max="4609" width="2.81640625" style="38" customWidth="1"/>
    <col min="4610" max="4610" width="3.54296875" style="38" customWidth="1"/>
    <col min="4611" max="4855" width="9.1796875" style="38"/>
    <col min="4856" max="4856" width="8.6328125" style="38" customWidth="1"/>
    <col min="4857" max="4857" width="9.81640625" style="38" customWidth="1"/>
    <col min="4858" max="4858" width="14.453125" style="38" customWidth="1"/>
    <col min="4859" max="4859" width="7.1796875" style="38" customWidth="1"/>
    <col min="4860" max="4860" width="5.54296875" style="38" customWidth="1"/>
    <col min="4861" max="4861" width="9" style="38" customWidth="1"/>
    <col min="4862" max="4863" width="9.81640625" style="38" customWidth="1"/>
    <col min="4864" max="4864" width="11.1796875" style="38" customWidth="1"/>
    <col min="4865" max="4865" width="2.81640625" style="38" customWidth="1"/>
    <col min="4866" max="4866" width="3.54296875" style="38" customWidth="1"/>
    <col min="4867" max="5111" width="9.1796875" style="38"/>
    <col min="5112" max="5112" width="8.6328125" style="38" customWidth="1"/>
    <col min="5113" max="5113" width="9.81640625" style="38" customWidth="1"/>
    <col min="5114" max="5114" width="14.453125" style="38" customWidth="1"/>
    <col min="5115" max="5115" width="7.1796875" style="38" customWidth="1"/>
    <col min="5116" max="5116" width="5.54296875" style="38" customWidth="1"/>
    <col min="5117" max="5117" width="9" style="38" customWidth="1"/>
    <col min="5118" max="5119" width="9.81640625" style="38" customWidth="1"/>
    <col min="5120" max="5120" width="11.1796875" style="38" customWidth="1"/>
    <col min="5121" max="5121" width="2.81640625" style="38" customWidth="1"/>
    <col min="5122" max="5122" width="3.54296875" style="38" customWidth="1"/>
    <col min="5123" max="5367" width="9.1796875" style="38"/>
    <col min="5368" max="5368" width="8.6328125" style="38" customWidth="1"/>
    <col min="5369" max="5369" width="9.81640625" style="38" customWidth="1"/>
    <col min="5370" max="5370" width="14.453125" style="38" customWidth="1"/>
    <col min="5371" max="5371" width="7.1796875" style="38" customWidth="1"/>
    <col min="5372" max="5372" width="5.54296875" style="38" customWidth="1"/>
    <col min="5373" max="5373" width="9" style="38" customWidth="1"/>
    <col min="5374" max="5375" width="9.81640625" style="38" customWidth="1"/>
    <col min="5376" max="5376" width="11.1796875" style="38" customWidth="1"/>
    <col min="5377" max="5377" width="2.81640625" style="38" customWidth="1"/>
    <col min="5378" max="5378" width="3.54296875" style="38" customWidth="1"/>
    <col min="5379" max="5623" width="9.1796875" style="38"/>
    <col min="5624" max="5624" width="8.6328125" style="38" customWidth="1"/>
    <col min="5625" max="5625" width="9.81640625" style="38" customWidth="1"/>
    <col min="5626" max="5626" width="14.453125" style="38" customWidth="1"/>
    <col min="5627" max="5627" width="7.1796875" style="38" customWidth="1"/>
    <col min="5628" max="5628" width="5.54296875" style="38" customWidth="1"/>
    <col min="5629" max="5629" width="9" style="38" customWidth="1"/>
    <col min="5630" max="5631" width="9.81640625" style="38" customWidth="1"/>
    <col min="5632" max="5632" width="11.1796875" style="38" customWidth="1"/>
    <col min="5633" max="5633" width="2.81640625" style="38" customWidth="1"/>
    <col min="5634" max="5634" width="3.54296875" style="38" customWidth="1"/>
    <col min="5635" max="5879" width="9.1796875" style="38"/>
    <col min="5880" max="5880" width="8.6328125" style="38" customWidth="1"/>
    <col min="5881" max="5881" width="9.81640625" style="38" customWidth="1"/>
    <col min="5882" max="5882" width="14.453125" style="38" customWidth="1"/>
    <col min="5883" max="5883" width="7.1796875" style="38" customWidth="1"/>
    <col min="5884" max="5884" width="5.54296875" style="38" customWidth="1"/>
    <col min="5885" max="5885" width="9" style="38" customWidth="1"/>
    <col min="5886" max="5887" width="9.81640625" style="38" customWidth="1"/>
    <col min="5888" max="5888" width="11.1796875" style="38" customWidth="1"/>
    <col min="5889" max="5889" width="2.81640625" style="38" customWidth="1"/>
    <col min="5890" max="5890" width="3.54296875" style="38" customWidth="1"/>
    <col min="5891" max="6135" width="9.1796875" style="38"/>
    <col min="6136" max="6136" width="8.6328125" style="38" customWidth="1"/>
    <col min="6137" max="6137" width="9.81640625" style="38" customWidth="1"/>
    <col min="6138" max="6138" width="14.453125" style="38" customWidth="1"/>
    <col min="6139" max="6139" width="7.1796875" style="38" customWidth="1"/>
    <col min="6140" max="6140" width="5.54296875" style="38" customWidth="1"/>
    <col min="6141" max="6141" width="9" style="38" customWidth="1"/>
    <col min="6142" max="6143" width="9.81640625" style="38" customWidth="1"/>
    <col min="6144" max="6144" width="11.1796875" style="38" customWidth="1"/>
    <col min="6145" max="6145" width="2.81640625" style="38" customWidth="1"/>
    <col min="6146" max="6146" width="3.54296875" style="38" customWidth="1"/>
    <col min="6147" max="6391" width="9.1796875" style="38"/>
    <col min="6392" max="6392" width="8.6328125" style="38" customWidth="1"/>
    <col min="6393" max="6393" width="9.81640625" style="38" customWidth="1"/>
    <col min="6394" max="6394" width="14.453125" style="38" customWidth="1"/>
    <col min="6395" max="6395" width="7.1796875" style="38" customWidth="1"/>
    <col min="6396" max="6396" width="5.54296875" style="38" customWidth="1"/>
    <col min="6397" max="6397" width="9" style="38" customWidth="1"/>
    <col min="6398" max="6399" width="9.81640625" style="38" customWidth="1"/>
    <col min="6400" max="6400" width="11.1796875" style="38" customWidth="1"/>
    <col min="6401" max="6401" width="2.81640625" style="38" customWidth="1"/>
    <col min="6402" max="6402" width="3.54296875" style="38" customWidth="1"/>
    <col min="6403" max="6647" width="9.1796875" style="38"/>
    <col min="6648" max="6648" width="8.6328125" style="38" customWidth="1"/>
    <col min="6649" max="6649" width="9.81640625" style="38" customWidth="1"/>
    <col min="6650" max="6650" width="14.453125" style="38" customWidth="1"/>
    <col min="6651" max="6651" width="7.1796875" style="38" customWidth="1"/>
    <col min="6652" max="6652" width="5.54296875" style="38" customWidth="1"/>
    <col min="6653" max="6653" width="9" style="38" customWidth="1"/>
    <col min="6654" max="6655" width="9.81640625" style="38" customWidth="1"/>
    <col min="6656" max="6656" width="11.1796875" style="38" customWidth="1"/>
    <col min="6657" max="6657" width="2.81640625" style="38" customWidth="1"/>
    <col min="6658" max="6658" width="3.54296875" style="38" customWidth="1"/>
    <col min="6659" max="6903" width="9.1796875" style="38"/>
    <col min="6904" max="6904" width="8.6328125" style="38" customWidth="1"/>
    <col min="6905" max="6905" width="9.81640625" style="38" customWidth="1"/>
    <col min="6906" max="6906" width="14.453125" style="38" customWidth="1"/>
    <col min="6907" max="6907" width="7.1796875" style="38" customWidth="1"/>
    <col min="6908" max="6908" width="5.54296875" style="38" customWidth="1"/>
    <col min="6909" max="6909" width="9" style="38" customWidth="1"/>
    <col min="6910" max="6911" width="9.81640625" style="38" customWidth="1"/>
    <col min="6912" max="6912" width="11.1796875" style="38" customWidth="1"/>
    <col min="6913" max="6913" width="2.81640625" style="38" customWidth="1"/>
    <col min="6914" max="6914" width="3.54296875" style="38" customWidth="1"/>
    <col min="6915" max="7159" width="9.1796875" style="38"/>
    <col min="7160" max="7160" width="8.6328125" style="38" customWidth="1"/>
    <col min="7161" max="7161" width="9.81640625" style="38" customWidth="1"/>
    <col min="7162" max="7162" width="14.453125" style="38" customWidth="1"/>
    <col min="7163" max="7163" width="7.1796875" style="38" customWidth="1"/>
    <col min="7164" max="7164" width="5.54296875" style="38" customWidth="1"/>
    <col min="7165" max="7165" width="9" style="38" customWidth="1"/>
    <col min="7166" max="7167" width="9.81640625" style="38" customWidth="1"/>
    <col min="7168" max="7168" width="11.1796875" style="38" customWidth="1"/>
    <col min="7169" max="7169" width="2.81640625" style="38" customWidth="1"/>
    <col min="7170" max="7170" width="3.54296875" style="38" customWidth="1"/>
    <col min="7171" max="7415" width="9.1796875" style="38"/>
    <col min="7416" max="7416" width="8.6328125" style="38" customWidth="1"/>
    <col min="7417" max="7417" width="9.81640625" style="38" customWidth="1"/>
    <col min="7418" max="7418" width="14.453125" style="38" customWidth="1"/>
    <col min="7419" max="7419" width="7.1796875" style="38" customWidth="1"/>
    <col min="7420" max="7420" width="5.54296875" style="38" customWidth="1"/>
    <col min="7421" max="7421" width="9" style="38" customWidth="1"/>
    <col min="7422" max="7423" width="9.81640625" style="38" customWidth="1"/>
    <col min="7424" max="7424" width="11.1796875" style="38" customWidth="1"/>
    <col min="7425" max="7425" width="2.81640625" style="38" customWidth="1"/>
    <col min="7426" max="7426" width="3.54296875" style="38" customWidth="1"/>
    <col min="7427" max="7671" width="9.1796875" style="38"/>
    <col min="7672" max="7672" width="8.6328125" style="38" customWidth="1"/>
    <col min="7673" max="7673" width="9.81640625" style="38" customWidth="1"/>
    <col min="7674" max="7674" width="14.453125" style="38" customWidth="1"/>
    <col min="7675" max="7675" width="7.1796875" style="38" customWidth="1"/>
    <col min="7676" max="7676" width="5.54296875" style="38" customWidth="1"/>
    <col min="7677" max="7677" width="9" style="38" customWidth="1"/>
    <col min="7678" max="7679" width="9.81640625" style="38" customWidth="1"/>
    <col min="7680" max="7680" width="11.1796875" style="38" customWidth="1"/>
    <col min="7681" max="7681" width="2.81640625" style="38" customWidth="1"/>
    <col min="7682" max="7682" width="3.54296875" style="38" customWidth="1"/>
    <col min="7683" max="7927" width="9.1796875" style="38"/>
    <col min="7928" max="7928" width="8.6328125" style="38" customWidth="1"/>
    <col min="7929" max="7929" width="9.81640625" style="38" customWidth="1"/>
    <col min="7930" max="7930" width="14.453125" style="38" customWidth="1"/>
    <col min="7931" max="7931" width="7.1796875" style="38" customWidth="1"/>
    <col min="7932" max="7932" width="5.54296875" style="38" customWidth="1"/>
    <col min="7933" max="7933" width="9" style="38" customWidth="1"/>
    <col min="7934" max="7935" width="9.81640625" style="38" customWidth="1"/>
    <col min="7936" max="7936" width="11.1796875" style="38" customWidth="1"/>
    <col min="7937" max="7937" width="2.81640625" style="38" customWidth="1"/>
    <col min="7938" max="7938" width="3.54296875" style="38" customWidth="1"/>
    <col min="7939" max="8183" width="9.1796875" style="38"/>
    <col min="8184" max="8184" width="8.6328125" style="38" customWidth="1"/>
    <col min="8185" max="8185" width="9.81640625" style="38" customWidth="1"/>
    <col min="8186" max="8186" width="14.453125" style="38" customWidth="1"/>
    <col min="8187" max="8187" width="7.1796875" style="38" customWidth="1"/>
    <col min="8188" max="8188" width="5.54296875" style="38" customWidth="1"/>
    <col min="8189" max="8189" width="9" style="38" customWidth="1"/>
    <col min="8190" max="8191" width="9.81640625" style="38" customWidth="1"/>
    <col min="8192" max="8192" width="11.1796875" style="38" customWidth="1"/>
    <col min="8193" max="8193" width="2.81640625" style="38" customWidth="1"/>
    <col min="8194" max="8194" width="3.54296875" style="38" customWidth="1"/>
    <col min="8195" max="8439" width="9.1796875" style="38"/>
    <col min="8440" max="8440" width="8.6328125" style="38" customWidth="1"/>
    <col min="8441" max="8441" width="9.81640625" style="38" customWidth="1"/>
    <col min="8442" max="8442" width="14.453125" style="38" customWidth="1"/>
    <col min="8443" max="8443" width="7.1796875" style="38" customWidth="1"/>
    <col min="8444" max="8444" width="5.54296875" style="38" customWidth="1"/>
    <col min="8445" max="8445" width="9" style="38" customWidth="1"/>
    <col min="8446" max="8447" width="9.81640625" style="38" customWidth="1"/>
    <col min="8448" max="8448" width="11.1796875" style="38" customWidth="1"/>
    <col min="8449" max="8449" width="2.81640625" style="38" customWidth="1"/>
    <col min="8450" max="8450" width="3.54296875" style="38" customWidth="1"/>
    <col min="8451" max="8695" width="9.1796875" style="38"/>
    <col min="8696" max="8696" width="8.6328125" style="38" customWidth="1"/>
    <col min="8697" max="8697" width="9.81640625" style="38" customWidth="1"/>
    <col min="8698" max="8698" width="14.453125" style="38" customWidth="1"/>
    <col min="8699" max="8699" width="7.1796875" style="38" customWidth="1"/>
    <col min="8700" max="8700" width="5.54296875" style="38" customWidth="1"/>
    <col min="8701" max="8701" width="9" style="38" customWidth="1"/>
    <col min="8702" max="8703" width="9.81640625" style="38" customWidth="1"/>
    <col min="8704" max="8704" width="11.1796875" style="38" customWidth="1"/>
    <col min="8705" max="8705" width="2.81640625" style="38" customWidth="1"/>
    <col min="8706" max="8706" width="3.54296875" style="38" customWidth="1"/>
    <col min="8707" max="8951" width="9.1796875" style="38"/>
    <col min="8952" max="8952" width="8.6328125" style="38" customWidth="1"/>
    <col min="8953" max="8953" width="9.81640625" style="38" customWidth="1"/>
    <col min="8954" max="8954" width="14.453125" style="38" customWidth="1"/>
    <col min="8955" max="8955" width="7.1796875" style="38" customWidth="1"/>
    <col min="8956" max="8956" width="5.54296875" style="38" customWidth="1"/>
    <col min="8957" max="8957" width="9" style="38" customWidth="1"/>
    <col min="8958" max="8959" width="9.81640625" style="38" customWidth="1"/>
    <col min="8960" max="8960" width="11.1796875" style="38" customWidth="1"/>
    <col min="8961" max="8961" width="2.81640625" style="38" customWidth="1"/>
    <col min="8962" max="8962" width="3.54296875" style="38" customWidth="1"/>
    <col min="8963" max="9207" width="9.1796875" style="38"/>
    <col min="9208" max="9208" width="8.6328125" style="38" customWidth="1"/>
    <col min="9209" max="9209" width="9.81640625" style="38" customWidth="1"/>
    <col min="9210" max="9210" width="14.453125" style="38" customWidth="1"/>
    <col min="9211" max="9211" width="7.1796875" style="38" customWidth="1"/>
    <col min="9212" max="9212" width="5.54296875" style="38" customWidth="1"/>
    <col min="9213" max="9213" width="9" style="38" customWidth="1"/>
    <col min="9214" max="9215" width="9.81640625" style="38" customWidth="1"/>
    <col min="9216" max="9216" width="11.1796875" style="38" customWidth="1"/>
    <col min="9217" max="9217" width="2.81640625" style="38" customWidth="1"/>
    <col min="9218" max="9218" width="3.54296875" style="38" customWidth="1"/>
    <col min="9219" max="9463" width="9.1796875" style="38"/>
    <col min="9464" max="9464" width="8.6328125" style="38" customWidth="1"/>
    <col min="9465" max="9465" width="9.81640625" style="38" customWidth="1"/>
    <col min="9466" max="9466" width="14.453125" style="38" customWidth="1"/>
    <col min="9467" max="9467" width="7.1796875" style="38" customWidth="1"/>
    <col min="9468" max="9468" width="5.54296875" style="38" customWidth="1"/>
    <col min="9469" max="9469" width="9" style="38" customWidth="1"/>
    <col min="9470" max="9471" width="9.81640625" style="38" customWidth="1"/>
    <col min="9472" max="9472" width="11.1796875" style="38" customWidth="1"/>
    <col min="9473" max="9473" width="2.81640625" style="38" customWidth="1"/>
    <col min="9474" max="9474" width="3.54296875" style="38" customWidth="1"/>
    <col min="9475" max="9719" width="9.1796875" style="38"/>
    <col min="9720" max="9720" width="8.6328125" style="38" customWidth="1"/>
    <col min="9721" max="9721" width="9.81640625" style="38" customWidth="1"/>
    <col min="9722" max="9722" width="14.453125" style="38" customWidth="1"/>
    <col min="9723" max="9723" width="7.1796875" style="38" customWidth="1"/>
    <col min="9724" max="9724" width="5.54296875" style="38" customWidth="1"/>
    <col min="9725" max="9725" width="9" style="38" customWidth="1"/>
    <col min="9726" max="9727" width="9.81640625" style="38" customWidth="1"/>
    <col min="9728" max="9728" width="11.1796875" style="38" customWidth="1"/>
    <col min="9729" max="9729" width="2.81640625" style="38" customWidth="1"/>
    <col min="9730" max="9730" width="3.54296875" style="38" customWidth="1"/>
    <col min="9731" max="9975" width="9.1796875" style="38"/>
    <col min="9976" max="9976" width="8.6328125" style="38" customWidth="1"/>
    <col min="9977" max="9977" width="9.81640625" style="38" customWidth="1"/>
    <col min="9978" max="9978" width="14.453125" style="38" customWidth="1"/>
    <col min="9979" max="9979" width="7.1796875" style="38" customWidth="1"/>
    <col min="9980" max="9980" width="5.54296875" style="38" customWidth="1"/>
    <col min="9981" max="9981" width="9" style="38" customWidth="1"/>
    <col min="9982" max="9983" width="9.81640625" style="38" customWidth="1"/>
    <col min="9984" max="9984" width="11.1796875" style="38" customWidth="1"/>
    <col min="9985" max="9985" width="2.81640625" style="38" customWidth="1"/>
    <col min="9986" max="9986" width="3.54296875" style="38" customWidth="1"/>
    <col min="9987" max="10231" width="9.1796875" style="38"/>
    <col min="10232" max="10232" width="8.6328125" style="38" customWidth="1"/>
    <col min="10233" max="10233" width="9.81640625" style="38" customWidth="1"/>
    <col min="10234" max="10234" width="14.453125" style="38" customWidth="1"/>
    <col min="10235" max="10235" width="7.1796875" style="38" customWidth="1"/>
    <col min="10236" max="10236" width="5.54296875" style="38" customWidth="1"/>
    <col min="10237" max="10237" width="9" style="38" customWidth="1"/>
    <col min="10238" max="10239" width="9.81640625" style="38" customWidth="1"/>
    <col min="10240" max="10240" width="11.1796875" style="38" customWidth="1"/>
    <col min="10241" max="10241" width="2.81640625" style="38" customWidth="1"/>
    <col min="10242" max="10242" width="3.54296875" style="38" customWidth="1"/>
    <col min="10243" max="10487" width="9.1796875" style="38"/>
    <col min="10488" max="10488" width="8.6328125" style="38" customWidth="1"/>
    <col min="10489" max="10489" width="9.81640625" style="38" customWidth="1"/>
    <col min="10490" max="10490" width="14.453125" style="38" customWidth="1"/>
    <col min="10491" max="10491" width="7.1796875" style="38" customWidth="1"/>
    <col min="10492" max="10492" width="5.54296875" style="38" customWidth="1"/>
    <col min="10493" max="10493" width="9" style="38" customWidth="1"/>
    <col min="10494" max="10495" width="9.81640625" style="38" customWidth="1"/>
    <col min="10496" max="10496" width="11.1796875" style="38" customWidth="1"/>
    <col min="10497" max="10497" width="2.81640625" style="38" customWidth="1"/>
    <col min="10498" max="10498" width="3.54296875" style="38" customWidth="1"/>
    <col min="10499" max="10743" width="9.1796875" style="38"/>
    <col min="10744" max="10744" width="8.6328125" style="38" customWidth="1"/>
    <col min="10745" max="10745" width="9.81640625" style="38" customWidth="1"/>
    <col min="10746" max="10746" width="14.453125" style="38" customWidth="1"/>
    <col min="10747" max="10747" width="7.1796875" style="38" customWidth="1"/>
    <col min="10748" max="10748" width="5.54296875" style="38" customWidth="1"/>
    <col min="10749" max="10749" width="9" style="38" customWidth="1"/>
    <col min="10750" max="10751" width="9.81640625" style="38" customWidth="1"/>
    <col min="10752" max="10752" width="11.1796875" style="38" customWidth="1"/>
    <col min="10753" max="10753" width="2.81640625" style="38" customWidth="1"/>
    <col min="10754" max="10754" width="3.54296875" style="38" customWidth="1"/>
    <col min="10755" max="10999" width="9.1796875" style="38"/>
    <col min="11000" max="11000" width="8.6328125" style="38" customWidth="1"/>
    <col min="11001" max="11001" width="9.81640625" style="38" customWidth="1"/>
    <col min="11002" max="11002" width="14.453125" style="38" customWidth="1"/>
    <col min="11003" max="11003" width="7.1796875" style="38" customWidth="1"/>
    <col min="11004" max="11004" width="5.54296875" style="38" customWidth="1"/>
    <col min="11005" max="11005" width="9" style="38" customWidth="1"/>
    <col min="11006" max="11007" width="9.81640625" style="38" customWidth="1"/>
    <col min="11008" max="11008" width="11.1796875" style="38" customWidth="1"/>
    <col min="11009" max="11009" width="2.81640625" style="38" customWidth="1"/>
    <col min="11010" max="11010" width="3.54296875" style="38" customWidth="1"/>
    <col min="11011" max="11255" width="9.1796875" style="38"/>
    <col min="11256" max="11256" width="8.6328125" style="38" customWidth="1"/>
    <col min="11257" max="11257" width="9.81640625" style="38" customWidth="1"/>
    <col min="11258" max="11258" width="14.453125" style="38" customWidth="1"/>
    <col min="11259" max="11259" width="7.1796875" style="38" customWidth="1"/>
    <col min="11260" max="11260" width="5.54296875" style="38" customWidth="1"/>
    <col min="11261" max="11261" width="9" style="38" customWidth="1"/>
    <col min="11262" max="11263" width="9.81640625" style="38" customWidth="1"/>
    <col min="11264" max="11264" width="11.1796875" style="38" customWidth="1"/>
    <col min="11265" max="11265" width="2.81640625" style="38" customWidth="1"/>
    <col min="11266" max="11266" width="3.54296875" style="38" customWidth="1"/>
    <col min="11267" max="11511" width="9.1796875" style="38"/>
    <col min="11512" max="11512" width="8.6328125" style="38" customWidth="1"/>
    <col min="11513" max="11513" width="9.81640625" style="38" customWidth="1"/>
    <col min="11514" max="11514" width="14.453125" style="38" customWidth="1"/>
    <col min="11515" max="11515" width="7.1796875" style="38" customWidth="1"/>
    <col min="11516" max="11516" width="5.54296875" style="38" customWidth="1"/>
    <col min="11517" max="11517" width="9" style="38" customWidth="1"/>
    <col min="11518" max="11519" width="9.81640625" style="38" customWidth="1"/>
    <col min="11520" max="11520" width="11.1796875" style="38" customWidth="1"/>
    <col min="11521" max="11521" width="2.81640625" style="38" customWidth="1"/>
    <col min="11522" max="11522" width="3.54296875" style="38" customWidth="1"/>
    <col min="11523" max="11767" width="9.1796875" style="38"/>
    <col min="11768" max="11768" width="8.6328125" style="38" customWidth="1"/>
    <col min="11769" max="11769" width="9.81640625" style="38" customWidth="1"/>
    <col min="11770" max="11770" width="14.453125" style="38" customWidth="1"/>
    <col min="11771" max="11771" width="7.1796875" style="38" customWidth="1"/>
    <col min="11772" max="11772" width="5.54296875" style="38" customWidth="1"/>
    <col min="11773" max="11773" width="9" style="38" customWidth="1"/>
    <col min="11774" max="11775" width="9.81640625" style="38" customWidth="1"/>
    <col min="11776" max="11776" width="11.1796875" style="38" customWidth="1"/>
    <col min="11777" max="11777" width="2.81640625" style="38" customWidth="1"/>
    <col min="11778" max="11778" width="3.54296875" style="38" customWidth="1"/>
    <col min="11779" max="12023" width="9.1796875" style="38"/>
    <col min="12024" max="12024" width="8.6328125" style="38" customWidth="1"/>
    <col min="12025" max="12025" width="9.81640625" style="38" customWidth="1"/>
    <col min="12026" max="12026" width="14.453125" style="38" customWidth="1"/>
    <col min="12027" max="12027" width="7.1796875" style="38" customWidth="1"/>
    <col min="12028" max="12028" width="5.54296875" style="38" customWidth="1"/>
    <col min="12029" max="12029" width="9" style="38" customWidth="1"/>
    <col min="12030" max="12031" width="9.81640625" style="38" customWidth="1"/>
    <col min="12032" max="12032" width="11.1796875" style="38" customWidth="1"/>
    <col min="12033" max="12033" width="2.81640625" style="38" customWidth="1"/>
    <col min="12034" max="12034" width="3.54296875" style="38" customWidth="1"/>
    <col min="12035" max="12279" width="9.1796875" style="38"/>
    <col min="12280" max="12280" width="8.6328125" style="38" customWidth="1"/>
    <col min="12281" max="12281" width="9.81640625" style="38" customWidth="1"/>
    <col min="12282" max="12282" width="14.453125" style="38" customWidth="1"/>
    <col min="12283" max="12283" width="7.1796875" style="38" customWidth="1"/>
    <col min="12284" max="12284" width="5.54296875" style="38" customWidth="1"/>
    <col min="12285" max="12285" width="9" style="38" customWidth="1"/>
    <col min="12286" max="12287" width="9.81640625" style="38" customWidth="1"/>
    <col min="12288" max="12288" width="11.1796875" style="38" customWidth="1"/>
    <col min="12289" max="12289" width="2.81640625" style="38" customWidth="1"/>
    <col min="12290" max="12290" width="3.54296875" style="38" customWidth="1"/>
    <col min="12291" max="12535" width="9.1796875" style="38"/>
    <col min="12536" max="12536" width="8.6328125" style="38" customWidth="1"/>
    <col min="12537" max="12537" width="9.81640625" style="38" customWidth="1"/>
    <col min="12538" max="12538" width="14.453125" style="38" customWidth="1"/>
    <col min="12539" max="12539" width="7.1796875" style="38" customWidth="1"/>
    <col min="12540" max="12540" width="5.54296875" style="38" customWidth="1"/>
    <col min="12541" max="12541" width="9" style="38" customWidth="1"/>
    <col min="12542" max="12543" width="9.81640625" style="38" customWidth="1"/>
    <col min="12544" max="12544" width="11.1796875" style="38" customWidth="1"/>
    <col min="12545" max="12545" width="2.81640625" style="38" customWidth="1"/>
    <col min="12546" max="12546" width="3.54296875" style="38" customWidth="1"/>
    <col min="12547" max="12791" width="9.1796875" style="38"/>
    <col min="12792" max="12792" width="8.6328125" style="38" customWidth="1"/>
    <col min="12793" max="12793" width="9.81640625" style="38" customWidth="1"/>
    <col min="12794" max="12794" width="14.453125" style="38" customWidth="1"/>
    <col min="12795" max="12795" width="7.1796875" style="38" customWidth="1"/>
    <col min="12796" max="12796" width="5.54296875" style="38" customWidth="1"/>
    <col min="12797" max="12797" width="9" style="38" customWidth="1"/>
    <col min="12798" max="12799" width="9.81640625" style="38" customWidth="1"/>
    <col min="12800" max="12800" width="11.1796875" style="38" customWidth="1"/>
    <col min="12801" max="12801" width="2.81640625" style="38" customWidth="1"/>
    <col min="12802" max="12802" width="3.54296875" style="38" customWidth="1"/>
    <col min="12803" max="13047" width="9.1796875" style="38"/>
    <col min="13048" max="13048" width="8.6328125" style="38" customWidth="1"/>
    <col min="13049" max="13049" width="9.81640625" style="38" customWidth="1"/>
    <col min="13050" max="13050" width="14.453125" style="38" customWidth="1"/>
    <col min="13051" max="13051" width="7.1796875" style="38" customWidth="1"/>
    <col min="13052" max="13052" width="5.54296875" style="38" customWidth="1"/>
    <col min="13053" max="13053" width="9" style="38" customWidth="1"/>
    <col min="13054" max="13055" width="9.81640625" style="38" customWidth="1"/>
    <col min="13056" max="13056" width="11.1796875" style="38" customWidth="1"/>
    <col min="13057" max="13057" width="2.81640625" style="38" customWidth="1"/>
    <col min="13058" max="13058" width="3.54296875" style="38" customWidth="1"/>
    <col min="13059" max="13303" width="9.1796875" style="38"/>
    <col min="13304" max="13304" width="8.6328125" style="38" customWidth="1"/>
    <col min="13305" max="13305" width="9.81640625" style="38" customWidth="1"/>
    <col min="13306" max="13306" width="14.453125" style="38" customWidth="1"/>
    <col min="13307" max="13307" width="7.1796875" style="38" customWidth="1"/>
    <col min="13308" max="13308" width="5.54296875" style="38" customWidth="1"/>
    <col min="13309" max="13309" width="9" style="38" customWidth="1"/>
    <col min="13310" max="13311" width="9.81640625" style="38" customWidth="1"/>
    <col min="13312" max="13312" width="11.1796875" style="38" customWidth="1"/>
    <col min="13313" max="13313" width="2.81640625" style="38" customWidth="1"/>
    <col min="13314" max="13314" width="3.54296875" style="38" customWidth="1"/>
    <col min="13315" max="13559" width="9.1796875" style="38"/>
    <col min="13560" max="13560" width="8.6328125" style="38" customWidth="1"/>
    <col min="13561" max="13561" width="9.81640625" style="38" customWidth="1"/>
    <col min="13562" max="13562" width="14.453125" style="38" customWidth="1"/>
    <col min="13563" max="13563" width="7.1796875" style="38" customWidth="1"/>
    <col min="13564" max="13564" width="5.54296875" style="38" customWidth="1"/>
    <col min="13565" max="13565" width="9" style="38" customWidth="1"/>
    <col min="13566" max="13567" width="9.81640625" style="38" customWidth="1"/>
    <col min="13568" max="13568" width="11.1796875" style="38" customWidth="1"/>
    <col min="13569" max="13569" width="2.81640625" style="38" customWidth="1"/>
    <col min="13570" max="13570" width="3.54296875" style="38" customWidth="1"/>
    <col min="13571" max="13815" width="9.1796875" style="38"/>
    <col min="13816" max="13816" width="8.6328125" style="38" customWidth="1"/>
    <col min="13817" max="13817" width="9.81640625" style="38" customWidth="1"/>
    <col min="13818" max="13818" width="14.453125" style="38" customWidth="1"/>
    <col min="13819" max="13819" width="7.1796875" style="38" customWidth="1"/>
    <col min="13820" max="13820" width="5.54296875" style="38" customWidth="1"/>
    <col min="13821" max="13821" width="9" style="38" customWidth="1"/>
    <col min="13822" max="13823" width="9.81640625" style="38" customWidth="1"/>
    <col min="13824" max="13824" width="11.1796875" style="38" customWidth="1"/>
    <col min="13825" max="13825" width="2.81640625" style="38" customWidth="1"/>
    <col min="13826" max="13826" width="3.54296875" style="38" customWidth="1"/>
    <col min="13827" max="14071" width="9.1796875" style="38"/>
    <col min="14072" max="14072" width="8.6328125" style="38" customWidth="1"/>
    <col min="14073" max="14073" width="9.81640625" style="38" customWidth="1"/>
    <col min="14074" max="14074" width="14.453125" style="38" customWidth="1"/>
    <col min="14075" max="14075" width="7.1796875" style="38" customWidth="1"/>
    <col min="14076" max="14076" width="5.54296875" style="38" customWidth="1"/>
    <col min="14077" max="14077" width="9" style="38" customWidth="1"/>
    <col min="14078" max="14079" width="9.81640625" style="38" customWidth="1"/>
    <col min="14080" max="14080" width="11.1796875" style="38" customWidth="1"/>
    <col min="14081" max="14081" width="2.81640625" style="38" customWidth="1"/>
    <col min="14082" max="14082" width="3.54296875" style="38" customWidth="1"/>
    <col min="14083" max="14327" width="9.1796875" style="38"/>
    <col min="14328" max="14328" width="8.6328125" style="38" customWidth="1"/>
    <col min="14329" max="14329" width="9.81640625" style="38" customWidth="1"/>
    <col min="14330" max="14330" width="14.453125" style="38" customWidth="1"/>
    <col min="14331" max="14331" width="7.1796875" style="38" customWidth="1"/>
    <col min="14332" max="14332" width="5.54296875" style="38" customWidth="1"/>
    <col min="14333" max="14333" width="9" style="38" customWidth="1"/>
    <col min="14334" max="14335" width="9.81640625" style="38" customWidth="1"/>
    <col min="14336" max="14336" width="11.1796875" style="38" customWidth="1"/>
    <col min="14337" max="14337" width="2.81640625" style="38" customWidth="1"/>
    <col min="14338" max="14338" width="3.54296875" style="38" customWidth="1"/>
    <col min="14339" max="14583" width="9.1796875" style="38"/>
    <col min="14584" max="14584" width="8.6328125" style="38" customWidth="1"/>
    <col min="14585" max="14585" width="9.81640625" style="38" customWidth="1"/>
    <col min="14586" max="14586" width="14.453125" style="38" customWidth="1"/>
    <col min="14587" max="14587" width="7.1796875" style="38" customWidth="1"/>
    <col min="14588" max="14588" width="5.54296875" style="38" customWidth="1"/>
    <col min="14589" max="14589" width="9" style="38" customWidth="1"/>
    <col min="14590" max="14591" width="9.81640625" style="38" customWidth="1"/>
    <col min="14592" max="14592" width="11.1796875" style="38" customWidth="1"/>
    <col min="14593" max="14593" width="2.81640625" style="38" customWidth="1"/>
    <col min="14594" max="14594" width="3.54296875" style="38" customWidth="1"/>
    <col min="14595" max="14839" width="9.1796875" style="38"/>
    <col min="14840" max="14840" width="8.6328125" style="38" customWidth="1"/>
    <col min="14841" max="14841" width="9.81640625" style="38" customWidth="1"/>
    <col min="14842" max="14842" width="14.453125" style="38" customWidth="1"/>
    <col min="14843" max="14843" width="7.1796875" style="38" customWidth="1"/>
    <col min="14844" max="14844" width="5.54296875" style="38" customWidth="1"/>
    <col min="14845" max="14845" width="9" style="38" customWidth="1"/>
    <col min="14846" max="14847" width="9.81640625" style="38" customWidth="1"/>
    <col min="14848" max="14848" width="11.1796875" style="38" customWidth="1"/>
    <col min="14849" max="14849" width="2.81640625" style="38" customWidth="1"/>
    <col min="14850" max="14850" width="3.54296875" style="38" customWidth="1"/>
    <col min="14851" max="15095" width="9.1796875" style="38"/>
    <col min="15096" max="15096" width="8.6328125" style="38" customWidth="1"/>
    <col min="15097" max="15097" width="9.81640625" style="38" customWidth="1"/>
    <col min="15098" max="15098" width="14.453125" style="38" customWidth="1"/>
    <col min="15099" max="15099" width="7.1796875" style="38" customWidth="1"/>
    <col min="15100" max="15100" width="5.54296875" style="38" customWidth="1"/>
    <col min="15101" max="15101" width="9" style="38" customWidth="1"/>
    <col min="15102" max="15103" width="9.81640625" style="38" customWidth="1"/>
    <col min="15104" max="15104" width="11.1796875" style="38" customWidth="1"/>
    <col min="15105" max="15105" width="2.81640625" style="38" customWidth="1"/>
    <col min="15106" max="15106" width="3.54296875" style="38" customWidth="1"/>
    <col min="15107" max="15351" width="9.1796875" style="38"/>
    <col min="15352" max="15352" width="8.6328125" style="38" customWidth="1"/>
    <col min="15353" max="15353" width="9.81640625" style="38" customWidth="1"/>
    <col min="15354" max="15354" width="14.453125" style="38" customWidth="1"/>
    <col min="15355" max="15355" width="7.1796875" style="38" customWidth="1"/>
    <col min="15356" max="15356" width="5.54296875" style="38" customWidth="1"/>
    <col min="15357" max="15357" width="9" style="38" customWidth="1"/>
    <col min="15358" max="15359" width="9.81640625" style="38" customWidth="1"/>
    <col min="15360" max="15360" width="11.1796875" style="38" customWidth="1"/>
    <col min="15361" max="15361" width="2.81640625" style="38" customWidth="1"/>
    <col min="15362" max="15362" width="3.54296875" style="38" customWidth="1"/>
    <col min="15363" max="15607" width="9.1796875" style="38"/>
    <col min="15608" max="15608" width="8.6328125" style="38" customWidth="1"/>
    <col min="15609" max="15609" width="9.81640625" style="38" customWidth="1"/>
    <col min="15610" max="15610" width="14.453125" style="38" customWidth="1"/>
    <col min="15611" max="15611" width="7.1796875" style="38" customWidth="1"/>
    <col min="15612" max="15612" width="5.54296875" style="38" customWidth="1"/>
    <col min="15613" max="15613" width="9" style="38" customWidth="1"/>
    <col min="15614" max="15615" width="9.81640625" style="38" customWidth="1"/>
    <col min="15616" max="15616" width="11.1796875" style="38" customWidth="1"/>
    <col min="15617" max="15617" width="2.81640625" style="38" customWidth="1"/>
    <col min="15618" max="15618" width="3.54296875" style="38" customWidth="1"/>
    <col min="15619" max="15863" width="9.1796875" style="38"/>
    <col min="15864" max="15864" width="8.6328125" style="38" customWidth="1"/>
    <col min="15865" max="15865" width="9.81640625" style="38" customWidth="1"/>
    <col min="15866" max="15866" width="14.453125" style="38" customWidth="1"/>
    <col min="15867" max="15867" width="7.1796875" style="38" customWidth="1"/>
    <col min="15868" max="15868" width="5.54296875" style="38" customWidth="1"/>
    <col min="15869" max="15869" width="9" style="38" customWidth="1"/>
    <col min="15870" max="15871" width="9.81640625" style="38" customWidth="1"/>
    <col min="15872" max="15872" width="11.1796875" style="38" customWidth="1"/>
    <col min="15873" max="15873" width="2.81640625" style="38" customWidth="1"/>
    <col min="15874" max="15874" width="3.54296875" style="38" customWidth="1"/>
    <col min="15875" max="16119" width="9.1796875" style="38"/>
    <col min="16120" max="16120" width="8.6328125" style="38" customWidth="1"/>
    <col min="16121" max="16121" width="9.81640625" style="38" customWidth="1"/>
    <col min="16122" max="16122" width="14.453125" style="38" customWidth="1"/>
    <col min="16123" max="16123" width="7.1796875" style="38" customWidth="1"/>
    <col min="16124" max="16124" width="5.54296875" style="38" customWidth="1"/>
    <col min="16125" max="16125" width="9" style="38" customWidth="1"/>
    <col min="16126" max="16127" width="9.81640625" style="38" customWidth="1"/>
    <col min="16128" max="16128" width="11.1796875" style="38" customWidth="1"/>
    <col min="16129" max="16129" width="2.81640625" style="38" customWidth="1"/>
    <col min="16130" max="16130" width="3.54296875" style="38" customWidth="1"/>
    <col min="16131" max="16384" width="9.1796875" style="38"/>
  </cols>
  <sheetData>
    <row r="1" spans="1:26" ht="46.5" customHeight="1">
      <c r="A1" s="230" t="s">
        <v>0</v>
      </c>
      <c r="B1" s="230"/>
      <c r="C1" s="230"/>
      <c r="D1" s="230"/>
      <c r="E1" s="230"/>
      <c r="F1" s="230"/>
      <c r="G1" s="230"/>
      <c r="H1" s="230"/>
    </row>
    <row r="2" spans="1:26" ht="16.5" customHeight="1">
      <c r="A2" s="146" t="s">
        <v>1</v>
      </c>
      <c r="B2" s="146"/>
      <c r="C2" s="146"/>
      <c r="D2" s="146"/>
      <c r="E2" s="146"/>
      <c r="F2" s="146"/>
      <c r="G2" s="146"/>
      <c r="H2" s="146"/>
    </row>
    <row r="3" spans="1:26">
      <c r="A3" s="96" t="s">
        <v>2</v>
      </c>
      <c r="B3" s="96"/>
      <c r="C3" s="96"/>
      <c r="D3" s="96"/>
      <c r="E3" s="96" t="str">
        <f ca="1">TEXT(TODAY(),"DD/MM/YYYY")</f>
        <v>17/09/2025</v>
      </c>
      <c r="F3" s="96"/>
      <c r="G3" s="96"/>
      <c r="H3" s="96"/>
      <c r="K3" s="18" t="s">
        <v>3</v>
      </c>
      <c r="L3" s="5" t="s">
        <v>4</v>
      </c>
      <c r="M3" s="5" t="s">
        <v>5</v>
      </c>
      <c r="N3" s="5" t="s">
        <v>6</v>
      </c>
      <c r="O3" s="5" t="s">
        <v>7</v>
      </c>
      <c r="P3" s="5" t="s">
        <v>8</v>
      </c>
    </row>
    <row r="4" spans="1:26" ht="15" customHeight="1">
      <c r="A4" s="96" t="s">
        <v>9</v>
      </c>
      <c r="B4" s="96"/>
      <c r="C4" s="96"/>
      <c r="D4" s="96"/>
      <c r="E4" s="96" t="s">
        <v>4</v>
      </c>
      <c r="F4" s="96"/>
      <c r="G4" s="96"/>
      <c r="H4" s="96"/>
      <c r="K4" s="1" t="s">
        <v>10</v>
      </c>
      <c r="L4" s="5" t="s">
        <v>11</v>
      </c>
      <c r="M4" s="5" t="s">
        <v>12</v>
      </c>
      <c r="N4" s="5" t="s">
        <v>13</v>
      </c>
      <c r="O4" s="5" t="s">
        <v>14</v>
      </c>
      <c r="P4" s="5"/>
    </row>
    <row r="5" spans="1:26" ht="15" customHeight="1">
      <c r="A5" s="96" t="s">
        <v>15</v>
      </c>
      <c r="B5" s="96"/>
      <c r="C5" s="96"/>
      <c r="D5" s="96"/>
      <c r="E5" s="96" t="s">
        <v>16</v>
      </c>
      <c r="F5" s="96"/>
      <c r="G5" s="96"/>
      <c r="H5" s="96"/>
      <c r="K5" s="1"/>
      <c r="L5" s="5" t="s">
        <v>16</v>
      </c>
      <c r="M5" s="5" t="s">
        <v>17</v>
      </c>
      <c r="N5" s="5" t="s">
        <v>18</v>
      </c>
      <c r="O5" s="5" t="s">
        <v>19</v>
      </c>
      <c r="P5" s="5"/>
    </row>
    <row r="6" spans="1:26">
      <c r="A6" s="96" t="s">
        <v>20</v>
      </c>
      <c r="B6" s="96"/>
      <c r="C6" s="96"/>
      <c r="D6" s="96"/>
      <c r="E6" s="231">
        <v>45908</v>
      </c>
      <c r="F6" s="96"/>
      <c r="G6" s="96"/>
      <c r="H6" s="96"/>
      <c r="K6" s="1"/>
      <c r="L6" s="5" t="s">
        <v>21</v>
      </c>
      <c r="M6" s="5"/>
      <c r="N6" s="5"/>
      <c r="O6" s="5" t="s">
        <v>22</v>
      </c>
      <c r="P6" s="5"/>
    </row>
    <row r="7" spans="1:26" ht="16.5" customHeight="1">
      <c r="A7" s="96" t="s">
        <v>23</v>
      </c>
      <c r="B7" s="96"/>
      <c r="C7" s="96"/>
      <c r="D7" s="96"/>
      <c r="E7" s="96" t="s">
        <v>24</v>
      </c>
      <c r="F7" s="96"/>
      <c r="G7" s="96"/>
      <c r="H7" s="96"/>
      <c r="K7" s="1"/>
      <c r="L7" s="5" t="s">
        <v>25</v>
      </c>
      <c r="M7" s="5"/>
      <c r="N7" s="5"/>
      <c r="O7" s="5" t="s">
        <v>22</v>
      </c>
      <c r="P7" s="5"/>
    </row>
    <row r="8" spans="1:26" ht="15" customHeight="1">
      <c r="A8" s="96" t="s">
        <v>26</v>
      </c>
      <c r="B8" s="96"/>
      <c r="C8" s="96"/>
      <c r="D8" s="96"/>
      <c r="E8" s="96" t="str">
        <f>E7</f>
        <v>SPS Heights LLP</v>
      </c>
      <c r="F8" s="96"/>
      <c r="G8" s="96"/>
      <c r="H8" s="96"/>
      <c r="K8" s="1"/>
      <c r="L8" s="5"/>
      <c r="M8" s="5"/>
      <c r="N8" s="5"/>
      <c r="O8" s="5" t="s">
        <v>27</v>
      </c>
      <c r="P8" s="5"/>
    </row>
    <row r="9" spans="1:26">
      <c r="A9" s="96" t="s">
        <v>28</v>
      </c>
      <c r="B9" s="96"/>
      <c r="C9" s="96"/>
      <c r="D9" s="96"/>
      <c r="E9" s="188" t="s">
        <v>29</v>
      </c>
      <c r="F9" s="188"/>
      <c r="G9" s="188"/>
      <c r="H9" s="188"/>
      <c r="K9" s="1"/>
      <c r="L9" s="5"/>
      <c r="M9" s="5"/>
      <c r="N9" s="5"/>
      <c r="O9" s="5" t="s">
        <v>30</v>
      </c>
      <c r="P9" s="5"/>
    </row>
    <row r="10" spans="1:26">
      <c r="A10" s="96" t="s">
        <v>31</v>
      </c>
      <c r="B10" s="96"/>
      <c r="C10" s="96"/>
      <c r="D10" s="96"/>
      <c r="E10" s="96" t="s">
        <v>32</v>
      </c>
      <c r="F10" s="96"/>
      <c r="G10" s="96"/>
      <c r="H10" s="96"/>
      <c r="K10" s="1"/>
      <c r="L10" s="5"/>
      <c r="M10" s="5"/>
      <c r="N10" s="5"/>
      <c r="O10" s="5"/>
      <c r="P10" s="5"/>
    </row>
    <row r="11" spans="1:26" ht="15" hidden="1" customHeight="1">
      <c r="A11" s="96" t="s">
        <v>33</v>
      </c>
      <c r="B11" s="96"/>
      <c r="C11" s="96"/>
      <c r="D11" s="96"/>
      <c r="E11" s="96" t="s">
        <v>34</v>
      </c>
      <c r="F11" s="96"/>
      <c r="G11" s="96"/>
      <c r="H11" s="96"/>
    </row>
    <row r="12" spans="1:26">
      <c r="A12" s="96" t="s">
        <v>35</v>
      </c>
      <c r="B12" s="96"/>
      <c r="C12" s="96"/>
      <c r="D12" s="96"/>
      <c r="E12" s="96" t="s">
        <v>36</v>
      </c>
      <c r="F12" s="96"/>
      <c r="G12" s="96"/>
      <c r="H12" s="96"/>
    </row>
    <row r="13" spans="1:26">
      <c r="A13" s="96" t="s">
        <v>37</v>
      </c>
      <c r="B13" s="96"/>
      <c r="C13" s="96"/>
      <c r="D13" s="96"/>
      <c r="E13" s="96" t="s">
        <v>38</v>
      </c>
      <c r="F13" s="96"/>
      <c r="G13" s="96"/>
      <c r="H13" s="96"/>
      <c r="S13" s="5" t="s">
        <v>39</v>
      </c>
      <c r="T13" s="5" t="s">
        <v>40</v>
      </c>
      <c r="U13" s="5" t="s">
        <v>41</v>
      </c>
      <c r="V13" s="5" t="s">
        <v>42</v>
      </c>
      <c r="W13" s="5" t="s">
        <v>43</v>
      </c>
      <c r="X13"/>
      <c r="Y13" t="s">
        <v>42</v>
      </c>
      <c r="Z13" t="e">
        <f ca="1">OFFSET($S$13,1,MATCH($G20,$S$13:$W$13,0)-1,15,1)</f>
        <v>#VALUE!</v>
      </c>
    </row>
    <row r="14" spans="1:26" ht="32.25" customHeight="1">
      <c r="A14" s="96" t="s">
        <v>44</v>
      </c>
      <c r="B14" s="96"/>
      <c r="C14" s="96"/>
      <c r="D14" s="96"/>
      <c r="E14" s="196" t="s">
        <v>45</v>
      </c>
      <c r="F14" s="196"/>
      <c r="G14" s="196"/>
      <c r="H14" s="196"/>
      <c r="S14" s="5" t="s">
        <v>46</v>
      </c>
      <c r="T14" s="5" t="s">
        <v>47</v>
      </c>
      <c r="U14" s="5" t="s">
        <v>48</v>
      </c>
      <c r="V14" s="5" t="s">
        <v>49</v>
      </c>
      <c r="W14" s="5" t="s">
        <v>50</v>
      </c>
      <c r="X14"/>
      <c r="Y14"/>
      <c r="Z14"/>
    </row>
    <row r="15" spans="1:26">
      <c r="A15" s="116" t="s">
        <v>51</v>
      </c>
      <c r="B15" s="116"/>
      <c r="C15" s="116"/>
      <c r="D15" s="116"/>
      <c r="E15" s="196" t="s">
        <v>52</v>
      </c>
      <c r="F15" s="96"/>
      <c r="G15" s="96"/>
      <c r="H15" s="96"/>
      <c r="I15" s="228" t="e">
        <f ca="1">OFFSET($D$5,1,MATCH($J13,$D$5:$H$5,0)-1,15,1)</f>
        <v>#N/A</v>
      </c>
      <c r="J15" s="229"/>
      <c r="K15" s="229"/>
      <c r="L15" s="229"/>
      <c r="M15" s="229"/>
      <c r="N15" s="229"/>
      <c r="O15" s="229"/>
      <c r="P15" s="229"/>
      <c r="S15" s="5" t="s">
        <v>53</v>
      </c>
      <c r="T15" s="5" t="s">
        <v>54</v>
      </c>
      <c r="U15" s="5" t="s">
        <v>55</v>
      </c>
      <c r="V15" s="5" t="s">
        <v>56</v>
      </c>
      <c r="W15" s="5" t="s">
        <v>57</v>
      </c>
      <c r="X15"/>
      <c r="Y15"/>
      <c r="Z15"/>
    </row>
    <row r="16" spans="1:26" ht="33.65" customHeight="1">
      <c r="A16" s="196" t="s">
        <v>58</v>
      </c>
      <c r="B16" s="196"/>
      <c r="C16" s="196" t="str">
        <f>CONCATENATE((IF(OR(E9="",E9="NA"),"",E9)),", ",(IF(OR(A17="",A17="NA"),"",A17)),".",(IF(OR(C17="",C17="NA"),"",C17)),", near ",(IF(OR(C22="",C22="NA"),"",C22)),", ",(IF(OR(C19="",C19="NA"),"",C19)),", ",(IF(OR(C18="",C18="NA"),"",C18)),", ",(IF(OR(G19="",G19="NA"),"",G19)),", ",(IF(OR(C20="",C20="NA"),"",C20)),", ",(IF(OR(C21="",C21="NA"),"",C21)),", ",(IF(OR(G20="",G20="NA"),"",G20))," - ",(IF(OR(G21="",G21="NA"),"",G21)),".")</f>
        <v>White Falcon, Plot No.95, Sector : 7, near Bhaveshwar One, Internal Road, , Pushpak Node (Dapoli), Ulwe, Panvel, Raigad - 410221.</v>
      </c>
      <c r="D16" s="196"/>
      <c r="E16" s="196"/>
      <c r="F16" s="196"/>
      <c r="G16" s="196"/>
      <c r="H16" s="196"/>
      <c r="S16" s="5" t="s">
        <v>59</v>
      </c>
      <c r="T16" s="5" t="s">
        <v>60</v>
      </c>
      <c r="U16" s="5" t="s">
        <v>61</v>
      </c>
      <c r="V16" s="5" t="s">
        <v>62</v>
      </c>
      <c r="W16" s="5" t="s">
        <v>63</v>
      </c>
      <c r="X16"/>
      <c r="Y16"/>
      <c r="Z16"/>
    </row>
    <row r="17" spans="1:26">
      <c r="A17" s="196" t="s">
        <v>64</v>
      </c>
      <c r="B17" s="196"/>
      <c r="C17" s="196" t="s">
        <v>65</v>
      </c>
      <c r="D17" s="196"/>
      <c r="E17" s="196"/>
      <c r="F17" s="196"/>
      <c r="G17" s="196"/>
      <c r="H17" s="196"/>
      <c r="S17" s="5" t="s">
        <v>66</v>
      </c>
      <c r="T17" s="5" t="s">
        <v>67</v>
      </c>
      <c r="U17" s="5" t="s">
        <v>41</v>
      </c>
      <c r="V17" s="5" t="s">
        <v>68</v>
      </c>
      <c r="W17" s="5" t="s">
        <v>69</v>
      </c>
      <c r="X17"/>
      <c r="Y17"/>
      <c r="Z17"/>
    </row>
    <row r="18" spans="1:26" ht="15.75" customHeight="1">
      <c r="A18" s="196" t="s">
        <v>70</v>
      </c>
      <c r="B18" s="196"/>
      <c r="C18" s="196" t="s">
        <v>38</v>
      </c>
      <c r="D18" s="196"/>
      <c r="E18" s="196"/>
      <c r="F18" s="196"/>
      <c r="G18" s="196"/>
      <c r="H18" s="196"/>
      <c r="S18" s="5" t="s">
        <v>71</v>
      </c>
      <c r="T18" s="5" t="s">
        <v>40</v>
      </c>
      <c r="U18" s="5"/>
      <c r="V18" s="5" t="s">
        <v>72</v>
      </c>
      <c r="W18" s="5" t="s">
        <v>73</v>
      </c>
      <c r="X18"/>
      <c r="Y18"/>
      <c r="Z18"/>
    </row>
    <row r="19" spans="1:26" ht="15.75" customHeight="1">
      <c r="A19" s="196" t="s">
        <v>74</v>
      </c>
      <c r="B19" s="196"/>
      <c r="C19" s="96" t="s">
        <v>75</v>
      </c>
      <c r="D19" s="96"/>
      <c r="E19" s="196" t="s">
        <v>76</v>
      </c>
      <c r="F19" s="196"/>
      <c r="G19" s="196" t="s">
        <v>77</v>
      </c>
      <c r="H19" s="196"/>
      <c r="S19" s="5" t="s">
        <v>78</v>
      </c>
      <c r="T19" s="5" t="s">
        <v>79</v>
      </c>
      <c r="U19" s="5"/>
      <c r="V19" s="5" t="s">
        <v>80</v>
      </c>
      <c r="W19" s="5" t="s">
        <v>81</v>
      </c>
      <c r="X19"/>
      <c r="Y19"/>
      <c r="Z19"/>
    </row>
    <row r="20" spans="1:26">
      <c r="A20" s="96" t="s">
        <v>82</v>
      </c>
      <c r="B20" s="96"/>
      <c r="C20" s="196" t="s">
        <v>83</v>
      </c>
      <c r="D20" s="196"/>
      <c r="E20" s="196" t="s">
        <v>84</v>
      </c>
      <c r="F20" s="196"/>
      <c r="G20" s="227" t="s">
        <v>42</v>
      </c>
      <c r="H20" s="227"/>
      <c r="S20" s="5" t="s">
        <v>85</v>
      </c>
      <c r="T20" s="5" t="s">
        <v>86</v>
      </c>
      <c r="U20" s="5"/>
      <c r="V20" s="5" t="s">
        <v>87</v>
      </c>
      <c r="W20" s="5" t="s">
        <v>88</v>
      </c>
      <c r="X20"/>
      <c r="Y20"/>
      <c r="Z20"/>
    </row>
    <row r="21" spans="1:26">
      <c r="A21" s="96" t="s">
        <v>89</v>
      </c>
      <c r="B21" s="96"/>
      <c r="C21" s="196" t="s">
        <v>56</v>
      </c>
      <c r="D21" s="196"/>
      <c r="E21" s="196" t="s">
        <v>90</v>
      </c>
      <c r="F21" s="196"/>
      <c r="G21" s="196">
        <v>410221</v>
      </c>
      <c r="H21" s="196"/>
      <c r="S21" s="5"/>
      <c r="T21" s="5"/>
      <c r="U21" s="5"/>
      <c r="V21" s="5" t="s">
        <v>91</v>
      </c>
      <c r="W21" s="5" t="s">
        <v>92</v>
      </c>
      <c r="X21"/>
      <c r="Y21"/>
      <c r="Z21"/>
    </row>
    <row r="22" spans="1:26" ht="48" customHeight="1">
      <c r="A22" s="96" t="s">
        <v>93</v>
      </c>
      <c r="B22" s="96"/>
      <c r="C22" s="196" t="s">
        <v>94</v>
      </c>
      <c r="D22" s="196"/>
      <c r="E22" s="196" t="s">
        <v>95</v>
      </c>
      <c r="F22" s="196"/>
      <c r="G22" s="196" t="s">
        <v>96</v>
      </c>
      <c r="H22" s="196"/>
      <c r="S22" s="5"/>
      <c r="T22" s="5"/>
      <c r="U22" s="5"/>
      <c r="V22" s="5" t="s">
        <v>97</v>
      </c>
      <c r="W22" s="5" t="s">
        <v>98</v>
      </c>
      <c r="X22"/>
      <c r="Y22"/>
      <c r="Z22"/>
    </row>
    <row r="23" spans="1:26" ht="15" customHeight="1">
      <c r="A23" s="95" t="s">
        <v>99</v>
      </c>
      <c r="B23" s="95"/>
      <c r="C23" s="95"/>
      <c r="D23" s="95"/>
      <c r="E23" s="96" t="s">
        <v>100</v>
      </c>
      <c r="F23" s="96"/>
      <c r="G23" s="96"/>
      <c r="H23" s="96"/>
      <c r="S23" s="5"/>
      <c r="T23" s="5"/>
      <c r="U23" s="5"/>
      <c r="V23" s="5" t="s">
        <v>101</v>
      </c>
      <c r="W23" s="5" t="s">
        <v>102</v>
      </c>
      <c r="X23"/>
      <c r="Y23"/>
      <c r="Z23"/>
    </row>
    <row r="24" spans="1:26" ht="18.75" customHeight="1">
      <c r="A24" s="95"/>
      <c r="B24" s="95"/>
      <c r="C24" s="95"/>
      <c r="D24" s="95"/>
      <c r="E24" s="96"/>
      <c r="F24" s="96"/>
      <c r="G24" s="96"/>
      <c r="H24" s="96"/>
      <c r="S24" s="5"/>
      <c r="T24" s="5"/>
      <c r="U24" s="5"/>
      <c r="V24" s="5" t="s">
        <v>103</v>
      </c>
      <c r="W24" s="5" t="s">
        <v>104</v>
      </c>
      <c r="X24"/>
      <c r="Y24"/>
      <c r="Z24"/>
    </row>
    <row r="25" spans="1:26" ht="15" customHeight="1">
      <c r="A25" s="95" t="s">
        <v>105</v>
      </c>
      <c r="B25" s="95"/>
      <c r="C25" s="95"/>
      <c r="D25" s="95"/>
      <c r="E25" s="196" t="s">
        <v>106</v>
      </c>
      <c r="F25" s="196"/>
      <c r="G25" s="196"/>
      <c r="H25" s="196"/>
      <c r="S25" s="5"/>
      <c r="T25" s="5"/>
      <c r="U25" s="5"/>
      <c r="V25" s="5" t="s">
        <v>107</v>
      </c>
      <c r="W25" s="5" t="s">
        <v>108</v>
      </c>
      <c r="X25"/>
      <c r="Y25"/>
      <c r="Z25"/>
    </row>
    <row r="26" spans="1:26" ht="15" customHeight="1">
      <c r="A26" s="116" t="s">
        <v>109</v>
      </c>
      <c r="B26" s="116"/>
      <c r="C26" s="116"/>
      <c r="D26" s="116"/>
      <c r="E26" s="196" t="str">
        <f>IF(AND(G20="Mumbai"),"Upper Class","Middle Class")</f>
        <v>Middle Class</v>
      </c>
      <c r="F26" s="196"/>
      <c r="G26" s="196"/>
      <c r="H26" s="196"/>
      <c r="S26" s="5"/>
      <c r="T26" s="5"/>
      <c r="U26" s="5"/>
      <c r="V26" s="5" t="s">
        <v>110</v>
      </c>
      <c r="W26" s="5" t="s">
        <v>111</v>
      </c>
      <c r="X26"/>
      <c r="Y26"/>
      <c r="Z26"/>
    </row>
    <row r="27" spans="1:26">
      <c r="A27" s="116" t="s">
        <v>112</v>
      </c>
      <c r="B27" s="116"/>
      <c r="C27" s="116"/>
      <c r="D27" s="116"/>
      <c r="E27" s="196" t="s">
        <v>113</v>
      </c>
      <c r="F27" s="196"/>
      <c r="G27" s="196"/>
      <c r="H27" s="196"/>
      <c r="S27" s="5"/>
      <c r="T27" s="5"/>
      <c r="U27" s="5"/>
      <c r="V27" s="5" t="s">
        <v>114</v>
      </c>
      <c r="W27" s="5" t="s">
        <v>115</v>
      </c>
      <c r="X27"/>
      <c r="Y27"/>
      <c r="Z27"/>
    </row>
    <row r="28" spans="1:26" ht="15.75" customHeight="1">
      <c r="A28" s="116" t="s">
        <v>116</v>
      </c>
      <c r="B28" s="116"/>
      <c r="C28" s="116"/>
      <c r="D28" s="116"/>
      <c r="E28" s="196" t="str">
        <f>IF(AND(G20="Mumbai"),"Developed","Developing")</f>
        <v>Developing</v>
      </c>
      <c r="F28" s="196"/>
      <c r="G28" s="196"/>
      <c r="H28" s="196"/>
    </row>
    <row r="29" spans="1:26">
      <c r="A29" s="116" t="s">
        <v>117</v>
      </c>
      <c r="B29" s="116"/>
      <c r="C29" s="116"/>
      <c r="D29" s="116"/>
      <c r="E29" s="196" t="s">
        <v>118</v>
      </c>
      <c r="F29" s="196"/>
      <c r="G29" s="196"/>
      <c r="H29" s="196"/>
    </row>
    <row r="30" spans="1:26" ht="15.75" customHeight="1">
      <c r="A30" s="116" t="s">
        <v>119</v>
      </c>
      <c r="B30" s="116"/>
      <c r="C30" s="116"/>
      <c r="D30" s="116"/>
      <c r="E30" s="196" t="s">
        <v>120</v>
      </c>
      <c r="F30" s="196"/>
      <c r="G30" s="196"/>
      <c r="H30" s="196"/>
    </row>
    <row r="31" spans="1:26" ht="15" customHeight="1">
      <c r="A31" s="116" t="s">
        <v>121</v>
      </c>
      <c r="B31" s="116"/>
      <c r="C31" s="116"/>
      <c r="D31" s="116"/>
      <c r="E31" s="19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96"/>
      <c r="G31" s="196"/>
      <c r="H31" s="196"/>
    </row>
    <row r="32" spans="1:26" ht="15.75" customHeight="1">
      <c r="A32" s="116" t="s">
        <v>122</v>
      </c>
      <c r="B32" s="116"/>
      <c r="C32" s="116"/>
      <c r="D32" s="116"/>
      <c r="E32" s="196" t="s">
        <v>123</v>
      </c>
      <c r="F32" s="196"/>
      <c r="G32" s="196"/>
      <c r="H32" s="196"/>
    </row>
    <row r="33" spans="1:19" s="31" customFormat="1">
      <c r="A33" s="226" t="s">
        <v>124</v>
      </c>
      <c r="B33" s="226"/>
      <c r="C33" s="146" t="s">
        <v>125</v>
      </c>
      <c r="D33" s="146"/>
      <c r="E33" s="146"/>
      <c r="F33" s="146" t="s">
        <v>126</v>
      </c>
      <c r="G33" s="146"/>
      <c r="H33" s="146"/>
      <c r="S33" s="31" t="e">
        <f ca="1">OFFSET($S$13,1,MATCH($G20,$S$13:$W$13,0)-1,15,1)</f>
        <v>#VALUE!</v>
      </c>
    </row>
    <row r="34" spans="1:19" s="31" customFormat="1">
      <c r="A34" s="224" t="s">
        <v>127</v>
      </c>
      <c r="B34" s="224" t="s">
        <v>38</v>
      </c>
      <c r="C34" s="237" t="s">
        <v>128</v>
      </c>
      <c r="D34" s="237"/>
      <c r="E34" s="237"/>
      <c r="F34" s="237" t="s">
        <v>129</v>
      </c>
      <c r="G34" s="237"/>
      <c r="H34" s="237"/>
    </row>
    <row r="35" spans="1:19">
      <c r="A35" s="224" t="s">
        <v>130</v>
      </c>
      <c r="B35" s="224" t="s">
        <v>38</v>
      </c>
      <c r="C35" s="237" t="s">
        <v>131</v>
      </c>
      <c r="D35" s="237"/>
      <c r="E35" s="237"/>
      <c r="F35" s="237" t="s">
        <v>75</v>
      </c>
      <c r="G35" s="237"/>
      <c r="H35" s="237"/>
    </row>
    <row r="36" spans="1:19" s="31" customFormat="1">
      <c r="A36" s="224" t="s">
        <v>132</v>
      </c>
      <c r="B36" s="224" t="s">
        <v>38</v>
      </c>
      <c r="C36" s="237" t="s">
        <v>131</v>
      </c>
      <c r="D36" s="237"/>
      <c r="E36" s="237"/>
      <c r="F36" s="237" t="s">
        <v>75</v>
      </c>
      <c r="G36" s="237"/>
      <c r="H36" s="237"/>
    </row>
    <row r="37" spans="1:19">
      <c r="A37" s="224" t="s">
        <v>133</v>
      </c>
      <c r="B37" s="224" t="s">
        <v>38</v>
      </c>
      <c r="C37" s="237" t="s">
        <v>131</v>
      </c>
      <c r="D37" s="237"/>
      <c r="E37" s="237"/>
      <c r="F37" s="237" t="s">
        <v>75</v>
      </c>
      <c r="G37" s="237"/>
      <c r="H37" s="237"/>
    </row>
    <row r="38" spans="1:19">
      <c r="A38" s="116" t="s">
        <v>134</v>
      </c>
      <c r="B38" s="116"/>
      <c r="C38" s="116"/>
      <c r="D38" s="116"/>
      <c r="E38" s="116"/>
      <c r="F38" s="116"/>
      <c r="G38" s="116"/>
      <c r="H38" s="116"/>
    </row>
    <row r="39" spans="1:19" ht="15.75" customHeight="1">
      <c r="A39" s="116" t="s">
        <v>135</v>
      </c>
      <c r="B39" s="116"/>
      <c r="C39" s="173" t="s">
        <v>136</v>
      </c>
      <c r="D39" s="173"/>
      <c r="E39" s="173"/>
      <c r="F39" s="173"/>
      <c r="G39" s="173"/>
      <c r="H39" s="173"/>
    </row>
    <row r="40" spans="1:19">
      <c r="A40" s="116" t="s">
        <v>137</v>
      </c>
      <c r="B40" s="116"/>
      <c r="C40" s="225" t="s">
        <v>138</v>
      </c>
      <c r="D40" s="196"/>
      <c r="E40" s="196"/>
      <c r="F40" s="196"/>
      <c r="G40" s="196"/>
      <c r="H40" s="196"/>
    </row>
    <row r="41" spans="1:19">
      <c r="A41" s="173" t="s">
        <v>139</v>
      </c>
      <c r="B41" s="173"/>
      <c r="C41" s="173"/>
      <c r="D41" s="173"/>
      <c r="E41" s="173"/>
      <c r="F41" s="173"/>
      <c r="G41" s="173"/>
      <c r="H41" s="173"/>
    </row>
    <row r="42" spans="1:19">
      <c r="A42" s="116" t="s">
        <v>140</v>
      </c>
      <c r="B42" s="116"/>
      <c r="C42" s="116"/>
      <c r="D42" s="116"/>
      <c r="E42" s="221">
        <v>669.98</v>
      </c>
      <c r="F42" s="221"/>
      <c r="G42" s="221"/>
      <c r="H42" s="221"/>
    </row>
    <row r="43" spans="1:19">
      <c r="A43" s="116" t="s">
        <v>141</v>
      </c>
      <c r="B43" s="116"/>
      <c r="C43" s="116"/>
      <c r="D43" s="116"/>
      <c r="E43" s="222">
        <v>2</v>
      </c>
      <c r="F43" s="222"/>
      <c r="G43" s="222"/>
      <c r="H43" s="222"/>
      <c r="J43" s="41">
        <f>1339.96/E42</f>
        <v>2</v>
      </c>
    </row>
    <row r="44" spans="1:19">
      <c r="A44" s="116" t="s">
        <v>142</v>
      </c>
      <c r="B44" s="116"/>
      <c r="C44" s="116"/>
      <c r="D44" s="116"/>
      <c r="E44" s="222">
        <f>E46/E42-E43</f>
        <v>1.6402579181468102</v>
      </c>
      <c r="F44" s="222"/>
      <c r="G44" s="222"/>
      <c r="H44" s="222"/>
    </row>
    <row r="45" spans="1:19">
      <c r="A45" s="116" t="s">
        <v>143</v>
      </c>
      <c r="B45" s="116"/>
      <c r="C45" s="116"/>
      <c r="D45" s="116"/>
      <c r="E45" s="222">
        <f>E43+E44</f>
        <v>3.6402579181468102</v>
      </c>
      <c r="F45" s="222"/>
      <c r="G45" s="222"/>
      <c r="H45" s="222"/>
    </row>
    <row r="46" spans="1:19">
      <c r="A46" s="116" t="s">
        <v>144</v>
      </c>
      <c r="B46" s="116"/>
      <c r="C46" s="116"/>
      <c r="D46" s="116"/>
      <c r="E46" s="223">
        <v>2438.9</v>
      </c>
      <c r="F46" s="223"/>
      <c r="G46" s="223"/>
      <c r="H46" s="223"/>
    </row>
    <row r="47" spans="1:19">
      <c r="A47" s="96" t="s">
        <v>145</v>
      </c>
      <c r="B47" s="96"/>
      <c r="C47" s="96"/>
      <c r="D47" s="96"/>
      <c r="E47" s="96" t="s">
        <v>36</v>
      </c>
      <c r="F47" s="96"/>
      <c r="G47" s="96"/>
      <c r="H47" s="96"/>
    </row>
    <row r="48" spans="1:19">
      <c r="A48" s="173" t="s">
        <v>146</v>
      </c>
      <c r="B48" s="173"/>
      <c r="C48" s="173"/>
      <c r="D48" s="173"/>
      <c r="E48" s="173"/>
      <c r="F48" s="173"/>
      <c r="G48" s="173"/>
      <c r="H48" s="173"/>
    </row>
    <row r="49" spans="1:24" ht="33.75" customHeight="1">
      <c r="A49" s="205" t="s">
        <v>147</v>
      </c>
      <c r="B49" s="207"/>
      <c r="C49" s="218" t="s">
        <v>148</v>
      </c>
      <c r="D49" s="219"/>
      <c r="E49" s="219"/>
      <c r="F49" s="219"/>
      <c r="G49" s="219"/>
      <c r="H49" s="220"/>
      <c r="R49" t="s">
        <v>149</v>
      </c>
      <c r="S49" t="s">
        <v>41</v>
      </c>
      <c r="T49" t="s">
        <v>39</v>
      </c>
      <c r="U49" t="s">
        <v>42</v>
      </c>
      <c r="V49" t="s">
        <v>40</v>
      </c>
    </row>
    <row r="50" spans="1:24" ht="31" customHeight="1">
      <c r="A50" s="205" t="s">
        <v>150</v>
      </c>
      <c r="B50" s="207"/>
      <c r="C50" s="205" t="s">
        <v>151</v>
      </c>
      <c r="D50" s="206"/>
      <c r="E50" s="207"/>
      <c r="F50" s="39" t="s">
        <v>152</v>
      </c>
      <c r="G50" s="213">
        <v>45526</v>
      </c>
      <c r="H50" s="214"/>
      <c r="R50"/>
      <c r="S50" t="s">
        <v>153</v>
      </c>
      <c r="T50" t="s">
        <v>154</v>
      </c>
      <c r="U50" t="s">
        <v>155</v>
      </c>
      <c r="V50" t="s">
        <v>156</v>
      </c>
    </row>
    <row r="51" spans="1:24" ht="31" customHeight="1">
      <c r="A51" s="205" t="s">
        <v>157</v>
      </c>
      <c r="B51" s="207"/>
      <c r="C51" s="205" t="str">
        <f>C50</f>
        <v>CIDCO/BP-18670/TPO(NM &amp; K)/2023/12901</v>
      </c>
      <c r="D51" s="206"/>
      <c r="E51" s="207"/>
      <c r="F51" s="39" t="s">
        <v>152</v>
      </c>
      <c r="G51" s="213">
        <f>G50</f>
        <v>45526</v>
      </c>
      <c r="H51" s="214"/>
      <c r="R51"/>
      <c r="S51" t="s">
        <v>158</v>
      </c>
      <c r="T51" t="s">
        <v>159</v>
      </c>
      <c r="U51" t="s">
        <v>148</v>
      </c>
      <c r="V51" t="s">
        <v>160</v>
      </c>
    </row>
    <row r="52" spans="1:24" s="32" customFormat="1" ht="32.5" customHeight="1">
      <c r="A52" s="90" t="s">
        <v>161</v>
      </c>
      <c r="B52" s="91"/>
      <c r="C52" s="205" t="str">
        <f>C51</f>
        <v>CIDCO/BP-18670/TPO(NM &amp; K)/2023/12901</v>
      </c>
      <c r="D52" s="206"/>
      <c r="E52" s="207"/>
      <c r="F52" s="39" t="s">
        <v>152</v>
      </c>
      <c r="G52" s="213">
        <f>G51</f>
        <v>45526</v>
      </c>
      <c r="H52" s="214"/>
      <c r="R52"/>
      <c r="S52" t="s">
        <v>162</v>
      </c>
      <c r="T52" t="s">
        <v>163</v>
      </c>
      <c r="U52" t="s">
        <v>164</v>
      </c>
      <c r="V52" t="s">
        <v>165</v>
      </c>
    </row>
    <row r="53" spans="1:24" s="32" customFormat="1" ht="49.5" customHeight="1">
      <c r="A53" s="92"/>
      <c r="B53" s="93"/>
      <c r="C53" s="205" t="s">
        <v>166</v>
      </c>
      <c r="D53" s="206"/>
      <c r="E53" s="206"/>
      <c r="F53" s="206"/>
      <c r="G53" s="206"/>
      <c r="H53" s="207"/>
      <c r="R53"/>
      <c r="S53" t="s">
        <v>167</v>
      </c>
      <c r="T53" t="s">
        <v>168</v>
      </c>
      <c r="U53" t="s">
        <v>169</v>
      </c>
    </row>
    <row r="54" spans="1:24" s="32" customFormat="1" hidden="1">
      <c r="A54" s="86" t="s">
        <v>170</v>
      </c>
      <c r="B54" s="87"/>
      <c r="C54" s="205"/>
      <c r="D54" s="206"/>
      <c r="E54" s="207"/>
      <c r="F54" s="39" t="s">
        <v>152</v>
      </c>
      <c r="G54" s="205"/>
      <c r="H54" s="207"/>
      <c r="R54"/>
      <c r="S54" t="s">
        <v>162</v>
      </c>
      <c r="T54" t="s">
        <v>163</v>
      </c>
      <c r="U54" t="s">
        <v>164</v>
      </c>
      <c r="V54" t="s">
        <v>165</v>
      </c>
    </row>
    <row r="55" spans="1:24" s="32" customFormat="1" ht="32.25" hidden="1" customHeight="1">
      <c r="A55" s="88"/>
      <c r="B55" s="89"/>
      <c r="C55" s="215"/>
      <c r="D55" s="216"/>
      <c r="E55" s="216"/>
      <c r="F55" s="216"/>
      <c r="G55" s="216"/>
      <c r="H55" s="217"/>
      <c r="R55"/>
      <c r="S55" t="s">
        <v>164</v>
      </c>
      <c r="T55" t="s">
        <v>171</v>
      </c>
      <c r="U55" t="s">
        <v>172</v>
      </c>
      <c r="V55" s="38"/>
      <c r="W55" s="38"/>
      <c r="X55" s="38"/>
    </row>
    <row r="56" spans="1:24" s="32" customFormat="1" ht="34.5" hidden="1" customHeight="1">
      <c r="A56" s="86" t="s">
        <v>173</v>
      </c>
      <c r="B56" s="87"/>
      <c r="C56" s="205"/>
      <c r="D56" s="206"/>
      <c r="E56" s="207"/>
      <c r="F56" s="39" t="s">
        <v>152</v>
      </c>
      <c r="G56" s="205"/>
      <c r="H56" s="207"/>
      <c r="R56"/>
      <c r="S56" s="38"/>
      <c r="T56" t="s">
        <v>174</v>
      </c>
      <c r="U56" t="s">
        <v>175</v>
      </c>
      <c r="V56" s="38"/>
      <c r="W56" s="38"/>
      <c r="X56" s="38"/>
    </row>
    <row r="57" spans="1:24" s="32" customFormat="1" ht="41.25" hidden="1" customHeight="1">
      <c r="A57" s="88"/>
      <c r="B57" s="89"/>
      <c r="C57" s="205"/>
      <c r="D57" s="206"/>
      <c r="E57" s="206"/>
      <c r="F57" s="206"/>
      <c r="G57" s="206"/>
      <c r="H57" s="207"/>
      <c r="R57"/>
      <c r="S57" s="38"/>
      <c r="T57" t="s">
        <v>176</v>
      </c>
      <c r="U57" t="s">
        <v>177</v>
      </c>
      <c r="V57" s="38"/>
      <c r="W57" s="38"/>
      <c r="X57" s="38"/>
    </row>
    <row r="58" spans="1:24" s="32" customFormat="1" ht="15.75" hidden="1" customHeight="1">
      <c r="A58" s="86" t="s">
        <v>178</v>
      </c>
      <c r="B58" s="87"/>
      <c r="C58" s="205"/>
      <c r="D58" s="206"/>
      <c r="E58" s="207"/>
      <c r="F58" s="39" t="s">
        <v>152</v>
      </c>
      <c r="G58" s="205"/>
      <c r="H58" s="207"/>
      <c r="R58"/>
      <c r="S58" s="38"/>
      <c r="T58" t="s">
        <v>179</v>
      </c>
      <c r="U58" s="38" t="s">
        <v>180</v>
      </c>
      <c r="V58" s="38"/>
      <c r="W58" s="38"/>
      <c r="X58" s="38"/>
    </row>
    <row r="59" spans="1:24" s="32" customFormat="1" ht="33.75" hidden="1" customHeight="1">
      <c r="A59" s="88"/>
      <c r="B59" s="89"/>
      <c r="C59" s="95"/>
      <c r="D59" s="95"/>
      <c r="E59" s="95"/>
      <c r="F59" s="39" t="s">
        <v>181</v>
      </c>
      <c r="G59" s="95"/>
      <c r="H59" s="95"/>
      <c r="R59"/>
      <c r="S59" s="38"/>
      <c r="T59" t="s">
        <v>182</v>
      </c>
      <c r="U59" s="38"/>
      <c r="V59" s="38"/>
      <c r="W59" s="38"/>
      <c r="X59" s="38"/>
    </row>
    <row r="60" spans="1:24">
      <c r="A60" s="208" t="s">
        <v>183</v>
      </c>
      <c r="B60" s="209"/>
      <c r="C60" s="208" t="s">
        <v>184</v>
      </c>
      <c r="D60" s="210"/>
      <c r="E60" s="209"/>
      <c r="F60" s="40" t="s">
        <v>152</v>
      </c>
      <c r="G60" s="211" t="s">
        <v>38</v>
      </c>
      <c r="H60" s="212"/>
      <c r="R60"/>
      <c r="T60" t="s">
        <v>185</v>
      </c>
    </row>
    <row r="61" spans="1:24">
      <c r="A61" s="115" t="s">
        <v>186</v>
      </c>
      <c r="B61" s="115"/>
      <c r="C61" s="115"/>
      <c r="D61" s="115"/>
      <c r="E61" s="115"/>
      <c r="F61" s="115"/>
      <c r="G61" s="115"/>
      <c r="H61" s="115"/>
      <c r="T61" t="s">
        <v>187</v>
      </c>
    </row>
    <row r="62" spans="1:24">
      <c r="A62" s="95" t="s">
        <v>188</v>
      </c>
      <c r="B62" s="95"/>
      <c r="C62" s="95"/>
      <c r="D62" s="116">
        <f>E46</f>
        <v>2438.9</v>
      </c>
      <c r="E62" s="116"/>
      <c r="F62" s="116"/>
      <c r="G62" s="116"/>
      <c r="H62" s="116"/>
      <c r="R62"/>
    </row>
    <row r="63" spans="1:24">
      <c r="A63" s="196" t="s">
        <v>189</v>
      </c>
      <c r="B63" s="96"/>
      <c r="C63" s="96"/>
      <c r="D63" s="96" t="s">
        <v>190</v>
      </c>
      <c r="E63" s="96"/>
      <c r="F63" s="96"/>
      <c r="G63" s="96"/>
      <c r="H63" s="96"/>
      <c r="I63" s="42"/>
      <c r="R63"/>
    </row>
    <row r="64" spans="1:24">
      <c r="A64" s="200" t="s">
        <v>191</v>
      </c>
      <c r="B64" s="201"/>
      <c r="C64" s="202"/>
      <c r="D64" s="196" t="s">
        <v>192</v>
      </c>
      <c r="E64" s="96"/>
      <c r="F64" s="96"/>
      <c r="G64" s="96"/>
      <c r="H64" s="96"/>
      <c r="R64"/>
    </row>
    <row r="65" spans="1:19" ht="15.75" customHeight="1">
      <c r="A65" s="200" t="s">
        <v>193</v>
      </c>
      <c r="B65" s="201"/>
      <c r="C65" s="201"/>
      <c r="D65" s="96" t="s">
        <v>192</v>
      </c>
      <c r="E65" s="96"/>
      <c r="F65" s="96"/>
      <c r="G65" s="96"/>
      <c r="H65" s="96"/>
      <c r="R65"/>
    </row>
    <row r="66" spans="1:19" ht="15.75" customHeight="1">
      <c r="A66" s="116" t="s">
        <v>194</v>
      </c>
      <c r="B66" s="116"/>
      <c r="C66" s="116"/>
      <c r="D66" s="203" t="s">
        <v>195</v>
      </c>
      <c r="E66" s="203"/>
      <c r="F66" s="203"/>
      <c r="G66" s="203"/>
      <c r="H66" s="203"/>
      <c r="J66" s="56"/>
      <c r="K66" s="42"/>
      <c r="N66" s="42"/>
      <c r="S66"/>
    </row>
    <row r="67" spans="1:19" ht="15.75" customHeight="1">
      <c r="A67" s="116" t="s">
        <v>196</v>
      </c>
      <c r="B67" s="116"/>
      <c r="C67" s="116"/>
      <c r="D67" s="204" t="str">
        <f>(IF(G60="NA","60 Years After Completion",IF(G60&lt;&gt;"NA",""&amp;60-ROUNDDOWN((E3-G60)/360,0)&amp;" Years"," ")))</f>
        <v>60 Years After Completion</v>
      </c>
      <c r="E67" s="204"/>
      <c r="F67" s="204"/>
      <c r="G67" s="204"/>
      <c r="H67" s="204"/>
      <c r="N67" s="42"/>
      <c r="S67"/>
    </row>
    <row r="68" spans="1:19" ht="15.75" customHeight="1">
      <c r="A68" s="116" t="s">
        <v>197</v>
      </c>
      <c r="B68" s="116"/>
      <c r="C68" s="116"/>
      <c r="D68" s="95" t="s">
        <v>118</v>
      </c>
      <c r="E68" s="95"/>
      <c r="F68" s="95"/>
      <c r="G68" s="95"/>
      <c r="H68" s="95"/>
      <c r="J68" s="57"/>
      <c r="K68" s="57"/>
      <c r="S68"/>
    </row>
    <row r="69" spans="1:19" ht="32.5" customHeight="1">
      <c r="A69" s="96" t="s">
        <v>198</v>
      </c>
      <c r="B69" s="96"/>
      <c r="C69" s="96"/>
      <c r="D69" s="196" t="s">
        <v>199</v>
      </c>
      <c r="E69" s="95"/>
      <c r="F69" s="95"/>
      <c r="G69" s="95"/>
      <c r="H69" s="95"/>
      <c r="S69"/>
    </row>
    <row r="70" spans="1:19">
      <c r="A70" s="95" t="s">
        <v>200</v>
      </c>
      <c r="B70" s="95"/>
      <c r="C70" s="95"/>
      <c r="D70" s="95" t="s">
        <v>38</v>
      </c>
      <c r="E70" s="95"/>
      <c r="F70" s="95"/>
      <c r="G70" s="95"/>
      <c r="H70" s="95"/>
      <c r="I70" s="58"/>
      <c r="J70" s="58"/>
      <c r="K70" s="58"/>
      <c r="L70" s="58"/>
      <c r="M70" s="58"/>
      <c r="N70" s="58"/>
    </row>
    <row r="71" spans="1:19" ht="15.75" customHeight="1">
      <c r="A71" s="197" t="s">
        <v>201</v>
      </c>
      <c r="B71" s="197"/>
      <c r="C71" s="197"/>
      <c r="D71" s="198" t="str">
        <f ca="1">(IF(G77&gt;95%,"Nothing",IF(G77&gt;0%,"Cement, Aggregate, Steel, etc",IF(G77=0%,"Work not yet Started"))))</f>
        <v>Cement, Aggregate, Steel, etc</v>
      </c>
      <c r="E71" s="198"/>
      <c r="F71" s="198"/>
      <c r="G71" s="198"/>
      <c r="H71" s="198"/>
      <c r="J71" s="57"/>
      <c r="S71"/>
    </row>
    <row r="72" spans="1:19" ht="33.75" customHeight="1">
      <c r="A72" s="199" t="s">
        <v>202</v>
      </c>
      <c r="B72" s="199"/>
      <c r="C72" s="199"/>
      <c r="D72" s="198" t="str">
        <f ca="1">(IF(D71="Nothing","Yes",IF(D71="Cement, Aggregate, Steel, etc","Under Construction",IF(D71="Work not yet Started","Work not yet Started"))))</f>
        <v>Under Construction</v>
      </c>
      <c r="E72" s="198"/>
      <c r="F72" s="198" t="str">
        <f ca="1">(IF(D71="Nothing","Yes",IF(D71="Cement, Aggregate, Steel, etc","Under Construction",IF(D71="Work not yet Started","Work not yet Started"))))</f>
        <v>Under Construction</v>
      </c>
      <c r="G72" s="198"/>
      <c r="H72" s="198"/>
      <c r="S72"/>
    </row>
    <row r="73" spans="1:19" ht="15.75" customHeight="1">
      <c r="A73" s="194" t="s">
        <v>203</v>
      </c>
      <c r="B73" s="195"/>
      <c r="C73" s="184" t="s">
        <v>192</v>
      </c>
      <c r="D73" s="185"/>
      <c r="E73" s="185"/>
      <c r="F73" s="185"/>
      <c r="G73" s="185"/>
      <c r="H73" s="186"/>
      <c r="I73" s="59" t="str">
        <f ca="1">IF(D86=100%,"All work Completed. Possession granted to the Building.",IF(D85=100%,"All work Completed, Waiting for OC",I74&amp;""&amp;I75&amp;""&amp;J74&amp;""&amp;J73&amp;" "&amp;J75))</f>
        <v>Excavation, Plinth, RCC Slab Completed, Brickwork upto 4 Floor Completed</v>
      </c>
      <c r="J73" s="60"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Brickwork upto 4 Floor</v>
      </c>
      <c r="S73"/>
    </row>
    <row r="74" spans="1:19">
      <c r="A74" s="43" t="s">
        <v>204</v>
      </c>
      <c r="B74" s="44">
        <f>IF(AND(ISNUMBER(SEARCH("1B",C73))),1,IF(AND(ISNUMBER(SEARCH("2B",C73))),2,IF(AND(ISNUMBER(SEARCH("3B",C73))),3,IF(AND(ISNUMBER(SEARCH("4B",C73))),4,IF(ISNUMBER(SEARCH("5B",C73)),5,0)))))</f>
        <v>0</v>
      </c>
      <c r="C74" s="44" t="s">
        <v>205</v>
      </c>
      <c r="D74" s="44">
        <v>1</v>
      </c>
      <c r="E74" s="44" t="s">
        <v>206</v>
      </c>
      <c r="F74" s="44">
        <v>0</v>
      </c>
      <c r="G74" s="44" t="s">
        <v>207</v>
      </c>
      <c r="H74" s="45">
        <f ca="1">--TRIM(RIGHT(SUBSTITUTE(LEFT(C73,_xlfn.AGGREGATE(16,6,FIND({0,1,2,3,4,5,6,7,8,9},C73,ROW(INDIRECT("1:"&amp;LEN(C73)))),1))," ",REPT(" ",LEN(C73))),LEN(C73)))</f>
        <v>7</v>
      </c>
      <c r="I74" s="61" t="str">
        <f ca="1">IF(D77=100%,"Excavation","")&amp;IF(D78=100%,", Plinth","")&amp;IF(D79=100%,", RCC Slab","")&amp;IF(D80=100%,", Brickwork","")&amp;IF(D81=100%,", Internal Plaster","")&amp;IF(D82=100%,", External Plaster","")&amp;IF(D83=100%,", Flooring","")&amp;IF(D84=100%,", Painting","")&amp;IF(D85=100%,", Building common Amenities","")</f>
        <v>Excavation, Plinth, RCC Slab</v>
      </c>
      <c r="J74" s="6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2" customHeight="1">
      <c r="A75" s="187" t="s">
        <v>208</v>
      </c>
      <c r="B75" s="188"/>
      <c r="C75" s="189" t="str">
        <f ca="1">I73</f>
        <v>Excavation, Plinth, RCC Slab Completed, Brickwork upto 4 Floor Completed</v>
      </c>
      <c r="D75" s="189"/>
      <c r="E75" s="189"/>
      <c r="F75" s="189"/>
      <c r="G75" s="189"/>
      <c r="H75" s="190"/>
      <c r="I75" s="61" t="str">
        <f ca="1">IF(I74&lt;&gt;""," Completed","")</f>
        <v xml:space="preserve"> Completed</v>
      </c>
      <c r="J75" s="62" t="str">
        <f ca="1">IF(J73&lt;&gt;"","Completed","")</f>
        <v>Completed</v>
      </c>
      <c r="S75"/>
    </row>
    <row r="76" spans="1:19" ht="15.75" customHeight="1">
      <c r="A76" s="179" t="s">
        <v>209</v>
      </c>
      <c r="B76" s="180"/>
      <c r="C76" s="46" t="s">
        <v>210</v>
      </c>
      <c r="D76" s="46" t="s">
        <v>211</v>
      </c>
      <c r="E76" s="180" t="s">
        <v>212</v>
      </c>
      <c r="F76" s="180"/>
      <c r="G76" s="180" t="s">
        <v>213</v>
      </c>
      <c r="H76" s="191"/>
      <c r="I76" s="63" t="s">
        <v>214</v>
      </c>
      <c r="J76" s="64">
        <f ca="1">H74*25%</f>
        <v>1.75</v>
      </c>
      <c r="S76"/>
    </row>
    <row r="77" spans="1:19">
      <c r="A77" s="179" t="s">
        <v>215</v>
      </c>
      <c r="B77" s="180"/>
      <c r="C77" s="46">
        <f ca="1">J78</f>
        <v>7</v>
      </c>
      <c r="D77" s="47">
        <f ca="1">((100/H74)*C77)/100</f>
        <v>1</v>
      </c>
      <c r="E77" s="97">
        <f ca="1">(((C78/H74*10)+(40/(D74+F74+H74)*C79)+(7.5/(H74)*C80)+(7.5/(H74)*C81)+(10/H74*C82)+(10/H74*C83)+(5/H74*C84)+(5/H74*C85)+(5/H74*C86))/100)</f>
        <v>0.54285714285714282</v>
      </c>
      <c r="F77" s="98"/>
      <c r="G77" s="97">
        <f ca="1">((((C77/H74)*20)+((C78/H74)*25)+(30/(H74+F74+D74)*C79)+(5/H74*C80)+(5/H74*C81)+(5/H74*C82)+(5/H74*C83)+(0/H74*C84)+(0/H74*C85)+(5/H74*C86))/100)</f>
        <v>0.77857142857142858</v>
      </c>
      <c r="H77" s="103"/>
      <c r="I77" s="63" t="s">
        <v>216</v>
      </c>
      <c r="J77" s="65">
        <f ca="1">H74*50%</f>
        <v>3.5</v>
      </c>
    </row>
    <row r="78" spans="1:19">
      <c r="A78" s="179" t="s">
        <v>217</v>
      </c>
      <c r="B78" s="180"/>
      <c r="C78" s="48">
        <v>7</v>
      </c>
      <c r="D78" s="47">
        <f ca="1">((100/H74)*C78)/100</f>
        <v>1</v>
      </c>
      <c r="E78" s="99"/>
      <c r="F78" s="100"/>
      <c r="G78" s="99"/>
      <c r="H78" s="104"/>
      <c r="I78" s="63" t="s">
        <v>218</v>
      </c>
      <c r="J78" s="65">
        <f ca="1">H74</f>
        <v>7</v>
      </c>
      <c r="S78"/>
    </row>
    <row r="79" spans="1:19" ht="15.75" customHeight="1">
      <c r="A79" s="179" t="s">
        <v>219</v>
      </c>
      <c r="B79" s="180"/>
      <c r="C79" s="46">
        <v>8</v>
      </c>
      <c r="D79" s="47">
        <f ca="1">((100/(D74+F74+H74))*C79)/100</f>
        <v>1</v>
      </c>
      <c r="E79" s="99"/>
      <c r="F79" s="100"/>
      <c r="G79" s="99"/>
      <c r="H79" s="104"/>
      <c r="I79" s="63" t="s">
        <v>220</v>
      </c>
      <c r="J79" s="66">
        <f ca="1">(IF(B74&gt;1,(H74/(B74+2)),H74/4))</f>
        <v>1.75</v>
      </c>
      <c r="S79"/>
    </row>
    <row r="80" spans="1:19" ht="15.75" customHeight="1">
      <c r="A80" s="179" t="s">
        <v>221</v>
      </c>
      <c r="B80" s="180" t="s">
        <v>222</v>
      </c>
      <c r="C80" s="46">
        <v>4</v>
      </c>
      <c r="D80" s="47">
        <f ca="1">((100/H74)*C80)/100</f>
        <v>0.57142857142857151</v>
      </c>
      <c r="E80" s="99"/>
      <c r="F80" s="100"/>
      <c r="G80" s="99"/>
      <c r="H80" s="104"/>
      <c r="I80" s="63" t="s">
        <v>223</v>
      </c>
      <c r="J80" s="66">
        <f ca="1">(IF(B74&gt;1,(H74/(B74+2)+J79),H74/4+J79))</f>
        <v>3.5</v>
      </c>
    </row>
    <row r="81" spans="1:19" ht="15.75" customHeight="1">
      <c r="A81" s="179" t="s">
        <v>224</v>
      </c>
      <c r="B81" s="180" t="s">
        <v>222</v>
      </c>
      <c r="C81" s="46">
        <v>0</v>
      </c>
      <c r="D81" s="47">
        <f ca="1">((100/H74)*C81)/100</f>
        <v>0</v>
      </c>
      <c r="E81" s="99"/>
      <c r="F81" s="100"/>
      <c r="G81" s="99"/>
      <c r="H81" s="104"/>
      <c r="I81" s="63" t="s">
        <v>225</v>
      </c>
      <c r="J81" s="66">
        <f>(IF(B74&gt;1,(H74/(B74+2)+J80),0))</f>
        <v>0</v>
      </c>
    </row>
    <row r="82" spans="1:19" ht="15" customHeight="1">
      <c r="A82" s="179" t="s">
        <v>226</v>
      </c>
      <c r="B82" s="180" t="s">
        <v>227</v>
      </c>
      <c r="C82" s="46">
        <v>0</v>
      </c>
      <c r="D82" s="47">
        <f ca="1">((100/(H74))*C82)/100</f>
        <v>0</v>
      </c>
      <c r="E82" s="99"/>
      <c r="F82" s="100"/>
      <c r="G82" s="99"/>
      <c r="H82" s="104"/>
      <c r="I82" s="63" t="s">
        <v>228</v>
      </c>
      <c r="J82" s="66">
        <f>(IF(B74&gt;2,(H74/(B74+2)+J81),0))</f>
        <v>0</v>
      </c>
    </row>
    <row r="83" spans="1:19" ht="15.75" customHeight="1">
      <c r="A83" s="179" t="s">
        <v>229</v>
      </c>
      <c r="B83" s="180" t="s">
        <v>229</v>
      </c>
      <c r="C83" s="46">
        <v>0</v>
      </c>
      <c r="D83" s="47">
        <f ca="1">((100/H74)*C83)/100</f>
        <v>0</v>
      </c>
      <c r="E83" s="99"/>
      <c r="F83" s="100"/>
      <c r="G83" s="99"/>
      <c r="H83" s="104"/>
      <c r="I83" s="63" t="s">
        <v>230</v>
      </c>
      <c r="J83" s="67">
        <f>(IF(B74&gt;3,(H74/(B74+2)+J82),0))</f>
        <v>0</v>
      </c>
    </row>
    <row r="84" spans="1:19" ht="15.75" customHeight="1">
      <c r="A84" s="179" t="s">
        <v>231</v>
      </c>
      <c r="B84" s="180"/>
      <c r="C84" s="46">
        <v>0</v>
      </c>
      <c r="D84" s="47">
        <f ca="1">((100/H74)*C84)/100</f>
        <v>0</v>
      </c>
      <c r="E84" s="99"/>
      <c r="F84" s="100"/>
      <c r="G84" s="99"/>
      <c r="H84" s="104"/>
      <c r="I84" s="63" t="s">
        <v>232</v>
      </c>
      <c r="J84" s="66">
        <f>(IF(B74&gt;4,(H74/(B74+2)+J83),0))</f>
        <v>0</v>
      </c>
    </row>
    <row r="85" spans="1:19" ht="15.75" customHeight="1">
      <c r="A85" s="179" t="s">
        <v>233</v>
      </c>
      <c r="B85" s="180" t="s">
        <v>233</v>
      </c>
      <c r="C85" s="46">
        <v>0</v>
      </c>
      <c r="D85" s="47">
        <f ca="1">((100/(H74))*C85)/100</f>
        <v>0</v>
      </c>
      <c r="E85" s="99"/>
      <c r="F85" s="100"/>
      <c r="G85" s="99"/>
      <c r="H85" s="104"/>
      <c r="I85" s="63" t="s">
        <v>234</v>
      </c>
      <c r="J85" s="66">
        <f ca="1">(IF(B74=1,(H74/(B74+3)+J80),IF(B74=0,(H74/4+J80),IF(B74&gt;1,0))))</f>
        <v>5.25</v>
      </c>
    </row>
    <row r="86" spans="1:19">
      <c r="A86" s="192" t="s">
        <v>235</v>
      </c>
      <c r="B86" s="193"/>
      <c r="C86" s="49">
        <v>0</v>
      </c>
      <c r="D86" s="50">
        <f ca="1">((100/(H74))*C86)/100</f>
        <v>0</v>
      </c>
      <c r="E86" s="101"/>
      <c r="F86" s="102"/>
      <c r="G86" s="101"/>
      <c r="H86" s="105"/>
      <c r="I86" s="68" t="s">
        <v>236</v>
      </c>
      <c r="J86" s="69">
        <f ca="1">(IF(B74&gt;1.5,(H74/(B74+2)+J80+MAX(0,J81-J80)+MAX(0,J82-J81)+MAX(0,J83-J82)+MAX(0,J84-J83)+MAX(0,J85-J84)),IF(B74=1,(H74/(B74+3)+J85),IF(B74=0,H74/4+J85))))</f>
        <v>7</v>
      </c>
    </row>
    <row r="87" spans="1:19" ht="15.75" hidden="1" customHeight="1">
      <c r="A87" s="194" t="s">
        <v>203</v>
      </c>
      <c r="B87" s="195"/>
      <c r="C87" s="184" t="s">
        <v>237</v>
      </c>
      <c r="D87" s="185"/>
      <c r="E87" s="185"/>
      <c r="F87" s="185"/>
      <c r="G87" s="185"/>
      <c r="H87" s="186"/>
      <c r="I87" s="59" t="str">
        <f ca="1">IF(D100=100%,"All work Completed. Possession granted to the Building.",IF(D99=100%,"All work Completed, Waiting for OC",I88&amp;""&amp;I89&amp;""&amp;J88&amp;""&amp;J87&amp;" "&amp;J89))</f>
        <v xml:space="preserve">Excavation Completed, Plinth work is process </v>
      </c>
      <c r="J87" s="60"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c>
      <c r="S87"/>
    </row>
    <row r="88" spans="1:19" hidden="1">
      <c r="A88" s="43" t="s">
        <v>204</v>
      </c>
      <c r="B88" s="44">
        <f>IF(AND(ISNUMBER(SEARCH("1B",C87))),1,IF(AND(ISNUMBER(SEARCH("2B",C87))),2,IF(AND(ISNUMBER(SEARCH("3B",C87))),3,IF(AND(ISNUMBER(SEARCH("4B",C87))),4,IF(ISNUMBER(SEARCH("5B",C87)),5,0)))))</f>
        <v>0</v>
      </c>
      <c r="C88" s="44" t="s">
        <v>205</v>
      </c>
      <c r="D88" s="44">
        <v>1</v>
      </c>
      <c r="E88" s="44" t="s">
        <v>206</v>
      </c>
      <c r="F88" s="44">
        <v>0</v>
      </c>
      <c r="G88" s="44" t="s">
        <v>207</v>
      </c>
      <c r="H88" s="45">
        <f ca="1">--TRIM(RIGHT(SUBSTITUTE(LEFT(C87,_xlfn.AGGREGATE(16,6,FIND({0,1,2,3,4,5,6,7,8,9},C87,ROW(INDIRECT("1:"&amp;LEN(C87)))),1))," ",REPT(" ",LEN(C87))),LEN(C87)))</f>
        <v>7</v>
      </c>
      <c r="I88" s="61" t="str">
        <f ca="1">IF(D91=100%,"Excavation","")&amp;IF(D92=100%,", Plinth","")&amp;IF(D93=100%,", RCC Slab","")&amp;IF(D94=100%,", Brickwork","")&amp;IF(D95=100%,", Internal Plaster","")&amp;IF(D96=100%,", External Plaster","")&amp;IF(D97=100%,", Flooring","")&amp;IF(D98=100%,", Painting","")&amp;IF(D99=100%,", Building common Amenities","")</f>
        <v>Excavation</v>
      </c>
      <c r="J88" s="62"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Plinth work is process</v>
      </c>
      <c r="S88"/>
    </row>
    <row r="89" spans="1:19" hidden="1">
      <c r="A89" s="187" t="s">
        <v>208</v>
      </c>
      <c r="B89" s="188"/>
      <c r="C89" s="189" t="str">
        <f ca="1">I87</f>
        <v xml:space="preserve">Excavation Completed, Plinth work is process </v>
      </c>
      <c r="D89" s="189"/>
      <c r="E89" s="189"/>
      <c r="F89" s="189"/>
      <c r="G89" s="189"/>
      <c r="H89" s="190"/>
      <c r="I89" s="61" t="str">
        <f ca="1">IF(I88&lt;&gt;""," Completed","")</f>
        <v xml:space="preserve"> Completed</v>
      </c>
      <c r="J89" s="62" t="str">
        <f ca="1">IF(J87&lt;&gt;"","Completed","")</f>
        <v/>
      </c>
      <c r="S89"/>
    </row>
    <row r="90" spans="1:19" ht="15.75" hidden="1" customHeight="1">
      <c r="A90" s="179" t="s">
        <v>209</v>
      </c>
      <c r="B90" s="180"/>
      <c r="C90" s="46" t="s">
        <v>210</v>
      </c>
      <c r="D90" s="46" t="s">
        <v>211</v>
      </c>
      <c r="E90" s="180" t="s">
        <v>212</v>
      </c>
      <c r="F90" s="180"/>
      <c r="G90" s="180" t="s">
        <v>213</v>
      </c>
      <c r="H90" s="191"/>
      <c r="I90" s="63" t="s">
        <v>214</v>
      </c>
      <c r="J90" s="64">
        <f ca="1">H88*25%</f>
        <v>1.75</v>
      </c>
      <c r="S90"/>
    </row>
    <row r="91" spans="1:19" hidden="1">
      <c r="A91" s="179" t="s">
        <v>215</v>
      </c>
      <c r="B91" s="180"/>
      <c r="C91" s="46">
        <f ca="1">J92</f>
        <v>7</v>
      </c>
      <c r="D91" s="47">
        <f ca="1">((100/H88)*C91)/100</f>
        <v>1</v>
      </c>
      <c r="E91" s="97">
        <f ca="1">(((C92/H88*10)+(40/(D88+F88+H88)*C93)+(7.5/(H88)*C94)+(7.5/(H88)*C95)+(10/H88*C96)+(10/H88*C97)+(5/H88*C98)+(5/H88*C99)+(5/H88*C100))/100)</f>
        <v>7.4999999999999997E-2</v>
      </c>
      <c r="F91" s="98"/>
      <c r="G91" s="97">
        <f ca="1">((((C91/H88)*20)+((C92/H88)*25)+(30/(H88+F88+D88)*C93)+(5/H88*C94)+(5/H88*C95)+(5/H88*C96)+(5/H88*C97)+(0/H88*C98)+(0/H88*C99)+(5/H88*C100))/100)</f>
        <v>0.38750000000000001</v>
      </c>
      <c r="H91" s="103"/>
      <c r="I91" s="63" t="s">
        <v>216</v>
      </c>
      <c r="J91" s="65">
        <f ca="1">H88*50%</f>
        <v>3.5</v>
      </c>
    </row>
    <row r="92" spans="1:19" hidden="1">
      <c r="A92" s="179" t="s">
        <v>217</v>
      </c>
      <c r="B92" s="180"/>
      <c r="C92" s="48">
        <f ca="1">J99</f>
        <v>5.25</v>
      </c>
      <c r="D92" s="47">
        <f ca="1">((100/H88)*C92)/100</f>
        <v>0.75</v>
      </c>
      <c r="E92" s="99"/>
      <c r="F92" s="100"/>
      <c r="G92" s="99"/>
      <c r="H92" s="104"/>
      <c r="I92" s="63" t="s">
        <v>218</v>
      </c>
      <c r="J92" s="65">
        <f ca="1">H88</f>
        <v>7</v>
      </c>
      <c r="S92"/>
    </row>
    <row r="93" spans="1:19" ht="15.75" hidden="1" customHeight="1">
      <c r="A93" s="179" t="s">
        <v>219</v>
      </c>
      <c r="B93" s="180"/>
      <c r="C93" s="46">
        <v>0</v>
      </c>
      <c r="D93" s="47">
        <f ca="1">((100/(D88+F88+H88))*C93)/100</f>
        <v>0</v>
      </c>
      <c r="E93" s="99"/>
      <c r="F93" s="100"/>
      <c r="G93" s="99"/>
      <c r="H93" s="104"/>
      <c r="I93" s="63" t="s">
        <v>220</v>
      </c>
      <c r="J93" s="66">
        <f ca="1">(IF(B88&gt;1,(H88/(B88+2)),H88/4))</f>
        <v>1.75</v>
      </c>
      <c r="S93"/>
    </row>
    <row r="94" spans="1:19" ht="15.75" hidden="1" customHeight="1">
      <c r="A94" s="179" t="s">
        <v>221</v>
      </c>
      <c r="B94" s="180" t="s">
        <v>222</v>
      </c>
      <c r="C94" s="46">
        <v>0</v>
      </c>
      <c r="D94" s="47">
        <f ca="1">((100/H88)*C94)/100</f>
        <v>0</v>
      </c>
      <c r="E94" s="99"/>
      <c r="F94" s="100"/>
      <c r="G94" s="99"/>
      <c r="H94" s="104"/>
      <c r="I94" s="63" t="s">
        <v>223</v>
      </c>
      <c r="J94" s="66">
        <f ca="1">(IF(B88&gt;1,(H88/(B88+2)+J93),H88/4+J93))</f>
        <v>3.5</v>
      </c>
    </row>
    <row r="95" spans="1:19" ht="15.75" hidden="1" customHeight="1">
      <c r="A95" s="179" t="s">
        <v>224</v>
      </c>
      <c r="B95" s="180" t="s">
        <v>222</v>
      </c>
      <c r="C95" s="46">
        <v>0</v>
      </c>
      <c r="D95" s="47">
        <f ca="1">((100/H88)*C95)/100</f>
        <v>0</v>
      </c>
      <c r="E95" s="99"/>
      <c r="F95" s="100"/>
      <c r="G95" s="99"/>
      <c r="H95" s="104"/>
      <c r="I95" s="63" t="s">
        <v>225</v>
      </c>
      <c r="J95" s="66">
        <f>(IF(B88&gt;1,(H88/(B88+2)+J94),0))</f>
        <v>0</v>
      </c>
    </row>
    <row r="96" spans="1:19" ht="15" hidden="1" customHeight="1">
      <c r="A96" s="179" t="s">
        <v>226</v>
      </c>
      <c r="B96" s="180" t="s">
        <v>227</v>
      </c>
      <c r="C96" s="46">
        <v>0</v>
      </c>
      <c r="D96" s="47">
        <f ca="1">((100/(H88))*C96)/100</f>
        <v>0</v>
      </c>
      <c r="E96" s="99"/>
      <c r="F96" s="100"/>
      <c r="G96" s="99"/>
      <c r="H96" s="104"/>
      <c r="I96" s="63" t="s">
        <v>228</v>
      </c>
      <c r="J96" s="66">
        <f>(IF(B88&gt;2,(H88/(B88+2)+J95),0))</f>
        <v>0</v>
      </c>
    </row>
    <row r="97" spans="1:22" ht="15.75" hidden="1" customHeight="1">
      <c r="A97" s="179" t="s">
        <v>229</v>
      </c>
      <c r="B97" s="180" t="s">
        <v>229</v>
      </c>
      <c r="C97" s="46">
        <v>0</v>
      </c>
      <c r="D97" s="47">
        <f ca="1">((100/H88)*C97)/100</f>
        <v>0</v>
      </c>
      <c r="E97" s="99"/>
      <c r="F97" s="100"/>
      <c r="G97" s="99"/>
      <c r="H97" s="104"/>
      <c r="I97" s="63" t="s">
        <v>230</v>
      </c>
      <c r="J97" s="67">
        <f>(IF(B88&gt;3,(H88/(B88+2)+J96),0))</f>
        <v>0</v>
      </c>
    </row>
    <row r="98" spans="1:22" ht="15.75" hidden="1" customHeight="1">
      <c r="A98" s="179" t="s">
        <v>231</v>
      </c>
      <c r="B98" s="180"/>
      <c r="C98" s="46">
        <v>0</v>
      </c>
      <c r="D98" s="47">
        <f ca="1">((100/H88)*C98)/100</f>
        <v>0</v>
      </c>
      <c r="E98" s="99"/>
      <c r="F98" s="100"/>
      <c r="G98" s="99"/>
      <c r="H98" s="104"/>
      <c r="I98" s="63" t="s">
        <v>232</v>
      </c>
      <c r="J98" s="66">
        <f>(IF(B88&gt;4,(H88/(B88+2)+J97),0))</f>
        <v>0</v>
      </c>
    </row>
    <row r="99" spans="1:22" ht="15.75" hidden="1" customHeight="1">
      <c r="A99" s="179" t="s">
        <v>233</v>
      </c>
      <c r="B99" s="180" t="s">
        <v>233</v>
      </c>
      <c r="C99" s="46">
        <v>0</v>
      </c>
      <c r="D99" s="47">
        <f ca="1">((100/(H88))*C99)/100</f>
        <v>0</v>
      </c>
      <c r="E99" s="99"/>
      <c r="F99" s="100"/>
      <c r="G99" s="99"/>
      <c r="H99" s="104"/>
      <c r="I99" s="63" t="s">
        <v>234</v>
      </c>
      <c r="J99" s="66">
        <f ca="1">(IF(B88=1,(H88/(B88+3)+J94),IF(B88=0,(H88/4+J94),IF(B88&gt;1,0))))</f>
        <v>5.25</v>
      </c>
    </row>
    <row r="100" spans="1:22" hidden="1">
      <c r="A100" s="181" t="s">
        <v>235</v>
      </c>
      <c r="B100" s="182"/>
      <c r="C100" s="51">
        <v>0</v>
      </c>
      <c r="D100" s="52">
        <f ca="1">((100/(H88))*C100)/100</f>
        <v>0</v>
      </c>
      <c r="E100" s="99"/>
      <c r="F100" s="100"/>
      <c r="G100" s="99"/>
      <c r="H100" s="104"/>
      <c r="I100" s="68" t="s">
        <v>236</v>
      </c>
      <c r="J100" s="69">
        <f ca="1">(IF(B88&gt;1.5,(H88/(B88+2)+J94+MAX(0,J95-J94)+MAX(0,J96-J95)+MAX(0,J97-J96)+MAX(0,J98-J97)+MAX(0,J99-J98)),IF(B88=1,(H88/(B88+3)+J99),IF(B88=0,H88/4+J99))))</f>
        <v>7</v>
      </c>
    </row>
    <row r="101" spans="1:22" ht="31.5" hidden="1" customHeight="1">
      <c r="A101" s="183" t="s">
        <v>238</v>
      </c>
      <c r="B101" s="174"/>
      <c r="C101" s="175">
        <f ca="1">AVERAGE(E77,E91)</f>
        <v>0.30892857142857139</v>
      </c>
      <c r="D101" s="174"/>
      <c r="E101" s="174" t="s">
        <v>239</v>
      </c>
      <c r="F101" s="174"/>
      <c r="G101" s="175">
        <f ca="1">AVERAGE(G77,G91)</f>
        <v>0.58303571428571432</v>
      </c>
      <c r="H101" s="176"/>
      <c r="I101" s="68" t="s">
        <v>236</v>
      </c>
      <c r="J101" s="69">
        <f ca="1">(IF(B89&gt;1.5,(H89/(B89+2)+J95+MAX(0,J96-J95)+MAX(0,J97-J96)+MAX(0,J98-J97)+MAX(0,J99-J98)+MAX(0,J100-J99)),IF(B89=1,(H89/(B89+3)+J100),IF(B89=0,H89/4+J100))))</f>
        <v>7</v>
      </c>
    </row>
    <row r="102" spans="1:22">
      <c r="A102" s="177" t="s">
        <v>240</v>
      </c>
      <c r="B102" s="177"/>
      <c r="C102" s="177"/>
      <c r="D102" s="177"/>
      <c r="E102" s="177"/>
      <c r="F102" s="178" t="s">
        <v>241</v>
      </c>
      <c r="G102" s="178"/>
      <c r="H102" s="178"/>
      <c r="I102" s="70"/>
      <c r="J102" s="70" t="s">
        <v>242</v>
      </c>
      <c r="K102" s="70" t="s">
        <v>243</v>
      </c>
      <c r="L102" s="70" t="s">
        <v>244</v>
      </c>
      <c r="M102" s="70"/>
      <c r="N102" s="70"/>
      <c r="R102" t="s">
        <v>149</v>
      </c>
      <c r="S102" t="s">
        <v>41</v>
      </c>
      <c r="T102" t="s">
        <v>39</v>
      </c>
      <c r="U102" t="s">
        <v>42</v>
      </c>
      <c r="V102" t="s">
        <v>40</v>
      </c>
    </row>
    <row r="103" spans="1:22">
      <c r="A103" s="116" t="s">
        <v>245</v>
      </c>
      <c r="B103" s="116"/>
      <c r="C103" s="116"/>
      <c r="D103" s="116"/>
      <c r="E103" s="116"/>
      <c r="F103" s="172">
        <v>5500</v>
      </c>
      <c r="G103" s="172"/>
      <c r="H103" s="172"/>
      <c r="I103" s="71">
        <f>AVERAGE(J103:L103)</f>
        <v>6665.2421652421654</v>
      </c>
      <c r="J103" s="71">
        <f>AVERAGE(J154,J156)</f>
        <v>6695.7264957264961</v>
      </c>
      <c r="K103" s="70">
        <v>6500</v>
      </c>
      <c r="L103" s="70">
        <v>6800</v>
      </c>
      <c r="M103" s="70"/>
      <c r="N103" s="70"/>
      <c r="R103"/>
      <c r="S103">
        <v>800000</v>
      </c>
      <c r="T103">
        <v>150000</v>
      </c>
      <c r="U103">
        <v>100000</v>
      </c>
      <c r="V103">
        <v>100000</v>
      </c>
    </row>
    <row r="104" spans="1:22">
      <c r="A104" s="116" t="s">
        <v>246</v>
      </c>
      <c r="B104" s="116"/>
      <c r="C104" s="116"/>
      <c r="D104" s="116"/>
      <c r="E104" s="116"/>
      <c r="F104" s="172">
        <v>10000</v>
      </c>
      <c r="G104" s="172"/>
      <c r="H104" s="172"/>
      <c r="I104" s="70"/>
      <c r="J104" s="70"/>
      <c r="K104" s="70"/>
      <c r="L104" s="70"/>
      <c r="M104" s="70"/>
      <c r="N104" s="70"/>
      <c r="R104"/>
      <c r="S104">
        <v>900000</v>
      </c>
      <c r="T104">
        <v>200000</v>
      </c>
      <c r="U104">
        <v>150000</v>
      </c>
      <c r="V104">
        <v>150000</v>
      </c>
    </row>
    <row r="105" spans="1:22" hidden="1">
      <c r="A105" s="116" t="s">
        <v>247</v>
      </c>
      <c r="B105" s="116"/>
      <c r="C105" s="116"/>
      <c r="D105" s="116"/>
      <c r="E105" s="116"/>
      <c r="F105" s="172"/>
      <c r="G105" s="172"/>
      <c r="H105" s="172"/>
      <c r="I105" s="70"/>
      <c r="J105" s="70"/>
      <c r="K105" s="70"/>
      <c r="L105" s="70"/>
      <c r="M105" s="70"/>
      <c r="N105" s="70"/>
      <c r="R105"/>
      <c r="S105">
        <v>1000000</v>
      </c>
      <c r="T105">
        <v>250000</v>
      </c>
      <c r="U105">
        <v>200000</v>
      </c>
      <c r="V105">
        <v>200000</v>
      </c>
    </row>
    <row r="106" spans="1:22" s="33" customFormat="1" hidden="1">
      <c r="A106" s="116" t="s">
        <v>248</v>
      </c>
      <c r="B106" s="116"/>
      <c r="C106" s="116"/>
      <c r="D106" s="116"/>
      <c r="E106" s="116"/>
      <c r="F106" s="172"/>
      <c r="G106" s="172"/>
      <c r="H106" s="172"/>
      <c r="I106" s="72"/>
      <c r="J106" s="72"/>
      <c r="K106" s="72"/>
      <c r="L106" s="72"/>
      <c r="M106" s="72"/>
      <c r="N106" s="72"/>
      <c r="R106"/>
      <c r="S106">
        <v>1100000</v>
      </c>
      <c r="T106">
        <v>300000</v>
      </c>
      <c r="U106">
        <v>250000</v>
      </c>
      <c r="V106" s="32">
        <v>250000</v>
      </c>
    </row>
    <row r="107" spans="1:22" s="33" customFormat="1">
      <c r="A107" s="116" t="s">
        <v>249</v>
      </c>
      <c r="B107" s="116"/>
      <c r="C107" s="116"/>
      <c r="D107" s="116"/>
      <c r="E107" s="116"/>
      <c r="F107" s="172">
        <v>200000</v>
      </c>
      <c r="G107" s="172"/>
      <c r="H107" s="172"/>
      <c r="I107" s="72"/>
      <c r="J107" s="72"/>
      <c r="K107" s="72"/>
      <c r="L107" s="72"/>
      <c r="M107" s="72"/>
      <c r="N107" s="72"/>
      <c r="R107"/>
      <c r="S107">
        <v>1200000</v>
      </c>
      <c r="T107">
        <v>350000</v>
      </c>
      <c r="U107">
        <v>300000</v>
      </c>
      <c r="V107">
        <v>300000</v>
      </c>
    </row>
    <row r="108" spans="1:22" s="33" customFormat="1">
      <c r="A108" s="116" t="s">
        <v>250</v>
      </c>
      <c r="B108" s="116"/>
      <c r="C108" s="116"/>
      <c r="D108" s="116"/>
      <c r="E108" s="116"/>
      <c r="F108" s="172">
        <v>50000</v>
      </c>
      <c r="G108" s="172"/>
      <c r="H108" s="172"/>
      <c r="I108" s="72"/>
      <c r="J108" s="72"/>
      <c r="K108" s="72"/>
      <c r="L108" s="72"/>
      <c r="M108" s="72"/>
      <c r="N108" s="72"/>
      <c r="R108"/>
      <c r="S108">
        <v>1300000</v>
      </c>
      <c r="T108">
        <v>400000</v>
      </c>
      <c r="U108">
        <v>350000</v>
      </c>
      <c r="V108" s="32">
        <v>400000</v>
      </c>
    </row>
    <row r="109" spans="1:22" s="33" customFormat="1" hidden="1">
      <c r="A109" s="116" t="s">
        <v>251</v>
      </c>
      <c r="B109" s="116"/>
      <c r="C109" s="116"/>
      <c r="D109" s="116"/>
      <c r="E109" s="116"/>
      <c r="F109" s="172"/>
      <c r="G109" s="172"/>
      <c r="H109" s="172"/>
      <c r="I109" s="72"/>
      <c r="J109" s="72"/>
      <c r="K109" s="72"/>
      <c r="L109" s="72"/>
      <c r="M109" s="72"/>
      <c r="N109" s="72"/>
      <c r="R109"/>
      <c r="S109">
        <v>1400000</v>
      </c>
      <c r="T109">
        <v>500000</v>
      </c>
      <c r="U109">
        <v>400000</v>
      </c>
      <c r="V109"/>
    </row>
    <row r="110" spans="1:22" s="33" customFormat="1" hidden="1">
      <c r="A110" s="116" t="s">
        <v>252</v>
      </c>
      <c r="B110" s="116"/>
      <c r="C110" s="116"/>
      <c r="D110" s="116"/>
      <c r="E110" s="116"/>
      <c r="F110" s="172"/>
      <c r="G110" s="172"/>
      <c r="H110" s="172"/>
      <c r="I110" s="72"/>
      <c r="J110" s="72"/>
      <c r="K110" s="72"/>
      <c r="L110" s="72"/>
      <c r="M110" s="72"/>
      <c r="N110" s="72"/>
      <c r="R110"/>
      <c r="S110">
        <v>1500000</v>
      </c>
      <c r="T110">
        <v>600000</v>
      </c>
      <c r="U110">
        <v>500000</v>
      </c>
      <c r="V110" s="32"/>
    </row>
    <row r="111" spans="1:22" s="33" customFormat="1">
      <c r="A111" s="116" t="s">
        <v>253</v>
      </c>
      <c r="B111" s="116"/>
      <c r="C111" s="116"/>
      <c r="D111" s="116"/>
      <c r="E111" s="116"/>
      <c r="F111" s="172">
        <v>50000</v>
      </c>
      <c r="G111" s="172"/>
      <c r="H111" s="172"/>
      <c r="I111" s="72"/>
      <c r="J111" s="72"/>
      <c r="K111" s="72"/>
      <c r="L111" s="72"/>
      <c r="M111" s="72"/>
      <c r="N111" s="72"/>
      <c r="R111"/>
      <c r="S111">
        <v>1600000</v>
      </c>
      <c r="T111">
        <v>700000</v>
      </c>
      <c r="U111">
        <v>600000</v>
      </c>
      <c r="V111"/>
    </row>
    <row r="112" spans="1:22" s="33" customFormat="1" hidden="1">
      <c r="A112" s="116" t="s">
        <v>254</v>
      </c>
      <c r="B112" s="116"/>
      <c r="C112" s="116"/>
      <c r="D112" s="116"/>
      <c r="E112" s="116"/>
      <c r="F112" s="172"/>
      <c r="G112" s="172"/>
      <c r="H112" s="172"/>
      <c r="I112" s="72"/>
      <c r="J112" s="72"/>
      <c r="K112" s="72"/>
      <c r="L112" s="72"/>
      <c r="M112" s="72"/>
      <c r="N112" s="72"/>
      <c r="R112"/>
      <c r="S112">
        <v>1700000</v>
      </c>
      <c r="T112">
        <v>800000</v>
      </c>
      <c r="U112"/>
      <c r="V112" s="32"/>
    </row>
    <row r="113" spans="1:22">
      <c r="A113" s="116" t="s">
        <v>255</v>
      </c>
      <c r="B113" s="116"/>
      <c r="C113" s="116"/>
      <c r="D113" s="116"/>
      <c r="E113" s="116"/>
      <c r="F113" s="172">
        <v>300000</v>
      </c>
      <c r="G113" s="172"/>
      <c r="H113" s="172"/>
      <c r="I113" s="70"/>
      <c r="J113" s="70"/>
      <c r="K113" s="70"/>
      <c r="L113" s="70"/>
      <c r="M113" s="70"/>
      <c r="N113" s="70"/>
      <c r="R113"/>
      <c r="S113">
        <v>1800000</v>
      </c>
      <c r="T113">
        <v>900000</v>
      </c>
      <c r="U113"/>
    </row>
    <row r="114" spans="1:22" s="34" customFormat="1">
      <c r="A114" s="173" t="s">
        <v>256</v>
      </c>
      <c r="B114" s="173"/>
      <c r="C114" s="173"/>
      <c r="D114" s="173"/>
      <c r="E114" s="173"/>
      <c r="F114" s="172">
        <f>F103*0.8</f>
        <v>4400</v>
      </c>
      <c r="G114" s="172"/>
      <c r="H114" s="172"/>
      <c r="I114" s="73"/>
      <c r="J114" s="73"/>
      <c r="K114" s="73"/>
      <c r="L114" s="73"/>
      <c r="M114" s="73"/>
      <c r="N114" s="73"/>
      <c r="R114" s="38"/>
      <c r="S114" s="38"/>
      <c r="T114">
        <v>1000000</v>
      </c>
      <c r="U114"/>
      <c r="V114" s="38"/>
    </row>
    <row r="115" spans="1:22" s="35" customFormat="1" ht="15.75" customHeight="1">
      <c r="A115" s="163" t="s">
        <v>257</v>
      </c>
      <c r="B115" s="163"/>
      <c r="C115" s="163"/>
      <c r="D115" s="163"/>
      <c r="E115" s="163"/>
      <c r="F115" s="163"/>
      <c r="G115" s="163"/>
      <c r="H115" s="163"/>
      <c r="R115"/>
      <c r="S115" s="38"/>
      <c r="T115"/>
      <c r="U115"/>
      <c r="V115" s="38"/>
    </row>
    <row r="116" spans="1:22" s="35" customFormat="1" ht="15.75" customHeight="1">
      <c r="A116" s="164" t="s">
        <v>258</v>
      </c>
      <c r="B116" s="164"/>
      <c r="C116" s="165" t="s">
        <v>259</v>
      </c>
      <c r="D116" s="165"/>
      <c r="E116" s="166" t="s">
        <v>260</v>
      </c>
      <c r="F116" s="166"/>
      <c r="G116" s="164" t="s">
        <v>261</v>
      </c>
      <c r="H116" s="164"/>
      <c r="R116"/>
      <c r="S116" s="38"/>
      <c r="T116"/>
      <c r="U116" s="38"/>
      <c r="V116" s="38"/>
    </row>
    <row r="117" spans="1:22" s="35" customFormat="1">
      <c r="A117" s="167" t="s">
        <v>262</v>
      </c>
      <c r="B117" s="167"/>
      <c r="C117" s="168">
        <f>COUNT(F129:F137)</f>
        <v>9</v>
      </c>
      <c r="D117" s="169"/>
      <c r="E117" s="168">
        <f>SUM(F129:F137)</f>
        <v>1924.355628</v>
      </c>
      <c r="F117" s="169"/>
      <c r="G117" s="168">
        <f>SUM(H129:H137)</f>
        <v>3848.711256</v>
      </c>
      <c r="H117" s="169"/>
      <c r="R117"/>
      <c r="S117" s="38"/>
      <c r="T117"/>
      <c r="U117" s="38"/>
      <c r="V117" s="38"/>
    </row>
    <row r="118" spans="1:22" s="35" customFormat="1">
      <c r="A118" s="163" t="s">
        <v>263</v>
      </c>
      <c r="B118" s="163"/>
      <c r="C118" s="170">
        <f>SUM(C117)</f>
        <v>9</v>
      </c>
      <c r="D118" s="165"/>
      <c r="E118" s="171">
        <f>SUM(E117)</f>
        <v>1924.355628</v>
      </c>
      <c r="F118" s="166"/>
      <c r="G118" s="164">
        <f>SUM(G117)</f>
        <v>3848.711256</v>
      </c>
      <c r="H118" s="164"/>
      <c r="R118"/>
      <c r="S118" s="38"/>
      <c r="T118"/>
      <c r="U118" s="38"/>
      <c r="V118" s="38"/>
    </row>
    <row r="119" spans="1:22" s="35" customFormat="1">
      <c r="A119" s="163" t="s">
        <v>264</v>
      </c>
      <c r="B119" s="163"/>
      <c r="C119" s="163"/>
      <c r="D119" s="163"/>
      <c r="E119" s="163"/>
      <c r="F119" s="163"/>
      <c r="G119" s="163"/>
      <c r="H119" s="163"/>
      <c r="T119"/>
    </row>
    <row r="120" spans="1:22" s="35" customFormat="1" ht="15.75" customHeight="1">
      <c r="A120" s="164" t="s">
        <v>258</v>
      </c>
      <c r="B120" s="164"/>
      <c r="C120" s="165" t="s">
        <v>259</v>
      </c>
      <c r="D120" s="165"/>
      <c r="E120" s="166" t="s">
        <v>260</v>
      </c>
      <c r="F120" s="166"/>
      <c r="G120" s="164" t="s">
        <v>261</v>
      </c>
      <c r="H120" s="164"/>
      <c r="T120"/>
    </row>
    <row r="121" spans="1:22" s="35" customFormat="1">
      <c r="A121" s="167" t="s">
        <v>265</v>
      </c>
      <c r="B121" s="167"/>
      <c r="C121" s="168">
        <f>COUNT(F142:F143,F146:F148)+COUNT(F150:F151,F153:F156)+COUNT(F158:F164)*3+COUNT(F166:F172)*2</f>
        <v>46</v>
      </c>
      <c r="D121" s="168"/>
      <c r="E121" s="168">
        <f>SUM(F142:F143,F146:F148)+SUM(F150:F151,F153:F156)+SUM(F158:F164)*3+SUM(F166:F172)*2</f>
        <v>18825.751619999999</v>
      </c>
      <c r="F121" s="168"/>
      <c r="G121" s="168">
        <f>SUM(H142:H143,H146:H148)+SUM(H150:H151,H153:H156)+SUM(H158:H164)*3+SUM(H166:H172)*2</f>
        <v>31421.845835200002</v>
      </c>
      <c r="H121" s="168"/>
      <c r="T121"/>
    </row>
    <row r="122" spans="1:22" s="35" customFormat="1">
      <c r="A122" s="150" t="s">
        <v>263</v>
      </c>
      <c r="B122" s="150"/>
      <c r="C122" s="151">
        <f>SUM(C121)</f>
        <v>46</v>
      </c>
      <c r="D122" s="152"/>
      <c r="E122" s="153">
        <f>SUM(E121)</f>
        <v>18825.751619999999</v>
      </c>
      <c r="F122" s="154"/>
      <c r="G122" s="155">
        <f>SUM(G121)</f>
        <v>31421.845835200002</v>
      </c>
      <c r="H122" s="155"/>
      <c r="T122"/>
    </row>
    <row r="123" spans="1:22" s="35" customFormat="1">
      <c r="A123" s="156" t="s">
        <v>266</v>
      </c>
      <c r="B123" s="157"/>
      <c r="C123" s="158">
        <f>C118+C122</f>
        <v>55</v>
      </c>
      <c r="D123" s="158"/>
      <c r="E123" s="159">
        <f>E118+E122</f>
        <v>20750.107248</v>
      </c>
      <c r="F123" s="159"/>
      <c r="G123" s="160">
        <f>G118+G122</f>
        <v>35270.557091200004</v>
      </c>
      <c r="H123" s="161"/>
      <c r="T123"/>
    </row>
    <row r="124" spans="1:22" s="34" customFormat="1">
      <c r="A124" s="162" t="s">
        <v>267</v>
      </c>
      <c r="B124" s="162"/>
      <c r="C124" s="162"/>
      <c r="D124" s="162"/>
      <c r="E124" s="162"/>
      <c r="F124" s="162"/>
      <c r="G124" s="162"/>
      <c r="H124" s="162"/>
      <c r="T124" s="35"/>
    </row>
    <row r="125" spans="1:22">
      <c r="A125" s="146" t="s">
        <v>268</v>
      </c>
      <c r="B125" s="146"/>
      <c r="C125" s="146"/>
      <c r="D125" s="146"/>
      <c r="E125" s="146"/>
      <c r="F125" s="146"/>
      <c r="G125" s="146"/>
      <c r="H125" s="146"/>
      <c r="T125" s="35"/>
    </row>
    <row r="126" spans="1:22" ht="47.25" customHeight="1">
      <c r="A126" s="142" t="s">
        <v>269</v>
      </c>
      <c r="B126" s="142" t="s">
        <v>270</v>
      </c>
      <c r="C126" s="142" t="s">
        <v>271</v>
      </c>
      <c r="D126" s="142" t="s">
        <v>272</v>
      </c>
      <c r="E126" s="144" t="s">
        <v>273</v>
      </c>
      <c r="F126" s="142" t="s">
        <v>274</v>
      </c>
      <c r="G126" s="144" t="s">
        <v>275</v>
      </c>
      <c r="H126" s="54" t="s">
        <v>276</v>
      </c>
      <c r="T126" s="35"/>
    </row>
    <row r="127" spans="1:22" s="36" customFormat="1">
      <c r="A127" s="143"/>
      <c r="B127" s="143"/>
      <c r="C127" s="143"/>
      <c r="D127" s="143"/>
      <c r="E127" s="145"/>
      <c r="F127" s="143"/>
      <c r="G127" s="145"/>
      <c r="H127" s="55">
        <v>1</v>
      </c>
      <c r="T127" s="35"/>
    </row>
    <row r="128" spans="1:22" s="36" customFormat="1">
      <c r="A128" s="147" t="s">
        <v>277</v>
      </c>
      <c r="B128" s="148"/>
      <c r="C128" s="148"/>
      <c r="D128" s="148"/>
      <c r="E128" s="148"/>
      <c r="F128" s="148"/>
      <c r="G128" s="148"/>
      <c r="H128" s="149"/>
      <c r="J128" s="74">
        <v>10.763999999999999</v>
      </c>
      <c r="T128" s="35"/>
    </row>
    <row r="129" spans="1:20" s="36" customFormat="1" ht="15.75" customHeight="1">
      <c r="A129" s="135">
        <v>1</v>
      </c>
      <c r="B129" s="137"/>
      <c r="C129" s="75" t="s">
        <v>262</v>
      </c>
      <c r="D129" s="76">
        <f>(19.695)*10.764</f>
        <v>211.99697999999998</v>
      </c>
      <c r="E129" s="75">
        <v>0</v>
      </c>
      <c r="F129" s="75">
        <f>D129+(IF(E129&lt;201,E129,IF(E129&lt;301,E129/2,E129/3)))</f>
        <v>211.99697999999998</v>
      </c>
      <c r="G129" s="75">
        <v>0</v>
      </c>
      <c r="H129" s="76">
        <f>F129*2</f>
        <v>423.99395999999996</v>
      </c>
      <c r="I129" s="78">
        <f>5.05*3.9</f>
        <v>19.695</v>
      </c>
      <c r="J129" s="79">
        <v>520</v>
      </c>
      <c r="K129" s="80">
        <f>H129/F129</f>
        <v>2</v>
      </c>
      <c r="L129" s="132"/>
      <c r="M129" s="132"/>
      <c r="N129" s="78"/>
      <c r="T129" s="35"/>
    </row>
    <row r="130" spans="1:20" s="36" customFormat="1" ht="15.75" customHeight="1">
      <c r="A130" s="135">
        <f t="shared" ref="A130:A137" si="0">A129+1</f>
        <v>2</v>
      </c>
      <c r="B130" s="137"/>
      <c r="C130" s="75" t="s">
        <v>262</v>
      </c>
      <c r="D130" s="76">
        <f>(13.635)*10.764</f>
        <v>146.76713999999998</v>
      </c>
      <c r="E130" s="75">
        <v>0</v>
      </c>
      <c r="F130" s="75">
        <f t="shared" ref="F130:F132" si="1">D130+(IF(E130&lt;201,E130,IF(E130&lt;301,E130/2,E130/3)))</f>
        <v>146.76713999999998</v>
      </c>
      <c r="G130" s="75">
        <v>0</v>
      </c>
      <c r="H130" s="76">
        <f t="shared" ref="H130:H137" si="2">F130*2</f>
        <v>293.53427999999997</v>
      </c>
      <c r="I130" s="78"/>
      <c r="J130" s="79">
        <v>368</v>
      </c>
      <c r="K130" s="80">
        <f t="shared" ref="K130:K137" si="3">H130/F130</f>
        <v>2</v>
      </c>
      <c r="L130" s="132"/>
      <c r="M130" s="132"/>
      <c r="N130" s="78"/>
      <c r="T130" s="34"/>
    </row>
    <row r="131" spans="1:20" s="36" customFormat="1" ht="15.75" customHeight="1">
      <c r="A131" s="135">
        <f t="shared" si="0"/>
        <v>3</v>
      </c>
      <c r="B131" s="137"/>
      <c r="C131" s="75" t="s">
        <v>262</v>
      </c>
      <c r="D131" s="76">
        <f>(12.457)*10.764</f>
        <v>134.08714800000001</v>
      </c>
      <c r="E131" s="75">
        <v>0</v>
      </c>
      <c r="F131" s="75">
        <f t="shared" si="1"/>
        <v>134.08714800000001</v>
      </c>
      <c r="G131" s="75">
        <v>0</v>
      </c>
      <c r="H131" s="76">
        <f t="shared" si="2"/>
        <v>268.17429600000003</v>
      </c>
      <c r="I131" s="78"/>
      <c r="J131" s="79">
        <v>342</v>
      </c>
      <c r="K131" s="80">
        <f t="shared" si="3"/>
        <v>2</v>
      </c>
      <c r="L131" s="132"/>
      <c r="M131" s="132"/>
      <c r="N131" s="78"/>
      <c r="T131" s="38"/>
    </row>
    <row r="132" spans="1:20" s="36" customFormat="1" ht="15.75" customHeight="1">
      <c r="A132" s="135">
        <f t="shared" si="0"/>
        <v>4</v>
      </c>
      <c r="B132" s="137"/>
      <c r="C132" s="75" t="s">
        <v>262</v>
      </c>
      <c r="D132" s="76">
        <f>(11.228)*10.764</f>
        <v>120.85819199999999</v>
      </c>
      <c r="E132" s="75">
        <v>0</v>
      </c>
      <c r="F132" s="75">
        <f t="shared" si="1"/>
        <v>120.85819199999999</v>
      </c>
      <c r="G132" s="75">
        <v>0</v>
      </c>
      <c r="H132" s="76">
        <f t="shared" si="2"/>
        <v>241.71638399999998</v>
      </c>
      <c r="I132" s="78"/>
      <c r="J132" s="79">
        <v>308</v>
      </c>
      <c r="K132" s="80">
        <f t="shared" si="3"/>
        <v>2</v>
      </c>
      <c r="L132" s="132"/>
      <c r="M132" s="132"/>
      <c r="N132" s="78"/>
      <c r="T132" s="38"/>
    </row>
    <row r="133" spans="1:20" s="36" customFormat="1" ht="15.75" customHeight="1">
      <c r="A133" s="135">
        <f t="shared" si="0"/>
        <v>5</v>
      </c>
      <c r="B133" s="137"/>
      <c r="C133" s="75" t="s">
        <v>262</v>
      </c>
      <c r="D133" s="76">
        <f>(14.288)*10.764</f>
        <v>153.796032</v>
      </c>
      <c r="E133" s="75">
        <v>0</v>
      </c>
      <c r="F133" s="75">
        <f t="shared" ref="F133:F135" si="4">D133+(IF(E133&lt;201,E133,IF(E133&lt;301,E133/2,E133/3)))</f>
        <v>153.796032</v>
      </c>
      <c r="G133" s="75">
        <v>0</v>
      </c>
      <c r="H133" s="76">
        <f t="shared" si="2"/>
        <v>307.59206399999999</v>
      </c>
      <c r="I133" s="78"/>
      <c r="J133" s="79">
        <v>372</v>
      </c>
      <c r="K133" s="80">
        <f t="shared" si="3"/>
        <v>2</v>
      </c>
      <c r="L133" s="132"/>
      <c r="M133" s="132"/>
      <c r="N133" s="78"/>
      <c r="T133" s="34"/>
    </row>
    <row r="134" spans="1:20" s="36" customFormat="1" ht="15.75" customHeight="1">
      <c r="A134" s="135">
        <f t="shared" si="0"/>
        <v>6</v>
      </c>
      <c r="B134" s="137"/>
      <c r="C134" s="75" t="s">
        <v>262</v>
      </c>
      <c r="D134" s="76">
        <f>(36.434)*10.764</f>
        <v>392.17557599999992</v>
      </c>
      <c r="E134" s="75">
        <v>0</v>
      </c>
      <c r="F134" s="75">
        <f t="shared" si="4"/>
        <v>392.17557599999992</v>
      </c>
      <c r="G134" s="75">
        <v>0</v>
      </c>
      <c r="H134" s="76">
        <f t="shared" si="2"/>
        <v>784.35115199999984</v>
      </c>
      <c r="I134" s="78"/>
      <c r="J134" s="79">
        <v>1045</v>
      </c>
      <c r="K134" s="80">
        <f t="shared" si="3"/>
        <v>2</v>
      </c>
      <c r="L134" s="132"/>
      <c r="M134" s="132"/>
      <c r="N134" s="78"/>
      <c r="T134" s="38"/>
    </row>
    <row r="135" spans="1:20" s="36" customFormat="1" ht="15.75" customHeight="1">
      <c r="A135" s="135">
        <f t="shared" si="0"/>
        <v>7</v>
      </c>
      <c r="B135" s="137"/>
      <c r="C135" s="75" t="s">
        <v>262</v>
      </c>
      <c r="D135" s="76">
        <f>(19.98)*10.764</f>
        <v>215.06471999999999</v>
      </c>
      <c r="E135" s="75">
        <v>0</v>
      </c>
      <c r="F135" s="75">
        <f t="shared" si="4"/>
        <v>215.06471999999999</v>
      </c>
      <c r="G135" s="75">
        <v>0</v>
      </c>
      <c r="H135" s="76">
        <f t="shared" si="2"/>
        <v>430.12943999999999</v>
      </c>
      <c r="I135" s="78"/>
      <c r="J135" s="79">
        <v>502</v>
      </c>
      <c r="K135" s="80">
        <f t="shared" si="3"/>
        <v>2</v>
      </c>
      <c r="L135" s="132"/>
      <c r="M135" s="132"/>
      <c r="N135" s="78"/>
      <c r="T135" s="38"/>
    </row>
    <row r="136" spans="1:20" s="36" customFormat="1" ht="15.75" customHeight="1">
      <c r="A136" s="135">
        <f t="shared" si="0"/>
        <v>8</v>
      </c>
      <c r="B136" s="137"/>
      <c r="C136" s="75" t="s">
        <v>262</v>
      </c>
      <c r="D136" s="76">
        <f>(19.98)*10.764</f>
        <v>215.06471999999999</v>
      </c>
      <c r="E136" s="75">
        <v>0</v>
      </c>
      <c r="F136" s="75">
        <f t="shared" ref="F136:F137" si="5">D136+(IF(E136&lt;201,E136,IF(E136&lt;301,E136/2,E136/3)))</f>
        <v>215.06471999999999</v>
      </c>
      <c r="G136" s="75">
        <v>0</v>
      </c>
      <c r="H136" s="76">
        <f t="shared" si="2"/>
        <v>430.12943999999999</v>
      </c>
      <c r="I136" s="78"/>
      <c r="J136" s="79">
        <v>502</v>
      </c>
      <c r="K136" s="80">
        <f t="shared" si="3"/>
        <v>2</v>
      </c>
      <c r="L136" s="132"/>
      <c r="M136" s="132"/>
      <c r="N136" s="78"/>
      <c r="T136" s="38"/>
    </row>
    <row r="137" spans="1:20" s="36" customFormat="1" ht="15.75" customHeight="1">
      <c r="A137" s="135">
        <f t="shared" si="0"/>
        <v>9</v>
      </c>
      <c r="B137" s="137"/>
      <c r="C137" s="75" t="s">
        <v>262</v>
      </c>
      <c r="D137" s="76">
        <f>(31.08)*10.764</f>
        <v>334.54511999999994</v>
      </c>
      <c r="E137" s="75">
        <v>0</v>
      </c>
      <c r="F137" s="75">
        <f t="shared" si="5"/>
        <v>334.54511999999994</v>
      </c>
      <c r="G137" s="75">
        <v>0</v>
      </c>
      <c r="H137" s="76">
        <f t="shared" si="2"/>
        <v>669.09023999999988</v>
      </c>
      <c r="I137" s="78"/>
      <c r="J137" s="79">
        <v>772</v>
      </c>
      <c r="K137" s="80">
        <f t="shared" si="3"/>
        <v>2</v>
      </c>
      <c r="L137" s="132"/>
      <c r="M137" s="132"/>
      <c r="N137" s="78"/>
      <c r="T137" s="38"/>
    </row>
    <row r="138" spans="1:20" s="36" customFormat="1">
      <c r="A138" s="135"/>
      <c r="B138" s="136"/>
      <c r="C138" s="136"/>
      <c r="D138" s="136"/>
      <c r="E138" s="136"/>
      <c r="F138" s="136"/>
      <c r="G138" s="136"/>
      <c r="H138" s="137"/>
      <c r="I138" s="78"/>
      <c r="N138" s="78"/>
    </row>
    <row r="139" spans="1:20" ht="47.25" customHeight="1">
      <c r="A139" s="140" t="s">
        <v>278</v>
      </c>
      <c r="B139" s="142" t="s">
        <v>279</v>
      </c>
      <c r="C139" s="142" t="s">
        <v>271</v>
      </c>
      <c r="D139" s="142" t="s">
        <v>272</v>
      </c>
      <c r="E139" s="142" t="s">
        <v>280</v>
      </c>
      <c r="F139" s="142" t="s">
        <v>274</v>
      </c>
      <c r="G139" s="144" t="s">
        <v>275</v>
      </c>
      <c r="H139" s="54" t="s">
        <v>276</v>
      </c>
      <c r="I139" s="78"/>
      <c r="T139" s="36"/>
    </row>
    <row r="140" spans="1:20" s="36" customFormat="1">
      <c r="A140" s="141"/>
      <c r="B140" s="143"/>
      <c r="C140" s="143"/>
      <c r="D140" s="143"/>
      <c r="E140" s="143"/>
      <c r="F140" s="143"/>
      <c r="G140" s="145"/>
      <c r="H140" s="55">
        <v>0.7</v>
      </c>
      <c r="I140" s="78"/>
    </row>
    <row r="141" spans="1:20" s="36" customFormat="1">
      <c r="A141" s="138" t="s">
        <v>281</v>
      </c>
      <c r="B141" s="138"/>
      <c r="C141" s="138"/>
      <c r="D141" s="138"/>
      <c r="E141" s="138"/>
      <c r="F141" s="138"/>
      <c r="G141" s="138"/>
      <c r="H141" s="138"/>
      <c r="I141" s="78"/>
      <c r="L141" s="132"/>
      <c r="M141" s="132"/>
    </row>
    <row r="142" spans="1:20" s="36" customFormat="1">
      <c r="A142" s="139">
        <v>1</v>
      </c>
      <c r="B142" s="139"/>
      <c r="C142" s="75" t="s">
        <v>282</v>
      </c>
      <c r="D142" s="76">
        <f>(25.225)*10.764</f>
        <v>271.52190000000002</v>
      </c>
      <c r="E142" s="76">
        <f>(1*(2.7+1.95+2.85))*10.764</f>
        <v>80.72999999999999</v>
      </c>
      <c r="F142" s="75">
        <f>D142+E142</f>
        <v>352.25189999999998</v>
      </c>
      <c r="G142" s="75">
        <v>0</v>
      </c>
      <c r="H142" s="75">
        <v>585</v>
      </c>
      <c r="I142" s="81">
        <f>3.95*2.7+2.15*1.8+2.15*2.7+1.85*1.26+1.1*1.29</f>
        <v>24.09</v>
      </c>
      <c r="J142" s="36">
        <v>592</v>
      </c>
      <c r="K142" s="82">
        <f>H142/F142</f>
        <v>1.6607433487228884</v>
      </c>
      <c r="L142" s="36">
        <f>1*(1.95+2.85)</f>
        <v>4.8</v>
      </c>
      <c r="N142" s="78"/>
    </row>
    <row r="143" spans="1:20" s="36" customFormat="1">
      <c r="A143" s="139">
        <f t="shared" ref="A143:A148" si="6">A142+1</f>
        <v>2</v>
      </c>
      <c r="B143" s="139"/>
      <c r="C143" s="75" t="s">
        <v>282</v>
      </c>
      <c r="D143" s="76">
        <f>(27.445)*10.764</f>
        <v>295.41798</v>
      </c>
      <c r="E143" s="76">
        <f>(0.5*3+1*(2.7+1.8+2.7))*10.764</f>
        <v>93.646799999999985</v>
      </c>
      <c r="F143" s="75">
        <f>D143+E143</f>
        <v>389.06477999999998</v>
      </c>
      <c r="G143" s="75">
        <v>0</v>
      </c>
      <c r="H143" s="75">
        <v>667</v>
      </c>
      <c r="I143" s="81">
        <f>3.95*2.7+3*1.8+3*2.7+0.9*1.5+1.8*1.2</f>
        <v>27.675000000000004</v>
      </c>
      <c r="J143" s="36">
        <v>667</v>
      </c>
      <c r="K143" s="82">
        <f t="shared" ref="K143:K180" si="7">H143/F143</f>
        <v>1.7143674634337245</v>
      </c>
      <c r="N143" s="78"/>
    </row>
    <row r="144" spans="1:20" s="36" customFormat="1">
      <c r="A144" s="133">
        <f t="shared" si="6"/>
        <v>3</v>
      </c>
      <c r="B144" s="133"/>
      <c r="C144" s="106" t="s">
        <v>283</v>
      </c>
      <c r="D144" s="107"/>
      <c r="E144" s="107"/>
      <c r="F144" s="107"/>
      <c r="G144" s="107"/>
      <c r="H144" s="108"/>
      <c r="I144" s="78"/>
      <c r="K144" s="82" t="e">
        <f t="shared" si="7"/>
        <v>#DIV/0!</v>
      </c>
      <c r="N144" s="78"/>
    </row>
    <row r="145" spans="1:14" s="36" customFormat="1">
      <c r="A145" s="133">
        <f t="shared" si="6"/>
        <v>4</v>
      </c>
      <c r="B145" s="133"/>
      <c r="C145" s="109"/>
      <c r="D145" s="110"/>
      <c r="E145" s="110"/>
      <c r="F145" s="110"/>
      <c r="G145" s="110"/>
      <c r="H145" s="111"/>
      <c r="I145" s="78"/>
      <c r="K145" s="82" t="e">
        <f t="shared" si="7"/>
        <v>#DIV/0!</v>
      </c>
      <c r="N145" s="78"/>
    </row>
    <row r="146" spans="1:14" s="36" customFormat="1">
      <c r="A146" s="133">
        <f t="shared" si="6"/>
        <v>5</v>
      </c>
      <c r="B146" s="133"/>
      <c r="C146" s="77" t="s">
        <v>282</v>
      </c>
      <c r="D146" s="74">
        <f>(29.488)*10.764</f>
        <v>317.40883199999996</v>
      </c>
      <c r="E146" s="74">
        <f>(1*(2.7+1.8+2.7))*10.764</f>
        <v>77.500799999999998</v>
      </c>
      <c r="F146" s="77">
        <f>D146+E146</f>
        <v>394.90963199999999</v>
      </c>
      <c r="G146" s="77">
        <v>0</v>
      </c>
      <c r="H146" s="77">
        <v>650</v>
      </c>
      <c r="I146" s="78"/>
      <c r="J146" s="36">
        <v>690</v>
      </c>
      <c r="K146" s="82">
        <f t="shared" si="7"/>
        <v>1.6459461794033934</v>
      </c>
      <c r="N146" s="78"/>
    </row>
    <row r="147" spans="1:14" s="36" customFormat="1">
      <c r="A147" s="133">
        <f t="shared" si="6"/>
        <v>6</v>
      </c>
      <c r="B147" s="133"/>
      <c r="C147" s="77" t="s">
        <v>282</v>
      </c>
      <c r="D147" s="74">
        <f>(27.91)*10.764</f>
        <v>300.42323999999996</v>
      </c>
      <c r="E147" s="74">
        <f>(0.5*3+1*(2.7+2+2.7))*10.764</f>
        <v>95.799599999999998</v>
      </c>
      <c r="F147" s="77">
        <f>D147+E147</f>
        <v>396.22283999999996</v>
      </c>
      <c r="G147" s="77">
        <v>0</v>
      </c>
      <c r="H147" s="77">
        <v>680</v>
      </c>
      <c r="I147" s="78"/>
      <c r="J147" s="36">
        <v>680</v>
      </c>
      <c r="K147" s="82">
        <f t="shared" si="7"/>
        <v>1.7162059612716927</v>
      </c>
      <c r="N147" s="78"/>
    </row>
    <row r="148" spans="1:14" s="36" customFormat="1">
      <c r="A148" s="133">
        <f t="shared" si="6"/>
        <v>7</v>
      </c>
      <c r="B148" s="133"/>
      <c r="C148" s="77" t="s">
        <v>284</v>
      </c>
      <c r="D148" s="74">
        <f>(40.104)*10.764</f>
        <v>431.67945599999996</v>
      </c>
      <c r="E148" s="74">
        <f>(1*(2.7+2.1))*10.764</f>
        <v>51.667200000000001</v>
      </c>
      <c r="F148" s="77">
        <f>D148+E148</f>
        <v>483.34665599999994</v>
      </c>
      <c r="G148" s="74">
        <f>(0.9*2.7)*10.764</f>
        <v>26.15652</v>
      </c>
      <c r="H148" s="77">
        <f>F148*1.7+G148</f>
        <v>847.8458351999999</v>
      </c>
      <c r="I148" s="78"/>
      <c r="J148" s="36">
        <v>1067</v>
      </c>
      <c r="K148" s="82">
        <f t="shared" si="7"/>
        <v>1.7541154462854089</v>
      </c>
      <c r="N148" s="78"/>
    </row>
    <row r="149" spans="1:14" s="36" customFormat="1">
      <c r="A149" s="131" t="s">
        <v>285</v>
      </c>
      <c r="B149" s="131"/>
      <c r="C149" s="131"/>
      <c r="D149" s="131"/>
      <c r="E149" s="131"/>
      <c r="F149" s="131"/>
      <c r="G149" s="131"/>
      <c r="H149" s="131"/>
      <c r="I149" s="78"/>
      <c r="K149" s="82" t="e">
        <f t="shared" si="7"/>
        <v>#DIV/0!</v>
      </c>
      <c r="L149" s="132"/>
      <c r="M149" s="132"/>
    </row>
    <row r="150" spans="1:14" s="36" customFormat="1">
      <c r="A150" s="133">
        <v>1</v>
      </c>
      <c r="B150" s="133"/>
      <c r="C150" s="77" t="s">
        <v>282</v>
      </c>
      <c r="D150" s="76">
        <f>(25.225)*10.764</f>
        <v>271.52190000000002</v>
      </c>
      <c r="E150" s="74">
        <f>(1*(1.95+2.85)+1*2.7)*10.764</f>
        <v>80.72999999999999</v>
      </c>
      <c r="F150" s="77">
        <f>D150+E150</f>
        <v>352.25189999999998</v>
      </c>
      <c r="G150" s="77">
        <v>0</v>
      </c>
      <c r="H150" s="77">
        <v>585</v>
      </c>
      <c r="I150" s="78"/>
      <c r="K150" s="82">
        <f t="shared" si="7"/>
        <v>1.6607433487228884</v>
      </c>
      <c r="N150" s="78"/>
    </row>
    <row r="151" spans="1:14" s="36" customFormat="1">
      <c r="A151" s="133">
        <f t="shared" ref="A151:A156" si="8">A150+1</f>
        <v>2</v>
      </c>
      <c r="B151" s="133"/>
      <c r="C151" s="77" t="s">
        <v>282</v>
      </c>
      <c r="D151" s="76">
        <f>(27.445)*10.764</f>
        <v>295.41798</v>
      </c>
      <c r="E151" s="74">
        <f>(1*(2.7+1.8+2.7)+0.5*3)*10.764</f>
        <v>93.646799999999985</v>
      </c>
      <c r="F151" s="77">
        <f>D151+E151</f>
        <v>389.06477999999998</v>
      </c>
      <c r="G151" s="77">
        <v>0</v>
      </c>
      <c r="H151" s="77">
        <v>667</v>
      </c>
      <c r="I151" s="78"/>
      <c r="K151" s="82">
        <f t="shared" si="7"/>
        <v>1.7143674634337245</v>
      </c>
      <c r="N151" s="78"/>
    </row>
    <row r="152" spans="1:14" s="36" customFormat="1">
      <c r="A152" s="133">
        <f t="shared" si="8"/>
        <v>3</v>
      </c>
      <c r="B152" s="133"/>
      <c r="C152" s="125" t="s">
        <v>286</v>
      </c>
      <c r="D152" s="134"/>
      <c r="E152" s="134"/>
      <c r="F152" s="134"/>
      <c r="G152" s="134"/>
      <c r="H152" s="126"/>
      <c r="I152" s="78"/>
      <c r="K152" s="82" t="e">
        <f t="shared" si="7"/>
        <v>#DIV/0!</v>
      </c>
      <c r="N152" s="78"/>
    </row>
    <row r="153" spans="1:14" s="36" customFormat="1">
      <c r="A153" s="133">
        <f t="shared" si="8"/>
        <v>4</v>
      </c>
      <c r="B153" s="133"/>
      <c r="C153" s="77" t="s">
        <v>282</v>
      </c>
      <c r="D153" s="74">
        <f>(29.025)*10.764</f>
        <v>312.42509999999999</v>
      </c>
      <c r="E153" s="74">
        <f>(1*(2.7+1.8+2.7))*10.764</f>
        <v>77.500799999999998</v>
      </c>
      <c r="F153" s="77">
        <f>D153+E153</f>
        <v>389.92589999999996</v>
      </c>
      <c r="G153" s="77">
        <v>0</v>
      </c>
      <c r="H153" s="77">
        <v>645</v>
      </c>
      <c r="I153" s="78"/>
      <c r="K153" s="82">
        <f t="shared" si="7"/>
        <v>1.6541604443305769</v>
      </c>
      <c r="N153" s="78"/>
    </row>
    <row r="154" spans="1:14" s="36" customFormat="1">
      <c r="A154" s="133">
        <f t="shared" si="8"/>
        <v>5</v>
      </c>
      <c r="B154" s="133"/>
      <c r="C154" s="77" t="s">
        <v>282</v>
      </c>
      <c r="D154" s="74">
        <f>(29.472)*10.764</f>
        <v>317.23660799999999</v>
      </c>
      <c r="E154" s="74">
        <f>(1*(2.7+1.8+2.7))*10.764</f>
        <v>77.500799999999998</v>
      </c>
      <c r="F154" s="77">
        <f>D154+E154</f>
        <v>394.73740799999996</v>
      </c>
      <c r="G154" s="77">
        <v>0</v>
      </c>
      <c r="H154" s="77">
        <v>650</v>
      </c>
      <c r="I154" s="78"/>
      <c r="J154" s="78">
        <f>4400000/H154</f>
        <v>6769.2307692307695</v>
      </c>
      <c r="K154" s="82">
        <f t="shared" si="7"/>
        <v>1.6466643060087178</v>
      </c>
      <c r="N154" s="78"/>
    </row>
    <row r="155" spans="1:14" s="36" customFormat="1">
      <c r="A155" s="133">
        <f t="shared" si="8"/>
        <v>6</v>
      </c>
      <c r="B155" s="133"/>
      <c r="C155" s="77" t="s">
        <v>282</v>
      </c>
      <c r="D155" s="74">
        <f>(27.91)*10.764</f>
        <v>300.42323999999996</v>
      </c>
      <c r="E155" s="74">
        <f>(1*(2.7+2+2.7)+0.5*3)*10.764</f>
        <v>95.799599999999998</v>
      </c>
      <c r="F155" s="77">
        <f>D155+E155</f>
        <v>396.22283999999996</v>
      </c>
      <c r="G155" s="77">
        <v>0</v>
      </c>
      <c r="H155" s="77">
        <v>675</v>
      </c>
      <c r="I155" s="78"/>
      <c r="K155" s="82">
        <f t="shared" si="7"/>
        <v>1.7035867997917538</v>
      </c>
      <c r="N155" s="78"/>
    </row>
    <row r="156" spans="1:14" s="36" customFormat="1">
      <c r="A156" s="133">
        <f t="shared" si="8"/>
        <v>7</v>
      </c>
      <c r="B156" s="133"/>
      <c r="C156" s="77" t="s">
        <v>284</v>
      </c>
      <c r="D156" s="74">
        <f>(40.251)*10.764</f>
        <v>433.26176399999997</v>
      </c>
      <c r="E156" s="74">
        <f>(1*(2.7+2.7)+1.05*2.1+2.85*1)*10.764</f>
        <v>112.53761999999999</v>
      </c>
      <c r="F156" s="77">
        <f>D156+E156</f>
        <v>545.79938399999992</v>
      </c>
      <c r="G156" s="77">
        <v>0</v>
      </c>
      <c r="H156" s="77">
        <v>900</v>
      </c>
      <c r="I156" s="78"/>
      <c r="J156" s="78">
        <f>5960000/H156</f>
        <v>6622.2222222222226</v>
      </c>
      <c r="K156" s="82">
        <f t="shared" si="7"/>
        <v>1.6489575224584718</v>
      </c>
      <c r="N156" s="78"/>
    </row>
    <row r="157" spans="1:14" s="36" customFormat="1">
      <c r="A157" s="127" t="s">
        <v>287</v>
      </c>
      <c r="B157" s="128"/>
      <c r="C157" s="128"/>
      <c r="D157" s="128"/>
      <c r="E157" s="128"/>
      <c r="F157" s="128"/>
      <c r="G157" s="128"/>
      <c r="H157" s="129"/>
      <c r="I157" s="78"/>
      <c r="K157" s="82" t="e">
        <f t="shared" si="7"/>
        <v>#DIV/0!</v>
      </c>
    </row>
    <row r="158" spans="1:14" s="36" customFormat="1" ht="15.75" customHeight="1">
      <c r="A158" s="125">
        <v>1</v>
      </c>
      <c r="B158" s="126"/>
      <c r="C158" s="77" t="s">
        <v>282</v>
      </c>
      <c r="D158" s="76">
        <f>(25.225)*10.764</f>
        <v>271.52190000000002</v>
      </c>
      <c r="E158" s="74">
        <f>(1*(1.95+2.85)+1*2.7)*10.764</f>
        <v>80.72999999999999</v>
      </c>
      <c r="F158" s="77">
        <f t="shared" ref="F158:F164" si="9">D158+E158</f>
        <v>352.25189999999998</v>
      </c>
      <c r="G158" s="77">
        <v>0</v>
      </c>
      <c r="H158" s="77">
        <v>592</v>
      </c>
      <c r="I158" s="78"/>
      <c r="K158" s="82">
        <f t="shared" si="7"/>
        <v>1.6806154913571794</v>
      </c>
    </row>
    <row r="159" spans="1:14" s="36" customFormat="1" ht="15.75" customHeight="1">
      <c r="A159" s="125">
        <f>A158+1</f>
        <v>2</v>
      </c>
      <c r="B159" s="126"/>
      <c r="C159" s="77" t="s">
        <v>282</v>
      </c>
      <c r="D159" s="76">
        <f>(27.445)*10.764</f>
        <v>295.41798</v>
      </c>
      <c r="E159" s="74">
        <f>(1*(2.7+1.8+2.7)+0.5*3)*10.764</f>
        <v>93.646799999999985</v>
      </c>
      <c r="F159" s="77">
        <f t="shared" si="9"/>
        <v>389.06477999999998</v>
      </c>
      <c r="G159" s="77">
        <v>0</v>
      </c>
      <c r="H159" s="77">
        <v>667</v>
      </c>
      <c r="I159" s="78"/>
      <c r="K159" s="82">
        <f t="shared" si="7"/>
        <v>1.7143674634337245</v>
      </c>
    </row>
    <row r="160" spans="1:14" s="36" customFormat="1" ht="15.75" customHeight="1">
      <c r="A160" s="125">
        <f t="shared" ref="A160:A162" si="10">A159+1</f>
        <v>3</v>
      </c>
      <c r="B160" s="126"/>
      <c r="C160" s="77" t="s">
        <v>282</v>
      </c>
      <c r="D160" s="74">
        <f>(28.779)*10.764</f>
        <v>309.77715599999999</v>
      </c>
      <c r="E160" s="74">
        <f>(1*(2.7+1.8+2.6))*10.764</f>
        <v>76.424399999999991</v>
      </c>
      <c r="F160" s="77">
        <f t="shared" si="9"/>
        <v>386.20155599999998</v>
      </c>
      <c r="G160" s="77">
        <v>0</v>
      </c>
      <c r="H160" s="77">
        <v>640</v>
      </c>
      <c r="I160" s="78"/>
      <c r="K160" s="82">
        <f t="shared" si="7"/>
        <v>1.6571657727862703</v>
      </c>
    </row>
    <row r="161" spans="1:14" s="36" customFormat="1" ht="15.75" customHeight="1">
      <c r="A161" s="125">
        <f t="shared" si="10"/>
        <v>4</v>
      </c>
      <c r="B161" s="126"/>
      <c r="C161" s="77" t="s">
        <v>282</v>
      </c>
      <c r="D161" s="74">
        <f>(29.025)*10.764</f>
        <v>312.42509999999999</v>
      </c>
      <c r="E161" s="74">
        <f>(1*(2.7+1.8+2.7))*10.764</f>
        <v>77.500799999999998</v>
      </c>
      <c r="F161" s="77">
        <f t="shared" si="9"/>
        <v>389.92589999999996</v>
      </c>
      <c r="G161" s="77">
        <v>0</v>
      </c>
      <c r="H161" s="77">
        <v>645</v>
      </c>
      <c r="I161" s="78"/>
      <c r="K161" s="82">
        <f t="shared" si="7"/>
        <v>1.6541604443305769</v>
      </c>
    </row>
    <row r="162" spans="1:14" s="36" customFormat="1" ht="15.75" customHeight="1">
      <c r="A162" s="125">
        <f t="shared" si="10"/>
        <v>5</v>
      </c>
      <c r="B162" s="126"/>
      <c r="C162" s="77" t="s">
        <v>282</v>
      </c>
      <c r="D162" s="74">
        <f>(29.472)*10.764</f>
        <v>317.23660799999999</v>
      </c>
      <c r="E162" s="74">
        <f>(1*(2.7+1.8+2.7))*10.764</f>
        <v>77.500799999999998</v>
      </c>
      <c r="F162" s="77">
        <f t="shared" si="9"/>
        <v>394.73740799999996</v>
      </c>
      <c r="G162" s="77">
        <v>0</v>
      </c>
      <c r="H162" s="77">
        <v>650</v>
      </c>
      <c r="I162" s="78"/>
      <c r="K162" s="82">
        <f t="shared" si="7"/>
        <v>1.6466643060087178</v>
      </c>
    </row>
    <row r="163" spans="1:14" s="36" customFormat="1" ht="15.75" customHeight="1">
      <c r="A163" s="125">
        <f t="shared" ref="A163:A164" si="11">A162+1</f>
        <v>6</v>
      </c>
      <c r="B163" s="126"/>
      <c r="C163" s="77" t="s">
        <v>282</v>
      </c>
      <c r="D163" s="74">
        <f>(27.91)*10.764</f>
        <v>300.42323999999996</v>
      </c>
      <c r="E163" s="74">
        <f>(1*(2.7+2+2.7)+0.5*3)*10.764</f>
        <v>95.799599999999998</v>
      </c>
      <c r="F163" s="77">
        <f t="shared" si="9"/>
        <v>396.22283999999996</v>
      </c>
      <c r="G163" s="77">
        <v>0</v>
      </c>
      <c r="H163" s="77">
        <v>680</v>
      </c>
      <c r="I163" s="78"/>
      <c r="K163" s="82">
        <f t="shared" si="7"/>
        <v>1.7162059612716927</v>
      </c>
    </row>
    <row r="164" spans="1:14" s="36" customFormat="1" ht="15.75" customHeight="1">
      <c r="A164" s="125">
        <f t="shared" si="11"/>
        <v>7</v>
      </c>
      <c r="B164" s="126"/>
      <c r="C164" s="77" t="s">
        <v>284</v>
      </c>
      <c r="D164" s="74">
        <f>(40.251)*10.764</f>
        <v>433.26176399999997</v>
      </c>
      <c r="E164" s="74">
        <f>(1*(2.7+2.7)+1.05*2.1+2.85*1)*10.764</f>
        <v>112.53761999999999</v>
      </c>
      <c r="F164" s="77">
        <f t="shared" si="9"/>
        <v>545.79938399999992</v>
      </c>
      <c r="G164" s="77">
        <v>0</v>
      </c>
      <c r="H164" s="77">
        <v>900</v>
      </c>
      <c r="I164" s="78"/>
      <c r="K164" s="82">
        <f t="shared" si="7"/>
        <v>1.6489575224584718</v>
      </c>
    </row>
    <row r="165" spans="1:14" s="36" customFormat="1">
      <c r="A165" s="127" t="s">
        <v>288</v>
      </c>
      <c r="B165" s="128"/>
      <c r="C165" s="128"/>
      <c r="D165" s="128"/>
      <c r="E165" s="128"/>
      <c r="F165" s="128"/>
      <c r="G165" s="128"/>
      <c r="H165" s="129"/>
      <c r="I165" s="78"/>
      <c r="K165" s="82" t="e">
        <f t="shared" ref="K165:K172" si="12">H165/F165</f>
        <v>#DIV/0!</v>
      </c>
    </row>
    <row r="166" spans="1:14" s="36" customFormat="1" ht="15.75" customHeight="1">
      <c r="A166" s="125">
        <v>1</v>
      </c>
      <c r="B166" s="126"/>
      <c r="C166" s="77" t="s">
        <v>282</v>
      </c>
      <c r="D166" s="76">
        <f>(25.225)*10.764</f>
        <v>271.52190000000002</v>
      </c>
      <c r="E166" s="74">
        <f>(1*(1.95+2.85)+1*2.7)*10.764</f>
        <v>80.72999999999999</v>
      </c>
      <c r="F166" s="77">
        <f t="shared" ref="F166:F172" si="13">D166+E166</f>
        <v>352.25189999999998</v>
      </c>
      <c r="G166" s="77">
        <v>0</v>
      </c>
      <c r="H166" s="77">
        <v>592</v>
      </c>
      <c r="I166" s="78"/>
      <c r="K166" s="82">
        <f t="shared" si="12"/>
        <v>1.6806154913571794</v>
      </c>
    </row>
    <row r="167" spans="1:14" s="36" customFormat="1" ht="15.75" customHeight="1">
      <c r="A167" s="125">
        <f>A166+1</f>
        <v>2</v>
      </c>
      <c r="B167" s="126"/>
      <c r="C167" s="77" t="s">
        <v>282</v>
      </c>
      <c r="D167" s="76">
        <f>(27.445)*10.764</f>
        <v>295.41798</v>
      </c>
      <c r="E167" s="74">
        <f>(1*(2.7+1.8+2.7)+0.5*3)*10.764</f>
        <v>93.646799999999985</v>
      </c>
      <c r="F167" s="77">
        <f t="shared" si="13"/>
        <v>389.06477999999998</v>
      </c>
      <c r="G167" s="77">
        <v>0</v>
      </c>
      <c r="H167" s="77">
        <v>667</v>
      </c>
      <c r="I167" s="78"/>
      <c r="K167" s="82">
        <f t="shared" si="12"/>
        <v>1.7143674634337245</v>
      </c>
    </row>
    <row r="168" spans="1:14" s="36" customFormat="1" ht="15.75" customHeight="1">
      <c r="A168" s="125">
        <f t="shared" ref="A168:A172" si="14">A167+1</f>
        <v>3</v>
      </c>
      <c r="B168" s="126"/>
      <c r="C168" s="77" t="s">
        <v>282</v>
      </c>
      <c r="D168" s="74">
        <f>(24.954)*10.764</f>
        <v>268.60485599999998</v>
      </c>
      <c r="E168" s="74">
        <f>(1*(2.7+1.8+2.6)+1*(1.95+2.65))*10.764</f>
        <v>125.93879999999999</v>
      </c>
      <c r="F168" s="77">
        <f t="shared" si="13"/>
        <v>394.54365599999994</v>
      </c>
      <c r="G168" s="77">
        <v>0</v>
      </c>
      <c r="H168" s="77">
        <v>640</v>
      </c>
      <c r="I168" s="78"/>
      <c r="K168" s="82">
        <f t="shared" si="12"/>
        <v>1.6221272101762043</v>
      </c>
    </row>
    <row r="169" spans="1:14" s="36" customFormat="1" ht="15.75" customHeight="1">
      <c r="A169" s="125">
        <f t="shared" si="14"/>
        <v>4</v>
      </c>
      <c r="B169" s="126"/>
      <c r="C169" s="77" t="s">
        <v>282</v>
      </c>
      <c r="D169" s="74">
        <f>(22.735)*10.764</f>
        <v>244.71953999999997</v>
      </c>
      <c r="E169" s="74">
        <f>(1*(2.7+1.8+2.7)+1*(2.8+1.9+2.85))*10.764</f>
        <v>158.76899999999998</v>
      </c>
      <c r="F169" s="77">
        <f t="shared" si="13"/>
        <v>403.48853999999994</v>
      </c>
      <c r="G169" s="77">
        <v>0</v>
      </c>
      <c r="H169" s="77">
        <v>645</v>
      </c>
      <c r="I169" s="78"/>
      <c r="K169" s="82">
        <f t="shared" si="12"/>
        <v>1.5985584125883727</v>
      </c>
    </row>
    <row r="170" spans="1:14" s="36" customFormat="1" ht="15.75" customHeight="1">
      <c r="A170" s="125">
        <f t="shared" si="14"/>
        <v>5</v>
      </c>
      <c r="B170" s="126"/>
      <c r="C170" s="77" t="s">
        <v>282</v>
      </c>
      <c r="D170" s="74">
        <f>(23.182)*10.764</f>
        <v>249.53104799999997</v>
      </c>
      <c r="E170" s="74">
        <f>(1*(2.7+1.8+2.7)+1*(2.85+1.9+2.8))*10.764</f>
        <v>158.76899999999998</v>
      </c>
      <c r="F170" s="77">
        <f t="shared" si="13"/>
        <v>408.30004799999995</v>
      </c>
      <c r="G170" s="77">
        <v>0</v>
      </c>
      <c r="H170" s="77">
        <v>650</v>
      </c>
      <c r="I170" s="78"/>
      <c r="K170" s="82">
        <f t="shared" si="12"/>
        <v>1.5919665040058975</v>
      </c>
    </row>
    <row r="171" spans="1:14" s="36" customFormat="1" ht="15.75" customHeight="1">
      <c r="A171" s="125">
        <f t="shared" si="14"/>
        <v>6</v>
      </c>
      <c r="B171" s="126"/>
      <c r="C171" s="77" t="s">
        <v>282</v>
      </c>
      <c r="D171" s="74">
        <f>(27.91)*10.764</f>
        <v>300.42323999999996</v>
      </c>
      <c r="E171" s="74">
        <f>(1*(2.7+2+2.7)+0.5*3)*10.764</f>
        <v>95.799599999999998</v>
      </c>
      <c r="F171" s="77">
        <f t="shared" si="13"/>
        <v>396.22283999999996</v>
      </c>
      <c r="G171" s="77">
        <v>0</v>
      </c>
      <c r="H171" s="77">
        <v>680</v>
      </c>
      <c r="I171" s="78"/>
      <c r="K171" s="82">
        <f t="shared" si="12"/>
        <v>1.7162059612716927</v>
      </c>
    </row>
    <row r="172" spans="1:14" s="36" customFormat="1" ht="15.75" customHeight="1">
      <c r="A172" s="125">
        <f t="shared" si="14"/>
        <v>7</v>
      </c>
      <c r="B172" s="126"/>
      <c r="C172" s="77" t="s">
        <v>284</v>
      </c>
      <c r="D172" s="74">
        <f>(40.251)*10.764</f>
        <v>433.26176399999997</v>
      </c>
      <c r="E172" s="74">
        <f>(1*(2.7+2.7)+1.05*2.1+2.85*1)*10.764</f>
        <v>112.53761999999999</v>
      </c>
      <c r="F172" s="77">
        <f t="shared" si="13"/>
        <v>545.79938399999992</v>
      </c>
      <c r="G172" s="77">
        <v>0</v>
      </c>
      <c r="H172" s="77">
        <v>900</v>
      </c>
      <c r="I172" s="78"/>
      <c r="K172" s="82">
        <f t="shared" si="12"/>
        <v>1.6489575224584718</v>
      </c>
    </row>
    <row r="173" spans="1:14" s="36" customFormat="1" hidden="1">
      <c r="A173" s="131" t="s">
        <v>289</v>
      </c>
      <c r="B173" s="131"/>
      <c r="C173" s="131"/>
      <c r="D173" s="131"/>
      <c r="E173" s="131"/>
      <c r="F173" s="131"/>
      <c r="G173" s="131"/>
      <c r="H173" s="131"/>
      <c r="I173" s="78"/>
      <c r="K173" s="82" t="e">
        <f t="shared" si="7"/>
        <v>#DIV/0!</v>
      </c>
      <c r="L173" s="132"/>
      <c r="M173" s="132"/>
    </row>
    <row r="174" spans="1:14" s="36" customFormat="1" hidden="1">
      <c r="A174" s="133">
        <f>LEFT(A173,SUM(LEN(A173)-LEN(SUBSTITUTE(A173,{"0","1","2","3","4","5","6","7","8","9"},""))))*100+1</f>
        <v>501</v>
      </c>
      <c r="B174" s="133"/>
      <c r="C174" s="77" t="s">
        <v>282</v>
      </c>
      <c r="D174" s="74">
        <f>(3.95*2.7+2.15*1.8+2.15*2.7+1.85*1.26+1.1*1.29)*10.764</f>
        <v>259.30475999999999</v>
      </c>
      <c r="E174" s="74">
        <f>(1*(1.95+2.85)+1*2.7)*10.764</f>
        <v>80.72999999999999</v>
      </c>
      <c r="F174" s="77">
        <f>D174+E174</f>
        <v>340.03476000000001</v>
      </c>
      <c r="G174" s="77">
        <v>0</v>
      </c>
      <c r="H174" s="77">
        <v>580</v>
      </c>
      <c r="I174" s="78"/>
      <c r="K174" s="82">
        <f t="shared" si="7"/>
        <v>1.7057079693852475</v>
      </c>
      <c r="N174" s="78"/>
    </row>
    <row r="175" spans="1:14" s="36" customFormat="1" hidden="1">
      <c r="A175" s="133">
        <f t="shared" ref="A175:A180" si="15">A174+1</f>
        <v>502</v>
      </c>
      <c r="B175" s="133"/>
      <c r="C175" s="77" t="s">
        <v>282</v>
      </c>
      <c r="D175" s="74">
        <f>(3.95*2.7+3*1.8+3*2.7+0.9*1.5+1.8*1.2)*10.764</f>
        <v>297.89370000000002</v>
      </c>
      <c r="E175" s="74">
        <f>(1*(2.7+1.8+2.7)+0.45*3)*10.764</f>
        <v>92.032200000000003</v>
      </c>
      <c r="F175" s="77">
        <f>D175+E175</f>
        <v>389.92590000000001</v>
      </c>
      <c r="G175" s="77">
        <v>0</v>
      </c>
      <c r="H175" s="77">
        <v>667</v>
      </c>
      <c r="I175" s="78"/>
      <c r="K175" s="82">
        <f t="shared" si="7"/>
        <v>1.7105814207263481</v>
      </c>
      <c r="N175" s="78"/>
    </row>
    <row r="176" spans="1:14" s="36" customFormat="1" hidden="1">
      <c r="A176" s="133">
        <f t="shared" si="15"/>
        <v>503</v>
      </c>
      <c r="B176" s="133"/>
      <c r="C176" s="106" t="s">
        <v>290</v>
      </c>
      <c r="D176" s="107"/>
      <c r="E176" s="107"/>
      <c r="F176" s="107"/>
      <c r="G176" s="107"/>
      <c r="H176" s="108"/>
      <c r="I176" s="78"/>
      <c r="K176" s="82" t="e">
        <f t="shared" si="7"/>
        <v>#DIV/0!</v>
      </c>
      <c r="N176" s="78"/>
    </row>
    <row r="177" spans="1:20" s="36" customFormat="1" hidden="1">
      <c r="A177" s="133">
        <f t="shared" si="15"/>
        <v>504</v>
      </c>
      <c r="B177" s="133"/>
      <c r="C177" s="112"/>
      <c r="D177" s="113"/>
      <c r="E177" s="113"/>
      <c r="F177" s="113"/>
      <c r="G177" s="113"/>
      <c r="H177" s="114"/>
      <c r="I177" s="78"/>
      <c r="K177" s="82" t="e">
        <f t="shared" si="7"/>
        <v>#DIV/0!</v>
      </c>
      <c r="N177" s="78"/>
    </row>
    <row r="178" spans="1:20" s="36" customFormat="1" hidden="1">
      <c r="A178" s="133">
        <f t="shared" si="15"/>
        <v>505</v>
      </c>
      <c r="B178" s="133"/>
      <c r="C178" s="112"/>
      <c r="D178" s="113"/>
      <c r="E178" s="113"/>
      <c r="F178" s="113"/>
      <c r="G178" s="113"/>
      <c r="H178" s="114"/>
      <c r="I178" s="78"/>
      <c r="K178" s="82" t="e">
        <f t="shared" si="7"/>
        <v>#DIV/0!</v>
      </c>
      <c r="N178" s="78"/>
    </row>
    <row r="179" spans="1:20" s="36" customFormat="1" hidden="1">
      <c r="A179" s="133">
        <f t="shared" si="15"/>
        <v>506</v>
      </c>
      <c r="B179" s="133"/>
      <c r="C179" s="109"/>
      <c r="D179" s="110"/>
      <c r="E179" s="110"/>
      <c r="F179" s="110"/>
      <c r="G179" s="110"/>
      <c r="H179" s="111"/>
      <c r="I179" s="78"/>
      <c r="K179" s="82" t="e">
        <f t="shared" si="7"/>
        <v>#DIV/0!</v>
      </c>
      <c r="N179" s="78"/>
    </row>
    <row r="180" spans="1:20" s="36" customFormat="1" hidden="1">
      <c r="A180" s="133">
        <f t="shared" si="15"/>
        <v>507</v>
      </c>
      <c r="B180" s="133"/>
      <c r="C180" s="77" t="s">
        <v>284</v>
      </c>
      <c r="D180" s="74">
        <f>(2.7*3.95+2.1*2.66+3*2.7+2.7*2.15+1.9*1.05+1.2*1.91+1*2.35+0.9*1.95)*10.764</f>
        <v>414.93067200000007</v>
      </c>
      <c r="E180" s="74">
        <f>(1*(2.7+2.7)+1.05*2.1+2.85*1)*10.764</f>
        <v>112.53761999999999</v>
      </c>
      <c r="F180" s="77">
        <f>D180+E180</f>
        <v>527.46829200000002</v>
      </c>
      <c r="G180" s="77">
        <v>0</v>
      </c>
      <c r="H180" s="77">
        <v>900</v>
      </c>
      <c r="I180" s="78"/>
      <c r="K180" s="82">
        <f t="shared" si="7"/>
        <v>1.706263700870952</v>
      </c>
      <c r="N180" s="78"/>
    </row>
    <row r="181" spans="1:20" s="36" customFormat="1" hidden="1">
      <c r="A181" s="127" t="s">
        <v>291</v>
      </c>
      <c r="B181" s="128"/>
      <c r="C181" s="128"/>
      <c r="D181" s="128"/>
      <c r="E181" s="128"/>
      <c r="F181" s="128"/>
      <c r="G181" s="128"/>
      <c r="H181" s="129"/>
      <c r="J181" s="78"/>
    </row>
    <row r="182" spans="1:20" s="36" customFormat="1" ht="15.75" hidden="1" customHeight="1">
      <c r="A182" s="125">
        <v>1</v>
      </c>
      <c r="B182" s="126"/>
      <c r="C182" s="77"/>
      <c r="D182" s="77"/>
      <c r="E182" s="77">
        <v>0</v>
      </c>
      <c r="F182" s="77">
        <f>D182+E182</f>
        <v>0</v>
      </c>
      <c r="G182" s="77">
        <v>0</v>
      </c>
      <c r="H182" s="77">
        <f>F182*(($H$140)+1)+(IF(G182&lt;101,G182,IF(G182&lt;201,G182/2,IF(G182&lt;=301,G182/3,G182/4))))</f>
        <v>0</v>
      </c>
      <c r="I182" s="78"/>
      <c r="L182" s="132"/>
      <c r="M182" s="132"/>
      <c r="N182" s="78"/>
    </row>
    <row r="183" spans="1:20" s="36" customFormat="1" ht="15.75" hidden="1" customHeight="1">
      <c r="A183" s="125">
        <f>A182+1</f>
        <v>2</v>
      </c>
      <c r="B183" s="126"/>
      <c r="C183" s="77"/>
      <c r="D183" s="77"/>
      <c r="E183" s="77">
        <v>0</v>
      </c>
      <c r="F183" s="77">
        <f>D183+E183</f>
        <v>0</v>
      </c>
      <c r="G183" s="77">
        <v>0</v>
      </c>
      <c r="H183" s="77">
        <f>F183*(($H$140)+1)+(IF(G183&lt;101,G183,IF(G183&lt;201,G183/2,IF(G183&lt;=301,G183/3,G183/4))))</f>
        <v>0</v>
      </c>
      <c r="I183" s="78"/>
      <c r="L183" s="132"/>
      <c r="M183" s="132"/>
      <c r="N183" s="78"/>
    </row>
    <row r="184" spans="1:20" s="36" customFormat="1" ht="15.75" hidden="1" customHeight="1">
      <c r="A184" s="125">
        <f>A183+1</f>
        <v>3</v>
      </c>
      <c r="B184" s="126"/>
      <c r="C184" s="77"/>
      <c r="D184" s="77"/>
      <c r="E184" s="77">
        <v>0</v>
      </c>
      <c r="F184" s="77">
        <f>D184+E184</f>
        <v>0</v>
      </c>
      <c r="G184" s="77">
        <v>0</v>
      </c>
      <c r="H184" s="77">
        <f>F184*(($H$140)+1)+(IF(G184&lt;101,G184,IF(G184&lt;201,G184/2,IF(G184&lt;=301,G184/3,G184/4))))</f>
        <v>0</v>
      </c>
      <c r="I184" s="78"/>
      <c r="L184" s="132"/>
      <c r="M184" s="132"/>
      <c r="N184" s="78"/>
    </row>
    <row r="185" spans="1:20" s="36" customFormat="1" ht="15.75" hidden="1" customHeight="1">
      <c r="A185" s="125">
        <f>A184+1</f>
        <v>4</v>
      </c>
      <c r="B185" s="126"/>
      <c r="C185" s="77"/>
      <c r="D185" s="77"/>
      <c r="E185" s="77">
        <v>0</v>
      </c>
      <c r="F185" s="77">
        <f>D185+E185</f>
        <v>0</v>
      </c>
      <c r="G185" s="77">
        <v>0</v>
      </c>
      <c r="H185" s="77">
        <f>F185*(($H$140)+1)+(IF(G185&lt;101,G185,IF(G185&lt;201,G185/2,IF(G185&lt;=301,G185/3,G185/4))))</f>
        <v>0</v>
      </c>
      <c r="I185" s="78"/>
      <c r="L185" s="132"/>
      <c r="M185" s="132"/>
      <c r="N185" s="78"/>
      <c r="T185" s="38"/>
    </row>
    <row r="186" spans="1:20" s="36" customFormat="1" hidden="1">
      <c r="A186" s="131" t="s">
        <v>285</v>
      </c>
      <c r="B186" s="131"/>
      <c r="C186" s="131"/>
      <c r="D186" s="131"/>
      <c r="E186" s="131"/>
      <c r="F186" s="131"/>
      <c r="G186" s="131"/>
      <c r="H186" s="131"/>
      <c r="I186" s="78"/>
      <c r="L186" s="132"/>
      <c r="M186" s="132"/>
    </row>
    <row r="187" spans="1:20" s="36" customFormat="1" hidden="1">
      <c r="A187" s="133">
        <f>LEFT(A186,SUM(LEN(A186)-LEN(SUBSTITUTE(A186,{"0","1","2","3","4","5","6","7","8","9"},""))))*100+1</f>
        <v>201</v>
      </c>
      <c r="B187" s="133"/>
      <c r="C187" s="77"/>
      <c r="D187" s="77"/>
      <c r="E187" s="77">
        <v>0</v>
      </c>
      <c r="F187" s="77">
        <f>D187+E187</f>
        <v>0</v>
      </c>
      <c r="G187" s="77">
        <v>0</v>
      </c>
      <c r="H187" s="77">
        <f>F187*(($H$140)+1)+(IF(G187&lt;101,G187,IF(G187&lt;201,G187/2,IF(G187&lt;=301,G187/3,G187/4))))</f>
        <v>0</v>
      </c>
      <c r="I187" s="78"/>
      <c r="N187" s="78"/>
    </row>
    <row r="188" spans="1:20" s="36" customFormat="1" hidden="1">
      <c r="A188" s="133">
        <f>A187+1</f>
        <v>202</v>
      </c>
      <c r="B188" s="133"/>
      <c r="C188" s="77"/>
      <c r="D188" s="77"/>
      <c r="E188" s="77">
        <v>0</v>
      </c>
      <c r="F188" s="77">
        <f>D188+E188</f>
        <v>0</v>
      </c>
      <c r="G188" s="77">
        <v>0</v>
      </c>
      <c r="H188" s="77">
        <f>F188*(($H$140)+1)+(IF(G188&lt;101,G188,IF(G188&lt;201,G188/2,IF(G188&lt;=301,G188/3,G188/4))))</f>
        <v>0</v>
      </c>
      <c r="I188" s="78"/>
      <c r="N188" s="78"/>
    </row>
    <row r="189" spans="1:20" s="36" customFormat="1" hidden="1">
      <c r="A189" s="133">
        <f>A188+1</f>
        <v>203</v>
      </c>
      <c r="B189" s="133"/>
      <c r="C189" s="77"/>
      <c r="D189" s="77"/>
      <c r="E189" s="77">
        <v>0</v>
      </c>
      <c r="F189" s="77">
        <f>D189+E189</f>
        <v>0</v>
      </c>
      <c r="G189" s="77">
        <v>0</v>
      </c>
      <c r="H189" s="77">
        <f>F189*(($H$140)+1)+(IF(G189&lt;101,G189,IF(G189&lt;201,G189/2,IF(G189&lt;=301,G189/3,G189/4))))</f>
        <v>0</v>
      </c>
      <c r="I189" s="78"/>
      <c r="N189" s="78"/>
    </row>
    <row r="190" spans="1:20" s="36" customFormat="1" hidden="1">
      <c r="A190" s="133">
        <f>A189+1</f>
        <v>204</v>
      </c>
      <c r="B190" s="133"/>
      <c r="C190" s="77"/>
      <c r="D190" s="77"/>
      <c r="E190" s="77">
        <v>0</v>
      </c>
      <c r="F190" s="77">
        <f>D190+E190</f>
        <v>0</v>
      </c>
      <c r="G190" s="77">
        <v>0</v>
      </c>
      <c r="H190" s="77">
        <f>F190*(($H$140)+1)+(IF(G190&lt;101,G190,IF(G190&lt;201,G190/2,IF(G190&lt;=301,G190/3,G190/4))))</f>
        <v>0</v>
      </c>
      <c r="I190" s="78"/>
      <c r="N190" s="78"/>
    </row>
    <row r="191" spans="1:20" s="36" customFormat="1" hidden="1">
      <c r="A191" s="133">
        <f>A190+1</f>
        <v>205</v>
      </c>
      <c r="B191" s="133"/>
      <c r="C191" s="77"/>
      <c r="D191" s="77"/>
      <c r="E191" s="77">
        <v>0</v>
      </c>
      <c r="F191" s="77">
        <f>D191+E191</f>
        <v>0</v>
      </c>
      <c r="G191" s="77">
        <v>0</v>
      </c>
      <c r="H191" s="77">
        <f>F191*(($H$140)+1)+(IF(G191&lt;101,G191,IF(G191&lt;201,G191/2,IF(G191&lt;=301,G191/3,G191/4))))</f>
        <v>0</v>
      </c>
      <c r="I191" s="78"/>
      <c r="N191" s="78"/>
    </row>
    <row r="192" spans="1:20" s="36" customFormat="1" ht="15.75" hidden="1" customHeight="1">
      <c r="A192" s="127" t="s">
        <v>292</v>
      </c>
      <c r="B192" s="128"/>
      <c r="C192" s="128"/>
      <c r="D192" s="128"/>
      <c r="E192" s="128"/>
      <c r="F192" s="128"/>
      <c r="G192" s="128"/>
      <c r="H192" s="129"/>
      <c r="I192" s="78"/>
    </row>
    <row r="193" spans="1:9" s="36" customFormat="1" ht="15.75" hidden="1" customHeight="1">
      <c r="A193" s="125" t="str">
        <f ca="1">(SUMPRODUCT(MID(0&amp;(LEFT(A192,SUM(LEN(A192)-LEN(SUBSTITUTE(A192,{"0","1","2"},""))))),LARGE(INDEX(ISNUMBER(--MID((LEFT(A192,SUM(LEN(A192)-LEN(SUBSTITUTE(A192,{"0","1","2"},""))))),ROW(INDIRECT("1:"&amp;LEN((LEFT(A192,SUM(LEN(A192)-LEN(SUBSTITUTE(A192,{"0","1","2"},"")))))))),1))*ROW(INDIRECT("1:"&amp;LEN((LEFT(A192,SUM(LEN(A192)-LEN(SUBSTITUTE(A192,{"0","1","2"},"")))))))),0),ROW(INDIRECT("1:"&amp;LEN((LEFT(A192,SUM(LEN(A192)-LEN(SUBSTITUTE(A192,{"0","1","2"},"")))))))))+1,1)*10^ROW(INDIRECT("1:"&amp;LEN((LEFT(A192,SUM(LEN(A192)-LEN(SUBSTITUTE(A192,{"0","1","2"},""))))))))/10))*100+1&amp;""&amp;" ,.., "&amp;""&amp;(SUMPRODUCT(MID(0&amp;(--TRIM(RIGHT(SUBSTITUTE(LEFT(A192,_xlfn.AGGREGATE(16,6,FIND({0,1,2,3,4,5,6,7,8,9},A192,ROW(INDIRECT("1:"&amp;LEN(A192)))),1))," ",REPT(" ",LEN(A192))),LEN(A192)))),LARGE(INDEX(ISNUMBER(--MID((--TRIM(RIGHT(SUBSTITUTE(LEFT(A192,_xlfn.AGGREGATE(16,6,FIND({0,1,2,3,4,5,6,7,8,9},A192,ROW(INDIRECT("1:"&amp;LEN(A192)))),1))," ",REPT(" ",LEN(A192))),LEN(A192)))),ROW(INDIRECT("1:"&amp;LEN((--TRIM(RIGHT(SUBSTITUTE(LEFT(A192,_xlfn.AGGREGATE(16,6,FIND({0,1,2,3,4,5,6,7,8,9},A192,ROW(INDIRECT("1:"&amp;LEN(A192)))),1))," ",REPT(" ",LEN(A192))),LEN(A192))))))),1))*ROW(INDIRECT("1:"&amp;LEN((--TRIM(RIGHT(SUBSTITUTE(LEFT(A192,_xlfn.AGGREGATE(16,6,FIND({0,1,2,3,4,5,6,7,8,9},A192,ROW(INDIRECT("1:"&amp;LEN(A192)))),1))," ",REPT(" ",LEN(A192))),LEN(A192))))))),0),ROW(INDIRECT("1:"&amp;LEN((--TRIM(RIGHT(SUBSTITUTE(LEFT(A192,_xlfn.AGGREGATE(16,6,FIND({0,1,2,3,4,5,6,7,8,9},A192,ROW(INDIRECT("1:"&amp;LEN(A192)))),1))," ",REPT(" ",LEN(A192))),LEN(A192))))))))+1,1)*10^ROW(INDIRECT("1:"&amp;LEN((--TRIM(RIGHT(SUBSTITUTE(LEFT(A192,_xlfn.AGGREGATE(16,6,FIND({0,1,2,3,4,5,6,7,8,9},A192,ROW(INDIRECT("1:"&amp;LEN(A192)))),1))," ",REPT(" ",LEN(A192))),LEN(A192)))))))/10))*100+1</f>
        <v>301 ,.., 1501</v>
      </c>
      <c r="B193" s="126"/>
      <c r="C193" s="77"/>
      <c r="D193" s="77"/>
      <c r="E193" s="77">
        <v>0</v>
      </c>
      <c r="F193" s="77">
        <f>D193+E193</f>
        <v>0</v>
      </c>
      <c r="G193" s="77">
        <v>0</v>
      </c>
      <c r="H193" s="77">
        <f>F193*(($H$140)+1)+(IF(G193&lt;101,G193,IF(G193&lt;201,G193/2,IF(G193&lt;=301,G193/3,G193/4))))</f>
        <v>0</v>
      </c>
      <c r="I193" s="78"/>
    </row>
    <row r="194" spans="1:9" s="36" customFormat="1" ht="15.75" hidden="1" customHeight="1">
      <c r="A194" s="125" t="str">
        <f ca="1">(SUMPRODUCT(MID(0&amp;(LEFT(A193,SUM(LEN(A193)-LEN(SUBSTITUTE(A193,{"0","1","2"},""))))),LARGE(INDEX(ISNUMBER(--MID((LEFT(A193,SUM(LEN(A193)-LEN(SUBSTITUTE(A193,{"0","1","2"},""))))),ROW(INDIRECT("1:"&amp;LEN((LEFT(A193,SUM(LEN(A193)-LEN(SUBSTITUTE(A193,{"0","1","2"},"")))))))),1))*ROW(INDIRECT("1:"&amp;LEN((LEFT(A193,SUM(LEN(A193)-LEN(SUBSTITUTE(A193,{"0","1","2"},"")))))))),0),ROW(INDIRECT("1:"&amp;LEN((LEFT(A193,SUM(LEN(A193)-LEN(SUBSTITUTE(A193,{"0","1","2"},"")))))))))+1,1)*10^ROW(INDIRECT("1:"&amp;LEN((LEFT(A193,SUM(LEN(A193)-LEN(SUBSTITUTE(A193,{"0","1","2"},""))))))))/10))*1+1&amp;""&amp;" ,.., "&amp;""&amp;(SUMPRODUCT(MID(0&amp;(--TRIM(RIGHT(SUBSTITUTE(LEFT(A193,_xlfn.AGGREGATE(16,6,FIND({0,1,2,3,4,5,6,7,8,9},A193,ROW(INDIRECT("1:"&amp;LEN(A193)))),1))," ",REPT(" ",LEN(A193))),LEN(A193)))),LARGE(INDEX(ISNUMBER(--MID((--TRIM(RIGHT(SUBSTITUTE(LEFT(A193,_xlfn.AGGREGATE(16,6,FIND({0,1,2,3,4,5,6,7,8,9},A193,ROW(INDIRECT("1:"&amp;LEN(A193)))),1))," ",REPT(" ",LEN(A193))),LEN(A193)))),ROW(INDIRECT("1:"&amp;LEN((--TRIM(RIGHT(SUBSTITUTE(LEFT(A193,_xlfn.AGGREGATE(16,6,FIND({0,1,2,3,4,5,6,7,8,9},A193,ROW(INDIRECT("1:"&amp;LEN(A193)))),1))," ",REPT(" ",LEN(A193))),LEN(A193))))))),1))*ROW(INDIRECT("1:"&amp;LEN((--TRIM(RIGHT(SUBSTITUTE(LEFT(A193,_xlfn.AGGREGATE(16,6,FIND({0,1,2,3,4,5,6,7,8,9},A193,ROW(INDIRECT("1:"&amp;LEN(A193)))),1))," ",REPT(" ",LEN(A193))),LEN(A193))))))),0),ROW(INDIRECT("1:"&amp;LEN((--TRIM(RIGHT(SUBSTITUTE(LEFT(A193,_xlfn.AGGREGATE(16,6,FIND({0,1,2,3,4,5,6,7,8,9},A193,ROW(INDIRECT("1:"&amp;LEN(A193)))),1))," ",REPT(" ",LEN(A193))),LEN(A193))))))))+1,1)*10^ROW(INDIRECT("1:"&amp;LEN((--TRIM(RIGHT(SUBSTITUTE(LEFT(A193,_xlfn.AGGREGATE(16,6,FIND({0,1,2,3,4,5,6,7,8,9},A193,ROW(INDIRECT("1:"&amp;LEN(A193)))),1))," ",REPT(" ",LEN(A193))),LEN(A193)))))))/10))*1+1</f>
        <v>302 ,.., 1502</v>
      </c>
      <c r="B194" s="126"/>
      <c r="C194" s="77"/>
      <c r="D194" s="77"/>
      <c r="E194" s="77">
        <v>0</v>
      </c>
      <c r="F194" s="77">
        <f>D194+E194</f>
        <v>0</v>
      </c>
      <c r="G194" s="77">
        <v>0</v>
      </c>
      <c r="H194" s="77">
        <f>F194*(($H$140)+1)+(IF(G194&lt;101,G194,IF(G194&lt;201,G194/2,IF(G194&lt;=301,G194/3,G194/4))))</f>
        <v>0</v>
      </c>
      <c r="I194" s="78"/>
    </row>
    <row r="195" spans="1:9" s="36" customFormat="1" ht="15.75" hidden="1" customHeight="1">
      <c r="A195" s="125" t="str">
        <f ca="1">(SUMPRODUCT(MID(0&amp;(LEFT(A194,SUM(LEN(A194)-LEN(SUBSTITUTE(A194,{"0","1","2"},""))))),LARGE(INDEX(ISNUMBER(--MID((LEFT(A194,SUM(LEN(A194)-LEN(SUBSTITUTE(A194,{"0","1","2"},""))))),ROW(INDIRECT("1:"&amp;LEN((LEFT(A194,SUM(LEN(A194)-LEN(SUBSTITUTE(A194,{"0","1","2"},"")))))))),1))*ROW(INDIRECT("1:"&amp;LEN((LEFT(A194,SUM(LEN(A194)-LEN(SUBSTITUTE(A194,{"0","1","2"},"")))))))),0),ROW(INDIRECT("1:"&amp;LEN((LEFT(A194,SUM(LEN(A194)-LEN(SUBSTITUTE(A194,{"0","1","2"},"")))))))))+1,1)*10^ROW(INDIRECT("1:"&amp;LEN((LEFT(A194,SUM(LEN(A194)-LEN(SUBSTITUTE(A194,{"0","1","2"},""))))))))/10))*1+1&amp;""&amp;" ,.., "&amp;""&amp;(SUMPRODUCT(MID(0&amp;(--TRIM(RIGHT(SUBSTITUTE(LEFT(A194,_xlfn.AGGREGATE(16,6,FIND({0,1,2,3,4,5,6,7,8,9},A194,ROW(INDIRECT("1:"&amp;LEN(A194)))),1))," ",REPT(" ",LEN(A194))),LEN(A194)))),LARGE(INDEX(ISNUMBER(--MID((--TRIM(RIGHT(SUBSTITUTE(LEFT(A194,_xlfn.AGGREGATE(16,6,FIND({0,1,2,3,4,5,6,7,8,9},A194,ROW(INDIRECT("1:"&amp;LEN(A194)))),1))," ",REPT(" ",LEN(A194))),LEN(A194)))),ROW(INDIRECT("1:"&amp;LEN((--TRIM(RIGHT(SUBSTITUTE(LEFT(A194,_xlfn.AGGREGATE(16,6,FIND({0,1,2,3,4,5,6,7,8,9},A194,ROW(INDIRECT("1:"&amp;LEN(A194)))),1))," ",REPT(" ",LEN(A194))),LEN(A194))))))),1))*ROW(INDIRECT("1:"&amp;LEN((--TRIM(RIGHT(SUBSTITUTE(LEFT(A194,_xlfn.AGGREGATE(16,6,FIND({0,1,2,3,4,5,6,7,8,9},A194,ROW(INDIRECT("1:"&amp;LEN(A194)))),1))," ",REPT(" ",LEN(A194))),LEN(A194))))))),0),ROW(INDIRECT("1:"&amp;LEN((--TRIM(RIGHT(SUBSTITUTE(LEFT(A194,_xlfn.AGGREGATE(16,6,FIND({0,1,2,3,4,5,6,7,8,9},A194,ROW(INDIRECT("1:"&amp;LEN(A194)))),1))," ",REPT(" ",LEN(A194))),LEN(A194))))))))+1,1)*10^ROW(INDIRECT("1:"&amp;LEN((--TRIM(RIGHT(SUBSTITUTE(LEFT(A194,_xlfn.AGGREGATE(16,6,FIND({0,1,2,3,4,5,6,7,8,9},A194,ROW(INDIRECT("1:"&amp;LEN(A194)))),1))," ",REPT(" ",LEN(A194))),LEN(A194)))))))/10))*1+1</f>
        <v>303 ,.., 1503</v>
      </c>
      <c r="B195" s="126"/>
      <c r="C195" s="77"/>
      <c r="D195" s="77"/>
      <c r="E195" s="77">
        <v>0</v>
      </c>
      <c r="F195" s="77">
        <f>D195+E195</f>
        <v>0</v>
      </c>
      <c r="G195" s="77">
        <v>0</v>
      </c>
      <c r="H195" s="77">
        <f>F195*(($H$140)+1)+(IF(G195&lt;101,G195,IF(G195&lt;201,G195/2,IF(G195&lt;=301,G195/3,G195/4))))</f>
        <v>0</v>
      </c>
      <c r="I195" s="78"/>
    </row>
    <row r="196" spans="1:9" s="36" customFormat="1" ht="15.75" hidden="1" customHeight="1">
      <c r="A196" s="125" t="str">
        <f ca="1">(SUMPRODUCT(MID(0&amp;(LEFT(A195,SUM(LEN(A195)-LEN(SUBSTITUTE(A195,{"0","1","2"},""))))),LARGE(INDEX(ISNUMBER(--MID((LEFT(A195,SUM(LEN(A195)-LEN(SUBSTITUTE(A195,{"0","1","2"},""))))),ROW(INDIRECT("1:"&amp;LEN((LEFT(A195,SUM(LEN(A195)-LEN(SUBSTITUTE(A195,{"0","1","2"},"")))))))),1))*ROW(INDIRECT("1:"&amp;LEN((LEFT(A195,SUM(LEN(A195)-LEN(SUBSTITUTE(A195,{"0","1","2"},"")))))))),0),ROW(INDIRECT("1:"&amp;LEN((LEFT(A195,SUM(LEN(A195)-LEN(SUBSTITUTE(A195,{"0","1","2"},"")))))))))+1,1)*10^ROW(INDIRECT("1:"&amp;LEN((LEFT(A195,SUM(LEN(A195)-LEN(SUBSTITUTE(A195,{"0","1","2"},""))))))))/10))*1+1&amp;""&amp;" ,.., "&amp;""&amp;(SUMPRODUCT(MID(0&amp;(--TRIM(RIGHT(SUBSTITUTE(LEFT(A195,_xlfn.AGGREGATE(16,6,FIND({0,1,2,3,4,5,6,7,8,9},A195,ROW(INDIRECT("1:"&amp;LEN(A195)))),1))," ",REPT(" ",LEN(A195))),LEN(A195)))),LARGE(INDEX(ISNUMBER(--MID((--TRIM(RIGHT(SUBSTITUTE(LEFT(A195,_xlfn.AGGREGATE(16,6,FIND({0,1,2,3,4,5,6,7,8,9},A195,ROW(INDIRECT("1:"&amp;LEN(A195)))),1))," ",REPT(" ",LEN(A195))),LEN(A195)))),ROW(INDIRECT("1:"&amp;LEN((--TRIM(RIGHT(SUBSTITUTE(LEFT(A195,_xlfn.AGGREGATE(16,6,FIND({0,1,2,3,4,5,6,7,8,9},A195,ROW(INDIRECT("1:"&amp;LEN(A195)))),1))," ",REPT(" ",LEN(A195))),LEN(A195))))))),1))*ROW(INDIRECT("1:"&amp;LEN((--TRIM(RIGHT(SUBSTITUTE(LEFT(A195,_xlfn.AGGREGATE(16,6,FIND({0,1,2,3,4,5,6,7,8,9},A195,ROW(INDIRECT("1:"&amp;LEN(A195)))),1))," ",REPT(" ",LEN(A195))),LEN(A195))))))),0),ROW(INDIRECT("1:"&amp;LEN((--TRIM(RIGHT(SUBSTITUTE(LEFT(A195,_xlfn.AGGREGATE(16,6,FIND({0,1,2,3,4,5,6,7,8,9},A195,ROW(INDIRECT("1:"&amp;LEN(A195)))),1))," ",REPT(" ",LEN(A195))),LEN(A195))))))))+1,1)*10^ROW(INDIRECT("1:"&amp;LEN((--TRIM(RIGHT(SUBSTITUTE(LEFT(A195,_xlfn.AGGREGATE(16,6,FIND({0,1,2,3,4,5,6,7,8,9},A195,ROW(INDIRECT("1:"&amp;LEN(A195)))),1))," ",REPT(" ",LEN(A195))),LEN(A195)))))))/10))*1+1</f>
        <v>304 ,.., 1504</v>
      </c>
      <c r="B196" s="126"/>
      <c r="C196" s="77"/>
      <c r="D196" s="77"/>
      <c r="E196" s="77">
        <v>0</v>
      </c>
      <c r="F196" s="77">
        <f>D196+E196</f>
        <v>0</v>
      </c>
      <c r="G196" s="77">
        <v>0</v>
      </c>
      <c r="H196" s="77">
        <f>F196*(($H$140)+1)+(IF(G196&lt;101,G196,IF(G196&lt;201,G196/2,IF(G196&lt;=301,G196/3,G196/4))))</f>
        <v>0</v>
      </c>
      <c r="I196" s="78"/>
    </row>
    <row r="197" spans="1:9" s="36" customFormat="1" ht="15.75" hidden="1" customHeight="1">
      <c r="A197" s="125" t="str">
        <f ca="1">(SUMPRODUCT(MID(0&amp;(LEFT(A196,SUM(LEN(A196)-LEN(SUBSTITUTE(A196,{"0","1","2"},""))))),LARGE(INDEX(ISNUMBER(--MID((LEFT(A196,SUM(LEN(A196)-LEN(SUBSTITUTE(A196,{"0","1","2"},""))))),ROW(INDIRECT("1:"&amp;LEN((LEFT(A196,SUM(LEN(A196)-LEN(SUBSTITUTE(A196,{"0","1","2"},"")))))))),1))*ROW(INDIRECT("1:"&amp;LEN((LEFT(A196,SUM(LEN(A196)-LEN(SUBSTITUTE(A196,{"0","1","2"},"")))))))),0),ROW(INDIRECT("1:"&amp;LEN((LEFT(A196,SUM(LEN(A196)-LEN(SUBSTITUTE(A196,{"0","1","2"},"")))))))))+1,1)*10^ROW(INDIRECT("1:"&amp;LEN((LEFT(A196,SUM(LEN(A196)-LEN(SUBSTITUTE(A196,{"0","1","2"},""))))))))/10))*1+1&amp;""&amp;" ,.., "&amp;""&amp;(SUMPRODUCT(MID(0&amp;(--TRIM(RIGHT(SUBSTITUTE(LEFT(A196,_xlfn.AGGREGATE(16,6,FIND({0,1,2,3,4,5,6,7,8,9},A196,ROW(INDIRECT("1:"&amp;LEN(A196)))),1))," ",REPT(" ",LEN(A196))),LEN(A196)))),LARGE(INDEX(ISNUMBER(--MID((--TRIM(RIGHT(SUBSTITUTE(LEFT(A196,_xlfn.AGGREGATE(16,6,FIND({0,1,2,3,4,5,6,7,8,9},A196,ROW(INDIRECT("1:"&amp;LEN(A196)))),1))," ",REPT(" ",LEN(A196))),LEN(A196)))),ROW(INDIRECT("1:"&amp;LEN((--TRIM(RIGHT(SUBSTITUTE(LEFT(A196,_xlfn.AGGREGATE(16,6,FIND({0,1,2,3,4,5,6,7,8,9},A196,ROW(INDIRECT("1:"&amp;LEN(A196)))),1))," ",REPT(" ",LEN(A196))),LEN(A196))))))),1))*ROW(INDIRECT("1:"&amp;LEN((--TRIM(RIGHT(SUBSTITUTE(LEFT(A196,_xlfn.AGGREGATE(16,6,FIND({0,1,2,3,4,5,6,7,8,9},A196,ROW(INDIRECT("1:"&amp;LEN(A196)))),1))," ",REPT(" ",LEN(A196))),LEN(A196))))))),0),ROW(INDIRECT("1:"&amp;LEN((--TRIM(RIGHT(SUBSTITUTE(LEFT(A196,_xlfn.AGGREGATE(16,6,FIND({0,1,2,3,4,5,6,7,8,9},A196,ROW(INDIRECT("1:"&amp;LEN(A196)))),1))," ",REPT(" ",LEN(A196))),LEN(A196))))))))+1,1)*10^ROW(INDIRECT("1:"&amp;LEN((--TRIM(RIGHT(SUBSTITUTE(LEFT(A196,_xlfn.AGGREGATE(16,6,FIND({0,1,2,3,4,5,6,7,8,9},A196,ROW(INDIRECT("1:"&amp;LEN(A196)))),1))," ",REPT(" ",LEN(A196))),LEN(A196)))))))/10))*1+1</f>
        <v>305 ,.., 1505</v>
      </c>
      <c r="B197" s="126"/>
      <c r="C197" s="77"/>
      <c r="D197" s="77"/>
      <c r="E197" s="77">
        <v>0</v>
      </c>
      <c r="F197" s="77">
        <f>D197+E197</f>
        <v>0</v>
      </c>
      <c r="G197" s="77">
        <v>0</v>
      </c>
      <c r="H197" s="77">
        <f>F197*(($H$140)+1)+(IF(G197&lt;101,G197,IF(G197&lt;201,G197/2,IF(G197&lt;=301,G197/3,G197/4))))</f>
        <v>0</v>
      </c>
      <c r="I197" s="78"/>
    </row>
    <row r="198" spans="1:9" s="36" customFormat="1" hidden="1">
      <c r="A198" s="127" t="s">
        <v>293</v>
      </c>
      <c r="B198" s="128"/>
      <c r="C198" s="128"/>
      <c r="D198" s="128"/>
      <c r="E198" s="128"/>
      <c r="F198" s="128"/>
      <c r="G198" s="128"/>
      <c r="H198" s="129"/>
      <c r="I198" s="78"/>
    </row>
    <row r="199" spans="1:9" s="36" customFormat="1" ht="15.75" hidden="1" customHeight="1">
      <c r="A199" s="125" t="str">
        <f ca="1">(SUMPRODUCT(MID(0&amp;(LEFT(A198,SUM(LEN(A198)-LEN(SUBSTITUTE(A198,{"0","1","2"},""))))),LARGE(INDEX(ISNUMBER(--MID((LEFT(A198,SUM(LEN(A198)-LEN(SUBSTITUTE(A198,{"0","1","2"},""))))),ROW(INDIRECT("1:"&amp;LEN((LEFT(A198,SUM(LEN(A198)-LEN(SUBSTITUTE(A198,{"0","1","2"},"")))))))),1))*ROW(INDIRECT("1:"&amp;LEN((LEFT(A198,SUM(LEN(A198)-LEN(SUBSTITUTE(A198,{"0","1","2"},"")))))))),0),ROW(INDIRECT("1:"&amp;LEN((LEFT(A198,SUM(LEN(A198)-LEN(SUBSTITUTE(A198,{"0","1","2"},"")))))))))+1,1)*10^ROW(INDIRECT("1:"&amp;LEN((LEFT(A198,SUM(LEN(A198)-LEN(SUBSTITUTE(A198,{"0","1","2"},""))))))))/10))*100+1&amp;""&amp;" to "&amp;""&amp;(SUMPRODUCT(MID(0&amp;(--TRIM(RIGHT(SUBSTITUTE(LEFT(A198,_xlfn.AGGREGATE(16,6,FIND({0,1,2,3,4,5,6,7,8,9},A198,ROW(INDIRECT("1:"&amp;LEN(A198)))),1))," ",REPT(" ",LEN(A198))),LEN(A198)))),LARGE(INDEX(ISNUMBER(--MID((--TRIM(RIGHT(SUBSTITUTE(LEFT(A198,_xlfn.AGGREGATE(16,6,FIND({0,1,2,3,4,5,6,7,8,9},A198,ROW(INDIRECT("1:"&amp;LEN(A198)))),1))," ",REPT(" ",LEN(A198))),LEN(A198)))),ROW(INDIRECT("1:"&amp;LEN((--TRIM(RIGHT(SUBSTITUTE(LEFT(A198,_xlfn.AGGREGATE(16,6,FIND({0,1,2,3,4,5,6,7,8,9},A198,ROW(INDIRECT("1:"&amp;LEN(A198)))),1))," ",REPT(" ",LEN(A198))),LEN(A198))))))),1))*ROW(INDIRECT("1:"&amp;LEN((--TRIM(RIGHT(SUBSTITUTE(LEFT(A198,_xlfn.AGGREGATE(16,6,FIND({0,1,2,3,4,5,6,7,8,9},A198,ROW(INDIRECT("1:"&amp;LEN(A198)))),1))," ",REPT(" ",LEN(A198))),LEN(A198))))))),0),ROW(INDIRECT("1:"&amp;LEN((--TRIM(RIGHT(SUBSTITUTE(LEFT(A198,_xlfn.AGGREGATE(16,6,FIND({0,1,2,3,4,5,6,7,8,9},A198,ROW(INDIRECT("1:"&amp;LEN(A198)))),1))," ",REPT(" ",LEN(A198))),LEN(A198))))))))+1,1)*10^ROW(INDIRECT("1:"&amp;LEN((--TRIM(RIGHT(SUBSTITUTE(LEFT(A198,_xlfn.AGGREGATE(16,6,FIND({0,1,2,3,4,5,6,7,8,9},A198,ROW(INDIRECT("1:"&amp;LEN(A198)))),1))," ",REPT(" ",LEN(A198))),LEN(A198)))))))/10))*100+1</f>
        <v>201 to 501</v>
      </c>
      <c r="B199" s="126"/>
      <c r="C199" s="77"/>
      <c r="D199" s="77"/>
      <c r="E199" s="77">
        <v>0</v>
      </c>
      <c r="F199" s="77">
        <f>D199+E199</f>
        <v>0</v>
      </c>
      <c r="G199" s="77">
        <v>0</v>
      </c>
      <c r="H199" s="77">
        <f>F199*(($H$140)+1)+(IF(G199&lt;101,G199,IF(G199&lt;201,G199/2,IF(G199&lt;=301,G199/3,G199/4))))</f>
        <v>0</v>
      </c>
      <c r="I199" s="78"/>
    </row>
    <row r="200" spans="1:9" s="36" customFormat="1" ht="15.75" hidden="1" customHeight="1">
      <c r="A200" s="125" t="str">
        <f ca="1">(SUMPRODUCT(MID(0&amp;(LEFT(A199,SUM(LEN(A199)-LEN(SUBSTITUTE(A199,{"0","1","2"},""))))),LARGE(INDEX(ISNUMBER(--MID((LEFT(A199,SUM(LEN(A199)-LEN(SUBSTITUTE(A199,{"0","1","2"},""))))),ROW(INDIRECT("1:"&amp;LEN((LEFT(A199,SUM(LEN(A199)-LEN(SUBSTITUTE(A199,{"0","1","2"},"")))))))),1))*ROW(INDIRECT("1:"&amp;LEN((LEFT(A199,SUM(LEN(A199)-LEN(SUBSTITUTE(A199,{"0","1","2"},"")))))))),0),ROW(INDIRECT("1:"&amp;LEN((LEFT(A199,SUM(LEN(A199)-LEN(SUBSTITUTE(A199,{"0","1","2"},"")))))))))+1,1)*10^ROW(INDIRECT("1:"&amp;LEN((LEFT(A199,SUM(LEN(A199)-LEN(SUBSTITUTE(A199,{"0","1","2"},""))))))))/10))*1+1&amp;""&amp;" to "&amp;""&amp;(SUMPRODUCT(MID(0&amp;(--TRIM(RIGHT(SUBSTITUTE(LEFT(A199,_xlfn.AGGREGATE(16,6,FIND({0,1,2,3,4,5,6,7,8,9},A199,ROW(INDIRECT("1:"&amp;LEN(A199)))),1))," ",REPT(" ",LEN(A199))),LEN(A199)))),LARGE(INDEX(ISNUMBER(--MID((--TRIM(RIGHT(SUBSTITUTE(LEFT(A199,_xlfn.AGGREGATE(16,6,FIND({0,1,2,3,4,5,6,7,8,9},A199,ROW(INDIRECT("1:"&amp;LEN(A199)))),1))," ",REPT(" ",LEN(A199))),LEN(A199)))),ROW(INDIRECT("1:"&amp;LEN((--TRIM(RIGHT(SUBSTITUTE(LEFT(A199,_xlfn.AGGREGATE(16,6,FIND({0,1,2,3,4,5,6,7,8,9},A199,ROW(INDIRECT("1:"&amp;LEN(A199)))),1))," ",REPT(" ",LEN(A199))),LEN(A199))))))),1))*ROW(INDIRECT("1:"&amp;LEN((--TRIM(RIGHT(SUBSTITUTE(LEFT(A199,_xlfn.AGGREGATE(16,6,FIND({0,1,2,3,4,5,6,7,8,9},A199,ROW(INDIRECT("1:"&amp;LEN(A199)))),1))," ",REPT(" ",LEN(A199))),LEN(A199))))))),0),ROW(INDIRECT("1:"&amp;LEN((--TRIM(RIGHT(SUBSTITUTE(LEFT(A199,_xlfn.AGGREGATE(16,6,FIND({0,1,2,3,4,5,6,7,8,9},A199,ROW(INDIRECT("1:"&amp;LEN(A199)))),1))," ",REPT(" ",LEN(A199))),LEN(A199))))))))+1,1)*10^ROW(INDIRECT("1:"&amp;LEN((--TRIM(RIGHT(SUBSTITUTE(LEFT(A199,_xlfn.AGGREGATE(16,6,FIND({0,1,2,3,4,5,6,7,8,9},A199,ROW(INDIRECT("1:"&amp;LEN(A199)))),1))," ",REPT(" ",LEN(A199))),LEN(A199)))))))/10))*1+1</f>
        <v>202 to 502</v>
      </c>
      <c r="B200" s="126"/>
      <c r="C200" s="77"/>
      <c r="D200" s="77"/>
      <c r="E200" s="77">
        <v>0</v>
      </c>
      <c r="F200" s="77">
        <f>D200+E200</f>
        <v>0</v>
      </c>
      <c r="G200" s="77">
        <v>0</v>
      </c>
      <c r="H200" s="77">
        <f>F200*(($H$140)+1)+(IF(G200&lt;101,G200,IF(G200&lt;201,G200/2,IF(G200&lt;=301,G200/3,G200/4))))</f>
        <v>0</v>
      </c>
      <c r="I200" s="78"/>
    </row>
    <row r="201" spans="1:9" s="36" customFormat="1" ht="15.75" hidden="1" customHeight="1">
      <c r="A201" s="125" t="str">
        <f ca="1">(SUMPRODUCT(MID(0&amp;(LEFT(A200,SUM(LEN(A200)-LEN(SUBSTITUTE(A200,{"0","1","2"},""))))),LARGE(INDEX(ISNUMBER(--MID((LEFT(A200,SUM(LEN(A200)-LEN(SUBSTITUTE(A200,{"0","1","2"},""))))),ROW(INDIRECT("1:"&amp;LEN((LEFT(A200,SUM(LEN(A200)-LEN(SUBSTITUTE(A200,{"0","1","2"},"")))))))),1))*ROW(INDIRECT("1:"&amp;LEN((LEFT(A200,SUM(LEN(A200)-LEN(SUBSTITUTE(A200,{"0","1","2"},"")))))))),0),ROW(INDIRECT("1:"&amp;LEN((LEFT(A200,SUM(LEN(A200)-LEN(SUBSTITUTE(A200,{"0","1","2"},"")))))))))+1,1)*10^ROW(INDIRECT("1:"&amp;LEN((LEFT(A200,SUM(LEN(A200)-LEN(SUBSTITUTE(A200,{"0","1","2"},""))))))))/10))*1+1&amp;""&amp;" to "&amp;""&amp;(SUMPRODUCT(MID(0&amp;(--TRIM(RIGHT(SUBSTITUTE(LEFT(A200,_xlfn.AGGREGATE(16,6,FIND({0,1,2,3,4,5,6,7,8,9},A200,ROW(INDIRECT("1:"&amp;LEN(A200)))),1))," ",REPT(" ",LEN(A200))),LEN(A200)))),LARGE(INDEX(ISNUMBER(--MID((--TRIM(RIGHT(SUBSTITUTE(LEFT(A200,_xlfn.AGGREGATE(16,6,FIND({0,1,2,3,4,5,6,7,8,9},A200,ROW(INDIRECT("1:"&amp;LEN(A200)))),1))," ",REPT(" ",LEN(A200))),LEN(A200)))),ROW(INDIRECT("1:"&amp;LEN((--TRIM(RIGHT(SUBSTITUTE(LEFT(A200,_xlfn.AGGREGATE(16,6,FIND({0,1,2,3,4,5,6,7,8,9},A200,ROW(INDIRECT("1:"&amp;LEN(A200)))),1))," ",REPT(" ",LEN(A200))),LEN(A200))))))),1))*ROW(INDIRECT("1:"&amp;LEN((--TRIM(RIGHT(SUBSTITUTE(LEFT(A200,_xlfn.AGGREGATE(16,6,FIND({0,1,2,3,4,5,6,7,8,9},A200,ROW(INDIRECT("1:"&amp;LEN(A200)))),1))," ",REPT(" ",LEN(A200))),LEN(A200))))))),0),ROW(INDIRECT("1:"&amp;LEN((--TRIM(RIGHT(SUBSTITUTE(LEFT(A200,_xlfn.AGGREGATE(16,6,FIND({0,1,2,3,4,5,6,7,8,9},A200,ROW(INDIRECT("1:"&amp;LEN(A200)))),1))," ",REPT(" ",LEN(A200))),LEN(A200))))))))+1,1)*10^ROW(INDIRECT("1:"&amp;LEN((--TRIM(RIGHT(SUBSTITUTE(LEFT(A200,_xlfn.AGGREGATE(16,6,FIND({0,1,2,3,4,5,6,7,8,9},A200,ROW(INDIRECT("1:"&amp;LEN(A200)))),1))," ",REPT(" ",LEN(A200))),LEN(A200)))))))/10))*1+1</f>
        <v>203 to 503</v>
      </c>
      <c r="B201" s="126"/>
      <c r="C201" s="77"/>
      <c r="D201" s="77"/>
      <c r="E201" s="77">
        <v>0</v>
      </c>
      <c r="F201" s="77">
        <f>D201+E201</f>
        <v>0</v>
      </c>
      <c r="G201" s="77">
        <v>0</v>
      </c>
      <c r="H201" s="77">
        <f>F201*(($H$140)+1)+(IF(G201&lt;101,G201,IF(G201&lt;201,G201/2,IF(G201&lt;=301,G201/3,G201/4))))</f>
        <v>0</v>
      </c>
      <c r="I201" s="78"/>
    </row>
    <row r="202" spans="1:9" s="36" customFormat="1" ht="15.75" hidden="1" customHeight="1">
      <c r="A202" s="125" t="str">
        <f ca="1">(SUMPRODUCT(MID(0&amp;(LEFT(A201,SUM(LEN(A201)-LEN(SUBSTITUTE(A201,{"0","1","2"},""))))),LARGE(INDEX(ISNUMBER(--MID((LEFT(A201,SUM(LEN(A201)-LEN(SUBSTITUTE(A201,{"0","1","2"},""))))),ROW(INDIRECT("1:"&amp;LEN((LEFT(A201,SUM(LEN(A201)-LEN(SUBSTITUTE(A201,{"0","1","2"},"")))))))),1))*ROW(INDIRECT("1:"&amp;LEN((LEFT(A201,SUM(LEN(A201)-LEN(SUBSTITUTE(A201,{"0","1","2"},"")))))))),0),ROW(INDIRECT("1:"&amp;LEN((LEFT(A201,SUM(LEN(A201)-LEN(SUBSTITUTE(A201,{"0","1","2"},"")))))))))+1,1)*10^ROW(INDIRECT("1:"&amp;LEN((LEFT(A201,SUM(LEN(A201)-LEN(SUBSTITUTE(A201,{"0","1","2"},""))))))))/10))*1+1&amp;""&amp;" to "&amp;""&amp;(SUMPRODUCT(MID(0&amp;(--TRIM(RIGHT(SUBSTITUTE(LEFT(A201,_xlfn.AGGREGATE(16,6,FIND({0,1,2,3,4,5,6,7,8,9},A201,ROW(INDIRECT("1:"&amp;LEN(A201)))),1))," ",REPT(" ",LEN(A201))),LEN(A201)))),LARGE(INDEX(ISNUMBER(--MID((--TRIM(RIGHT(SUBSTITUTE(LEFT(A201,_xlfn.AGGREGATE(16,6,FIND({0,1,2,3,4,5,6,7,8,9},A201,ROW(INDIRECT("1:"&amp;LEN(A201)))),1))," ",REPT(" ",LEN(A201))),LEN(A201)))),ROW(INDIRECT("1:"&amp;LEN((--TRIM(RIGHT(SUBSTITUTE(LEFT(A201,_xlfn.AGGREGATE(16,6,FIND({0,1,2,3,4,5,6,7,8,9},A201,ROW(INDIRECT("1:"&amp;LEN(A201)))),1))," ",REPT(" ",LEN(A201))),LEN(A201))))))),1))*ROW(INDIRECT("1:"&amp;LEN((--TRIM(RIGHT(SUBSTITUTE(LEFT(A201,_xlfn.AGGREGATE(16,6,FIND({0,1,2,3,4,5,6,7,8,9},A201,ROW(INDIRECT("1:"&amp;LEN(A201)))),1))," ",REPT(" ",LEN(A201))),LEN(A201))))))),0),ROW(INDIRECT("1:"&amp;LEN((--TRIM(RIGHT(SUBSTITUTE(LEFT(A201,_xlfn.AGGREGATE(16,6,FIND({0,1,2,3,4,5,6,7,8,9},A201,ROW(INDIRECT("1:"&amp;LEN(A201)))),1))," ",REPT(" ",LEN(A201))),LEN(A201))))))))+1,1)*10^ROW(INDIRECT("1:"&amp;LEN((--TRIM(RIGHT(SUBSTITUTE(LEFT(A201,_xlfn.AGGREGATE(16,6,FIND({0,1,2,3,4,5,6,7,8,9},A201,ROW(INDIRECT("1:"&amp;LEN(A201)))),1))," ",REPT(" ",LEN(A201))),LEN(A201)))))))/10))*1+1</f>
        <v>204 to 504</v>
      </c>
      <c r="B202" s="126"/>
      <c r="C202" s="77"/>
      <c r="D202" s="77"/>
      <c r="E202" s="77">
        <v>0</v>
      </c>
      <c r="F202" s="77">
        <f>D202+E202</f>
        <v>0</v>
      </c>
      <c r="G202" s="77">
        <v>0</v>
      </c>
      <c r="H202" s="77">
        <f>F202*(($H$140)+1)+(IF(G202&lt;101,G202,IF(G202&lt;201,G202/2,IF(G202&lt;=301,G202/3,G202/4))))</f>
        <v>0</v>
      </c>
      <c r="I202" s="78"/>
    </row>
    <row r="203" spans="1:9" s="36" customFormat="1" ht="15.75" hidden="1" customHeight="1">
      <c r="A203" s="125" t="str">
        <f ca="1">(SUMPRODUCT(MID(0&amp;(LEFT(A202,SUM(LEN(A202)-LEN(SUBSTITUTE(A202,{"0","1","2"},""))))),LARGE(INDEX(ISNUMBER(--MID((LEFT(A202,SUM(LEN(A202)-LEN(SUBSTITUTE(A202,{"0","1","2"},""))))),ROW(INDIRECT("1:"&amp;LEN((LEFT(A202,SUM(LEN(A202)-LEN(SUBSTITUTE(A202,{"0","1","2"},"")))))))),1))*ROW(INDIRECT("1:"&amp;LEN((LEFT(A202,SUM(LEN(A202)-LEN(SUBSTITUTE(A202,{"0","1","2"},"")))))))),0),ROW(INDIRECT("1:"&amp;LEN((LEFT(A202,SUM(LEN(A202)-LEN(SUBSTITUTE(A202,{"0","1","2"},"")))))))))+1,1)*10^ROW(INDIRECT("1:"&amp;LEN((LEFT(A202,SUM(LEN(A202)-LEN(SUBSTITUTE(A202,{"0","1","2"},""))))))))/10))*1+1&amp;""&amp;" to "&amp;""&amp;(SUMPRODUCT(MID(0&amp;(--TRIM(RIGHT(SUBSTITUTE(LEFT(A202,_xlfn.AGGREGATE(16,6,FIND({0,1,2,3,4,5,6,7,8,9},A202,ROW(INDIRECT("1:"&amp;LEN(A202)))),1))," ",REPT(" ",LEN(A202))),LEN(A202)))),LARGE(INDEX(ISNUMBER(--MID((--TRIM(RIGHT(SUBSTITUTE(LEFT(A202,_xlfn.AGGREGATE(16,6,FIND({0,1,2,3,4,5,6,7,8,9},A202,ROW(INDIRECT("1:"&amp;LEN(A202)))),1))," ",REPT(" ",LEN(A202))),LEN(A202)))),ROW(INDIRECT("1:"&amp;LEN((--TRIM(RIGHT(SUBSTITUTE(LEFT(A202,_xlfn.AGGREGATE(16,6,FIND({0,1,2,3,4,5,6,7,8,9},A202,ROW(INDIRECT("1:"&amp;LEN(A202)))),1))," ",REPT(" ",LEN(A202))),LEN(A202))))))),1))*ROW(INDIRECT("1:"&amp;LEN((--TRIM(RIGHT(SUBSTITUTE(LEFT(A202,_xlfn.AGGREGATE(16,6,FIND({0,1,2,3,4,5,6,7,8,9},A202,ROW(INDIRECT("1:"&amp;LEN(A202)))),1))," ",REPT(" ",LEN(A202))),LEN(A202))))))),0),ROW(INDIRECT("1:"&amp;LEN((--TRIM(RIGHT(SUBSTITUTE(LEFT(A202,_xlfn.AGGREGATE(16,6,FIND({0,1,2,3,4,5,6,7,8,9},A202,ROW(INDIRECT("1:"&amp;LEN(A202)))),1))," ",REPT(" ",LEN(A202))),LEN(A202))))))))+1,1)*10^ROW(INDIRECT("1:"&amp;LEN((--TRIM(RIGHT(SUBSTITUTE(LEFT(A202,_xlfn.AGGREGATE(16,6,FIND({0,1,2,3,4,5,6,7,8,9},A202,ROW(INDIRECT("1:"&amp;LEN(A202)))),1))," ",REPT(" ",LEN(A202))),LEN(A202)))))))/10))*1+1</f>
        <v>205 to 505</v>
      </c>
      <c r="B203" s="126"/>
      <c r="C203" s="77"/>
      <c r="D203" s="77"/>
      <c r="E203" s="77">
        <v>0</v>
      </c>
      <c r="F203" s="77">
        <f>D203+E203</f>
        <v>0</v>
      </c>
      <c r="G203" s="77">
        <v>0</v>
      </c>
      <c r="H203" s="77">
        <f>F203*(($H$140)+1)+(IF(G203&lt;101,G203,IF(G203&lt;201,G203/2,IF(G203&lt;=301,G203/3,G203/4))))</f>
        <v>0</v>
      </c>
      <c r="I203" s="78"/>
    </row>
    <row r="204" spans="1:9" s="36" customFormat="1" hidden="1">
      <c r="A204" s="127" t="s">
        <v>294</v>
      </c>
      <c r="B204" s="128"/>
      <c r="C204" s="128"/>
      <c r="D204" s="128"/>
      <c r="E204" s="128"/>
      <c r="F204" s="128"/>
      <c r="G204" s="128"/>
      <c r="H204" s="129"/>
      <c r="I204" s="78"/>
    </row>
    <row r="205" spans="1:9" s="36" customFormat="1" ht="15.75" hidden="1" customHeight="1">
      <c r="A205" s="125" t="str">
        <f ca="1">(SUMPRODUCT(MID(0&amp;(LEFT(A204,SUM(LEN(A204)-LEN(SUBSTITUTE(A204,{"0","1","2"},""))))),LARGE(INDEX(ISNUMBER(--MID((LEFT(A204,SUM(LEN(A204)-LEN(SUBSTITUTE(A204,{"0","1","2"},""))))),ROW(INDIRECT("1:"&amp;LEN((LEFT(A204,SUM(LEN(A204)-LEN(SUBSTITUTE(A204,{"0","1","2"},"")))))))),1))*ROW(INDIRECT("1:"&amp;LEN((LEFT(A204,SUM(LEN(A204)-LEN(SUBSTITUTE(A204,{"0","1","2"},"")))))))),0),ROW(INDIRECT("1:"&amp;LEN((LEFT(A204,SUM(LEN(A204)-LEN(SUBSTITUTE(A204,{"0","1","2"},"")))))))))+1,1)*10^ROW(INDIRECT("1:"&amp;LEN((LEFT(A204,SUM(LEN(A204)-LEN(SUBSTITUTE(A204,{"0","1","2"},""))))))))/10))*100+1&amp;""&amp;" &amp; "&amp;""&amp;(SUMPRODUCT(MID(0&amp;(--TRIM(RIGHT(SUBSTITUTE(LEFT(A204,_xlfn.AGGREGATE(16,6,FIND({0,1,2,3,4,5,6,7,8,9},A204,ROW(INDIRECT("1:"&amp;LEN(A204)))),1))," ",REPT(" ",LEN(A204))),LEN(A204)))),LARGE(INDEX(ISNUMBER(--MID((--TRIM(RIGHT(SUBSTITUTE(LEFT(A204,_xlfn.AGGREGATE(16,6,FIND({0,1,2,3,4,5,6,7,8,9},A204,ROW(INDIRECT("1:"&amp;LEN(A204)))),1))," ",REPT(" ",LEN(A204))),LEN(A204)))),ROW(INDIRECT("1:"&amp;LEN((--TRIM(RIGHT(SUBSTITUTE(LEFT(A204,_xlfn.AGGREGATE(16,6,FIND({0,1,2,3,4,5,6,7,8,9},A204,ROW(INDIRECT("1:"&amp;LEN(A204)))),1))," ",REPT(" ",LEN(A204))),LEN(A204))))))),1))*ROW(INDIRECT("1:"&amp;LEN((--TRIM(RIGHT(SUBSTITUTE(LEFT(A204,_xlfn.AGGREGATE(16,6,FIND({0,1,2,3,4,5,6,7,8,9},A204,ROW(INDIRECT("1:"&amp;LEN(A204)))),1))," ",REPT(" ",LEN(A204))),LEN(A204))))))),0),ROW(INDIRECT("1:"&amp;LEN((--TRIM(RIGHT(SUBSTITUTE(LEFT(A204,_xlfn.AGGREGATE(16,6,FIND({0,1,2,3,4,5,6,7,8,9},A204,ROW(INDIRECT("1:"&amp;LEN(A204)))),1))," ",REPT(" ",LEN(A204))),LEN(A204))))))))+1,1)*10^ROW(INDIRECT("1:"&amp;LEN((--TRIM(RIGHT(SUBSTITUTE(LEFT(A204,_xlfn.AGGREGATE(16,6,FIND({0,1,2,3,4,5,6,7,8,9},A204,ROW(INDIRECT("1:"&amp;LEN(A204)))),1))," ",REPT(" ",LEN(A204))),LEN(A204)))))))/10))*100+1</f>
        <v>201 &amp; 501</v>
      </c>
      <c r="B205" s="126"/>
      <c r="C205" s="77"/>
      <c r="D205" s="77"/>
      <c r="E205" s="77">
        <v>0</v>
      </c>
      <c r="F205" s="77">
        <f>D205+E205</f>
        <v>0</v>
      </c>
      <c r="G205" s="77">
        <v>0</v>
      </c>
      <c r="H205" s="77">
        <f>F205*(($H$140)+1)+(IF(G205&lt;101,G205,IF(G205&lt;201,G205/2,IF(G205&lt;=301,G205/3,G205/4))))</f>
        <v>0</v>
      </c>
      <c r="I205" s="78"/>
    </row>
    <row r="206" spans="1:9" s="36" customFormat="1" ht="15.75" hidden="1" customHeight="1">
      <c r="A206" s="125" t="str">
        <f ca="1">(SUMPRODUCT(MID(0&amp;(LEFT(A205,SUM(LEN(A205)-LEN(SUBSTITUTE(A205,{"0","1","2"},""))))),LARGE(INDEX(ISNUMBER(--MID((LEFT(A205,SUM(LEN(A205)-LEN(SUBSTITUTE(A205,{"0","1","2"},""))))),ROW(INDIRECT("1:"&amp;LEN((LEFT(A205,SUM(LEN(A205)-LEN(SUBSTITUTE(A205,{"0","1","2"},"")))))))),1))*ROW(INDIRECT("1:"&amp;LEN((LEFT(A205,SUM(LEN(A205)-LEN(SUBSTITUTE(A205,{"0","1","2"},"")))))))),0),ROW(INDIRECT("1:"&amp;LEN((LEFT(A205,SUM(LEN(A205)-LEN(SUBSTITUTE(A205,{"0","1","2"},"")))))))))+1,1)*10^ROW(INDIRECT("1:"&amp;LEN((LEFT(A205,SUM(LEN(A205)-LEN(SUBSTITUTE(A205,{"0","1","2"},""))))))))/10))*1+1&amp;""&amp;" &amp; "&amp;""&amp;(SUMPRODUCT(MID(0&amp;(--TRIM(RIGHT(SUBSTITUTE(LEFT(A205,_xlfn.AGGREGATE(16,6,FIND({0,1,2,3,4,5,6,7,8,9},A205,ROW(INDIRECT("1:"&amp;LEN(A205)))),1))," ",REPT(" ",LEN(A205))),LEN(A205)))),LARGE(INDEX(ISNUMBER(--MID((--TRIM(RIGHT(SUBSTITUTE(LEFT(A205,_xlfn.AGGREGATE(16,6,FIND({0,1,2,3,4,5,6,7,8,9},A205,ROW(INDIRECT("1:"&amp;LEN(A205)))),1))," ",REPT(" ",LEN(A205))),LEN(A205)))),ROW(INDIRECT("1:"&amp;LEN((--TRIM(RIGHT(SUBSTITUTE(LEFT(A205,_xlfn.AGGREGATE(16,6,FIND({0,1,2,3,4,5,6,7,8,9},A205,ROW(INDIRECT("1:"&amp;LEN(A205)))),1))," ",REPT(" ",LEN(A205))),LEN(A205))))))),1))*ROW(INDIRECT("1:"&amp;LEN((--TRIM(RIGHT(SUBSTITUTE(LEFT(A205,_xlfn.AGGREGATE(16,6,FIND({0,1,2,3,4,5,6,7,8,9},A205,ROW(INDIRECT("1:"&amp;LEN(A205)))),1))," ",REPT(" ",LEN(A205))),LEN(A205))))))),0),ROW(INDIRECT("1:"&amp;LEN((--TRIM(RIGHT(SUBSTITUTE(LEFT(A205,_xlfn.AGGREGATE(16,6,FIND({0,1,2,3,4,5,6,7,8,9},A205,ROW(INDIRECT("1:"&amp;LEN(A205)))),1))," ",REPT(" ",LEN(A205))),LEN(A205))))))))+1,1)*10^ROW(INDIRECT("1:"&amp;LEN((--TRIM(RIGHT(SUBSTITUTE(LEFT(A205,_xlfn.AGGREGATE(16,6,FIND({0,1,2,3,4,5,6,7,8,9},A205,ROW(INDIRECT("1:"&amp;LEN(A205)))),1))," ",REPT(" ",LEN(A205))),LEN(A205)))))))/10))*1+1</f>
        <v>202 &amp; 502</v>
      </c>
      <c r="B206" s="126"/>
      <c r="C206" s="77"/>
      <c r="D206" s="77"/>
      <c r="E206" s="77">
        <v>0</v>
      </c>
      <c r="F206" s="77">
        <f>D206+E206</f>
        <v>0</v>
      </c>
      <c r="G206" s="77">
        <v>0</v>
      </c>
      <c r="H206" s="77">
        <f>F206*(($H$140)+1)+(IF(G206&lt;101,G206,IF(G206&lt;201,G206/2,IF(G206&lt;=301,G206/3,G206/4))))</f>
        <v>0</v>
      </c>
      <c r="I206" s="78"/>
    </row>
    <row r="207" spans="1:9" s="36" customFormat="1" ht="15.75" hidden="1" customHeight="1">
      <c r="A207" s="125" t="str">
        <f ca="1">(SUMPRODUCT(MID(0&amp;(LEFT(A206,SUM(LEN(A206)-LEN(SUBSTITUTE(A206,{"0","1","2"},""))))),LARGE(INDEX(ISNUMBER(--MID((LEFT(A206,SUM(LEN(A206)-LEN(SUBSTITUTE(A206,{"0","1","2"},""))))),ROW(INDIRECT("1:"&amp;LEN((LEFT(A206,SUM(LEN(A206)-LEN(SUBSTITUTE(A206,{"0","1","2"},"")))))))),1))*ROW(INDIRECT("1:"&amp;LEN((LEFT(A206,SUM(LEN(A206)-LEN(SUBSTITUTE(A206,{"0","1","2"},"")))))))),0),ROW(INDIRECT("1:"&amp;LEN((LEFT(A206,SUM(LEN(A206)-LEN(SUBSTITUTE(A206,{"0","1","2"},"")))))))))+1,1)*10^ROW(INDIRECT("1:"&amp;LEN((LEFT(A206,SUM(LEN(A206)-LEN(SUBSTITUTE(A206,{"0","1","2"},""))))))))/10))*1+1&amp;""&amp;" &amp; "&amp;""&amp;(SUMPRODUCT(MID(0&amp;(--TRIM(RIGHT(SUBSTITUTE(LEFT(A206,_xlfn.AGGREGATE(16,6,FIND({0,1,2,3,4,5,6,7,8,9},A206,ROW(INDIRECT("1:"&amp;LEN(A206)))),1))," ",REPT(" ",LEN(A206))),LEN(A206)))),LARGE(INDEX(ISNUMBER(--MID((--TRIM(RIGHT(SUBSTITUTE(LEFT(A206,_xlfn.AGGREGATE(16,6,FIND({0,1,2,3,4,5,6,7,8,9},A206,ROW(INDIRECT("1:"&amp;LEN(A206)))),1))," ",REPT(" ",LEN(A206))),LEN(A206)))),ROW(INDIRECT("1:"&amp;LEN((--TRIM(RIGHT(SUBSTITUTE(LEFT(A206,_xlfn.AGGREGATE(16,6,FIND({0,1,2,3,4,5,6,7,8,9},A206,ROW(INDIRECT("1:"&amp;LEN(A206)))),1))," ",REPT(" ",LEN(A206))),LEN(A206))))))),1))*ROW(INDIRECT("1:"&amp;LEN((--TRIM(RIGHT(SUBSTITUTE(LEFT(A206,_xlfn.AGGREGATE(16,6,FIND({0,1,2,3,4,5,6,7,8,9},A206,ROW(INDIRECT("1:"&amp;LEN(A206)))),1))," ",REPT(" ",LEN(A206))),LEN(A206))))))),0),ROW(INDIRECT("1:"&amp;LEN((--TRIM(RIGHT(SUBSTITUTE(LEFT(A206,_xlfn.AGGREGATE(16,6,FIND({0,1,2,3,4,5,6,7,8,9},A206,ROW(INDIRECT("1:"&amp;LEN(A206)))),1))," ",REPT(" ",LEN(A206))),LEN(A206))))))))+1,1)*10^ROW(INDIRECT("1:"&amp;LEN((--TRIM(RIGHT(SUBSTITUTE(LEFT(A206,_xlfn.AGGREGATE(16,6,FIND({0,1,2,3,4,5,6,7,8,9},A206,ROW(INDIRECT("1:"&amp;LEN(A206)))),1))," ",REPT(" ",LEN(A206))),LEN(A206)))))))/10))*1+1</f>
        <v>203 &amp; 503</v>
      </c>
      <c r="B207" s="126"/>
      <c r="C207" s="77"/>
      <c r="D207" s="77"/>
      <c r="E207" s="77">
        <v>0</v>
      </c>
      <c r="F207" s="77">
        <f>D207+E207</f>
        <v>0</v>
      </c>
      <c r="G207" s="77">
        <v>0</v>
      </c>
      <c r="H207" s="77">
        <f>F207*(($H$140)+1)+(IF(G207&lt;101,G207,IF(G207&lt;201,G207/2,IF(G207&lt;=301,G207/3,G207/4))))</f>
        <v>0</v>
      </c>
      <c r="I207" s="78"/>
    </row>
    <row r="208" spans="1:9" s="36" customFormat="1" ht="15.75" hidden="1" customHeight="1">
      <c r="A208" s="125" t="str">
        <f ca="1">(SUMPRODUCT(MID(0&amp;(LEFT(A207,SUM(LEN(A207)-LEN(SUBSTITUTE(A207,{"0","1","2"},""))))),LARGE(INDEX(ISNUMBER(--MID((LEFT(A207,SUM(LEN(A207)-LEN(SUBSTITUTE(A207,{"0","1","2"},""))))),ROW(INDIRECT("1:"&amp;LEN((LEFT(A207,SUM(LEN(A207)-LEN(SUBSTITUTE(A207,{"0","1","2"},"")))))))),1))*ROW(INDIRECT("1:"&amp;LEN((LEFT(A207,SUM(LEN(A207)-LEN(SUBSTITUTE(A207,{"0","1","2"},"")))))))),0),ROW(INDIRECT("1:"&amp;LEN((LEFT(A207,SUM(LEN(A207)-LEN(SUBSTITUTE(A207,{"0","1","2"},"")))))))))+1,1)*10^ROW(INDIRECT("1:"&amp;LEN((LEFT(A207,SUM(LEN(A207)-LEN(SUBSTITUTE(A207,{"0","1","2"},""))))))))/10))*1+1&amp;""&amp;" &amp; "&amp;""&amp;(SUMPRODUCT(MID(0&amp;(--TRIM(RIGHT(SUBSTITUTE(LEFT(A207,_xlfn.AGGREGATE(16,6,FIND({0,1,2,3,4,5,6,7,8,9},A207,ROW(INDIRECT("1:"&amp;LEN(A207)))),1))," ",REPT(" ",LEN(A207))),LEN(A207)))),LARGE(INDEX(ISNUMBER(--MID((--TRIM(RIGHT(SUBSTITUTE(LEFT(A207,_xlfn.AGGREGATE(16,6,FIND({0,1,2,3,4,5,6,7,8,9},A207,ROW(INDIRECT("1:"&amp;LEN(A207)))),1))," ",REPT(" ",LEN(A207))),LEN(A207)))),ROW(INDIRECT("1:"&amp;LEN((--TRIM(RIGHT(SUBSTITUTE(LEFT(A207,_xlfn.AGGREGATE(16,6,FIND({0,1,2,3,4,5,6,7,8,9},A207,ROW(INDIRECT("1:"&amp;LEN(A207)))),1))," ",REPT(" ",LEN(A207))),LEN(A207))))))),1))*ROW(INDIRECT("1:"&amp;LEN((--TRIM(RIGHT(SUBSTITUTE(LEFT(A207,_xlfn.AGGREGATE(16,6,FIND({0,1,2,3,4,5,6,7,8,9},A207,ROW(INDIRECT("1:"&amp;LEN(A207)))),1))," ",REPT(" ",LEN(A207))),LEN(A207))))))),0),ROW(INDIRECT("1:"&amp;LEN((--TRIM(RIGHT(SUBSTITUTE(LEFT(A207,_xlfn.AGGREGATE(16,6,FIND({0,1,2,3,4,5,6,7,8,9},A207,ROW(INDIRECT("1:"&amp;LEN(A207)))),1))," ",REPT(" ",LEN(A207))),LEN(A207))))))))+1,1)*10^ROW(INDIRECT("1:"&amp;LEN((--TRIM(RIGHT(SUBSTITUTE(LEFT(A207,_xlfn.AGGREGATE(16,6,FIND({0,1,2,3,4,5,6,7,8,9},A207,ROW(INDIRECT("1:"&amp;LEN(A207)))),1))," ",REPT(" ",LEN(A207))),LEN(A207)))))))/10))*1+1</f>
        <v>204 &amp; 504</v>
      </c>
      <c r="B208" s="126"/>
      <c r="C208" s="77"/>
      <c r="D208" s="77"/>
      <c r="E208" s="77">
        <v>0</v>
      </c>
      <c r="F208" s="77">
        <f>D208+E208</f>
        <v>0</v>
      </c>
      <c r="G208" s="77">
        <v>0</v>
      </c>
      <c r="H208" s="77">
        <f>F208*(($H$140)+1)+(IF(G208&lt;101,G208,IF(G208&lt;201,G208/2,IF(G208&lt;=301,G208/3,G208/4))))</f>
        <v>0</v>
      </c>
      <c r="I208" s="78"/>
    </row>
    <row r="209" spans="1:20" s="36" customFormat="1" ht="15.75" hidden="1" customHeight="1">
      <c r="A209" s="125" t="str">
        <f ca="1">(SUMPRODUCT(MID(0&amp;(LEFT(A208,SUM(LEN(A208)-LEN(SUBSTITUTE(A208,{"0","1","2"},""))))),LARGE(INDEX(ISNUMBER(--MID((LEFT(A208,SUM(LEN(A208)-LEN(SUBSTITUTE(A208,{"0","1","2"},""))))),ROW(INDIRECT("1:"&amp;LEN((LEFT(A208,SUM(LEN(A208)-LEN(SUBSTITUTE(A208,{"0","1","2"},"")))))))),1))*ROW(INDIRECT("1:"&amp;LEN((LEFT(A208,SUM(LEN(A208)-LEN(SUBSTITUTE(A208,{"0","1","2"},"")))))))),0),ROW(INDIRECT("1:"&amp;LEN((LEFT(A208,SUM(LEN(A208)-LEN(SUBSTITUTE(A208,{"0","1","2"},"")))))))))+1,1)*10^ROW(INDIRECT("1:"&amp;LEN((LEFT(A208,SUM(LEN(A208)-LEN(SUBSTITUTE(A208,{"0","1","2"},""))))))))/10))*1+1&amp;""&amp;" &amp; "&amp;""&amp;(SUMPRODUCT(MID(0&amp;(--TRIM(RIGHT(SUBSTITUTE(LEFT(A208,_xlfn.AGGREGATE(16,6,FIND({0,1,2,3,4,5,6,7,8,9},A208,ROW(INDIRECT("1:"&amp;LEN(A208)))),1))," ",REPT(" ",LEN(A208))),LEN(A208)))),LARGE(INDEX(ISNUMBER(--MID((--TRIM(RIGHT(SUBSTITUTE(LEFT(A208,_xlfn.AGGREGATE(16,6,FIND({0,1,2,3,4,5,6,7,8,9},A208,ROW(INDIRECT("1:"&amp;LEN(A208)))),1))," ",REPT(" ",LEN(A208))),LEN(A208)))),ROW(INDIRECT("1:"&amp;LEN((--TRIM(RIGHT(SUBSTITUTE(LEFT(A208,_xlfn.AGGREGATE(16,6,FIND({0,1,2,3,4,5,6,7,8,9},A208,ROW(INDIRECT("1:"&amp;LEN(A208)))),1))," ",REPT(" ",LEN(A208))),LEN(A208))))))),1))*ROW(INDIRECT("1:"&amp;LEN((--TRIM(RIGHT(SUBSTITUTE(LEFT(A208,_xlfn.AGGREGATE(16,6,FIND({0,1,2,3,4,5,6,7,8,9},A208,ROW(INDIRECT("1:"&amp;LEN(A208)))),1))," ",REPT(" ",LEN(A208))),LEN(A208))))))),0),ROW(INDIRECT("1:"&amp;LEN((--TRIM(RIGHT(SUBSTITUTE(LEFT(A208,_xlfn.AGGREGATE(16,6,FIND({0,1,2,3,4,5,6,7,8,9},A208,ROW(INDIRECT("1:"&amp;LEN(A208)))),1))," ",REPT(" ",LEN(A208))),LEN(A208))))))))+1,1)*10^ROW(INDIRECT("1:"&amp;LEN((--TRIM(RIGHT(SUBSTITUTE(LEFT(A208,_xlfn.AGGREGATE(16,6,FIND({0,1,2,3,4,5,6,7,8,9},A208,ROW(INDIRECT("1:"&amp;LEN(A208)))),1))," ",REPT(" ",LEN(A208))),LEN(A208)))))))/10))*1+1</f>
        <v>205 &amp; 505</v>
      </c>
      <c r="B209" s="126"/>
      <c r="C209" s="77"/>
      <c r="D209" s="77"/>
      <c r="E209" s="77">
        <v>0</v>
      </c>
      <c r="F209" s="77">
        <f>D209+E209</f>
        <v>0</v>
      </c>
      <c r="G209" s="77">
        <v>0</v>
      </c>
      <c r="H209" s="77">
        <f>F209*(($H$140)+1)+(IF(G209&lt;101,G209,IF(G209&lt;201,G209/2,IF(G209&lt;=301,G209/3,G209/4))))</f>
        <v>0</v>
      </c>
      <c r="I209" s="78"/>
    </row>
    <row r="210" spans="1:20" s="35" customFormat="1">
      <c r="A210" s="130" t="s">
        <v>295</v>
      </c>
      <c r="B210" s="130"/>
      <c r="C210" s="130"/>
      <c r="D210" s="130"/>
      <c r="E210" s="130"/>
      <c r="F210" s="130"/>
      <c r="G210" s="130"/>
      <c r="H210" s="130"/>
      <c r="T210" s="36"/>
    </row>
    <row r="211" spans="1:20" s="35" customFormat="1">
      <c r="A211" s="53" t="s">
        <v>296</v>
      </c>
      <c r="B211" s="119" t="s">
        <v>297</v>
      </c>
      <c r="C211" s="120"/>
      <c r="D211" s="120"/>
      <c r="E211" s="120"/>
      <c r="F211" s="120"/>
      <c r="G211" s="120"/>
      <c r="H211" s="121"/>
      <c r="T211" s="36"/>
    </row>
    <row r="212" spans="1:20" s="35" customFormat="1">
      <c r="A212" s="53" t="s">
        <v>296</v>
      </c>
      <c r="B212" s="119" t="str">
        <f>(IF(H139="Saleable area Loading :","We have considered Saleable area of Flats as per our Calculation.","We considered Saleable area of Flat as per Builder area Sheet."))</f>
        <v>We considered Saleable area of Flat as per Builder area Sheet.</v>
      </c>
      <c r="C212" s="120"/>
      <c r="D212" s="120"/>
      <c r="E212" s="120"/>
      <c r="F212" s="120"/>
      <c r="G212" s="120"/>
      <c r="H212" s="121"/>
      <c r="T212" s="36"/>
    </row>
    <row r="213" spans="1:20" s="35" customFormat="1">
      <c r="A213" s="53" t="s">
        <v>296</v>
      </c>
      <c r="B213" s="119" t="str">
        <f>(IF(H126="Saleable area Loading :","We have considered Saleable area of Commercial as per our Calculation.","We considered Saleable area of Commercial as per Builder area Sheet."))</f>
        <v>We considered Saleable area of Commercial as per Builder area Sheet.</v>
      </c>
      <c r="C213" s="120"/>
      <c r="D213" s="120"/>
      <c r="E213" s="120"/>
      <c r="F213" s="120"/>
      <c r="G213" s="120"/>
      <c r="H213" s="121"/>
      <c r="T213" s="36"/>
    </row>
    <row r="214" spans="1:20" s="35" customFormat="1">
      <c r="A214" s="53" t="s">
        <v>296</v>
      </c>
      <c r="B214" s="122" t="s">
        <v>298</v>
      </c>
      <c r="C214" s="123"/>
      <c r="D214" s="123"/>
      <c r="E214" s="123"/>
      <c r="F214" s="123"/>
      <c r="G214" s="123"/>
      <c r="H214" s="124"/>
      <c r="T214" s="36"/>
    </row>
    <row r="215" spans="1:20" s="35" customFormat="1">
      <c r="A215" s="53" t="s">
        <v>296</v>
      </c>
      <c r="B215" s="119" t="s">
        <v>299</v>
      </c>
      <c r="C215" s="120"/>
      <c r="D215" s="120"/>
      <c r="E215" s="120"/>
      <c r="F215" s="120"/>
      <c r="G215" s="120"/>
      <c r="H215" s="121"/>
      <c r="T215" s="36"/>
    </row>
    <row r="216" spans="1:20" s="35" customFormat="1">
      <c r="A216" s="53" t="s">
        <v>296</v>
      </c>
      <c r="B216" s="122" t="s">
        <v>300</v>
      </c>
      <c r="C216" s="123"/>
      <c r="D216" s="123"/>
      <c r="E216" s="123"/>
      <c r="F216" s="123"/>
      <c r="G216" s="123"/>
      <c r="H216" s="124"/>
    </row>
    <row r="217" spans="1:20" s="35" customFormat="1">
      <c r="A217" s="53" t="s">
        <v>296</v>
      </c>
      <c r="B217" s="122" t="s">
        <v>301</v>
      </c>
      <c r="C217" s="123"/>
      <c r="D217" s="123"/>
      <c r="E217" s="123"/>
      <c r="F217" s="123"/>
      <c r="G217" s="123"/>
      <c r="H217" s="124"/>
    </row>
    <row r="218" spans="1:20" s="35" customFormat="1" ht="34.5" customHeight="1">
      <c r="A218" s="53" t="s">
        <v>296</v>
      </c>
      <c r="B218" s="122" t="s">
        <v>302</v>
      </c>
      <c r="C218" s="123"/>
      <c r="D218" s="123"/>
      <c r="E218" s="123"/>
      <c r="F218" s="123"/>
      <c r="G218" s="123"/>
      <c r="H218" s="124"/>
    </row>
    <row r="219" spans="1:20" s="35" customFormat="1">
      <c r="A219" s="53" t="s">
        <v>296</v>
      </c>
      <c r="B219" s="122" t="s">
        <v>303</v>
      </c>
      <c r="C219" s="123"/>
      <c r="D219" s="123"/>
      <c r="E219" s="123"/>
      <c r="F219" s="123"/>
      <c r="G219" s="123"/>
      <c r="H219" s="124"/>
    </row>
    <row r="220" spans="1:20" s="35" customFormat="1">
      <c r="A220" s="53" t="s">
        <v>296</v>
      </c>
      <c r="B220" s="122" t="s">
        <v>304</v>
      </c>
      <c r="C220" s="123"/>
      <c r="D220" s="123"/>
      <c r="E220" s="123"/>
      <c r="F220" s="123"/>
      <c r="G220" s="123"/>
      <c r="H220" s="124"/>
    </row>
    <row r="221" spans="1:20">
      <c r="A221" s="115" t="s">
        <v>305</v>
      </c>
      <c r="B221" s="115"/>
      <c r="C221" s="115"/>
      <c r="D221" s="115"/>
      <c r="E221" s="115"/>
      <c r="F221" s="115"/>
      <c r="G221" s="115"/>
      <c r="H221" s="115"/>
      <c r="T221" s="35"/>
    </row>
    <row r="222" spans="1:20">
      <c r="A222" s="116" t="s">
        <v>306</v>
      </c>
      <c r="B222" s="116"/>
      <c r="C222" s="116"/>
      <c r="D222" s="116"/>
      <c r="E222" s="116"/>
      <c r="F222" s="116"/>
      <c r="G222" s="116"/>
      <c r="H222" s="116"/>
      <c r="T222" s="35"/>
    </row>
    <row r="223" spans="1:20" ht="15.75" customHeight="1">
      <c r="A223" s="117" t="s">
        <v>307</v>
      </c>
      <c r="B223" s="117"/>
      <c r="C223" s="117"/>
      <c r="D223" s="117"/>
      <c r="E223" s="117"/>
      <c r="F223" s="117"/>
      <c r="G223" s="117"/>
      <c r="H223" s="117"/>
      <c r="T223" s="35"/>
    </row>
    <row r="224" spans="1:20">
      <c r="A224" s="116" t="s">
        <v>308</v>
      </c>
      <c r="B224" s="116"/>
      <c r="C224" s="116"/>
      <c r="D224" s="116"/>
      <c r="E224" s="116"/>
      <c r="F224" s="116"/>
      <c r="G224" s="116"/>
      <c r="H224" s="116"/>
      <c r="T224" s="35"/>
    </row>
    <row r="225" spans="1:20">
      <c r="A225" s="116" t="s">
        <v>309</v>
      </c>
      <c r="B225" s="116"/>
      <c r="C225" s="116"/>
      <c r="D225" s="116"/>
      <c r="E225" s="116"/>
      <c r="F225" s="116"/>
      <c r="G225" s="116"/>
      <c r="H225" s="116"/>
      <c r="T225" s="35"/>
    </row>
    <row r="226" spans="1:20">
      <c r="A226" s="116" t="s">
        <v>310</v>
      </c>
      <c r="B226" s="116"/>
      <c r="C226" s="116"/>
      <c r="D226" s="116"/>
      <c r="E226" s="116"/>
      <c r="F226" s="116"/>
      <c r="G226" s="116"/>
      <c r="H226" s="116"/>
      <c r="T226" s="35"/>
    </row>
    <row r="227" spans="1:20" ht="34" customHeight="1">
      <c r="A227" s="95" t="s">
        <v>311</v>
      </c>
      <c r="B227" s="95"/>
      <c r="C227" s="95"/>
      <c r="D227" s="95"/>
      <c r="E227" s="95"/>
      <c r="F227" s="95"/>
      <c r="G227" s="95"/>
      <c r="H227" s="95"/>
    </row>
    <row r="228" spans="1:20">
      <c r="A228" s="118" t="s">
        <v>312</v>
      </c>
      <c r="B228" s="118"/>
      <c r="C228" s="118" t="s">
        <v>382</v>
      </c>
      <c r="D228" s="118"/>
      <c r="E228" s="118" t="s">
        <v>313</v>
      </c>
      <c r="F228" s="118"/>
      <c r="G228" s="118" t="s">
        <v>383</v>
      </c>
      <c r="H228" s="118"/>
    </row>
    <row r="229" spans="1:20">
      <c r="A229" s="94" t="s">
        <v>314</v>
      </c>
      <c r="B229" s="94"/>
      <c r="C229" s="94"/>
      <c r="D229" s="94"/>
      <c r="E229" s="94"/>
      <c r="F229" s="94"/>
      <c r="G229" s="94"/>
      <c r="H229" s="94"/>
    </row>
    <row r="230" spans="1:20">
      <c r="A230" s="94"/>
      <c r="B230" s="94"/>
      <c r="C230" s="94"/>
      <c r="D230" s="94"/>
      <c r="E230" s="94"/>
      <c r="F230" s="94"/>
      <c r="G230" s="94"/>
      <c r="H230" s="94"/>
    </row>
    <row r="231" spans="1:20">
      <c r="A231" s="94"/>
      <c r="B231" s="94"/>
      <c r="C231" s="94"/>
      <c r="D231" s="94"/>
      <c r="E231" s="94"/>
      <c r="F231" s="94"/>
      <c r="G231" s="94"/>
      <c r="H231" s="94"/>
    </row>
    <row r="232" spans="1:20">
      <c r="A232" s="94"/>
      <c r="B232" s="94"/>
      <c r="C232" s="94"/>
      <c r="D232" s="94"/>
      <c r="E232" s="94"/>
      <c r="F232" s="94"/>
      <c r="G232" s="94"/>
      <c r="H232" s="94"/>
    </row>
    <row r="233" spans="1:20">
      <c r="A233" s="83" t="s">
        <v>315</v>
      </c>
      <c r="B233" s="84"/>
      <c r="C233" s="84"/>
      <c r="D233" s="83" t="str">
        <f>E9</f>
        <v>White Falcon</v>
      </c>
      <c r="F233" s="84"/>
      <c r="G233" s="84"/>
      <c r="H233" s="84"/>
    </row>
    <row r="234" spans="1:20">
      <c r="A234" s="84"/>
      <c r="B234" s="84"/>
      <c r="C234" s="84"/>
      <c r="D234" s="84"/>
      <c r="E234" s="84"/>
      <c r="F234" s="84"/>
      <c r="G234" s="84"/>
      <c r="H234" s="84"/>
    </row>
    <row r="235" spans="1:20">
      <c r="A235" s="84"/>
      <c r="B235" s="84"/>
      <c r="C235" s="84"/>
      <c r="D235" s="84"/>
      <c r="E235" s="84"/>
      <c r="F235" s="84"/>
      <c r="G235" s="84"/>
      <c r="H235" s="84"/>
    </row>
    <row r="236" spans="1:20" ht="15" customHeight="1"/>
    <row r="275" spans="1:1">
      <c r="A275" s="85" t="s">
        <v>316</v>
      </c>
    </row>
    <row r="316" spans="1:1" hidden="1"/>
    <row r="318" spans="1:1">
      <c r="A318" s="85" t="s">
        <v>317</v>
      </c>
    </row>
  </sheetData>
  <mergeCells count="391">
    <mergeCell ref="A1:H1"/>
    <mergeCell ref="A2:H2"/>
    <mergeCell ref="A3:D3"/>
    <mergeCell ref="E3:H3"/>
    <mergeCell ref="A4:D4"/>
    <mergeCell ref="E4:H4"/>
    <mergeCell ref="A5:D5"/>
    <mergeCell ref="E5:H5"/>
    <mergeCell ref="A6:D6"/>
    <mergeCell ref="E6:H6"/>
    <mergeCell ref="A7:D7"/>
    <mergeCell ref="E7:H7"/>
    <mergeCell ref="A8:D8"/>
    <mergeCell ref="E8:H8"/>
    <mergeCell ref="A9:D9"/>
    <mergeCell ref="E9:H9"/>
    <mergeCell ref="A10:D10"/>
    <mergeCell ref="E10:H10"/>
    <mergeCell ref="A11:D11"/>
    <mergeCell ref="E11:H11"/>
    <mergeCell ref="A12:D12"/>
    <mergeCell ref="E12:H12"/>
    <mergeCell ref="A13:D13"/>
    <mergeCell ref="E13:H13"/>
    <mergeCell ref="A14:D14"/>
    <mergeCell ref="E14:H14"/>
    <mergeCell ref="A15:D15"/>
    <mergeCell ref="E15:H15"/>
    <mergeCell ref="I15:P15"/>
    <mergeCell ref="A16:B16"/>
    <mergeCell ref="C16:H16"/>
    <mergeCell ref="A17:B17"/>
    <mergeCell ref="C17:H17"/>
    <mergeCell ref="A18:B18"/>
    <mergeCell ref="C18:H18"/>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5:D25"/>
    <mergeCell ref="E25:H25"/>
    <mergeCell ref="A26:D26"/>
    <mergeCell ref="E26:H26"/>
    <mergeCell ref="A27:D27"/>
    <mergeCell ref="E27:H27"/>
    <mergeCell ref="A28:D28"/>
    <mergeCell ref="E28:H28"/>
    <mergeCell ref="A29:D29"/>
    <mergeCell ref="E29:H29"/>
    <mergeCell ref="A30:D30"/>
    <mergeCell ref="E30:H30"/>
    <mergeCell ref="A31:D31"/>
    <mergeCell ref="E31:H31"/>
    <mergeCell ref="A32:D32"/>
    <mergeCell ref="E32:H32"/>
    <mergeCell ref="A33:B33"/>
    <mergeCell ref="C33:E33"/>
    <mergeCell ref="F33:H33"/>
    <mergeCell ref="A34:B34"/>
    <mergeCell ref="C34:E34"/>
    <mergeCell ref="F34:H34"/>
    <mergeCell ref="A35:B35"/>
    <mergeCell ref="C35:E35"/>
    <mergeCell ref="F35:H35"/>
    <mergeCell ref="A36:B36"/>
    <mergeCell ref="C36:E36"/>
    <mergeCell ref="F36:H36"/>
    <mergeCell ref="A37:B37"/>
    <mergeCell ref="C37:E37"/>
    <mergeCell ref="F37:H37"/>
    <mergeCell ref="A38:H38"/>
    <mergeCell ref="A39:B39"/>
    <mergeCell ref="C39:H39"/>
    <mergeCell ref="A40:B40"/>
    <mergeCell ref="C40:H40"/>
    <mergeCell ref="A41:H41"/>
    <mergeCell ref="A42:D42"/>
    <mergeCell ref="E42:H42"/>
    <mergeCell ref="A43:D43"/>
    <mergeCell ref="E43:H43"/>
    <mergeCell ref="A44:D44"/>
    <mergeCell ref="E44:H44"/>
    <mergeCell ref="A45:D45"/>
    <mergeCell ref="E45:H45"/>
    <mergeCell ref="A46:D46"/>
    <mergeCell ref="E46:H46"/>
    <mergeCell ref="A47:D47"/>
    <mergeCell ref="E47:H47"/>
    <mergeCell ref="A48:H48"/>
    <mergeCell ref="A49:B49"/>
    <mergeCell ref="C49:H49"/>
    <mergeCell ref="A50:B50"/>
    <mergeCell ref="C50:E50"/>
    <mergeCell ref="G50:H50"/>
    <mergeCell ref="A51:B51"/>
    <mergeCell ref="C51:E51"/>
    <mergeCell ref="G51:H51"/>
    <mergeCell ref="C52:E52"/>
    <mergeCell ref="G52:H52"/>
    <mergeCell ref="C53:H53"/>
    <mergeCell ref="C54:E54"/>
    <mergeCell ref="G54:H54"/>
    <mergeCell ref="C55:H55"/>
    <mergeCell ref="C56:E56"/>
    <mergeCell ref="G56:H56"/>
    <mergeCell ref="C57:H57"/>
    <mergeCell ref="C58:E58"/>
    <mergeCell ref="G58:H58"/>
    <mergeCell ref="C59:E59"/>
    <mergeCell ref="G59:H59"/>
    <mergeCell ref="A60:B60"/>
    <mergeCell ref="C60:E60"/>
    <mergeCell ref="G60:H60"/>
    <mergeCell ref="A61:H61"/>
    <mergeCell ref="A62:C62"/>
    <mergeCell ref="D62:H62"/>
    <mergeCell ref="A63:C63"/>
    <mergeCell ref="D63:H63"/>
    <mergeCell ref="A64:C64"/>
    <mergeCell ref="D64:H64"/>
    <mergeCell ref="A65:C65"/>
    <mergeCell ref="D65:H65"/>
    <mergeCell ref="A66:C66"/>
    <mergeCell ref="D66:H66"/>
    <mergeCell ref="A67:C67"/>
    <mergeCell ref="D67:H67"/>
    <mergeCell ref="A68:C68"/>
    <mergeCell ref="D68:H68"/>
    <mergeCell ref="A69:C69"/>
    <mergeCell ref="D69:H69"/>
    <mergeCell ref="A70:C70"/>
    <mergeCell ref="D70:H70"/>
    <mergeCell ref="A71:C71"/>
    <mergeCell ref="D71:H71"/>
    <mergeCell ref="A72:C72"/>
    <mergeCell ref="D72:H72"/>
    <mergeCell ref="A73:B73"/>
    <mergeCell ref="C73:H73"/>
    <mergeCell ref="A75:B75"/>
    <mergeCell ref="C75:H75"/>
    <mergeCell ref="A76:B76"/>
    <mergeCell ref="E76:F76"/>
    <mergeCell ref="G76:H76"/>
    <mergeCell ref="A77:B77"/>
    <mergeCell ref="A78:B78"/>
    <mergeCell ref="A79:B79"/>
    <mergeCell ref="A80:B80"/>
    <mergeCell ref="A81:B81"/>
    <mergeCell ref="A82:B82"/>
    <mergeCell ref="A83:B83"/>
    <mergeCell ref="A84:B84"/>
    <mergeCell ref="A85:B85"/>
    <mergeCell ref="A86:B86"/>
    <mergeCell ref="A87:B87"/>
    <mergeCell ref="C87:H87"/>
    <mergeCell ref="A89:B89"/>
    <mergeCell ref="C89:H89"/>
    <mergeCell ref="A90:B90"/>
    <mergeCell ref="E90:F90"/>
    <mergeCell ref="G90:H90"/>
    <mergeCell ref="A91:B91"/>
    <mergeCell ref="A92:B92"/>
    <mergeCell ref="A93:B93"/>
    <mergeCell ref="A94:B94"/>
    <mergeCell ref="A95:B95"/>
    <mergeCell ref="A96:B96"/>
    <mergeCell ref="A97:B97"/>
    <mergeCell ref="A98:B98"/>
    <mergeCell ref="A99:B99"/>
    <mergeCell ref="A100:B100"/>
    <mergeCell ref="A101:B101"/>
    <mergeCell ref="C101:D101"/>
    <mergeCell ref="E101:F101"/>
    <mergeCell ref="G101:H101"/>
    <mergeCell ref="A102:E102"/>
    <mergeCell ref="F102:H102"/>
    <mergeCell ref="A103:E103"/>
    <mergeCell ref="F103:H103"/>
    <mergeCell ref="A104:E104"/>
    <mergeCell ref="F104:H104"/>
    <mergeCell ref="A105:E105"/>
    <mergeCell ref="F105:H105"/>
    <mergeCell ref="A106:E106"/>
    <mergeCell ref="F106:H106"/>
    <mergeCell ref="A107:E107"/>
    <mergeCell ref="F107:H107"/>
    <mergeCell ref="A108:E108"/>
    <mergeCell ref="F108:H108"/>
    <mergeCell ref="A109:E109"/>
    <mergeCell ref="F109:H109"/>
    <mergeCell ref="A110:E110"/>
    <mergeCell ref="F110:H110"/>
    <mergeCell ref="A111:E111"/>
    <mergeCell ref="F111:H111"/>
    <mergeCell ref="A112:E112"/>
    <mergeCell ref="F112:H112"/>
    <mergeCell ref="A113:E113"/>
    <mergeCell ref="F113:H113"/>
    <mergeCell ref="A114:E114"/>
    <mergeCell ref="F114:H114"/>
    <mergeCell ref="A115:H115"/>
    <mergeCell ref="A116:B116"/>
    <mergeCell ref="C116:D116"/>
    <mergeCell ref="E116:F116"/>
    <mergeCell ref="G116:H116"/>
    <mergeCell ref="A117:B117"/>
    <mergeCell ref="C117:D117"/>
    <mergeCell ref="E117:F117"/>
    <mergeCell ref="G117:H117"/>
    <mergeCell ref="A118:B118"/>
    <mergeCell ref="C118:D118"/>
    <mergeCell ref="E118:F118"/>
    <mergeCell ref="G118:H118"/>
    <mergeCell ref="A119:H119"/>
    <mergeCell ref="A120:B120"/>
    <mergeCell ref="C120:D120"/>
    <mergeCell ref="E120:F120"/>
    <mergeCell ref="G120:H120"/>
    <mergeCell ref="A121:B121"/>
    <mergeCell ref="C121:D121"/>
    <mergeCell ref="E121:F121"/>
    <mergeCell ref="G121:H121"/>
    <mergeCell ref="A122:B122"/>
    <mergeCell ref="C122:D122"/>
    <mergeCell ref="E122:F122"/>
    <mergeCell ref="G122:H122"/>
    <mergeCell ref="A123:B123"/>
    <mergeCell ref="C123:D123"/>
    <mergeCell ref="E123:F123"/>
    <mergeCell ref="G123:H123"/>
    <mergeCell ref="A124:H124"/>
    <mergeCell ref="A125:H125"/>
    <mergeCell ref="A128:H128"/>
    <mergeCell ref="A129:B129"/>
    <mergeCell ref="L129:M129"/>
    <mergeCell ref="A130:B130"/>
    <mergeCell ref="L130:M130"/>
    <mergeCell ref="A131:B131"/>
    <mergeCell ref="L131:M131"/>
    <mergeCell ref="A132:B132"/>
    <mergeCell ref="L132:M132"/>
    <mergeCell ref="A126:A127"/>
    <mergeCell ref="B126:B127"/>
    <mergeCell ref="C126:C127"/>
    <mergeCell ref="D126:D127"/>
    <mergeCell ref="E126:E127"/>
    <mergeCell ref="F126:F127"/>
    <mergeCell ref="G126:G127"/>
    <mergeCell ref="A133:B133"/>
    <mergeCell ref="L133:M133"/>
    <mergeCell ref="A134:B134"/>
    <mergeCell ref="L134:M134"/>
    <mergeCell ref="A135:B135"/>
    <mergeCell ref="L135:M135"/>
    <mergeCell ref="A136:B136"/>
    <mergeCell ref="L136:M136"/>
    <mergeCell ref="A137:B137"/>
    <mergeCell ref="L137:M137"/>
    <mergeCell ref="A138:H138"/>
    <mergeCell ref="A141:H141"/>
    <mergeCell ref="L141:M141"/>
    <mergeCell ref="A142:B142"/>
    <mergeCell ref="A143:B143"/>
    <mergeCell ref="A144:B144"/>
    <mergeCell ref="A145:B145"/>
    <mergeCell ref="A146:B146"/>
    <mergeCell ref="A147:B147"/>
    <mergeCell ref="A139:A140"/>
    <mergeCell ref="B139:B140"/>
    <mergeCell ref="C139:C140"/>
    <mergeCell ref="D139:D140"/>
    <mergeCell ref="E139:E140"/>
    <mergeCell ref="F139:F140"/>
    <mergeCell ref="G139:G140"/>
    <mergeCell ref="A148:B148"/>
    <mergeCell ref="A149:H149"/>
    <mergeCell ref="L149:M149"/>
    <mergeCell ref="A150:B150"/>
    <mergeCell ref="A151:B151"/>
    <mergeCell ref="A152:B152"/>
    <mergeCell ref="C152:H152"/>
    <mergeCell ref="A153:B153"/>
    <mergeCell ref="A154:B154"/>
    <mergeCell ref="A155:B155"/>
    <mergeCell ref="A156:B156"/>
    <mergeCell ref="A157:H157"/>
    <mergeCell ref="A158:B158"/>
    <mergeCell ref="A159:B159"/>
    <mergeCell ref="A160:B160"/>
    <mergeCell ref="A161:B161"/>
    <mergeCell ref="A162:B162"/>
    <mergeCell ref="A163:B163"/>
    <mergeCell ref="A164:B164"/>
    <mergeCell ref="A165:H165"/>
    <mergeCell ref="A166:B166"/>
    <mergeCell ref="A167:B167"/>
    <mergeCell ref="A168:B168"/>
    <mergeCell ref="A169:B169"/>
    <mergeCell ref="A170:B170"/>
    <mergeCell ref="A171:B171"/>
    <mergeCell ref="A172:B172"/>
    <mergeCell ref="A173:H173"/>
    <mergeCell ref="L173:M173"/>
    <mergeCell ref="A174:B174"/>
    <mergeCell ref="A175:B175"/>
    <mergeCell ref="A176:B176"/>
    <mergeCell ref="A177:B177"/>
    <mergeCell ref="A178:B178"/>
    <mergeCell ref="A179:B179"/>
    <mergeCell ref="A180:B180"/>
    <mergeCell ref="A181:H181"/>
    <mergeCell ref="A182:B182"/>
    <mergeCell ref="L182:M182"/>
    <mergeCell ref="A183:B183"/>
    <mergeCell ref="L183:M183"/>
    <mergeCell ref="A184:B184"/>
    <mergeCell ref="L184:M184"/>
    <mergeCell ref="A185:B185"/>
    <mergeCell ref="L185:M185"/>
    <mergeCell ref="A186:H186"/>
    <mergeCell ref="L186:M186"/>
    <mergeCell ref="A187:B187"/>
    <mergeCell ref="A188:B188"/>
    <mergeCell ref="A189:B189"/>
    <mergeCell ref="A190:B190"/>
    <mergeCell ref="A191:B191"/>
    <mergeCell ref="A192:H192"/>
    <mergeCell ref="A193:B193"/>
    <mergeCell ref="A194:B194"/>
    <mergeCell ref="A195:B195"/>
    <mergeCell ref="A196:B196"/>
    <mergeCell ref="A197:B197"/>
    <mergeCell ref="A198:H198"/>
    <mergeCell ref="A199:B199"/>
    <mergeCell ref="A200:B200"/>
    <mergeCell ref="A201:B201"/>
    <mergeCell ref="A202:B202"/>
    <mergeCell ref="A203:B203"/>
    <mergeCell ref="A204:H204"/>
    <mergeCell ref="A205:B205"/>
    <mergeCell ref="A206:B206"/>
    <mergeCell ref="A207:B207"/>
    <mergeCell ref="A208:B208"/>
    <mergeCell ref="A209:B209"/>
    <mergeCell ref="A210:H210"/>
    <mergeCell ref="B211:H211"/>
    <mergeCell ref="B212:H212"/>
    <mergeCell ref="B213:H213"/>
    <mergeCell ref="B214:H214"/>
    <mergeCell ref="B215:H215"/>
    <mergeCell ref="B216:H216"/>
    <mergeCell ref="B217:H217"/>
    <mergeCell ref="B218:H218"/>
    <mergeCell ref="B219:H219"/>
    <mergeCell ref="B220:H220"/>
    <mergeCell ref="A54:B55"/>
    <mergeCell ref="A56:B57"/>
    <mergeCell ref="A58:B59"/>
    <mergeCell ref="A52:B53"/>
    <mergeCell ref="A229:H232"/>
    <mergeCell ref="A23:D24"/>
    <mergeCell ref="E23:H24"/>
    <mergeCell ref="E77:F86"/>
    <mergeCell ref="G77:H86"/>
    <mergeCell ref="E91:F100"/>
    <mergeCell ref="G91:H100"/>
    <mergeCell ref="C144:H145"/>
    <mergeCell ref="C176:H179"/>
    <mergeCell ref="A221:H221"/>
    <mergeCell ref="A222:H222"/>
    <mergeCell ref="A223:H223"/>
    <mergeCell ref="A224:H224"/>
    <mergeCell ref="A225:H225"/>
    <mergeCell ref="A226:H226"/>
    <mergeCell ref="A227:H227"/>
    <mergeCell ref="A228:B228"/>
    <mergeCell ref="C228:D228"/>
    <mergeCell ref="E228:F228"/>
    <mergeCell ref="G228:H228"/>
  </mergeCells>
  <dataValidations count="19">
    <dataValidation type="list" allowBlank="1" showInputMessage="1" showErrorMessage="1" sqref="E4:H4">
      <formula1>$L$3:$P$3</formula1>
    </dataValidation>
    <dataValidation type="list" allowBlank="1" showInputMessage="1" showErrorMessage="1" sqref="E5:H5">
      <formula1>OFFSET($L$3,1,MATCH($E4,$L$3:$P$3,0)-1,10,1)</formula1>
    </dataValidation>
    <dataValidation type="list" allowBlank="1" showInputMessage="1" showErrorMessage="1" sqref="Y13">
      <formula1>$D$5:$H$5</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C21:D21">
      <formula1>OFFSET($S$13,1,MATCH($G20,$S$13:$W$13,0)-1,15,1)</formula1>
    </dataValidation>
    <dataValidation type="list" allowBlank="1" showInputMessage="1" showErrorMessage="1" sqref="C49:H49">
      <formula1>OFFSET($S$49,1,MATCH($G20,$S$49:$W$49,0)-1,15,1)</formula1>
    </dataValidation>
    <dataValidation type="whole" allowBlank="1" showInputMessage="1" showErrorMessage="1" sqref="C82 C96">
      <formula1>0</formula1>
      <formula2>H74</formula2>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H126 H139">
      <formula1>"Saleable area Loading :,Builder Saleable Area"</formula1>
    </dataValidation>
    <dataValidation type="list" allowBlank="1" showInputMessage="1" showErrorMessage="1" sqref="H127">
      <formula1>".45,.50,.55,.60,1"</formula1>
    </dataValidation>
    <dataValidation type="list" allowBlank="1" showInputMessage="1" showErrorMessage="1" sqref="H140">
      <formula1>".45,.50,.55,.60,.7"</formula1>
    </dataValidation>
    <dataValidation type="list" allowBlank="1" showInputMessage="1" showErrorMessage="1" sqref="G228:H228">
      <formula1>"Kunal Kadam,Pranita Mhatre,Shruti Fule,Pooja Kawale,Neha Dhokale,Shruti Tathare, Hitakshi Mhatre, Sachin Sawant"</formula1>
    </dataValidation>
    <dataValidation type="list" allowBlank="1" showInputMessage="1" showErrorMessage="1" sqref="B126:B127">
      <formula1>"Shop No. (Sale Plan),Sale / Rehab,Sale / Mhada"</formula1>
    </dataValidation>
    <dataValidation type="list" allowBlank="1" showInputMessage="1" showErrorMessage="1" sqref="B139:B140">
      <formula1>"Flat No. (Sale Plan),Sale / Rehab,Sale / Mhada"</formula1>
    </dataValidation>
    <dataValidation type="list" allowBlank="1" showInputMessage="1" showErrorMessage="1" sqref="D126:D127 D139:D140">
      <formula1>"Carpet area,RERA Carpet area"</formula1>
    </dataValidation>
    <dataValidation type="list" allowBlank="1" showInputMessage="1" showErrorMessage="1" sqref="E126:E127">
      <formula1>"Attached Loft area,Attached Otla area,Attached Mezzanine area"</formula1>
    </dataValidation>
    <dataValidation type="list" allowBlank="1" showInputMessage="1" showErrorMessage="1" sqref="E139:E140">
      <formula1>"Fungible area,Balcony + E.B.Area + C.B.Area,Chajja Area,Cornice Area,AP Area,WS Area"</formula1>
    </dataValidation>
  </dataValidations>
  <hyperlinks>
    <hyperlink ref="C40" r:id="rId1"/>
  </hyperlinks>
  <printOptions horizontalCentered="1"/>
  <pageMargins left="0.39370078740157499" right="0.39370078740157499" top="0.82677165354330695" bottom="0.78740157480314998" header="0.15748031496063" footer="0.196850393700787"/>
  <pageSetup paperSize="2" orientation="portrait" r:id="rId2"/>
  <headerFooter>
    <oddHeader>&amp;C&amp;G</oddHeader>
    <oddFooter>&amp;L&amp;"Times New Roman,Bold"&amp;12Ref No: &amp;F&amp;C&amp;G&amp;R&amp;"Times New Roman,Bold"&amp;12&amp;P</oddFooter>
  </headerFooter>
  <rowBreaks count="4" manualBreakCount="4">
    <brk id="72" max="16383" man="1"/>
    <brk id="232" max="16383" man="1"/>
    <brk id="274" max="16383" man="1"/>
    <brk id="31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6328125" defaultRowHeight="14.5"/>
  <cols>
    <col min="1" max="1" width="8.6328125" style="19"/>
    <col min="2" max="2" width="22.1796875" style="19" customWidth="1"/>
    <col min="3" max="3" width="37" style="19" customWidth="1"/>
    <col min="4" max="5" width="11.453125" style="19" customWidth="1"/>
    <col min="6" max="6" width="14" style="19" customWidth="1"/>
    <col min="7" max="7" width="20" style="19" customWidth="1"/>
    <col min="8" max="8" width="16.453125" style="19" customWidth="1"/>
    <col min="9" max="16384" width="8.6328125" style="19"/>
  </cols>
  <sheetData>
    <row r="1" spans="1:9" ht="15" customHeight="1"/>
    <row r="2" spans="1:9" ht="15" customHeight="1">
      <c r="A2" s="20"/>
      <c r="B2" s="20"/>
      <c r="C2" s="20"/>
      <c r="D2" s="20"/>
      <c r="E2" s="20"/>
      <c r="F2" s="20"/>
      <c r="G2" s="20"/>
      <c r="H2" s="20"/>
    </row>
    <row r="3" spans="1:9" ht="15.75" customHeight="1">
      <c r="A3" s="20"/>
      <c r="B3" s="232" t="s">
        <v>318</v>
      </c>
      <c r="C3" s="232"/>
      <c r="D3" s="232"/>
      <c r="E3" s="232"/>
      <c r="F3" s="232"/>
      <c r="G3" s="232"/>
      <c r="H3" s="232"/>
    </row>
    <row r="4" spans="1:9">
      <c r="A4" s="20"/>
      <c r="B4" s="21" t="s">
        <v>319</v>
      </c>
      <c r="C4" s="21" t="s">
        <v>320</v>
      </c>
      <c r="D4" s="21" t="s">
        <v>321</v>
      </c>
      <c r="E4" s="21" t="s">
        <v>322</v>
      </c>
      <c r="F4" s="21" t="s">
        <v>323</v>
      </c>
      <c r="G4" s="21" t="s">
        <v>324</v>
      </c>
      <c r="H4" s="21" t="s">
        <v>325</v>
      </c>
    </row>
    <row r="5" spans="1:9" ht="15" customHeight="1">
      <c r="A5" s="20"/>
      <c r="B5" s="22" t="s">
        <v>326</v>
      </c>
      <c r="C5" s="23"/>
      <c r="D5" s="22"/>
      <c r="E5" s="22"/>
      <c r="F5" s="24">
        <f>E5*1.6</f>
        <v>0</v>
      </c>
      <c r="G5" s="24" t="e">
        <f>H5/F5</f>
        <v>#DIV/0!</v>
      </c>
      <c r="H5" s="25"/>
    </row>
    <row r="6" spans="1:9">
      <c r="A6" s="20"/>
      <c r="B6" s="22" t="s">
        <v>326</v>
      </c>
      <c r="C6" s="26"/>
      <c r="D6" s="22"/>
      <c r="E6" s="22"/>
      <c r="F6" s="24">
        <f t="shared" ref="F6:F11" si="0">E6*1.6</f>
        <v>0</v>
      </c>
      <c r="G6" s="24" t="e">
        <f t="shared" ref="G6:G11" si="1">H6/F6</f>
        <v>#DIV/0!</v>
      </c>
      <c r="H6" s="25"/>
    </row>
    <row r="7" spans="1:9" ht="15" customHeight="1">
      <c r="A7" s="20"/>
      <c r="B7" s="22" t="s">
        <v>326</v>
      </c>
      <c r="C7" s="23"/>
      <c r="D7" s="22"/>
      <c r="E7" s="22"/>
      <c r="F7" s="24">
        <f t="shared" si="0"/>
        <v>0</v>
      </c>
      <c r="G7" s="24" t="e">
        <f t="shared" si="1"/>
        <v>#DIV/0!</v>
      </c>
      <c r="H7" s="25"/>
    </row>
    <row r="8" spans="1:9">
      <c r="A8" s="20"/>
      <c r="B8" s="22" t="s">
        <v>326</v>
      </c>
      <c r="C8" s="26"/>
      <c r="D8" s="22"/>
      <c r="E8" s="22"/>
      <c r="F8" s="24">
        <f t="shared" si="0"/>
        <v>0</v>
      </c>
      <c r="G8" s="24" t="e">
        <f t="shared" si="1"/>
        <v>#DIV/0!</v>
      </c>
      <c r="H8" s="25"/>
    </row>
    <row r="9" spans="1:9" ht="15" customHeight="1">
      <c r="A9" s="20"/>
      <c r="B9" s="22" t="s">
        <v>326</v>
      </c>
      <c r="C9" s="26"/>
      <c r="D9" s="22"/>
      <c r="E9" s="22"/>
      <c r="F9" s="24">
        <f t="shared" si="0"/>
        <v>0</v>
      </c>
      <c r="G9" s="24" t="e">
        <f t="shared" si="1"/>
        <v>#DIV/0!</v>
      </c>
      <c r="H9" s="25"/>
    </row>
    <row r="10" spans="1:9" ht="15" customHeight="1">
      <c r="A10" s="20"/>
      <c r="B10" s="22" t="s">
        <v>327</v>
      </c>
      <c r="C10" s="23"/>
      <c r="D10" s="22"/>
      <c r="E10" s="22"/>
      <c r="F10" s="24">
        <f t="shared" si="0"/>
        <v>0</v>
      </c>
      <c r="G10" s="24" t="e">
        <f t="shared" si="1"/>
        <v>#DIV/0!</v>
      </c>
      <c r="H10" s="25"/>
    </row>
    <row r="11" spans="1:9" ht="15" customHeight="1">
      <c r="A11" s="20"/>
      <c r="B11" s="22" t="s">
        <v>327</v>
      </c>
      <c r="C11" s="23"/>
      <c r="D11" s="22"/>
      <c r="E11" s="22"/>
      <c r="F11" s="24">
        <f t="shared" si="0"/>
        <v>0</v>
      </c>
      <c r="G11" s="24" t="e">
        <f t="shared" si="1"/>
        <v>#DIV/0!</v>
      </c>
      <c r="H11" s="25"/>
    </row>
    <row r="12" spans="1:9" ht="15" customHeight="1">
      <c r="A12" s="20"/>
      <c r="B12" s="27" t="s">
        <v>328</v>
      </c>
      <c r="C12" s="22"/>
      <c r="D12" s="22"/>
      <c r="E12" s="22"/>
      <c r="F12" s="22"/>
      <c r="G12" s="28" t="e">
        <f>AVERAGE(G5:G11)</f>
        <v>#DIV/0!</v>
      </c>
      <c r="H12" s="22"/>
    </row>
    <row r="13" spans="1:9" ht="15" customHeight="1">
      <c r="B13" s="27" t="s">
        <v>329</v>
      </c>
      <c r="C13" s="22"/>
      <c r="D13" s="22"/>
      <c r="E13" s="22"/>
      <c r="F13" s="29"/>
      <c r="G13" s="27"/>
      <c r="H13" s="27"/>
      <c r="I13" s="30"/>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ColWidth="9" defaultRowHeight="14.5"/>
  <cols>
    <col min="4" max="4" width="13.81640625" customWidth="1"/>
    <col min="5" max="5" width="10.453125" customWidth="1"/>
    <col min="6" max="6" width="12.453125" customWidth="1"/>
    <col min="7" max="7" width="18.1796875" customWidth="1"/>
    <col min="8" max="8" width="10.54296875" customWidth="1"/>
  </cols>
  <sheetData>
    <row r="3" spans="2:11">
      <c r="J3">
        <v>1</v>
      </c>
      <c r="K3">
        <v>2</v>
      </c>
    </row>
    <row r="4" spans="2:11">
      <c r="B4" s="1"/>
      <c r="C4" s="1" t="s">
        <v>84</v>
      </c>
      <c r="D4" s="5" t="s">
        <v>39</v>
      </c>
      <c r="E4" s="5" t="s">
        <v>40</v>
      </c>
      <c r="F4" s="5" t="s">
        <v>41</v>
      </c>
      <c r="G4" s="5" t="s">
        <v>42</v>
      </c>
      <c r="H4" s="5" t="s">
        <v>43</v>
      </c>
      <c r="J4" t="s">
        <v>42</v>
      </c>
      <c r="K4" t="s">
        <v>55</v>
      </c>
    </row>
    <row r="5" spans="2:11">
      <c r="B5" s="1"/>
      <c r="C5" s="1"/>
      <c r="D5" s="5" t="s">
        <v>46</v>
      </c>
      <c r="E5" s="5" t="s">
        <v>47</v>
      </c>
      <c r="F5" s="5" t="s">
        <v>48</v>
      </c>
      <c r="G5" s="5" t="s">
        <v>49</v>
      </c>
      <c r="H5" s="5" t="s">
        <v>50</v>
      </c>
    </row>
    <row r="6" spans="2:11">
      <c r="B6" s="1"/>
      <c r="C6" s="1"/>
      <c r="D6" s="5" t="s">
        <v>53</v>
      </c>
      <c r="E6" s="5" t="s">
        <v>54</v>
      </c>
      <c r="F6" s="5" t="s">
        <v>55</v>
      </c>
      <c r="G6" s="5" t="s">
        <v>56</v>
      </c>
      <c r="H6" s="5" t="s">
        <v>57</v>
      </c>
    </row>
    <row r="7" spans="2:11">
      <c r="B7" s="1"/>
      <c r="C7" s="1"/>
      <c r="D7" s="5" t="s">
        <v>59</v>
      </c>
      <c r="E7" s="5" t="s">
        <v>60</v>
      </c>
      <c r="F7" s="5" t="s">
        <v>61</v>
      </c>
      <c r="G7" s="5" t="s">
        <v>62</v>
      </c>
      <c r="H7" s="5" t="s">
        <v>63</v>
      </c>
    </row>
    <row r="8" spans="2:11">
      <c r="B8" s="1"/>
      <c r="C8" s="1"/>
      <c r="D8" s="5" t="s">
        <v>66</v>
      </c>
      <c r="E8" s="5" t="s">
        <v>67</v>
      </c>
      <c r="F8" s="5"/>
      <c r="G8" s="5" t="s">
        <v>68</v>
      </c>
      <c r="H8" s="5" t="s">
        <v>69</v>
      </c>
    </row>
    <row r="9" spans="2:11">
      <c r="B9" s="1"/>
      <c r="C9" s="1"/>
      <c r="D9" s="5" t="s">
        <v>71</v>
      </c>
      <c r="E9" s="5" t="s">
        <v>40</v>
      </c>
      <c r="F9" s="5"/>
      <c r="G9" s="5" t="s">
        <v>72</v>
      </c>
      <c r="H9" s="5" t="s">
        <v>73</v>
      </c>
    </row>
    <row r="10" spans="2:11">
      <c r="B10" s="1"/>
      <c r="C10" s="1"/>
      <c r="D10" s="5" t="s">
        <v>78</v>
      </c>
      <c r="E10" s="5" t="s">
        <v>79</v>
      </c>
      <c r="F10" s="5"/>
      <c r="G10" s="5" t="s">
        <v>80</v>
      </c>
      <c r="H10" s="5" t="s">
        <v>81</v>
      </c>
    </row>
    <row r="11" spans="2:11">
      <c r="B11" s="1"/>
      <c r="C11" s="1"/>
      <c r="D11" s="5" t="s">
        <v>85</v>
      </c>
      <c r="E11" s="5" t="s">
        <v>86</v>
      </c>
      <c r="F11" s="5"/>
      <c r="G11" s="5" t="s">
        <v>87</v>
      </c>
      <c r="H11" s="5" t="s">
        <v>88</v>
      </c>
    </row>
    <row r="12" spans="2:11">
      <c r="B12" s="1"/>
      <c r="C12" s="1"/>
      <c r="D12" s="5"/>
      <c r="E12" s="5"/>
      <c r="F12" s="5"/>
      <c r="G12" s="5" t="s">
        <v>91</v>
      </c>
      <c r="H12" s="5" t="s">
        <v>92</v>
      </c>
    </row>
    <row r="13" spans="2:11">
      <c r="B13" s="1"/>
      <c r="C13" s="1"/>
      <c r="D13" s="5"/>
      <c r="E13" s="5"/>
      <c r="F13" s="5"/>
      <c r="G13" s="5" t="s">
        <v>97</v>
      </c>
      <c r="H13" s="5" t="s">
        <v>98</v>
      </c>
    </row>
    <row r="14" spans="2:11">
      <c r="B14" s="1"/>
      <c r="C14" s="1"/>
      <c r="D14" s="5"/>
      <c r="E14" s="5"/>
      <c r="F14" s="5"/>
      <c r="G14" s="5" t="s">
        <v>101</v>
      </c>
      <c r="H14" s="5" t="s">
        <v>102</v>
      </c>
    </row>
    <row r="15" spans="2:11">
      <c r="B15" s="1"/>
      <c r="C15" s="1"/>
      <c r="D15" s="5"/>
      <c r="E15" s="5"/>
      <c r="F15" s="5"/>
      <c r="G15" s="5" t="s">
        <v>103</v>
      </c>
      <c r="H15" s="5" t="s">
        <v>104</v>
      </c>
    </row>
    <row r="16" spans="2:11">
      <c r="B16" s="1"/>
      <c r="C16" s="1"/>
      <c r="D16" s="5"/>
      <c r="E16" s="5"/>
      <c r="F16" s="5"/>
      <c r="G16" s="5" t="s">
        <v>107</v>
      </c>
      <c r="H16" s="5" t="s">
        <v>108</v>
      </c>
    </row>
    <row r="17" spans="2:8">
      <c r="B17" s="1"/>
      <c r="C17" s="1"/>
      <c r="D17" s="5"/>
      <c r="E17" s="5"/>
      <c r="F17" s="5"/>
      <c r="G17" s="5" t="s">
        <v>110</v>
      </c>
      <c r="H17" s="5" t="s">
        <v>111</v>
      </c>
    </row>
    <row r="18" spans="2:8">
      <c r="B18" s="1"/>
      <c r="C18" s="1"/>
      <c r="D18" s="5"/>
      <c r="E18" s="5"/>
      <c r="F18" s="5"/>
      <c r="G18" s="5" t="s">
        <v>114</v>
      </c>
      <c r="H18" s="5" t="s">
        <v>115</v>
      </c>
    </row>
    <row r="24" spans="2:8">
      <c r="C24" t="s">
        <v>330</v>
      </c>
    </row>
    <row r="25" spans="2:8">
      <c r="C25" t="s">
        <v>331</v>
      </c>
    </row>
    <row r="26" spans="2:8">
      <c r="C26" t="s">
        <v>332</v>
      </c>
    </row>
    <row r="27" spans="2:8">
      <c r="C27" t="s">
        <v>45</v>
      </c>
    </row>
    <row r="28" spans="2:8">
      <c r="C28" t="s">
        <v>333</v>
      </c>
    </row>
    <row r="29" spans="2:8">
      <c r="C29" t="s">
        <v>334</v>
      </c>
    </row>
    <row r="30" spans="2:8">
      <c r="C30" t="s">
        <v>330</v>
      </c>
    </row>
    <row r="33" spans="3:11">
      <c r="J33">
        <v>1</v>
      </c>
      <c r="K33">
        <v>2</v>
      </c>
    </row>
    <row r="34" spans="3:11">
      <c r="C34" s="18" t="s">
        <v>3</v>
      </c>
      <c r="D34" s="5" t="s">
        <v>4</v>
      </c>
      <c r="E34" s="5" t="s">
        <v>5</v>
      </c>
      <c r="F34" s="5" t="s">
        <v>6</v>
      </c>
      <c r="G34" s="5" t="s">
        <v>7</v>
      </c>
      <c r="H34" s="5" t="s">
        <v>8</v>
      </c>
      <c r="J34" t="s">
        <v>42</v>
      </c>
      <c r="K34" t="s">
        <v>55</v>
      </c>
    </row>
    <row r="35" spans="3:11">
      <c r="C35" s="1" t="s">
        <v>10</v>
      </c>
      <c r="D35" s="5" t="s">
        <v>11</v>
      </c>
      <c r="E35" s="5" t="s">
        <v>12</v>
      </c>
      <c r="F35" s="5" t="s">
        <v>13</v>
      </c>
      <c r="G35" s="5" t="s">
        <v>14</v>
      </c>
      <c r="H35" s="5"/>
    </row>
    <row r="36" spans="3:11">
      <c r="C36" s="1"/>
      <c r="D36" s="5" t="s">
        <v>16</v>
      </c>
      <c r="E36" s="5" t="s">
        <v>17</v>
      </c>
      <c r="F36" s="5" t="s">
        <v>18</v>
      </c>
      <c r="G36" s="5" t="s">
        <v>19</v>
      </c>
      <c r="H36" s="5"/>
    </row>
    <row r="37" spans="3:11">
      <c r="C37" s="1"/>
      <c r="D37" s="5" t="s">
        <v>21</v>
      </c>
      <c r="E37" s="5"/>
      <c r="F37" s="5"/>
      <c r="G37" s="5" t="s">
        <v>22</v>
      </c>
      <c r="H37" s="5"/>
    </row>
    <row r="38" spans="3:11">
      <c r="C38" s="1"/>
      <c r="D38" s="5" t="s">
        <v>25</v>
      </c>
      <c r="E38" s="5"/>
      <c r="F38" s="5"/>
      <c r="G38" s="5" t="s">
        <v>22</v>
      </c>
      <c r="H38" s="5"/>
    </row>
    <row r="39" spans="3:11">
      <c r="C39" s="1"/>
      <c r="D39" s="5"/>
      <c r="E39" s="5"/>
      <c r="F39" s="5"/>
      <c r="G39" s="5" t="s">
        <v>27</v>
      </c>
      <c r="H39" s="5"/>
    </row>
    <row r="40" spans="3:11">
      <c r="C40" s="1"/>
      <c r="D40" s="5"/>
      <c r="E40" s="5"/>
      <c r="F40" s="5"/>
      <c r="G40" s="5" t="s">
        <v>30</v>
      </c>
      <c r="H40" s="5"/>
    </row>
    <row r="41" spans="3:11">
      <c r="C41" s="1"/>
      <c r="D41" s="5"/>
      <c r="E41" s="5"/>
      <c r="F41" s="5"/>
      <c r="G41" s="5"/>
      <c r="H41" s="5"/>
    </row>
    <row r="43" spans="3:11">
      <c r="C43" t="s">
        <v>149</v>
      </c>
    </row>
    <row r="44" spans="3:11">
      <c r="C44" t="s">
        <v>41</v>
      </c>
      <c r="D44" t="s">
        <v>153</v>
      </c>
    </row>
    <row r="45" spans="3:11">
      <c r="D45" t="s">
        <v>158</v>
      </c>
    </row>
    <row r="46" spans="3:11">
      <c r="D46" t="s">
        <v>162</v>
      </c>
    </row>
    <row r="47" spans="3:11">
      <c r="D47" t="s">
        <v>167</v>
      </c>
    </row>
    <row r="48" spans="3:11">
      <c r="D48" t="s">
        <v>164</v>
      </c>
    </row>
    <row r="49" spans="3:4">
      <c r="C49" t="s">
        <v>39</v>
      </c>
      <c r="D49" t="s">
        <v>154</v>
      </c>
    </row>
    <row r="50" spans="3:4">
      <c r="D50" t="s">
        <v>159</v>
      </c>
    </row>
    <row r="51" spans="3:4">
      <c r="D51" t="s">
        <v>163</v>
      </c>
    </row>
    <row r="52" spans="3:4">
      <c r="D52" t="s">
        <v>168</v>
      </c>
    </row>
    <row r="53" spans="3:4">
      <c r="D53" t="s">
        <v>171</v>
      </c>
    </row>
    <row r="54" spans="3:4">
      <c r="D54" t="s">
        <v>174</v>
      </c>
    </row>
    <row r="55" spans="3:4">
      <c r="D55" t="s">
        <v>176</v>
      </c>
    </row>
    <row r="56" spans="3:4">
      <c r="D56" t="s">
        <v>179</v>
      </c>
    </row>
    <row r="57" spans="3:4">
      <c r="D57" t="s">
        <v>182</v>
      </c>
    </row>
    <row r="58" spans="3:4">
      <c r="D58" t="s">
        <v>185</v>
      </c>
    </row>
    <row r="59" spans="3:4">
      <c r="D59" t="s">
        <v>187</v>
      </c>
    </row>
    <row r="60" spans="3:4">
      <c r="C60" t="s">
        <v>42</v>
      </c>
      <c r="D60" t="s">
        <v>155</v>
      </c>
    </row>
    <row r="61" spans="3:4">
      <c r="D61" t="s">
        <v>148</v>
      </c>
    </row>
    <row r="62" spans="3:4">
      <c r="D62" t="s">
        <v>164</v>
      </c>
    </row>
    <row r="63" spans="3:4">
      <c r="D63" t="s">
        <v>169</v>
      </c>
    </row>
    <row r="64" spans="3:4">
      <c r="D64" t="s">
        <v>172</v>
      </c>
    </row>
    <row r="65" spans="3:4">
      <c r="D65" t="s">
        <v>175</v>
      </c>
    </row>
    <row r="66" spans="3:4">
      <c r="D66" t="s">
        <v>177</v>
      </c>
    </row>
    <row r="67" spans="3:4">
      <c r="C67" t="s">
        <v>40</v>
      </c>
      <c r="D67" t="s">
        <v>156</v>
      </c>
    </row>
    <row r="68" spans="3:4">
      <c r="D68" t="s">
        <v>160</v>
      </c>
    </row>
    <row r="69" spans="3:4">
      <c r="D69" t="s">
        <v>165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ColWidth="9" defaultRowHeight="14.5"/>
  <cols>
    <col min="2" max="2" width="3" customWidth="1"/>
    <col min="3" max="3" width="130" customWidth="1"/>
  </cols>
  <sheetData>
    <row r="2" spans="2:3" ht="15" customHeight="1">
      <c r="B2" s="10">
        <v>1</v>
      </c>
      <c r="C2" s="11" t="s">
        <v>335</v>
      </c>
    </row>
    <row r="3" spans="2:3">
      <c r="B3" s="10">
        <v>2</v>
      </c>
      <c r="C3" s="12" t="s">
        <v>336</v>
      </c>
    </row>
    <row r="4" spans="2:3">
      <c r="B4" s="10">
        <v>3</v>
      </c>
      <c r="C4" s="10" t="s">
        <v>337</v>
      </c>
    </row>
    <row r="5" spans="2:3">
      <c r="B5" s="10">
        <v>4</v>
      </c>
      <c r="C5" s="12" t="s">
        <v>338</v>
      </c>
    </row>
    <row r="6" spans="2:3">
      <c r="B6" s="10">
        <v>5</v>
      </c>
      <c r="C6" s="10" t="s">
        <v>339</v>
      </c>
    </row>
    <row r="7" spans="2:3" ht="29">
      <c r="B7" s="10">
        <v>6</v>
      </c>
      <c r="C7" s="12" t="s">
        <v>340</v>
      </c>
    </row>
    <row r="8" spans="2:3" ht="72.5">
      <c r="B8" s="10">
        <v>7</v>
      </c>
      <c r="C8" s="12" t="s">
        <v>341</v>
      </c>
    </row>
    <row r="9" spans="2:3">
      <c r="B9" s="10">
        <v>8</v>
      </c>
      <c r="C9" s="10" t="s">
        <v>342</v>
      </c>
    </row>
    <row r="10" spans="2:3">
      <c r="B10" s="10">
        <v>9</v>
      </c>
      <c r="C10" s="10" t="s">
        <v>343</v>
      </c>
    </row>
    <row r="11" spans="2:3">
      <c r="B11" s="10">
        <v>10</v>
      </c>
      <c r="C11" s="10" t="s">
        <v>344</v>
      </c>
    </row>
    <row r="12" spans="2:3">
      <c r="B12" s="10">
        <v>11</v>
      </c>
      <c r="C12" s="10" t="s">
        <v>345</v>
      </c>
    </row>
    <row r="13" spans="2:3">
      <c r="B13" s="10">
        <v>12</v>
      </c>
      <c r="C13" s="10" t="s">
        <v>346</v>
      </c>
    </row>
    <row r="14" spans="2:3">
      <c r="B14" s="10">
        <v>13</v>
      </c>
      <c r="C14" s="10" t="s">
        <v>347</v>
      </c>
    </row>
    <row r="15" spans="2:3">
      <c r="B15" s="10">
        <v>14</v>
      </c>
      <c r="C15" s="10" t="s">
        <v>337</v>
      </c>
    </row>
    <row r="16" spans="2:3">
      <c r="B16" s="10">
        <v>15</v>
      </c>
      <c r="C16" s="10" t="s">
        <v>348</v>
      </c>
    </row>
    <row r="17" spans="2:3" ht="31.5" customHeight="1">
      <c r="B17" s="13">
        <v>16</v>
      </c>
      <c r="C17" s="14" t="s">
        <v>349</v>
      </c>
    </row>
    <row r="18" spans="2:3">
      <c r="B18" s="15">
        <v>17</v>
      </c>
      <c r="C18" s="14" t="s">
        <v>350</v>
      </c>
    </row>
    <row r="19" spans="2:3">
      <c r="B19" s="13">
        <v>18</v>
      </c>
      <c r="C19" s="10" t="s">
        <v>351</v>
      </c>
    </row>
    <row r="20" spans="2:3">
      <c r="B20" s="15">
        <v>19</v>
      </c>
      <c r="C20" s="10" t="s">
        <v>352</v>
      </c>
    </row>
    <row r="21" spans="2:3">
      <c r="B21" s="10">
        <v>20</v>
      </c>
      <c r="C21" s="10" t="s">
        <v>353</v>
      </c>
    </row>
    <row r="22" spans="2:3">
      <c r="B22" s="15">
        <v>21</v>
      </c>
      <c r="C22" s="10" t="s">
        <v>351</v>
      </c>
    </row>
    <row r="23" spans="2:3" s="9" customFormat="1" ht="29.25" customHeight="1">
      <c r="B23" s="16">
        <v>22</v>
      </c>
      <c r="C23" s="11" t="s">
        <v>354</v>
      </c>
    </row>
    <row r="24" spans="2:3" s="9" customFormat="1" ht="30.75" customHeight="1">
      <c r="B24" s="17">
        <v>23</v>
      </c>
      <c r="C24" s="11" t="s">
        <v>355</v>
      </c>
    </row>
    <row r="25" spans="2:3">
      <c r="B25" s="10">
        <v>24</v>
      </c>
      <c r="C25" s="10"/>
    </row>
    <row r="26" spans="2:3">
      <c r="B26" s="15">
        <v>25</v>
      </c>
      <c r="C26" s="10"/>
    </row>
  </sheetData>
  <pageMargins left="0.7" right="0.7" top="0.75" bottom="0.75" header="0.3" footer="0.3"/>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cols>
    <col min="1" max="1" width="9.1796875" style="1"/>
    <col min="2" max="2" width="12.1796875" style="1" customWidth="1"/>
    <col min="3" max="16384" width="9.1796875" style="1"/>
  </cols>
  <sheetData>
    <row r="2" spans="1:12">
      <c r="B2" s="2" t="s">
        <v>356</v>
      </c>
      <c r="C2" s="233"/>
      <c r="D2" s="233"/>
    </row>
    <row r="3" spans="1:12">
      <c r="D3" s="3"/>
      <c r="E3" s="3"/>
      <c r="F3" s="3"/>
      <c r="G3" s="3"/>
      <c r="H3" s="3"/>
      <c r="I3" s="3"/>
    </row>
    <row r="4" spans="1:12">
      <c r="A4" s="2" t="s">
        <v>321</v>
      </c>
      <c r="B4" s="4" t="s">
        <v>357</v>
      </c>
      <c r="C4" s="234" t="s">
        <v>358</v>
      </c>
      <c r="D4" s="234"/>
      <c r="E4" s="234"/>
      <c r="F4" s="4"/>
      <c r="G4" s="235" t="s">
        <v>359</v>
      </c>
      <c r="H4" s="235"/>
      <c r="I4" s="235"/>
      <c r="J4" s="236" t="s">
        <v>360</v>
      </c>
      <c r="K4" s="236"/>
      <c r="L4" s="236"/>
    </row>
    <row r="5" spans="1:12">
      <c r="A5" s="2"/>
      <c r="B5" s="4"/>
      <c r="C5" s="4" t="s">
        <v>361</v>
      </c>
      <c r="D5" s="4" t="s">
        <v>362</v>
      </c>
      <c r="E5" s="4" t="s">
        <v>363</v>
      </c>
      <c r="F5" s="4"/>
      <c r="G5" s="4" t="s">
        <v>361</v>
      </c>
      <c r="H5" s="4" t="s">
        <v>362</v>
      </c>
      <c r="I5" s="4" t="s">
        <v>363</v>
      </c>
      <c r="J5" s="4" t="s">
        <v>361</v>
      </c>
      <c r="K5" s="4" t="s">
        <v>362</v>
      </c>
      <c r="L5" s="4" t="s">
        <v>363</v>
      </c>
    </row>
    <row r="6" spans="1:12">
      <c r="B6" s="5" t="s">
        <v>364</v>
      </c>
      <c r="C6" s="5"/>
      <c r="D6" s="5"/>
      <c r="E6" s="5">
        <f>C6*D6</f>
        <v>0</v>
      </c>
      <c r="F6" s="5" t="s">
        <v>365</v>
      </c>
      <c r="G6" s="5"/>
      <c r="H6" s="5"/>
      <c r="I6" s="5">
        <f>G6*H6</f>
        <v>0</v>
      </c>
      <c r="J6" s="5"/>
      <c r="K6" s="5"/>
      <c r="L6" s="5">
        <f>J6*K6</f>
        <v>0</v>
      </c>
    </row>
    <row r="7" spans="1:12">
      <c r="B7" s="5"/>
      <c r="C7" s="5"/>
      <c r="D7" s="5"/>
      <c r="E7" s="5">
        <f t="shared" ref="E7:E41" si="0">C7*D7</f>
        <v>0</v>
      </c>
      <c r="F7" s="5" t="s">
        <v>365</v>
      </c>
      <c r="G7" s="5"/>
      <c r="H7" s="5"/>
      <c r="I7" s="5">
        <f t="shared" ref="I7:I36" si="1">G7*H7</f>
        <v>0</v>
      </c>
      <c r="J7" s="5"/>
      <c r="K7" s="5"/>
      <c r="L7" s="5">
        <f t="shared" ref="L7:L36" si="2">J7*K7</f>
        <v>0</v>
      </c>
    </row>
    <row r="8" spans="1:12">
      <c r="B8" s="5"/>
      <c r="C8" s="5"/>
      <c r="D8" s="5"/>
      <c r="E8" s="5">
        <f t="shared" si="0"/>
        <v>0</v>
      </c>
      <c r="F8" s="5"/>
      <c r="G8" s="5"/>
      <c r="H8" s="5"/>
      <c r="I8" s="5">
        <f t="shared" si="1"/>
        <v>0</v>
      </c>
      <c r="J8" s="5"/>
      <c r="K8" s="5"/>
      <c r="L8" s="5">
        <f t="shared" si="2"/>
        <v>0</v>
      </c>
    </row>
    <row r="9" spans="1:12">
      <c r="B9" s="5"/>
      <c r="C9" s="5"/>
      <c r="D9" s="5"/>
      <c r="E9" s="5">
        <f t="shared" si="0"/>
        <v>0</v>
      </c>
      <c r="F9" s="5" t="s">
        <v>366</v>
      </c>
      <c r="G9" s="5"/>
      <c r="H9" s="5"/>
      <c r="I9" s="5">
        <f t="shared" si="1"/>
        <v>0</v>
      </c>
      <c r="J9" s="5"/>
      <c r="K9" s="5"/>
      <c r="L9" s="5">
        <f t="shared" si="2"/>
        <v>0</v>
      </c>
    </row>
    <row r="10" spans="1:12">
      <c r="B10" s="5" t="s">
        <v>367</v>
      </c>
      <c r="C10" s="5"/>
      <c r="D10" s="5"/>
      <c r="E10" s="5">
        <f t="shared" si="0"/>
        <v>0</v>
      </c>
      <c r="F10" s="5" t="s">
        <v>366</v>
      </c>
      <c r="G10" s="5"/>
      <c r="H10" s="5"/>
      <c r="I10" s="5">
        <f t="shared" si="1"/>
        <v>0</v>
      </c>
      <c r="J10" s="5"/>
      <c r="K10" s="5"/>
      <c r="L10" s="5">
        <f t="shared" si="2"/>
        <v>0</v>
      </c>
    </row>
    <row r="11" spans="1:12">
      <c r="B11" s="5"/>
      <c r="C11" s="5"/>
      <c r="D11" s="5"/>
      <c r="E11" s="5">
        <f t="shared" si="0"/>
        <v>0</v>
      </c>
      <c r="F11" s="5" t="s">
        <v>368</v>
      </c>
      <c r="G11" s="5"/>
      <c r="H11" s="5"/>
      <c r="I11" s="5">
        <f t="shared" si="1"/>
        <v>0</v>
      </c>
      <c r="J11" s="5"/>
      <c r="K11" s="5"/>
      <c r="L11" s="5">
        <f t="shared" si="2"/>
        <v>0</v>
      </c>
    </row>
    <row r="12" spans="1:12">
      <c r="B12" s="5"/>
      <c r="C12" s="5"/>
      <c r="D12" s="5"/>
      <c r="E12" s="5">
        <f t="shared" si="0"/>
        <v>0</v>
      </c>
      <c r="F12" s="5"/>
      <c r="G12" s="5"/>
      <c r="H12" s="5"/>
      <c r="I12" s="5">
        <f t="shared" si="1"/>
        <v>0</v>
      </c>
      <c r="J12" s="5"/>
      <c r="K12" s="5"/>
      <c r="L12" s="5">
        <f t="shared" si="2"/>
        <v>0</v>
      </c>
    </row>
    <row r="13" spans="1:12">
      <c r="B13" s="5"/>
      <c r="C13" s="5"/>
      <c r="D13" s="5"/>
      <c r="E13" s="5">
        <f t="shared" si="0"/>
        <v>0</v>
      </c>
      <c r="F13" s="5"/>
      <c r="G13" s="5"/>
      <c r="H13" s="5"/>
      <c r="I13" s="5">
        <f t="shared" si="1"/>
        <v>0</v>
      </c>
      <c r="J13" s="5"/>
      <c r="K13" s="5"/>
      <c r="L13" s="5">
        <f t="shared" si="2"/>
        <v>0</v>
      </c>
    </row>
    <row r="14" spans="1:12">
      <c r="B14" s="5" t="s">
        <v>369</v>
      </c>
      <c r="C14" s="5"/>
      <c r="D14" s="5"/>
      <c r="E14" s="5">
        <f t="shared" si="0"/>
        <v>0</v>
      </c>
      <c r="F14" s="5" t="s">
        <v>366</v>
      </c>
      <c r="G14" s="5"/>
      <c r="H14" s="5"/>
      <c r="I14" s="5">
        <f t="shared" si="1"/>
        <v>0</v>
      </c>
      <c r="J14" s="5"/>
      <c r="K14" s="5"/>
      <c r="L14" s="5">
        <f t="shared" si="2"/>
        <v>0</v>
      </c>
    </row>
    <row r="15" spans="1:12">
      <c r="B15" s="5"/>
      <c r="C15" s="5"/>
      <c r="D15" s="5"/>
      <c r="E15" s="5">
        <f t="shared" si="0"/>
        <v>0</v>
      </c>
      <c r="F15" s="5" t="s">
        <v>368</v>
      </c>
      <c r="G15" s="5"/>
      <c r="H15" s="5"/>
      <c r="I15" s="5">
        <f t="shared" si="1"/>
        <v>0</v>
      </c>
      <c r="J15" s="5"/>
      <c r="K15" s="5"/>
      <c r="L15" s="5">
        <f t="shared" si="2"/>
        <v>0</v>
      </c>
    </row>
    <row r="16" spans="1:12">
      <c r="B16" s="5"/>
      <c r="C16" s="5"/>
      <c r="D16" s="5"/>
      <c r="E16" s="5">
        <f t="shared" si="0"/>
        <v>0</v>
      </c>
      <c r="F16" s="5"/>
      <c r="G16" s="5"/>
      <c r="H16" s="5"/>
      <c r="I16" s="5">
        <f t="shared" si="1"/>
        <v>0</v>
      </c>
      <c r="J16" s="5"/>
      <c r="K16" s="5"/>
      <c r="L16" s="5">
        <f t="shared" si="2"/>
        <v>0</v>
      </c>
    </row>
    <row r="17" spans="2:12">
      <c r="B17" s="5"/>
      <c r="C17" s="5"/>
      <c r="D17" s="5"/>
      <c r="E17" s="5">
        <f t="shared" si="0"/>
        <v>0</v>
      </c>
      <c r="F17" s="5"/>
      <c r="G17" s="5"/>
      <c r="H17" s="5"/>
      <c r="I17" s="5">
        <f t="shared" si="1"/>
        <v>0</v>
      </c>
      <c r="J17" s="5"/>
      <c r="K17" s="5"/>
      <c r="L17" s="5">
        <f t="shared" si="2"/>
        <v>0</v>
      </c>
    </row>
    <row r="18" spans="2:12">
      <c r="B18" s="5" t="s">
        <v>370</v>
      </c>
      <c r="C18" s="5"/>
      <c r="D18" s="5"/>
      <c r="E18" s="5">
        <f t="shared" si="0"/>
        <v>0</v>
      </c>
      <c r="F18" s="5" t="s">
        <v>366</v>
      </c>
      <c r="G18" s="5"/>
      <c r="H18" s="5"/>
      <c r="I18" s="5">
        <f t="shared" si="1"/>
        <v>0</v>
      </c>
      <c r="J18" s="5"/>
      <c r="K18" s="5"/>
      <c r="L18" s="5">
        <f t="shared" si="2"/>
        <v>0</v>
      </c>
    </row>
    <row r="19" spans="2:12">
      <c r="B19" s="5"/>
      <c r="C19" s="5"/>
      <c r="D19" s="5"/>
      <c r="E19" s="5">
        <f t="shared" si="0"/>
        <v>0</v>
      </c>
      <c r="F19" s="5" t="s">
        <v>368</v>
      </c>
      <c r="G19" s="5"/>
      <c r="H19" s="5"/>
      <c r="I19" s="5">
        <f t="shared" si="1"/>
        <v>0</v>
      </c>
      <c r="J19" s="5"/>
      <c r="K19" s="5"/>
      <c r="L19" s="5">
        <f t="shared" si="2"/>
        <v>0</v>
      </c>
    </row>
    <row r="20" spans="2:12">
      <c r="B20" s="5"/>
      <c r="C20" s="5"/>
      <c r="D20" s="5"/>
      <c r="E20" s="5">
        <f t="shared" si="0"/>
        <v>0</v>
      </c>
      <c r="F20" s="5"/>
      <c r="G20" s="5"/>
      <c r="H20" s="5"/>
      <c r="I20" s="5">
        <f t="shared" si="1"/>
        <v>0</v>
      </c>
      <c r="J20" s="5"/>
      <c r="K20" s="5"/>
      <c r="L20" s="5">
        <f t="shared" si="2"/>
        <v>0</v>
      </c>
    </row>
    <row r="21" spans="2:12">
      <c r="B21" s="5" t="s">
        <v>371</v>
      </c>
      <c r="C21" s="5"/>
      <c r="D21" s="5"/>
      <c r="E21" s="5">
        <f t="shared" si="0"/>
        <v>0</v>
      </c>
      <c r="F21" s="5" t="s">
        <v>366</v>
      </c>
      <c r="G21" s="5"/>
      <c r="H21" s="5"/>
      <c r="I21" s="5">
        <f t="shared" si="1"/>
        <v>0</v>
      </c>
      <c r="J21" s="5"/>
      <c r="K21" s="5"/>
      <c r="L21" s="5">
        <f t="shared" si="2"/>
        <v>0</v>
      </c>
    </row>
    <row r="22" spans="2:12">
      <c r="B22" s="5"/>
      <c r="C22" s="5"/>
      <c r="D22" s="5"/>
      <c r="E22" s="5">
        <f t="shared" si="0"/>
        <v>0</v>
      </c>
      <c r="F22" s="5" t="s">
        <v>368</v>
      </c>
      <c r="G22" s="5"/>
      <c r="H22" s="5"/>
      <c r="I22" s="5">
        <f t="shared" si="1"/>
        <v>0</v>
      </c>
      <c r="J22" s="5"/>
      <c r="K22" s="5"/>
      <c r="L22" s="5">
        <f t="shared" si="2"/>
        <v>0</v>
      </c>
    </row>
    <row r="23" spans="2:12">
      <c r="B23" s="5"/>
      <c r="C23" s="5"/>
      <c r="D23" s="5"/>
      <c r="E23" s="5">
        <f t="shared" si="0"/>
        <v>0</v>
      </c>
      <c r="F23" s="5"/>
      <c r="G23" s="5"/>
      <c r="H23" s="5"/>
      <c r="I23" s="5">
        <f t="shared" si="1"/>
        <v>0</v>
      </c>
      <c r="J23" s="5"/>
      <c r="K23" s="5"/>
      <c r="L23" s="5">
        <f t="shared" si="2"/>
        <v>0</v>
      </c>
    </row>
    <row r="24" spans="2:12">
      <c r="B24" s="5" t="s">
        <v>372</v>
      </c>
      <c r="C24" s="5"/>
      <c r="D24" s="5"/>
      <c r="E24" s="5">
        <f t="shared" si="0"/>
        <v>0</v>
      </c>
      <c r="F24" s="5" t="s">
        <v>373</v>
      </c>
      <c r="G24" s="5"/>
      <c r="H24" s="5"/>
      <c r="I24" s="5">
        <f t="shared" si="1"/>
        <v>0</v>
      </c>
      <c r="J24" s="5"/>
      <c r="K24" s="5"/>
      <c r="L24" s="5">
        <f t="shared" si="2"/>
        <v>0</v>
      </c>
    </row>
    <row r="25" spans="2:12">
      <c r="B25" s="5"/>
      <c r="C25" s="5"/>
      <c r="D25" s="5"/>
      <c r="E25" s="5">
        <f t="shared" ref="E25:E27" si="3">C25*D25</f>
        <v>0</v>
      </c>
      <c r="F25" s="5" t="s">
        <v>373</v>
      </c>
      <c r="G25" s="5"/>
      <c r="H25" s="5"/>
      <c r="I25" s="5">
        <f t="shared" ref="I25:I27" si="4">G25*H25</f>
        <v>0</v>
      </c>
      <c r="J25" s="5"/>
      <c r="K25" s="5"/>
      <c r="L25" s="5">
        <f t="shared" ref="L25:L27" si="5">J25*K25</f>
        <v>0</v>
      </c>
    </row>
    <row r="26" spans="2:12">
      <c r="B26" s="5"/>
      <c r="C26" s="5"/>
      <c r="D26" s="5"/>
      <c r="E26" s="5">
        <f t="shared" si="3"/>
        <v>0</v>
      </c>
      <c r="F26" s="5" t="s">
        <v>373</v>
      </c>
      <c r="G26" s="5"/>
      <c r="H26" s="5"/>
      <c r="I26" s="5">
        <f t="shared" si="4"/>
        <v>0</v>
      </c>
      <c r="J26" s="5"/>
      <c r="K26" s="5"/>
      <c r="L26" s="5">
        <f t="shared" si="5"/>
        <v>0</v>
      </c>
    </row>
    <row r="27" spans="2:12">
      <c r="B27" s="5"/>
      <c r="C27" s="5"/>
      <c r="D27" s="5"/>
      <c r="E27" s="5">
        <f t="shared" si="3"/>
        <v>0</v>
      </c>
      <c r="F27" s="5" t="s">
        <v>373</v>
      </c>
      <c r="G27" s="5"/>
      <c r="H27" s="5"/>
      <c r="I27" s="5">
        <f t="shared" si="4"/>
        <v>0</v>
      </c>
      <c r="J27" s="5"/>
      <c r="K27" s="5"/>
      <c r="L27" s="5">
        <f t="shared" si="5"/>
        <v>0</v>
      </c>
    </row>
    <row r="28" spans="2:12">
      <c r="B28" s="5" t="s">
        <v>374</v>
      </c>
      <c r="C28" s="5"/>
      <c r="D28" s="5"/>
      <c r="E28" s="5">
        <f t="shared" si="0"/>
        <v>0</v>
      </c>
      <c r="F28" s="5" t="s">
        <v>373</v>
      </c>
      <c r="G28" s="5"/>
      <c r="H28" s="5"/>
      <c r="I28" s="5">
        <f t="shared" si="1"/>
        <v>0</v>
      </c>
      <c r="J28" s="5"/>
      <c r="K28" s="5"/>
      <c r="L28" s="5">
        <f t="shared" si="2"/>
        <v>0</v>
      </c>
    </row>
    <row r="29" spans="2:12">
      <c r="B29" s="5" t="s">
        <v>375</v>
      </c>
      <c r="C29" s="5"/>
      <c r="D29" s="5"/>
      <c r="E29" s="5">
        <f t="shared" si="0"/>
        <v>0</v>
      </c>
      <c r="F29" s="5" t="s">
        <v>373</v>
      </c>
      <c r="G29" s="5"/>
      <c r="H29" s="5"/>
      <c r="I29" s="5">
        <f t="shared" si="1"/>
        <v>0</v>
      </c>
      <c r="J29" s="5"/>
      <c r="K29" s="5"/>
      <c r="L29" s="5">
        <f t="shared" si="2"/>
        <v>0</v>
      </c>
    </row>
    <row r="30" spans="2:12">
      <c r="B30" s="5" t="s">
        <v>376</v>
      </c>
      <c r="C30" s="5"/>
      <c r="D30" s="5"/>
      <c r="E30" s="5">
        <f t="shared" si="0"/>
        <v>0</v>
      </c>
      <c r="F30" s="5"/>
      <c r="G30" s="5"/>
      <c r="H30" s="5"/>
      <c r="I30" s="5">
        <f t="shared" si="1"/>
        <v>0</v>
      </c>
      <c r="J30" s="5"/>
      <c r="K30" s="5"/>
      <c r="L30" s="5">
        <f t="shared" si="2"/>
        <v>0</v>
      </c>
    </row>
    <row r="31" spans="2:12">
      <c r="B31" s="5"/>
      <c r="C31" s="5"/>
      <c r="D31" s="5"/>
      <c r="E31" s="5">
        <f t="shared" ref="E31:E32" si="6">C31*D31</f>
        <v>0</v>
      </c>
      <c r="F31" s="5"/>
      <c r="G31" s="5"/>
      <c r="H31" s="5"/>
      <c r="I31" s="5">
        <f t="shared" ref="I31:I32" si="7">G31*H31</f>
        <v>0</v>
      </c>
      <c r="J31" s="5"/>
      <c r="K31" s="5"/>
      <c r="L31" s="5">
        <f t="shared" ref="L31:L32" si="8">J31*K31</f>
        <v>0</v>
      </c>
    </row>
    <row r="32" spans="2:12">
      <c r="B32" s="5"/>
      <c r="C32" s="5"/>
      <c r="D32" s="5"/>
      <c r="E32" s="5">
        <f t="shared" si="6"/>
        <v>0</v>
      </c>
      <c r="F32" s="5"/>
      <c r="G32" s="5"/>
      <c r="H32" s="5"/>
      <c r="I32" s="5">
        <f t="shared" si="7"/>
        <v>0</v>
      </c>
      <c r="J32" s="5"/>
      <c r="K32" s="5"/>
      <c r="L32" s="5">
        <f t="shared" si="8"/>
        <v>0</v>
      </c>
    </row>
    <row r="33" spans="2:12">
      <c r="B33" s="5" t="s">
        <v>377</v>
      </c>
      <c r="C33" s="5"/>
      <c r="D33" s="5"/>
      <c r="E33" s="5">
        <f t="shared" si="0"/>
        <v>0</v>
      </c>
      <c r="F33" s="5"/>
      <c r="G33" s="5"/>
      <c r="H33" s="5"/>
      <c r="I33" s="5">
        <f t="shared" si="1"/>
        <v>0</v>
      </c>
      <c r="J33" s="5"/>
      <c r="K33" s="5"/>
      <c r="L33" s="5">
        <f t="shared" si="2"/>
        <v>0</v>
      </c>
    </row>
    <row r="34" spans="2:12">
      <c r="B34" s="5" t="s">
        <v>378</v>
      </c>
      <c r="C34" s="5"/>
      <c r="D34" s="5"/>
      <c r="E34" s="5">
        <f t="shared" si="0"/>
        <v>0</v>
      </c>
      <c r="F34" s="5"/>
      <c r="G34" s="5"/>
      <c r="H34" s="5"/>
      <c r="I34" s="5">
        <f t="shared" si="1"/>
        <v>0</v>
      </c>
      <c r="J34" s="5"/>
      <c r="K34" s="5"/>
      <c r="L34" s="5">
        <f t="shared" si="2"/>
        <v>0</v>
      </c>
    </row>
    <row r="35" spans="2:12">
      <c r="B35" s="5" t="s">
        <v>379</v>
      </c>
      <c r="C35" s="5"/>
      <c r="D35" s="5"/>
      <c r="E35" s="5">
        <f t="shared" si="0"/>
        <v>0</v>
      </c>
      <c r="F35" s="5"/>
      <c r="G35" s="5"/>
      <c r="H35" s="5"/>
      <c r="I35" s="5">
        <f t="shared" si="1"/>
        <v>0</v>
      </c>
      <c r="J35" s="5"/>
      <c r="K35" s="5"/>
      <c r="L35" s="5">
        <f t="shared" si="2"/>
        <v>0</v>
      </c>
    </row>
    <row r="36" spans="2:12">
      <c r="B36" s="5" t="s">
        <v>380</v>
      </c>
      <c r="C36" s="5"/>
      <c r="D36" s="5"/>
      <c r="E36" s="5">
        <f t="shared" si="0"/>
        <v>0</v>
      </c>
      <c r="F36" s="5"/>
      <c r="G36" s="5"/>
      <c r="H36" s="5"/>
      <c r="I36" s="5">
        <f t="shared" si="1"/>
        <v>0</v>
      </c>
      <c r="J36" s="5"/>
      <c r="K36" s="5"/>
      <c r="L36" s="5">
        <f t="shared" si="2"/>
        <v>0</v>
      </c>
    </row>
    <row r="37" spans="2:12">
      <c r="B37" s="5"/>
      <c r="C37" s="5"/>
      <c r="D37" s="5"/>
      <c r="E37" s="5">
        <f t="shared" ref="E37:E38" si="9">C37*D37</f>
        <v>0</v>
      </c>
      <c r="F37" s="5"/>
      <c r="G37" s="5"/>
      <c r="H37" s="5"/>
      <c r="I37" s="5">
        <f t="shared" ref="I37:I41" si="10">G37*H37</f>
        <v>0</v>
      </c>
      <c r="J37" s="5"/>
      <c r="K37" s="5"/>
      <c r="L37" s="5">
        <f t="shared" ref="L37:L41" si="11">J37*K37</f>
        <v>0</v>
      </c>
    </row>
    <row r="38" spans="2:12">
      <c r="B38" s="5" t="s">
        <v>381</v>
      </c>
      <c r="C38" s="5"/>
      <c r="D38" s="5"/>
      <c r="E38" s="5">
        <f t="shared" si="9"/>
        <v>0</v>
      </c>
      <c r="F38" s="5"/>
      <c r="G38" s="5"/>
      <c r="H38" s="5"/>
      <c r="I38" s="5">
        <f t="shared" si="10"/>
        <v>0</v>
      </c>
      <c r="J38" s="5"/>
      <c r="K38" s="5"/>
      <c r="L38" s="5">
        <f t="shared" si="11"/>
        <v>0</v>
      </c>
    </row>
    <row r="39" spans="2:12">
      <c r="B39" s="5"/>
      <c r="C39" s="5"/>
      <c r="D39" s="5"/>
      <c r="E39" s="5">
        <f t="shared" si="0"/>
        <v>0</v>
      </c>
      <c r="F39" s="5"/>
      <c r="G39" s="5"/>
      <c r="H39" s="5"/>
      <c r="I39" s="5">
        <f t="shared" si="10"/>
        <v>0</v>
      </c>
      <c r="J39" s="5"/>
      <c r="K39" s="5"/>
      <c r="L39" s="5">
        <f t="shared" si="11"/>
        <v>0</v>
      </c>
    </row>
    <row r="40" spans="2:12">
      <c r="B40" s="5"/>
      <c r="C40" s="5"/>
      <c r="D40" s="5"/>
      <c r="E40" s="5">
        <f t="shared" si="0"/>
        <v>0</v>
      </c>
      <c r="F40" s="5"/>
      <c r="G40" s="5"/>
      <c r="H40" s="5"/>
      <c r="I40" s="5">
        <f t="shared" si="10"/>
        <v>0</v>
      </c>
      <c r="J40" s="5"/>
      <c r="K40" s="5"/>
      <c r="L40" s="5">
        <f t="shared" si="11"/>
        <v>0</v>
      </c>
    </row>
    <row r="41" spans="2:12">
      <c r="B41" s="5"/>
      <c r="C41" s="5"/>
      <c r="D41" s="5"/>
      <c r="E41" s="5">
        <f t="shared" si="0"/>
        <v>0</v>
      </c>
      <c r="F41" s="5"/>
      <c r="G41" s="5"/>
      <c r="H41" s="5"/>
      <c r="I41" s="5">
        <f t="shared" si="10"/>
        <v>0</v>
      </c>
      <c r="J41" s="5"/>
      <c r="K41" s="5"/>
      <c r="L41" s="5">
        <f t="shared" si="11"/>
        <v>0</v>
      </c>
    </row>
    <row r="42" spans="2:12">
      <c r="B42" s="5" t="s">
        <v>263</v>
      </c>
      <c r="C42" s="5"/>
      <c r="D42" s="5">
        <f>E42*10.764</f>
        <v>0</v>
      </c>
      <c r="E42" s="6">
        <f>SUM(E6:E41)</f>
        <v>0</v>
      </c>
      <c r="F42" s="5"/>
      <c r="G42" s="5"/>
      <c r="H42" s="5">
        <f>I42*10.764</f>
        <v>0</v>
      </c>
      <c r="I42" s="7">
        <f>SUM(I6:I41)</f>
        <v>0</v>
      </c>
      <c r="J42" s="5"/>
      <c r="K42" s="5">
        <f>L42*10.764</f>
        <v>0</v>
      </c>
      <c r="L42" s="8">
        <f>SUM(L6:L41)</f>
        <v>0</v>
      </c>
    </row>
    <row r="44" spans="2:12">
      <c r="D44" s="1">
        <f>D42+H42</f>
        <v>0</v>
      </c>
      <c r="E44" s="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2025-06-10T12:00:48Z</cp:lastPrinted>
  <dcterms:created xsi:type="dcterms:W3CDTF">2019-07-16T09:29:00Z</dcterms:created>
  <dcterms:modified xsi:type="dcterms:W3CDTF">2025-09-17T14:43:22Z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2F8360672C844259A93F20DBFFF2ABC1_12</vt:lpwstr>
  </property>
  <property fmtid="{D5CDD505-2E9C-101B-9397-08002B2CF9AE}" pid="3" name="KSOProductBuildVer">
    <vt:lpwstr>1033-12.2.0.20326</vt:lpwstr>
  </property>
</Properties>
</file>