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Dump\Sept 2025\09-09-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s>
  <definedNames>
    <definedName name="_xlnm.Print_Area" localSheetId="0">Report!$A$1:$H$436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7" i="1" l="1"/>
  <c r="K237" i="1" l="1"/>
  <c r="A245" i="1"/>
  <c r="A246" i="1" s="1"/>
  <c r="A247" i="1" s="1"/>
  <c r="A248" i="1" s="1"/>
  <c r="A249" i="1" s="1"/>
  <c r="A250" i="1" s="1"/>
  <c r="A251" i="1" s="1"/>
  <c r="A252" i="1" s="1"/>
  <c r="A253" i="1" s="1"/>
  <c r="A254" i="1" s="1"/>
  <c r="A255" i="1" s="1"/>
  <c r="A256" i="1" s="1"/>
  <c r="E239" i="1" l="1"/>
  <c r="D239" i="1"/>
  <c r="E238" i="1"/>
  <c r="D238" i="1"/>
  <c r="E237" i="1"/>
  <c r="D237" i="1"/>
  <c r="E235" i="1"/>
  <c r="D235" i="1"/>
  <c r="E234" i="1"/>
  <c r="D234" i="1"/>
  <c r="E231" i="1"/>
  <c r="D231" i="1"/>
  <c r="E230" i="1"/>
  <c r="D230" i="1"/>
  <c r="E229" i="1"/>
  <c r="D229" i="1"/>
  <c r="E227" i="1"/>
  <c r="D227" i="1"/>
  <c r="E226" i="1"/>
  <c r="D226" i="1"/>
  <c r="F226" i="1" s="1"/>
  <c r="H226" i="1" s="1"/>
  <c r="E225" i="1"/>
  <c r="D225" i="1"/>
  <c r="E224" i="1"/>
  <c r="D224" i="1"/>
  <c r="E221" i="1"/>
  <c r="D221" i="1"/>
  <c r="E220" i="1"/>
  <c r="D220" i="1"/>
  <c r="E219" i="1"/>
  <c r="D219" i="1"/>
  <c r="E217" i="1"/>
  <c r="D217" i="1"/>
  <c r="E216" i="1"/>
  <c r="D216" i="1"/>
  <c r="E215" i="1"/>
  <c r="D215" i="1"/>
  <c r="E214" i="1"/>
  <c r="D214" i="1"/>
  <c r="E210" i="1"/>
  <c r="D210" i="1"/>
  <c r="E209" i="1"/>
  <c r="D209" i="1"/>
  <c r="E207" i="1"/>
  <c r="D207" i="1"/>
  <c r="E206" i="1"/>
  <c r="D206" i="1"/>
  <c r="E205" i="1"/>
  <c r="D205" i="1"/>
  <c r="E204" i="1"/>
  <c r="D204" i="1"/>
  <c r="E201" i="1"/>
  <c r="D201" i="1"/>
  <c r="E200" i="1"/>
  <c r="D200" i="1"/>
  <c r="E199" i="1"/>
  <c r="D199" i="1"/>
  <c r="E198" i="1"/>
  <c r="D198" i="1"/>
  <c r="E196" i="1"/>
  <c r="D196" i="1"/>
  <c r="E195" i="1"/>
  <c r="D195" i="1"/>
  <c r="E194" i="1"/>
  <c r="D194" i="1"/>
  <c r="E193" i="1"/>
  <c r="D193" i="1"/>
  <c r="E190" i="1"/>
  <c r="D190" i="1"/>
  <c r="E189" i="1"/>
  <c r="D189" i="1"/>
  <c r="E188" i="1"/>
  <c r="D188" i="1"/>
  <c r="E187" i="1"/>
  <c r="D187" i="1"/>
  <c r="E186" i="1"/>
  <c r="D186" i="1"/>
  <c r="E185" i="1"/>
  <c r="D185" i="1"/>
  <c r="E184" i="1"/>
  <c r="D184" i="1"/>
  <c r="E183" i="1"/>
  <c r="D183" i="1"/>
  <c r="E182" i="1"/>
  <c r="D182" i="1"/>
  <c r="E181" i="1"/>
  <c r="D181" i="1"/>
  <c r="E178" i="1"/>
  <c r="D178" i="1"/>
  <c r="E177" i="1"/>
  <c r="D177" i="1"/>
  <c r="E176" i="1"/>
  <c r="D176" i="1"/>
  <c r="E175" i="1"/>
  <c r="D175" i="1"/>
  <c r="E174" i="1"/>
  <c r="D174" i="1"/>
  <c r="E173" i="1"/>
  <c r="D173" i="1"/>
  <c r="E172" i="1"/>
  <c r="D172" i="1"/>
  <c r="E171" i="1"/>
  <c r="D171" i="1"/>
  <c r="E170" i="1"/>
  <c r="D170" i="1"/>
  <c r="E168" i="1"/>
  <c r="D168" i="1"/>
  <c r="E167" i="1"/>
  <c r="D167" i="1"/>
  <c r="E166" i="1"/>
  <c r="D166" i="1"/>
  <c r="E165" i="1"/>
  <c r="D165" i="1"/>
  <c r="E164" i="1"/>
  <c r="D164" i="1"/>
  <c r="E163" i="1"/>
  <c r="D163" i="1"/>
  <c r="E162" i="1"/>
  <c r="D162" i="1"/>
  <c r="E161" i="1"/>
  <c r="D161" i="1"/>
  <c r="E160" i="1"/>
  <c r="D160" i="1"/>
  <c r="E159" i="1"/>
  <c r="D159" i="1"/>
  <c r="E157" i="1"/>
  <c r="D157" i="1"/>
  <c r="E156" i="1"/>
  <c r="D156" i="1"/>
  <c r="E155" i="1"/>
  <c r="D155" i="1"/>
  <c r="E154" i="1"/>
  <c r="D154" i="1"/>
  <c r="E153" i="1"/>
  <c r="D153" i="1"/>
  <c r="E152" i="1"/>
  <c r="D152" i="1"/>
  <c r="E151" i="1"/>
  <c r="D151" i="1"/>
  <c r="E150" i="1"/>
  <c r="D150" i="1"/>
  <c r="E149" i="1"/>
  <c r="D149" i="1"/>
  <c r="E148" i="1"/>
  <c r="D148" i="1"/>
  <c r="E146" i="1"/>
  <c r="D146" i="1"/>
  <c r="E145" i="1"/>
  <c r="D145" i="1"/>
  <c r="E144" i="1"/>
  <c r="D144" i="1"/>
  <c r="E143" i="1"/>
  <c r="D143" i="1"/>
  <c r="E142" i="1"/>
  <c r="D142" i="1"/>
  <c r="E141" i="1"/>
  <c r="D141" i="1"/>
  <c r="E140" i="1"/>
  <c r="D140" i="1"/>
  <c r="E139" i="1"/>
  <c r="D139" i="1"/>
  <c r="H240" i="1"/>
  <c r="H236" i="1"/>
  <c r="H233" i="1"/>
  <c r="H228" i="1"/>
  <c r="H223" i="1"/>
  <c r="H218" i="1"/>
  <c r="H213" i="1"/>
  <c r="H211" i="1"/>
  <c r="H208" i="1"/>
  <c r="H203" i="1"/>
  <c r="H197" i="1"/>
  <c r="H192" i="1"/>
  <c r="J115" i="1"/>
  <c r="J114" i="1"/>
  <c r="J117" i="1"/>
  <c r="J239" i="1"/>
  <c r="I239" i="1"/>
  <c r="J240" i="1"/>
  <c r="I240" i="1"/>
  <c r="J238" i="1"/>
  <c r="I238" i="1"/>
  <c r="J237" i="1"/>
  <c r="I237" i="1"/>
  <c r="F237" i="1"/>
  <c r="H237" i="1" s="1"/>
  <c r="J236" i="1"/>
  <c r="I236" i="1"/>
  <c r="J235" i="1"/>
  <c r="I235" i="1"/>
  <c r="A237" i="1"/>
  <c r="J234" i="1"/>
  <c r="I234" i="1"/>
  <c r="J233" i="1"/>
  <c r="I233" i="1"/>
  <c r="J231" i="1"/>
  <c r="I231" i="1"/>
  <c r="J230" i="1"/>
  <c r="I230" i="1"/>
  <c r="F230" i="1"/>
  <c r="H230" i="1" s="1"/>
  <c r="J229" i="1"/>
  <c r="I229" i="1"/>
  <c r="J228" i="1"/>
  <c r="I228" i="1"/>
  <c r="J227" i="1"/>
  <c r="I227" i="1"/>
  <c r="J226" i="1"/>
  <c r="I226" i="1"/>
  <c r="J225" i="1"/>
  <c r="I225" i="1"/>
  <c r="J224" i="1"/>
  <c r="I224" i="1"/>
  <c r="A224" i="1"/>
  <c r="A225" i="1" s="1"/>
  <c r="A226" i="1" s="1"/>
  <c r="A227" i="1" s="1"/>
  <c r="A228" i="1" s="1"/>
  <c r="A229" i="1" s="1"/>
  <c r="J223" i="1"/>
  <c r="I223" i="1"/>
  <c r="F227" i="1" l="1"/>
  <c r="H227" i="1" s="1"/>
  <c r="F235" i="1"/>
  <c r="H235" i="1" s="1"/>
  <c r="F239" i="1"/>
  <c r="H239" i="1" s="1"/>
  <c r="F238" i="1"/>
  <c r="H238" i="1" s="1"/>
  <c r="F225" i="1"/>
  <c r="H225" i="1" s="1"/>
  <c r="F229" i="1"/>
  <c r="H229" i="1" s="1"/>
  <c r="F231" i="1"/>
  <c r="H231" i="1" s="1"/>
  <c r="F224" i="1"/>
  <c r="H224" i="1" s="1"/>
  <c r="F234" i="1"/>
  <c r="F221" i="1"/>
  <c r="H221" i="1" s="1"/>
  <c r="F220" i="1"/>
  <c r="H220" i="1" s="1"/>
  <c r="J221" i="1"/>
  <c r="I221" i="1"/>
  <c r="J220" i="1"/>
  <c r="I220" i="1"/>
  <c r="J219" i="1"/>
  <c r="I219" i="1"/>
  <c r="J218" i="1"/>
  <c r="I218" i="1"/>
  <c r="J217" i="1"/>
  <c r="I217" i="1"/>
  <c r="F217" i="1"/>
  <c r="H217" i="1" s="1"/>
  <c r="J216" i="1"/>
  <c r="I216" i="1"/>
  <c r="J215" i="1"/>
  <c r="I215" i="1"/>
  <c r="J214" i="1"/>
  <c r="I214" i="1"/>
  <c r="A214" i="1"/>
  <c r="A215" i="1" s="1"/>
  <c r="A216" i="1" s="1"/>
  <c r="A217" i="1" s="1"/>
  <c r="A218" i="1" s="1"/>
  <c r="A219" i="1" s="1"/>
  <c r="J213" i="1"/>
  <c r="I213" i="1"/>
  <c r="G210" i="1"/>
  <c r="G209" i="1"/>
  <c r="J211" i="1"/>
  <c r="I211" i="1"/>
  <c r="J210" i="1"/>
  <c r="I210" i="1"/>
  <c r="J209" i="1"/>
  <c r="I209" i="1"/>
  <c r="J208" i="1"/>
  <c r="I208" i="1"/>
  <c r="J207" i="1"/>
  <c r="I207" i="1"/>
  <c r="J206" i="1"/>
  <c r="I206" i="1"/>
  <c r="J205" i="1"/>
  <c r="I205" i="1"/>
  <c r="F205" i="1"/>
  <c r="H205" i="1" s="1"/>
  <c r="J204" i="1"/>
  <c r="I204" i="1"/>
  <c r="A204" i="1"/>
  <c r="A205" i="1" s="1"/>
  <c r="A206" i="1" s="1"/>
  <c r="A207" i="1" s="1"/>
  <c r="A208" i="1" s="1"/>
  <c r="A209" i="1" s="1"/>
  <c r="J203" i="1"/>
  <c r="I203" i="1"/>
  <c r="F196" i="1"/>
  <c r="H196" i="1" s="1"/>
  <c r="J201" i="1"/>
  <c r="I201" i="1"/>
  <c r="I200" i="1"/>
  <c r="F200" i="1"/>
  <c r="H200" i="1" s="1"/>
  <c r="J199" i="1"/>
  <c r="I199" i="1"/>
  <c r="F199" i="1"/>
  <c r="H199" i="1" s="1"/>
  <c r="J198" i="1"/>
  <c r="I198" i="1"/>
  <c r="F198" i="1"/>
  <c r="H198" i="1" s="1"/>
  <c r="J197" i="1"/>
  <c r="I197" i="1"/>
  <c r="J196" i="1"/>
  <c r="I196" i="1"/>
  <c r="J195" i="1"/>
  <c r="I195" i="1"/>
  <c r="J194" i="1"/>
  <c r="I194" i="1"/>
  <c r="J193" i="1"/>
  <c r="I193" i="1"/>
  <c r="A193" i="1"/>
  <c r="A194" i="1" s="1"/>
  <c r="A195" i="1" s="1"/>
  <c r="A196" i="1" s="1"/>
  <c r="A197" i="1" s="1"/>
  <c r="A198" i="1" s="1"/>
  <c r="A199" i="1" s="1"/>
  <c r="A200" i="1" s="1"/>
  <c r="A201" i="1" s="1"/>
  <c r="J192" i="1"/>
  <c r="I192" i="1"/>
  <c r="I177" i="1"/>
  <c r="I170" i="1"/>
  <c r="G143" i="1"/>
  <c r="G144" i="1"/>
  <c r="G142" i="1"/>
  <c r="G141" i="1"/>
  <c r="G139" i="1"/>
  <c r="G140" i="1"/>
  <c r="E137" i="1"/>
  <c r="E136" i="1"/>
  <c r="E135" i="1"/>
  <c r="E134" i="1"/>
  <c r="E133" i="1"/>
  <c r="E132" i="1"/>
  <c r="E131" i="1"/>
  <c r="E130" i="1"/>
  <c r="I127" i="1"/>
  <c r="I129" i="1"/>
  <c r="I128" i="1"/>
  <c r="E129" i="1"/>
  <c r="D129" i="1"/>
  <c r="E128" i="1"/>
  <c r="E127" i="1"/>
  <c r="D127" i="1"/>
  <c r="H234" i="1" l="1"/>
  <c r="G116" i="1" s="1"/>
  <c r="E116" i="1"/>
  <c r="C116" i="1"/>
  <c r="F209" i="1"/>
  <c r="H209" i="1" s="1"/>
  <c r="F207" i="1"/>
  <c r="H207" i="1" s="1"/>
  <c r="F195" i="1"/>
  <c r="H195" i="1" s="1"/>
  <c r="F204" i="1"/>
  <c r="H204" i="1" s="1"/>
  <c r="F216" i="1"/>
  <c r="H216" i="1" s="1"/>
  <c r="F215" i="1"/>
  <c r="H215" i="1" s="1"/>
  <c r="F219" i="1"/>
  <c r="H219" i="1" s="1"/>
  <c r="F214" i="1"/>
  <c r="H214" i="1" s="1"/>
  <c r="F206" i="1"/>
  <c r="H206" i="1" s="1"/>
  <c r="F210" i="1"/>
  <c r="H210" i="1" s="1"/>
  <c r="F194" i="1"/>
  <c r="H194" i="1" s="1"/>
  <c r="F201" i="1"/>
  <c r="H201" i="1" s="1"/>
  <c r="F193" i="1"/>
  <c r="H193" i="1" s="1"/>
  <c r="I56" i="1"/>
  <c r="F110" i="1" l="1"/>
  <c r="J143" i="1" l="1"/>
  <c r="F168" i="1"/>
  <c r="H168" i="1" s="1"/>
  <c r="F167" i="1"/>
  <c r="H167" i="1" s="1"/>
  <c r="F166" i="1"/>
  <c r="H166" i="1" s="1"/>
  <c r="F165" i="1"/>
  <c r="H165" i="1" s="1"/>
  <c r="F164" i="1"/>
  <c r="H164" i="1" s="1"/>
  <c r="F163" i="1"/>
  <c r="H163" i="1" s="1"/>
  <c r="F162" i="1"/>
  <c r="H162" i="1" s="1"/>
  <c r="F161" i="1"/>
  <c r="H161" i="1" s="1"/>
  <c r="F160" i="1"/>
  <c r="H160" i="1" s="1"/>
  <c r="A160" i="1"/>
  <c r="A161" i="1" s="1"/>
  <c r="A162" i="1" s="1"/>
  <c r="A163" i="1" s="1"/>
  <c r="A164" i="1" s="1"/>
  <c r="A165" i="1" s="1"/>
  <c r="A166" i="1" s="1"/>
  <c r="A167" i="1" s="1"/>
  <c r="A168" i="1" s="1"/>
  <c r="F159" i="1"/>
  <c r="H159" i="1" s="1"/>
  <c r="J116" i="1" l="1"/>
  <c r="K128" i="1"/>
  <c r="I179" i="1" l="1"/>
  <c r="D128" i="1" l="1"/>
  <c r="D137" i="1" l="1"/>
  <c r="D136" i="1"/>
  <c r="D135" i="1"/>
  <c r="D134" i="1"/>
  <c r="D133" i="1"/>
  <c r="D132" i="1"/>
  <c r="D131" i="1"/>
  <c r="D130" i="1"/>
  <c r="I135" i="1"/>
  <c r="J188" i="1"/>
  <c r="J190" i="1"/>
  <c r="J187" i="1"/>
  <c r="J185" i="1"/>
  <c r="J184" i="1"/>
  <c r="J183" i="1"/>
  <c r="J181" i="1"/>
  <c r="I188" i="1"/>
  <c r="I189" i="1"/>
  <c r="I187" i="1"/>
  <c r="I185" i="1"/>
  <c r="I184" i="1"/>
  <c r="I181" i="1"/>
  <c r="I183" i="1"/>
  <c r="J182" i="1"/>
  <c r="J186" i="1"/>
  <c r="I190" i="1"/>
  <c r="I186" i="1"/>
  <c r="I182" i="1"/>
  <c r="A182" i="1"/>
  <c r="A183" i="1" s="1"/>
  <c r="A184" i="1" s="1"/>
  <c r="A185" i="1" s="1"/>
  <c r="A186" i="1" s="1"/>
  <c r="A187" i="1" s="1"/>
  <c r="A188" i="1" s="1"/>
  <c r="A189" i="1" s="1"/>
  <c r="A190" i="1" s="1"/>
  <c r="J177" i="1"/>
  <c r="I178" i="1"/>
  <c r="I174" i="1"/>
  <c r="J174" i="1"/>
  <c r="J170" i="1"/>
  <c r="A171" i="1"/>
  <c r="A172" i="1" s="1"/>
  <c r="A173" i="1" s="1"/>
  <c r="A174" i="1" s="1"/>
  <c r="A175" i="1" s="1"/>
  <c r="A176" i="1" s="1"/>
  <c r="A177" i="1" s="1"/>
  <c r="A178" i="1" s="1"/>
  <c r="A179" i="1" s="1"/>
  <c r="A149" i="1"/>
  <c r="A150" i="1" s="1"/>
  <c r="A151" i="1" s="1"/>
  <c r="A152" i="1" s="1"/>
  <c r="A153" i="1" s="1"/>
  <c r="A154" i="1" s="1"/>
  <c r="A155" i="1" s="1"/>
  <c r="A156" i="1" s="1"/>
  <c r="A157" i="1" s="1"/>
  <c r="A140" i="1"/>
  <c r="A141" i="1" s="1"/>
  <c r="A142" i="1" s="1"/>
  <c r="A143" i="1" s="1"/>
  <c r="A144" i="1" s="1"/>
  <c r="A145" i="1" s="1"/>
  <c r="A146" i="1" s="1"/>
  <c r="F185" i="1" l="1"/>
  <c r="H185" i="1" s="1"/>
  <c r="F189" i="1"/>
  <c r="H189" i="1" s="1"/>
  <c r="F145" i="1"/>
  <c r="F149" i="1"/>
  <c r="F153" i="1"/>
  <c r="H153" i="1" s="1"/>
  <c r="F157" i="1"/>
  <c r="H157" i="1" s="1"/>
  <c r="F172" i="1"/>
  <c r="H172" i="1" s="1"/>
  <c r="F176" i="1"/>
  <c r="H176" i="1" s="1"/>
  <c r="F130" i="1"/>
  <c r="H130" i="1" s="1"/>
  <c r="F131" i="1"/>
  <c r="H131" i="1" s="1"/>
  <c r="F132" i="1"/>
  <c r="H132" i="1" s="1"/>
  <c r="F133" i="1"/>
  <c r="H133" i="1" s="1"/>
  <c r="F134" i="1"/>
  <c r="H134" i="1" s="1"/>
  <c r="F135" i="1"/>
  <c r="H135" i="1" s="1"/>
  <c r="F136" i="1"/>
  <c r="H136" i="1" s="1"/>
  <c r="F137" i="1"/>
  <c r="H137" i="1" s="1"/>
  <c r="F139" i="1"/>
  <c r="H139" i="1" s="1"/>
  <c r="F140" i="1"/>
  <c r="H140" i="1" s="1"/>
  <c r="F141" i="1"/>
  <c r="H141" i="1" s="1"/>
  <c r="F142" i="1"/>
  <c r="H142" i="1" s="1"/>
  <c r="F143" i="1"/>
  <c r="H143" i="1" s="1"/>
  <c r="F144" i="1"/>
  <c r="H144" i="1" s="1"/>
  <c r="F146" i="1"/>
  <c r="H146" i="1" s="1"/>
  <c r="F148" i="1"/>
  <c r="F150" i="1"/>
  <c r="H150" i="1" s="1"/>
  <c r="F151" i="1"/>
  <c r="H151" i="1" s="1"/>
  <c r="F152" i="1"/>
  <c r="H152" i="1" s="1"/>
  <c r="F154" i="1"/>
  <c r="F155" i="1"/>
  <c r="H155" i="1" s="1"/>
  <c r="F156" i="1"/>
  <c r="H156" i="1" s="1"/>
  <c r="F170" i="1"/>
  <c r="H170" i="1" s="1"/>
  <c r="F171" i="1"/>
  <c r="H171" i="1" s="1"/>
  <c r="F173" i="1"/>
  <c r="H173" i="1" s="1"/>
  <c r="F174" i="1"/>
  <c r="H174" i="1" s="1"/>
  <c r="F175" i="1"/>
  <c r="H175" i="1" s="1"/>
  <c r="F177" i="1"/>
  <c r="H177" i="1" s="1"/>
  <c r="F178" i="1"/>
  <c r="H178" i="1" s="1"/>
  <c r="F184" i="1"/>
  <c r="H184" i="1" s="1"/>
  <c r="F186" i="1"/>
  <c r="H186" i="1" s="1"/>
  <c r="F188" i="1"/>
  <c r="H188" i="1" s="1"/>
  <c r="F181" i="1"/>
  <c r="H181" i="1" s="1"/>
  <c r="F182" i="1"/>
  <c r="H182" i="1" s="1"/>
  <c r="F183" i="1"/>
  <c r="H183" i="1" s="1"/>
  <c r="F187" i="1"/>
  <c r="H187" i="1" s="1"/>
  <c r="F190" i="1"/>
  <c r="H190" i="1" s="1"/>
  <c r="E43" i="1"/>
  <c r="H145" i="1" l="1"/>
  <c r="G114" i="1" s="1"/>
  <c r="C114" i="1"/>
  <c r="E114" i="1"/>
  <c r="E115" i="1"/>
  <c r="C115" i="1"/>
  <c r="H154" i="1"/>
  <c r="G117" i="1" s="1"/>
  <c r="E117" i="1"/>
  <c r="C117" i="1"/>
  <c r="H149" i="1"/>
  <c r="H148" i="1"/>
  <c r="B243" i="1"/>
  <c r="G115" i="1" l="1"/>
  <c r="F128" i="1"/>
  <c r="H128" i="1" s="1"/>
  <c r="F129" i="1"/>
  <c r="H129" i="1" s="1"/>
  <c r="F127" i="1"/>
  <c r="E113" i="1" l="1"/>
  <c r="E118" i="1" s="1"/>
  <c r="E119" i="1" s="1"/>
  <c r="C113" i="1"/>
  <c r="C118" i="1" s="1"/>
  <c r="C119" i="1" s="1"/>
  <c r="H127" i="1"/>
  <c r="G113" i="1" s="1"/>
  <c r="G118" i="1" s="1"/>
  <c r="G119" i="1" s="1"/>
  <c r="S33" i="1"/>
  <c r="K127" i="1" l="1"/>
  <c r="F11" i="5"/>
  <c r="G11" i="5" s="1"/>
  <c r="F10" i="5"/>
  <c r="G10" i="5" s="1"/>
  <c r="F9" i="5"/>
  <c r="G9" i="5" s="1"/>
  <c r="G8" i="5"/>
  <c r="F8" i="5"/>
  <c r="G7" i="5"/>
  <c r="F7" i="5"/>
  <c r="G6" i="5"/>
  <c r="F6" i="5"/>
  <c r="F5" i="5"/>
  <c r="G5" i="5" s="1"/>
  <c r="G12" i="5" s="1"/>
  <c r="D269" i="1"/>
  <c r="B244" i="1"/>
  <c r="A128" i="1"/>
  <c r="A129" i="1" s="1"/>
  <c r="A130" i="1" s="1"/>
  <c r="A131" i="1" s="1"/>
  <c r="A132" i="1" s="1"/>
  <c r="A133" i="1" s="1"/>
  <c r="A134" i="1" s="1"/>
  <c r="A135" i="1" s="1"/>
  <c r="A136" i="1" s="1"/>
  <c r="A137" i="1" s="1"/>
  <c r="C84" i="1"/>
  <c r="C70" i="1"/>
  <c r="D59" i="1"/>
  <c r="E44" i="1"/>
  <c r="E45" i="1" s="1"/>
  <c r="E31" i="1"/>
  <c r="E28" i="1"/>
  <c r="E26" i="1"/>
  <c r="C16" i="1"/>
  <c r="I15" i="1"/>
  <c r="Z13" i="1"/>
  <c r="E8" i="1"/>
  <c r="E3" i="1"/>
  <c r="D64" i="1" s="1"/>
  <c r="H85" i="1"/>
  <c r="H71" i="1"/>
  <c r="J70" i="1" l="1"/>
  <c r="J72" i="1" s="1"/>
  <c r="J73" i="1"/>
  <c r="J74" i="1"/>
  <c r="J75" i="1"/>
  <c r="C74" i="1" s="1"/>
  <c r="J89" i="1"/>
  <c r="E88" i="1"/>
  <c r="D93" i="1"/>
  <c r="D95" i="1"/>
  <c r="D89" i="1"/>
  <c r="J88" i="1"/>
  <c r="D94" i="1"/>
  <c r="J84" i="1"/>
  <c r="J86" i="1" s="1"/>
  <c r="D92" i="1"/>
  <c r="J87" i="1"/>
  <c r="D91" i="1"/>
  <c r="D97" i="1"/>
  <c r="D96" i="1"/>
  <c r="D90" i="1"/>
  <c r="D78" i="1"/>
  <c r="D80" i="1"/>
  <c r="D79" i="1"/>
  <c r="D83" i="1"/>
  <c r="D77" i="1"/>
  <c r="D82" i="1"/>
  <c r="D76" i="1"/>
  <c r="D81" i="1"/>
  <c r="B85" i="1"/>
  <c r="B71" i="1"/>
  <c r="J76" i="1" s="1"/>
  <c r="C88" i="1" l="1"/>
  <c r="D88" i="1" s="1"/>
  <c r="I85" i="1" s="1"/>
  <c r="I86" i="1" s="1"/>
  <c r="D74" i="1"/>
  <c r="J95" i="1"/>
  <c r="J92" i="1"/>
  <c r="J94" i="1"/>
  <c r="J93" i="1"/>
  <c r="J90" i="1"/>
  <c r="J91" i="1" s="1"/>
  <c r="J80" i="1"/>
  <c r="J78" i="1"/>
  <c r="J79" i="1"/>
  <c r="J77" i="1"/>
  <c r="J82" i="1" s="1"/>
  <c r="J83" i="1" s="1"/>
  <c r="C75" i="1" s="1"/>
  <c r="J81" i="1"/>
  <c r="G88" i="1" l="1"/>
  <c r="J71" i="1"/>
  <c r="J96" i="1"/>
  <c r="J97" i="1" s="1"/>
  <c r="J85" i="1" s="1"/>
  <c r="I84" i="1" s="1"/>
  <c r="C86" i="1" s="1"/>
  <c r="E74" i="1"/>
  <c r="D75" i="1"/>
  <c r="I71" i="1" s="1"/>
  <c r="G74" i="1"/>
  <c r="D68" i="1" s="1"/>
  <c r="F69" i="1" l="1"/>
  <c r="D69" i="1"/>
  <c r="I72" i="1"/>
  <c r="I70" i="1" s="1"/>
  <c r="C72"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D59"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03"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<sst xmlns="http://schemas.openxmlformats.org/spreadsheetml/2006/main" count="654" uniqueCount="360">
  <si>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</si>
  <si>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</si>
  <si>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</si>
  <si>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</si>
  <si>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</si>
  <si>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</si>
  <si>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</si>
  <si>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</si>
  <si>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</si>
  <si>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</si>
  <si>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</si>
  <si>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</si>
  <si>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</si>
  <si>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</si>
  <si>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</si>
  <si>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</si>
  <si>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</si>
  <si>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</si>
  <si>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</si>
  <si>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</si>
  <si>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</si>
  <si>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</si>
  <si>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</si>
  <si>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</si>
  <si>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</si>
  <si>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</si>
  <si>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</si>
  <si>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</si>
  <si>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</si>
  <si>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</si>
  <si>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</si>
  <si>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</si>
  <si>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</si>
  <si>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</si>
  <si>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</si>
  <si>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</si>
  <si>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</si>
  <si>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</si>
  <si>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</si>
  <si>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</si>
  <si>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</si>
  <si>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</si>
  <si>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</si>
  <si>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</si>
  <si>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</si>
  <si>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</si>
  <si>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</si>
  <si>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</si>
  <si>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</si>
  <si>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</si>
  <si>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</si>
  <si>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</si>
  <si>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</si>
  <si>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</si>
  <si>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</si>
  <si>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</si>
  <si>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</si>
  <si>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</si>
  <si>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</si>
  <si>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</si>
  <si>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</si>
  <si>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</si>
  <si>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</si>
  <si>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</si>
  <si>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</si>
  <si>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</si>
  <si>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Podium</t>
  </si>
  <si>
    <t>Ground</t>
  </si>
  <si>
    <t>Locality/Village</t>
  </si>
  <si>
    <t>Taluka</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</si>
  <si>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</si>
  <si>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</si>
  <si>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</si>
  <si>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</si>
  <si>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</si>
  <si>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</si>
  <si>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</si>
  <si>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</si>
  <si>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</si>
  <si>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</si>
  <si>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</si>
  <si>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</si>
  <si>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</si>
  <si>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</si>
  <si>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</si>
  <si>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</si>
  <si>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</si>
  <si>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</si>
  <si>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</si>
  <si>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</si>
  <si>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</si>
  <si>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</si>
  <si>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</si>
  <si>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</si>
  <si>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</si>
  <si>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</si>
  <si>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</si>
  <si>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</si>
  <si>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</si>
  <si>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</si>
  <si>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</si>
  <si>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</si>
  <si>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</si>
  <si>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</si>
  <si>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</si>
  <si>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</si>
  <si>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</si>
  <si>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</si>
  <si>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</si>
  <si>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</si>
  <si>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</si>
  <si>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</si>
  <si>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</si>
  <si>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</si>
  <si>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</si>
  <si>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</si>
  <si>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</si>
  <si>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</si>
  <si>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</si>
  <si>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</si>
  <si>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</si>
  <si>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</si>
  <si>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</si>
  <si>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</si>
  <si>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</si>
  <si>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</si>
  <si>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</si>
  <si>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</si>
  <si>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</si>
  <si>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</si>
  <si>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</si>
  <si>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</si>
  <si>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</si>
  <si>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</si>
  <si>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</si>
  <si>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</si>
  <si>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</si>
  <si>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</si>
  <si>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</si>
  <si>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</si>
  <si>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</si>
  <si>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</si>
  <si>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</si>
  <si>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</si>
  <si>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</si>
  <si>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</si>
  <si>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</si>
  <si>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Recommended Rates of the Property : </t>
  </si>
  <si>
    <t>Recommended rate of the Flat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</si>
  <si>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</si>
  <si>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</si>
  <si>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</si>
  <si>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</si>
  <si>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</si>
  <si>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</si>
  <si>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</si>
  <si>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</si>
  <si>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</si>
  <si>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</si>
  <si>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</si>
  <si>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</si>
  <si>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</si>
  <si>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</si>
  <si>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Floor Rise Rate from    Floor</t>
  </si>
  <si>
    <t>Shop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</si>
  <si>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</si>
  <si>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</si>
  <si>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</si>
  <si>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</si>
  <si>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</si>
  <si>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</si>
  <si>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</si>
  <si>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</si>
  <si>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</si>
  <si>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</si>
  <si>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</si>
  <si>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</si>
  <si>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</si>
  <si>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</si>
  <si>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</si>
  <si>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</si>
  <si>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</si>
  <si>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</si>
  <si>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</si>
  <si>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</si>
  <si>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</si>
  <si>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</si>
  <si>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</si>
  <si>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</si>
  <si>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</si>
  <si>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</si>
  <si>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</si>
  <si>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</si>
  <si>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</si>
  <si>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</si>
  <si>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</si>
  <si>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</si>
  <si>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</si>
  <si>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</si>
  <si>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</si>
  <si>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</si>
  <si>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</si>
  <si>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</si>
  <si>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</si>
  <si>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</si>
  <si>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</si>
  <si>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</si>
  <si>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</si>
  <si>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</si>
  <si>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</si>
  <si>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</si>
  <si>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</si>
  <si>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</si>
  <si>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</si>
  <si>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</si>
  <si>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</si>
  <si>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</si>
  <si>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</si>
  <si>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</si>
  <si>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</si>
  <si>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</si>
  <si>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</si>
  <si>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</si>
  <si>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</si>
  <si>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</si>
  <si>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</si>
  <si>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</si>
  <si>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</si>
  <si>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</si>
  <si>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</si>
  <si>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</si>
  <si>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</si>
  <si>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</si>
  <si>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</si>
  <si>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</si>
  <si>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</si>
  <si>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</si>
  <si>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</si>
  <si>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</si>
  <si>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</si>
  <si>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</si>
  <si>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</si>
  <si>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</si>
  <si>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</si>
  <si>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</si>
  <si>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</si>
  <si>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</si>
  <si>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</si>
  <si>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</si>
  <si>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</si>
  <si>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</si>
  <si>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</si>
  <si>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</si>
  <si>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</si>
  <si>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</si>
  <si>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</si>
  <si>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</si>
  <si>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</si>
  <si>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</si>
  <si>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</si>
  <si>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</si>
  <si>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</si>
  <si>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</si>
  <si>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</si>
  <si>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</si>
  <si>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</si>
  <si>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</si>
  <si>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</si>
  <si>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</si>
  <si>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</si>
  <si>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</si>
  <si>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</si>
  <si>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</si>
  <si>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</si>
  <si>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</si>
  <si>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</si>
  <si>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</si>
  <si>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</si>
  <si>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</si>
  <si>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</si>
  <si>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</si>
  <si>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</si>
  <si>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</si>
  <si>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</si>
  <si>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</si>
  <si>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 xml:space="preserve">Shree Anant Enterprises
</t>
  </si>
  <si>
    <t>Centurion</t>
  </si>
  <si>
    <t>Building A</t>
  </si>
  <si>
    <t>Plot No</t>
  </si>
  <si>
    <t>A-84, A-85</t>
  </si>
  <si>
    <t>Thane West</t>
  </si>
  <si>
    <t>Neheru Nagar</t>
  </si>
  <si>
    <t>Sai Avenue</t>
  </si>
  <si>
    <t>3.5 KM from Thane Railway Station</t>
  </si>
  <si>
    <t>30.50 MW Road</t>
  </si>
  <si>
    <t xml:space="preserve">Other Plot </t>
  </si>
  <si>
    <t>SG Barve Road</t>
  </si>
  <si>
    <t>Building</t>
  </si>
  <si>
    <t>Neel Engineering Company</t>
  </si>
  <si>
    <t>https://maps.app.goo.gl/D2s35oFsePeBEPL38</t>
  </si>
  <si>
    <t>19.1938762,72.9525416</t>
  </si>
  <si>
    <t>TAS Engineering Company Pvt. Ltd.</t>
  </si>
  <si>
    <t>As per RERA - 31/01/2026</t>
  </si>
  <si>
    <t xml:space="preserve">Details of  Commercials in Building   </t>
  </si>
  <si>
    <t>Basement For Pump Room, Fire Water Tank, Domestic Water tank, Electrical Transformer Room, Solid Waste Management Room</t>
  </si>
  <si>
    <t>Ground Floor For Commercials, Fire Control room, Electrical Utility &amp; Lobby</t>
  </si>
  <si>
    <t>1st Floor For Commercial</t>
  </si>
  <si>
    <t>IT Office Unit</t>
  </si>
  <si>
    <t xml:space="preserve">IT Office </t>
  </si>
  <si>
    <t xml:space="preserve"> 7th Floor For Commercial ( Part Refuge Area)</t>
  </si>
  <si>
    <t>Commercial Area Details : Building A</t>
  </si>
  <si>
    <t>Ajay Songare</t>
  </si>
  <si>
    <t>The Proposed Built up Area = 5197.62 Sq.mtr. (Height = 26.20 mtrs)</t>
  </si>
  <si>
    <t>Centurion (Building A)</t>
  </si>
  <si>
    <r>
      <t xml:space="preserve">Proposed Amenities :                                                                                                                                                                                                                         </t>
    </r>
    <r>
      <rPr>
        <b/>
        <sz val="12"/>
        <color theme="1"/>
        <rFont val="Times New Roman"/>
        <family val="1"/>
      </rPr>
      <t xml:space="preserve">                                               </t>
    </r>
  </si>
  <si>
    <r>
      <t xml:space="preserve">Shop No.
</t>
    </r>
    <r>
      <rPr>
        <b/>
        <sz val="11"/>
        <color theme="1"/>
        <rFont val="Times New Roman"/>
        <family val="1"/>
      </rPr>
      <t>(Approved Plan)</t>
    </r>
  </si>
  <si>
    <t>-</t>
  </si>
  <si>
    <t>Refuge Area</t>
  </si>
  <si>
    <t xml:space="preserve">DFOMMR-17/5/2023-DFO-MMR </t>
  </si>
  <si>
    <t>2nd For Commercial</t>
  </si>
  <si>
    <t>3rd to 6th Floor For Commercial</t>
  </si>
  <si>
    <t xml:space="preserve">Combined Building
Approval Letter No.
Valid Up for: </t>
  </si>
  <si>
    <t xml:space="preserve">Part O. Certificate No.: </t>
  </si>
  <si>
    <t>MIDC/DE&amp;PA-III/I-72505 /2024</t>
  </si>
  <si>
    <t>Total Builtup Area = 13892.42 Sq.m
Gr + 1st to 17th Floor</t>
  </si>
  <si>
    <t xml:space="preserve">Building A = 1B + G + 1st to 17th Floor
</t>
  </si>
  <si>
    <t>Rewas Proj./  Proposed Extn.</t>
  </si>
  <si>
    <t xml:space="preserve">Incubation  Center </t>
  </si>
  <si>
    <t>IT Unit</t>
  </si>
  <si>
    <t xml:space="preserve">8th to 10th Floor </t>
  </si>
  <si>
    <t>Terrace Area</t>
  </si>
  <si>
    <t>Terrace Area Below @ 11th Floor</t>
  </si>
  <si>
    <t>8 &amp; 9</t>
  </si>
  <si>
    <t>12th Floor (Part Refuge Area)</t>
  </si>
  <si>
    <t>13th Floor</t>
  </si>
  <si>
    <t>14th, 15th &amp; 16th Floor</t>
  </si>
  <si>
    <t>17th Floor</t>
  </si>
  <si>
    <t>2 &amp; 3</t>
  </si>
  <si>
    <t>4 &amp; 5</t>
  </si>
  <si>
    <t>IT SS Unit</t>
  </si>
  <si>
    <t>IT SS Unit Office</t>
  </si>
  <si>
    <t xml:space="preserve">Recommended rate of the IT SS Unit Per Sq. Ft. (For Ground Floor) </t>
  </si>
  <si>
    <t>Recommended rate of the IT SS Unit, IT Unit &amp; IT Office Unit, IT SS Unit Office &amp; Incubation Center  Per Sq. Ft.</t>
  </si>
  <si>
    <t>We considered Gross carpet area = Net carpet + Proposed Extn + Rewas Proj.</t>
  </si>
  <si>
    <t>Car parking tower is beside the project.</t>
  </si>
  <si>
    <t>Unit No. 8 &amp; 9 are merged into a single unit from the 12th floor to the 16th floor. and 
Unit No. 2 &amp; 3 and Unit No. 4 &amp; 5 are merged into a single unit on the 17th floor.</t>
  </si>
  <si>
    <t>We have updated approved Plan &amp; Combined Building Approval Letter on 04/09/2024.</t>
  </si>
  <si>
    <t>Please provide approved CC or revised CC Declaration letter.</t>
  </si>
  <si>
    <t>The Declaration about CC letter (Gr + 1st to 7th Floor), provided by the bank is attached below.</t>
  </si>
  <si>
    <t>Remark No . 11 : Builder Letter For Declaration about CC</t>
  </si>
  <si>
    <t>Approved Plans, Combined Building Approval Letter</t>
  </si>
  <si>
    <t>11th Floor (Part Terrace Area)</t>
  </si>
  <si>
    <t>MIDC/DE &amp; PAlll/SPNTHN/ 899636
Approved upto : Basement + GF
+ 1st floor
BUA = 1224.52Sqm</t>
  </si>
  <si>
    <t>MIDC/DE &amp; PA-III/ I-72505/2024
Approved upto : Basement + GF
+ 1st floor
BUA = 241.76Sqm
Existing = 1224.52 Sqm
Now proposed = 241.76 Sqm
Total = 1466.28 Sqm</t>
  </si>
  <si>
    <t>We have updated Part oc on 18/10/2024.</t>
  </si>
  <si>
    <t xml:space="preserve">Construction work is in process at the time of Visit.
Part OC received upto B + Gr + 1st Floor.
Construction Stage of Ground Floor (i.e. IT SS Unit No. 1 to 11) is completed upto RCC Brick Plaster. Therefore it can be considered as Progress and Disbursement 100%.
</t>
  </si>
  <si>
    <t>155 Units
shop</t>
  </si>
  <si>
    <t>Mr. Security</t>
  </si>
  <si>
    <t>P51700050614</t>
  </si>
  <si>
    <t>Pooja Kawale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</si>
</sst>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 #,##0.00_ ;_ * \-#,##0.00_ ;_ * &quot;-&quot;??_ ;_ @_ "/>
    <numFmt numFmtId="164" formatCode="0.0"/>
    <numFmt numFmtId="165" formatCode="_(* #,##0.00_);_(* \(#,##0.00\);_(* &quot;-&quot;??_);_(@_)"/>
    <numFmt numFmtId="166" formatCode="_(* #,##0_);_(* \(#,##0\);_(* &quot;-&quot;??_);_(@_)"/>
    <numFmt numFmtId="167" formatCode="_ * #,##0_ ;_ * \-#,##0_ ;_ * &quot;-&quot;??_ ;_ @_ "/>
    <numFmt numFmtId="168" formatCode="0.0000000"/>
  </numFmts>
  <fonts count="29"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color theme="1"/>
      <name val="Times New Roman"/>
      <family val="1"/>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19" fillId="0" borderId="0"/>
    <xf numFmtId="9" fontId="20" fillId="0" borderId="0" applyFont="0" applyFill="0" applyBorder="0" applyAlignment="0" applyProtection="0"/>
    <xf numFmtId="43" fontId="20" fillId="0" borderId="0" applyFont="0" applyFill="0" applyBorder="0" applyAlignment="0" applyProtection="0"/>
    <xf numFmtId="0" fontId="24" fillId="0" borderId="0" applyNumberFormat="0" applyFill="0" applyBorder="0" applyAlignment="0" applyProtection="0"/>
  </cellStyleXfs>
  <cellXfs count="222">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8"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7" fillId="0" borderId="1" xfId="5" applyNumberFormat="1" applyFont="1" applyBorder="1" applyAlignment="1">
      <alignment horizontal="center" vertical="center"/>
    </xf>
    <xf numFmtId="0" fontId="4" fillId="0" borderId="1" xfId="4" applyBorder="1" applyAlignment="1">
      <alignment horizontal="center" vertical="center"/>
    </xf>
    <xf numFmtId="0" fontId="16" fillId="0" borderId="0" xfId="0" applyFont="1" applyProtection="1">
      <protection hidden="1"/>
    </xf>
    <xf numFmtId="0" fontId="14" fillId="0" borderId="1" xfId="1" applyFont="1" applyBorder="1" applyAlignment="1" applyProtection="1">
      <alignment horizontal="center" vertical="top"/>
      <protection locked="0"/>
    </xf>
    <xf numFmtId="0" fontId="16" fillId="0" borderId="10" xfId="0" applyFont="1" applyBorder="1" applyProtection="1">
      <protection hidden="1"/>
    </xf>
    <xf numFmtId="0" fontId="11" fillId="0" borderId="3" xfId="1" applyFont="1" applyBorder="1" applyAlignment="1" applyProtection="1">
      <alignment horizontal="center" vertical="top"/>
      <protection locked="0"/>
    </xf>
    <xf numFmtId="0" fontId="11" fillId="0" borderId="4"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9" fontId="6" fillId="0" borderId="1" xfId="8" applyFont="1" applyFill="1" applyBorder="1" applyAlignment="1" applyProtection="1">
      <alignment horizontal="center" vertical="top" wrapText="1"/>
      <protection locked="0"/>
    </xf>
    <xf numFmtId="9" fontId="6" fillId="0" borderId="6" xfId="8" applyFont="1" applyFill="1" applyBorder="1" applyAlignment="1" applyProtection="1">
      <alignment horizontal="center"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1" fillId="0" borderId="0" xfId="1" applyFont="1"/>
    <xf numFmtId="0" fontId="6" fillId="0" borderId="9" xfId="1" applyFont="1" applyBorder="1"/>
    <xf numFmtId="0" fontId="16" fillId="0" borderId="9" xfId="0" applyFont="1" applyBorder="1" applyProtection="1">
      <protection hidden="1"/>
    </xf>
    <xf numFmtId="1" fontId="0" fillId="0" borderId="9" xfId="0" applyNumberFormat="1" applyBorder="1"/>
    <xf numFmtId="1" fontId="0" fillId="0" borderId="9" xfId="0" applyNumberFormat="1" applyBorder="1" applyAlignment="1">
      <alignment horizontal="right"/>
    </xf>
    <xf numFmtId="1" fontId="0" fillId="0" borderId="11"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0" fontId="6" fillId="0" borderId="1" xfId="1" applyFont="1" applyBorder="1" applyAlignment="1" applyProtection="1">
      <alignment horizontal="center" vertical="top" wrapText="1"/>
      <protection locked="0"/>
    </xf>
    <xf numFmtId="0" fontId="6" fillId="0" borderId="6" xfId="1" applyFont="1" applyBorder="1" applyAlignment="1" applyProtection="1">
      <alignment horizontal="center" vertical="top"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protection locked="0"/>
    </xf>
    <xf numFmtId="0" fontId="5" fillId="0" borderId="1" xfId="1" applyFont="1" applyBorder="1" applyAlignment="1" applyProtection="1">
      <alignment horizontal="center" vertical="top"/>
      <protection locked="0"/>
    </xf>
    <xf numFmtId="0" fontId="22" fillId="2" borderId="29" xfId="0" applyFont="1" applyFill="1" applyBorder="1"/>
    <xf numFmtId="0" fontId="23" fillId="0" borderId="30" xfId="0" applyFont="1" applyBorder="1"/>
    <xf numFmtId="0" fontId="23" fillId="0" borderId="1" xfId="0" applyFont="1" applyBorder="1"/>
    <xf numFmtId="0" fontId="23" fillId="0" borderId="4" xfId="0" applyFont="1" applyBorder="1"/>
    <xf numFmtId="0" fontId="11"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6" fillId="0" borderId="1"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14" fillId="0" borderId="1" xfId="1" applyNumberFormat="1" applyFont="1" applyBorder="1" applyAlignment="1" applyProtection="1">
      <alignment horizontal="center" vertical="top" wrapText="1"/>
      <protection locked="0"/>
    </xf>
    <xf numFmtId="1" fontId="5" fillId="0" borderId="1" xfId="1" applyNumberFormat="1" applyFont="1" applyFill="1" applyBorder="1" applyAlignment="1" applyProtection="1">
      <alignment horizontal="center" vertical="center" wrapText="1"/>
      <protection locked="0"/>
    </xf>
    <xf numFmtId="0" fontId="0" fillId="0" borderId="24" xfId="0" applyFill="1" applyBorder="1"/>
    <xf numFmtId="0" fontId="0" fillId="0" borderId="7" xfId="0" applyBorder="1"/>
    <xf numFmtId="0" fontId="0" fillId="0" borderId="1" xfId="0" applyBorder="1" applyAlignment="1">
      <alignment vertical="top" wrapText="1"/>
    </xf>
    <xf numFmtId="0" fontId="0" fillId="0" borderId="1" xfId="0" applyFill="1" applyBorder="1"/>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1" fontId="6" fillId="0" borderId="1" xfId="1" applyNumberFormat="1" applyFont="1" applyBorder="1" applyAlignment="1">
      <alignment horizontal="center" vertical="center"/>
    </xf>
    <xf numFmtId="0" fontId="5" fillId="0" borderId="0" xfId="1" applyFont="1" applyAlignment="1" applyProtection="1">
      <alignment vertical="top" wrapText="1"/>
      <protection locked="0"/>
    </xf>
    <xf numFmtId="0" fontId="6" fillId="0" borderId="0" xfId="1" applyFont="1" applyAlignment="1">
      <alignment horizontal="center" vertical="center"/>
    </xf>
    <xf numFmtId="0" fontId="6" fillId="0" borderId="1" xfId="1" applyFont="1" applyBorder="1" applyAlignment="1" applyProtection="1">
      <alignment horizontal="center" vertical="top" wrapText="1"/>
      <protection locked="0"/>
    </xf>
    <xf numFmtId="1" fontId="9" fillId="0" borderId="2" xfId="1" applyNumberFormat="1" applyFont="1" applyBorder="1" applyAlignment="1" applyProtection="1">
      <alignment horizontal="center" vertical="top" wrapText="1"/>
      <protection locked="0"/>
    </xf>
    <xf numFmtId="9" fontId="9" fillId="0" borderId="15" xfId="8" applyFont="1" applyFill="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top"/>
      <protection locked="0"/>
    </xf>
    <xf numFmtId="168" fontId="6" fillId="0" borderId="0" xfId="1" applyNumberFormat="1" applyFont="1" applyAlignment="1">
      <alignment horizontal="center" vertical="center"/>
    </xf>
    <xf numFmtId="1" fontId="6" fillId="0" borderId="0" xfId="0" applyNumberFormat="1" applyFont="1" applyAlignment="1">
      <alignment horizontal="center" vertical="center"/>
    </xf>
    <xf numFmtId="0" fontId="6" fillId="0" borderId="0" xfId="1" applyFont="1" applyAlignment="1">
      <alignment horizontal="center" vertical="center"/>
    </xf>
    <xf numFmtId="0" fontId="11" fillId="0" borderId="1" xfId="1" applyFont="1" applyBorder="1" applyAlignment="1" applyProtection="1">
      <alignment vertical="top" wrapText="1"/>
      <protection locked="0"/>
    </xf>
    <xf numFmtId="1" fontId="11"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0" fontId="6" fillId="0" borderId="0" xfId="1" applyFont="1" applyAlignment="1">
      <alignment horizontal="center" vertical="center"/>
    </xf>
    <xf numFmtId="164" fontId="6" fillId="0" borderId="0" xfId="1" applyNumberFormat="1" applyFont="1" applyAlignment="1">
      <alignment horizontal="center" vertical="center"/>
    </xf>
    <xf numFmtId="1" fontId="5" fillId="0" borderId="2"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1" fontId="7" fillId="0" borderId="7" xfId="0" applyNumberFormat="1" applyFont="1" applyBorder="1" applyAlignment="1" applyProtection="1">
      <alignment vertical="top" wrapText="1"/>
      <protection locked="0"/>
    </xf>
    <xf numFmtId="1" fontId="7" fillId="0" borderId="20" xfId="0" applyNumberFormat="1" applyFont="1" applyBorder="1" applyAlignment="1" applyProtection="1">
      <alignment vertical="top" wrapText="1"/>
      <protection locked="0"/>
    </xf>
    <xf numFmtId="1" fontId="7" fillId="0" borderId="8" xfId="0" applyNumberFormat="1" applyFont="1" applyBorder="1" applyAlignment="1" applyProtection="1">
      <alignment vertical="top" wrapText="1"/>
      <protection locked="0"/>
    </xf>
    <xf numFmtId="1" fontId="5" fillId="0" borderId="1"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top" wrapText="1"/>
      <protection locked="0"/>
    </xf>
    <xf numFmtId="1" fontId="5" fillId="0" borderId="7" xfId="1" applyNumberFormat="1" applyFont="1" applyBorder="1" applyAlignment="1" applyProtection="1">
      <alignment horizontal="center" vertical="center" wrapText="1"/>
      <protection locked="0"/>
    </xf>
    <xf numFmtId="1" fontId="5" fillId="0" borderId="8" xfId="1" applyNumberFormat="1" applyFont="1" applyBorder="1" applyAlignment="1" applyProtection="1">
      <alignment horizontal="center" vertical="center" wrapText="1"/>
      <protection locked="0"/>
    </xf>
    <xf numFmtId="1" fontId="5" fillId="0" borderId="20" xfId="1" applyNumberFormat="1" applyFont="1" applyBorder="1" applyAlignment="1" applyProtection="1">
      <alignment horizontal="center" vertical="center" wrapText="1"/>
      <protection locked="0"/>
    </xf>
    <xf numFmtId="1" fontId="5" fillId="0" borderId="16" xfId="1" applyNumberFormat="1" applyFont="1" applyBorder="1" applyAlignment="1" applyProtection="1">
      <alignment horizontal="center" vertical="center" wrapText="1"/>
      <protection locked="0"/>
    </xf>
    <xf numFmtId="1" fontId="5" fillId="0" borderId="17" xfId="1" applyNumberFormat="1" applyFont="1" applyBorder="1" applyAlignment="1" applyProtection="1">
      <alignment horizontal="center" vertical="center" wrapText="1"/>
      <protection locked="0"/>
    </xf>
    <xf numFmtId="1" fontId="7" fillId="0" borderId="7" xfId="1" applyNumberFormat="1" applyFont="1" applyBorder="1" applyAlignment="1" applyProtection="1">
      <alignment horizontal="center" vertical="center" wrapText="1"/>
      <protection locked="0"/>
    </xf>
    <xf numFmtId="1" fontId="7" fillId="0" borderId="20" xfId="1" applyNumberFormat="1" applyFont="1" applyBorder="1" applyAlignment="1" applyProtection="1">
      <alignment horizontal="center" vertical="center" wrapText="1"/>
      <protection locked="0"/>
    </xf>
    <xf numFmtId="1" fontId="7" fillId="0" borderId="8" xfId="1" applyNumberFormat="1" applyFont="1" applyBorder="1" applyAlignment="1" applyProtection="1">
      <alignment horizontal="center" vertical="center" wrapText="1"/>
      <protection locked="0"/>
    </xf>
    <xf numFmtId="0" fontId="12" fillId="0" borderId="3" xfId="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0" fontId="5" fillId="0" borderId="1" xfId="1" applyFont="1" applyBorder="1" applyAlignment="1" applyProtection="1">
      <alignment horizontal="left" vertical="top"/>
      <protection locked="0"/>
    </xf>
    <xf numFmtId="0" fontId="6" fillId="0" borderId="5" xfId="1" applyFont="1" applyBorder="1" applyAlignment="1" applyProtection="1">
      <alignment horizontal="center" vertical="top" wrapText="1"/>
      <protection locked="0"/>
    </xf>
    <xf numFmtId="0" fontId="6" fillId="0" borderId="6" xfId="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top" wrapText="1"/>
      <protection locked="0"/>
    </xf>
    <xf numFmtId="0" fontId="9" fillId="0" borderId="1" xfId="0" applyFont="1" applyBorder="1" applyAlignment="1" applyProtection="1">
      <alignment horizontal="center" vertical="top" wrapText="1"/>
      <protection locked="0"/>
    </xf>
    <xf numFmtId="0" fontId="7" fillId="0" borderId="15" xfId="1" applyFont="1" applyBorder="1" applyAlignment="1" applyProtection="1">
      <alignment horizontal="center" vertical="top"/>
      <protection locked="0"/>
    </xf>
    <xf numFmtId="0" fontId="6" fillId="0" borderId="1" xfId="1" applyFont="1" applyBorder="1" applyAlignment="1" applyProtection="1">
      <alignment horizontal="center" vertical="top" wrapText="1"/>
      <protection locked="0"/>
    </xf>
    <xf numFmtId="0" fontId="6" fillId="0" borderId="4" xfId="1" applyFont="1" applyBorder="1" applyAlignment="1" applyProtection="1">
      <alignment horizontal="center" vertical="top" wrapText="1"/>
      <protection locked="0"/>
    </xf>
    <xf numFmtId="167" fontId="11" fillId="0" borderId="1" xfId="9" applyNumberFormat="1" applyFont="1" applyFill="1" applyBorder="1" applyAlignment="1" applyProtection="1">
      <alignment horizontal="left" vertical="top"/>
      <protection locked="0"/>
    </xf>
    <xf numFmtId="9" fontId="6" fillId="0" borderId="16" xfId="8" applyFont="1" applyFill="1" applyBorder="1" applyAlignment="1" applyProtection="1">
      <alignment horizontal="center" vertical="center" wrapText="1"/>
      <protection locked="0"/>
    </xf>
    <xf numFmtId="9" fontId="6" fillId="0" borderId="17" xfId="8" applyFont="1" applyFill="1" applyBorder="1" applyAlignment="1" applyProtection="1">
      <alignment horizontal="center" vertical="center" wrapText="1"/>
      <protection locked="0"/>
    </xf>
    <xf numFmtId="9" fontId="6" fillId="0" borderId="24" xfId="8" applyFont="1" applyFill="1" applyBorder="1" applyAlignment="1" applyProtection="1">
      <alignment horizontal="center" vertical="center" wrapText="1"/>
      <protection locked="0"/>
    </xf>
    <xf numFmtId="9" fontId="6" fillId="0" borderId="25" xfId="8" applyFont="1" applyFill="1" applyBorder="1" applyAlignment="1" applyProtection="1">
      <alignment horizontal="center" vertical="center" wrapText="1"/>
      <protection locked="0"/>
    </xf>
    <xf numFmtId="9" fontId="6" fillId="0" borderId="27" xfId="8" applyFont="1" applyFill="1" applyBorder="1" applyAlignment="1" applyProtection="1">
      <alignment horizontal="center" vertical="center" wrapText="1"/>
      <protection locked="0"/>
    </xf>
    <xf numFmtId="9" fontId="6" fillId="0" borderId="28" xfId="8" applyFont="1" applyFill="1" applyBorder="1" applyAlignment="1" applyProtection="1">
      <alignment horizontal="center" vertical="center" wrapText="1"/>
      <protection locked="0"/>
    </xf>
    <xf numFmtId="0" fontId="6" fillId="0" borderId="3" xfId="1" applyFont="1" applyBorder="1" applyAlignment="1" applyProtection="1">
      <alignment horizontal="center" vertical="top" wrapText="1"/>
      <protection locked="0"/>
    </xf>
    <xf numFmtId="1" fontId="12" fillId="0" borderId="7" xfId="0" applyNumberFormat="1" applyFont="1" applyBorder="1" applyAlignment="1" applyProtection="1">
      <alignment vertical="top" wrapText="1"/>
      <protection locked="0"/>
    </xf>
    <xf numFmtId="1" fontId="12" fillId="0" borderId="20" xfId="0" applyNumberFormat="1" applyFont="1" applyBorder="1" applyAlignment="1" applyProtection="1">
      <alignment vertical="top" wrapText="1"/>
      <protection locked="0"/>
    </xf>
    <xf numFmtId="1" fontId="12" fillId="0" borderId="8" xfId="0" applyNumberFormat="1" applyFont="1" applyBorder="1" applyAlignment="1" applyProtection="1">
      <alignment vertical="top" wrapText="1"/>
      <protection locked="0"/>
    </xf>
    <xf numFmtId="1" fontId="9" fillId="0" borderId="7" xfId="0" applyNumberFormat="1" applyFont="1" applyBorder="1" applyAlignment="1" applyProtection="1">
      <alignment vertical="top" wrapText="1"/>
      <protection locked="0"/>
    </xf>
    <xf numFmtId="1" fontId="9" fillId="0" borderId="20" xfId="0" applyNumberFormat="1" applyFont="1" applyBorder="1" applyAlignment="1" applyProtection="1">
      <alignment vertical="top" wrapText="1"/>
      <protection locked="0"/>
    </xf>
    <xf numFmtId="1" fontId="9" fillId="0" borderId="8" xfId="0" applyNumberFormat="1" applyFont="1" applyBorder="1" applyAlignment="1" applyProtection="1">
      <alignment vertical="top" wrapText="1"/>
      <protection locked="0"/>
    </xf>
    <xf numFmtId="1" fontId="7" fillId="0" borderId="1" xfId="0" applyNumberFormat="1" applyFont="1" applyBorder="1" applyAlignment="1" applyProtection="1">
      <alignment horizontal="left" vertical="top" wrapText="1"/>
      <protection locked="0"/>
    </xf>
    <xf numFmtId="1" fontId="9" fillId="0" borderId="7" xfId="1" applyNumberFormat="1" applyFont="1" applyBorder="1" applyAlignment="1" applyProtection="1">
      <alignment horizontal="center" vertical="center" wrapText="1"/>
      <protection locked="0"/>
    </xf>
    <xf numFmtId="1" fontId="9" fillId="0" borderId="20" xfId="1" applyNumberFormat="1" applyFont="1" applyBorder="1" applyAlignment="1" applyProtection="1">
      <alignment horizontal="center" vertical="center" wrapText="1"/>
      <protection locked="0"/>
    </xf>
    <xf numFmtId="1" fontId="9" fillId="0" borderId="8" xfId="1" applyNumberFormat="1" applyFont="1" applyBorder="1" applyAlignment="1" applyProtection="1">
      <alignment horizontal="center" vertical="center" wrapText="1"/>
      <protection locked="0"/>
    </xf>
    <xf numFmtId="0" fontId="7" fillId="0" borderId="1" xfId="1" applyFont="1" applyBorder="1" applyAlignment="1" applyProtection="1">
      <alignment horizontal="left" vertical="top"/>
      <protection locked="0"/>
    </xf>
    <xf numFmtId="0" fontId="6" fillId="0" borderId="0" xfId="1" applyFont="1" applyAlignment="1">
      <alignment horizontal="center" vertical="center"/>
    </xf>
    <xf numFmtId="1" fontId="28" fillId="0" borderId="2" xfId="1" applyNumberFormat="1" applyFont="1" applyBorder="1" applyAlignment="1" applyProtection="1">
      <alignment horizontal="center" vertical="top" wrapText="1"/>
      <protection locked="0"/>
    </xf>
    <xf numFmtId="1" fontId="28" fillId="0" borderId="15" xfId="1" applyNumberFormat="1" applyFont="1" applyBorder="1" applyAlignment="1" applyProtection="1">
      <alignment horizontal="center" vertical="top" wrapText="1"/>
      <protection locked="0"/>
    </xf>
    <xf numFmtId="0" fontId="11" fillId="0" borderId="1" xfId="1" applyFont="1" applyBorder="1" applyAlignment="1" applyProtection="1">
      <alignment horizontal="left" vertical="top"/>
      <protection locked="0"/>
    </xf>
    <xf numFmtId="0" fontId="6" fillId="0" borderId="2" xfId="1" applyFont="1" applyBorder="1" applyAlignment="1" applyProtection="1">
      <alignment horizontal="left" vertical="top" wrapText="1"/>
      <protection locked="0"/>
    </xf>
    <xf numFmtId="0" fontId="6" fillId="0" borderId="2" xfId="1" applyFont="1" applyBorder="1" applyAlignment="1" applyProtection="1">
      <alignment horizontal="left" vertical="top"/>
      <protection locked="0"/>
    </xf>
    <xf numFmtId="0" fontId="11" fillId="0" borderId="16" xfId="1" applyFont="1" applyBorder="1" applyAlignment="1" applyProtection="1">
      <alignment horizontal="left" vertical="top" wrapText="1"/>
      <protection locked="0"/>
    </xf>
    <xf numFmtId="0" fontId="11" fillId="0" borderId="23" xfId="1" applyFont="1" applyBorder="1" applyAlignment="1" applyProtection="1">
      <alignment horizontal="left" vertical="top" wrapText="1"/>
      <protection locked="0"/>
    </xf>
    <xf numFmtId="0" fontId="11" fillId="0" borderId="17" xfId="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12" fillId="0" borderId="4" xfId="1" applyFont="1" applyBorder="1" applyAlignment="1" applyProtection="1">
      <alignment horizontal="left" vertical="top" wrapText="1"/>
      <protection locked="0"/>
    </xf>
    <xf numFmtId="0" fontId="24" fillId="0" borderId="1" xfId="10" applyFill="1" applyBorder="1" applyAlignment="1" applyProtection="1">
      <alignment horizontal="left" vertical="top" wrapText="1"/>
      <protection locked="0"/>
    </xf>
    <xf numFmtId="0" fontId="11" fillId="0" borderId="1" xfId="1" applyFont="1" applyBorder="1" applyAlignment="1" applyProtection="1">
      <alignment horizontal="left" vertical="top" wrapText="1"/>
      <protection locked="0"/>
    </xf>
    <xf numFmtId="1" fontId="9" fillId="0" borderId="2" xfId="1" applyNumberFormat="1" applyFont="1" applyBorder="1" applyAlignment="1" applyProtection="1">
      <alignment horizontal="center" vertical="top" wrapText="1"/>
      <protection locked="0"/>
    </xf>
    <xf numFmtId="1" fontId="9" fillId="0" borderId="15" xfId="1" applyNumberFormat="1" applyFont="1" applyBorder="1" applyAlignment="1" applyProtection="1">
      <alignment horizontal="center" vertical="top" wrapText="1"/>
      <protection locked="0"/>
    </xf>
    <xf numFmtId="0" fontId="11" fillId="0" borderId="1" xfId="1" applyFont="1" applyBorder="1" applyAlignment="1" applyProtection="1">
      <alignment horizontal="center"/>
      <protection locked="0"/>
    </xf>
    <xf numFmtId="2" fontId="5" fillId="0" borderId="1" xfId="1" applyNumberFormat="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1" fontId="5" fillId="0" borderId="1" xfId="1" applyNumberFormat="1" applyFont="1" applyBorder="1" applyAlignment="1" applyProtection="1">
      <alignment horizontal="left" vertical="top" wrapText="1"/>
      <protection locked="0"/>
    </xf>
    <xf numFmtId="164" fontId="5" fillId="0" borderId="1" xfId="1" applyNumberFormat="1" applyFont="1" applyBorder="1" applyAlignment="1" applyProtection="1">
      <alignment horizontal="left" vertical="top"/>
      <protection locked="0"/>
    </xf>
    <xf numFmtId="2" fontId="5" fillId="0" borderId="1" xfId="1" applyNumberFormat="1" applyFont="1" applyBorder="1" applyAlignment="1" applyProtection="1">
      <alignment horizontal="left" vertical="top"/>
      <protection locked="0"/>
    </xf>
    <xf numFmtId="0" fontId="6" fillId="0" borderId="1" xfId="1" applyFont="1" applyBorder="1" applyAlignment="1" applyProtection="1">
      <alignment horizontal="left" vertical="top"/>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9" fillId="0" borderId="7" xfId="1" applyFont="1" applyBorder="1" applyAlignment="1" applyProtection="1">
      <alignment horizontal="left" vertical="top"/>
      <protection locked="0"/>
    </xf>
    <xf numFmtId="0" fontId="9" fillId="0" borderId="20" xfId="1" applyFont="1" applyBorder="1" applyAlignment="1" applyProtection="1">
      <alignment horizontal="left" vertical="top"/>
      <protection locked="0"/>
    </xf>
    <xf numFmtId="0" fontId="9" fillId="0" borderId="8" xfId="1" applyFont="1" applyBorder="1" applyAlignment="1" applyProtection="1">
      <alignment horizontal="left" vertical="top"/>
      <protection locked="0"/>
    </xf>
    <xf numFmtId="0" fontId="5" fillId="0" borderId="20" xfId="1" applyFont="1" applyBorder="1" applyAlignment="1" applyProtection="1">
      <alignment horizontal="left" vertical="top" wrapText="1"/>
      <protection locked="0"/>
    </xf>
    <xf numFmtId="14" fontId="5" fillId="0" borderId="7" xfId="1" applyNumberFormat="1" applyFont="1" applyBorder="1" applyAlignment="1" applyProtection="1">
      <alignment horizontal="left" vertical="top" wrapText="1"/>
      <protection locked="0"/>
    </xf>
    <xf numFmtId="0" fontId="7" fillId="0" borderId="1" xfId="1" applyFont="1" applyBorder="1" applyAlignment="1" applyProtection="1">
      <alignment vertical="top"/>
      <protection locked="0"/>
    </xf>
    <xf numFmtId="0" fontId="12" fillId="0" borderId="1" xfId="1" applyFont="1" applyBorder="1" applyAlignment="1" applyProtection="1">
      <alignment horizontal="center"/>
      <protection locked="0"/>
    </xf>
    <xf numFmtId="0" fontId="6" fillId="0" borderId="1" xfId="1" applyFont="1" applyBorder="1" applyAlignment="1" applyProtection="1">
      <alignment horizontal="left" vertical="top" wrapText="1"/>
      <protection locked="0"/>
    </xf>
    <xf numFmtId="0" fontId="6" fillId="0" borderId="1" xfId="1" applyFont="1" applyBorder="1" applyAlignment="1" applyProtection="1">
      <alignment horizontal="left"/>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14" fontId="6" fillId="0" borderId="1" xfId="1" applyNumberFormat="1" applyFont="1" applyBorder="1" applyAlignment="1" applyProtection="1">
      <alignment horizontal="left" vertical="top"/>
      <protection locked="0"/>
    </xf>
    <xf numFmtId="0" fontId="7" fillId="0" borderId="21" xfId="1" applyFont="1" applyBorder="1" applyAlignment="1" applyProtection="1">
      <alignment horizontal="left" vertical="top" wrapText="1"/>
      <protection locked="0"/>
    </xf>
    <xf numFmtId="0" fontId="7" fillId="0" borderId="14" xfId="1" applyFont="1" applyBorder="1" applyAlignment="1" applyProtection="1">
      <alignment horizontal="left" vertical="top" wrapText="1"/>
      <protection locked="0"/>
    </xf>
    <xf numFmtId="0" fontId="7" fillId="0" borderId="12" xfId="1" applyFont="1" applyBorder="1" applyAlignment="1" applyProtection="1">
      <alignment horizontal="left" vertical="top" wrapText="1"/>
      <protection locked="0"/>
    </xf>
    <xf numFmtId="0" fontId="7" fillId="0" borderId="13" xfId="1" applyFont="1" applyBorder="1" applyAlignment="1" applyProtection="1">
      <alignment horizontal="left" vertical="top" wrapText="1"/>
      <protection locked="0"/>
    </xf>
    <xf numFmtId="0" fontId="7" fillId="0" borderId="22" xfId="1" applyFont="1" applyBorder="1" applyAlignment="1" applyProtection="1">
      <alignment horizontal="left" vertical="top" wrapText="1"/>
      <protection locked="0"/>
    </xf>
    <xf numFmtId="9" fontId="6" fillId="0" borderId="26" xfId="8" applyFont="1" applyFill="1" applyBorder="1" applyAlignment="1" applyProtection="1">
      <alignment horizontal="center" vertical="center" wrapText="1"/>
      <protection locked="0"/>
    </xf>
    <xf numFmtId="9" fontId="6" fillId="0" borderId="9" xfId="8" applyFont="1" applyFill="1" applyBorder="1" applyAlignment="1" applyProtection="1">
      <alignment horizontal="center" vertical="center" wrapText="1"/>
      <protection locked="0"/>
    </xf>
    <xf numFmtId="9" fontId="6" fillId="0" borderId="11" xfId="8" applyFont="1" applyFill="1" applyBorder="1" applyAlignment="1" applyProtection="1">
      <alignment horizontal="center" vertical="center" wrapText="1"/>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15" fillId="0" borderId="1" xfId="1" applyFont="1" applyBorder="1" applyAlignment="1" applyProtection="1">
      <alignment horizontal="center" vertical="top" wrapText="1"/>
      <protection locked="0"/>
    </xf>
    <xf numFmtId="1" fontId="9" fillId="0" borderId="32" xfId="0" applyNumberFormat="1" applyFont="1" applyBorder="1" applyAlignment="1" applyProtection="1">
      <alignment horizontal="center" vertical="top" wrapText="1"/>
      <protection locked="0"/>
    </xf>
    <xf numFmtId="0" fontId="9" fillId="0" borderId="32" xfId="0" applyFont="1" applyBorder="1" applyAlignment="1" applyProtection="1">
      <alignment horizontal="center" vertical="top" wrapText="1"/>
      <protection locked="0"/>
    </xf>
    <xf numFmtId="0" fontId="7" fillId="0" borderId="15" xfId="1" applyFont="1" applyBorder="1" applyAlignment="1" applyProtection="1">
      <alignment horizontal="left" vertical="top"/>
      <protection locked="0"/>
    </xf>
    <xf numFmtId="0" fontId="5" fillId="0" borderId="1" xfId="1" applyFont="1" applyBorder="1" applyAlignment="1" applyProtection="1">
      <alignment vertical="top"/>
      <protection locked="0"/>
    </xf>
    <xf numFmtId="0" fontId="9" fillId="0" borderId="1" xfId="0" applyFont="1" applyBorder="1" applyAlignment="1" applyProtection="1">
      <alignment horizontal="center" vertical="center"/>
      <protection locked="0"/>
    </xf>
    <xf numFmtId="1" fontId="7" fillId="0" borderId="31" xfId="0" applyNumberFormat="1" applyFont="1" applyBorder="1" applyAlignment="1" applyProtection="1">
      <alignment horizontal="center" vertical="center" wrapText="1"/>
      <protection locked="0"/>
    </xf>
    <xf numFmtId="1" fontId="7" fillId="0" borderId="32" xfId="0" applyNumberFormat="1" applyFont="1" applyBorder="1" applyAlignment="1" applyProtection="1">
      <alignment horizontal="center" vertical="center" wrapText="1"/>
      <protection locked="0"/>
    </xf>
    <xf numFmtId="14" fontId="7" fillId="0" borderId="7" xfId="1" applyNumberFormat="1" applyFont="1" applyBorder="1" applyAlignment="1" applyProtection="1">
      <alignment horizontal="left" vertical="top"/>
      <protection locked="0"/>
    </xf>
    <xf numFmtId="0" fontId="7" fillId="0" borderId="8" xfId="1" applyFont="1" applyBorder="1" applyAlignment="1" applyProtection="1">
      <alignment horizontal="left" vertical="top"/>
      <protection locked="0"/>
    </xf>
    <xf numFmtId="0" fontId="11" fillId="0" borderId="18" xfId="1" applyFont="1" applyBorder="1" applyAlignment="1" applyProtection="1">
      <alignment horizontal="left" vertical="top" wrapText="1"/>
      <protection locked="0"/>
    </xf>
    <xf numFmtId="0" fontId="11" fillId="0" borderId="19" xfId="1" applyFont="1" applyBorder="1" applyAlignment="1" applyProtection="1">
      <alignment horizontal="left" vertical="top" wrapText="1"/>
      <protection locked="0"/>
    </xf>
    <xf numFmtId="0" fontId="11" fillId="0" borderId="7" xfId="1" applyFont="1" applyBorder="1" applyAlignment="1" applyProtection="1">
      <alignment horizontal="left" vertical="top" wrapText="1"/>
      <protection locked="0"/>
    </xf>
    <xf numFmtId="0" fontId="11" fillId="0" borderId="20" xfId="1" applyFont="1" applyBorder="1" applyAlignment="1" applyProtection="1">
      <alignment horizontal="left" vertical="top" wrapText="1"/>
      <protection locked="0"/>
    </xf>
    <xf numFmtId="0" fontId="11" fillId="0" borderId="8" xfId="1" applyFont="1" applyBorder="1" applyAlignment="1" applyProtection="1">
      <alignment horizontal="left" vertical="top" wrapText="1"/>
      <protection locked="0"/>
    </xf>
    <xf numFmtId="14" fontId="11" fillId="0" borderId="7" xfId="1" applyNumberFormat="1" applyFont="1" applyBorder="1" applyAlignment="1" applyProtection="1">
      <alignment horizontal="left" vertical="top" wrapText="1"/>
      <protection locked="0"/>
    </xf>
    <xf numFmtId="0" fontId="5" fillId="0" borderId="16" xfId="1" applyFont="1" applyBorder="1" applyAlignment="1" applyProtection="1">
      <alignment horizontal="lef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11" fillId="0" borderId="7" xfId="1" applyFont="1" applyBorder="1" applyAlignment="1" applyProtection="1">
      <alignment vertical="top" wrapText="1"/>
      <protection locked="0"/>
    </xf>
    <xf numFmtId="0" fontId="11" fillId="0" borderId="20" xfId="1" applyFont="1" applyBorder="1" applyAlignment="1" applyProtection="1">
      <alignment vertical="top" wrapText="1"/>
      <protection locked="0"/>
    </xf>
    <xf numFmtId="0" fontId="11" fillId="0" borderId="8" xfId="1" applyFont="1" applyBorder="1" applyAlignment="1" applyProtection="1">
      <alignment vertical="top" wrapText="1"/>
      <protection locked="0"/>
    </xf>
    <xf numFmtId="0" fontId="12" fillId="0" borderId="7" xfId="1" applyFont="1" applyBorder="1" applyAlignment="1" applyProtection="1">
      <alignment horizontal="left" vertical="top" wrapText="1"/>
      <protection locked="0"/>
    </xf>
    <xf numFmtId="0" fontId="12" fillId="0" borderId="8" xfId="1" applyFont="1" applyBorder="1" applyAlignment="1" applyProtection="1">
      <alignment horizontal="left" vertical="top" wrapText="1"/>
      <protection locked="0"/>
    </xf>
    <xf numFmtId="0" fontId="12" fillId="0" borderId="20" xfId="1" applyFont="1" applyBorder="1" applyAlignment="1" applyProtection="1">
      <alignment horizontal="left" vertical="top" wrapText="1"/>
      <protection locked="0"/>
    </xf>
    <xf numFmtId="0" fontId="6" fillId="0" borderId="24" xfId="1" applyFont="1" applyBorder="1" applyAlignment="1">
      <alignment horizontal="center"/>
    </xf>
    <xf numFmtId="0" fontId="6" fillId="0" borderId="0" xfId="1" applyFont="1" applyAlignment="1">
      <alignment horizontal="center"/>
    </xf>
    <xf numFmtId="0" fontId="9" fillId="0" borderId="1" xfId="1" applyFont="1" applyBorder="1" applyAlignment="1" applyProtection="1">
      <alignment horizontal="center" vertical="top"/>
      <protection locked="0"/>
    </xf>
    <xf numFmtId="1" fontId="7" fillId="0" borderId="1" xfId="0" applyNumberFormat="1" applyFont="1" applyBorder="1" applyAlignment="1" applyProtection="1">
      <alignment horizontal="center" vertical="top" wrapText="1"/>
      <protection locked="0"/>
    </xf>
    <xf numFmtId="1" fontId="6" fillId="0" borderId="7" xfId="1" applyNumberFormat="1" applyFont="1" applyBorder="1" applyAlignment="1" applyProtection="1">
      <alignment horizontal="center" vertical="center" wrapText="1"/>
      <protection locked="0"/>
    </xf>
    <xf numFmtId="1" fontId="6" fillId="0" borderId="20"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0" fontId="8" fillId="0" borderId="1" xfId="5" applyFont="1" applyBorder="1" applyAlignment="1">
      <alignment horizontal="left"/>
    </xf>
    <xf numFmtId="0" fontId="12" fillId="0" borderId="1" xfId="1" applyFont="1" applyBorder="1" applyAlignment="1" applyProtection="1">
      <alignment horizontal="center" vertical="top"/>
      <protection locked="0"/>
    </xf>
    <xf numFmtId="0" fontId="11" fillId="0" borderId="1" xfId="1" applyFont="1" applyBorder="1" applyAlignment="1" applyProtection="1">
      <alignment horizontal="center" vertical="top"/>
      <protection locked="0"/>
    </xf>
    <xf numFmtId="0" fontId="22" fillId="2" borderId="14" xfId="0" applyFont="1" applyFill="1" applyBorder="1"/>
    <xf numFmtId="0" fontId="23" fillId="0" borderId="8" xfId="0" applyFont="1" applyBorder="1"/>
    <xf numFmtId="0" fontId="7" fillId="0" borderId="1" xfId="1" applyFont="1" applyBorder="1" applyAlignment="1" applyProtection="1">
      <alignment horizontal="left" vertical="top" wrapText="1"/>
      <protection locked="0"/>
    </xf>
    <xf numFmtId="1" fontId="7" fillId="0" borderId="1" xfId="1" applyNumberFormat="1" applyFont="1" applyBorder="1" applyAlignment="1" applyProtection="1">
      <alignment horizontal="center" vertical="top" wrapText="1"/>
      <protection locked="0"/>
    </xf>
    <xf numFmtId="1" fontId="9" fillId="0" borderId="1" xfId="1" applyNumberFormat="1" applyFont="1" applyBorder="1" applyAlignment="1" applyProtection="1">
      <alignment horizontal="center" vertical="center" wrapText="1"/>
      <protection locked="0"/>
    </xf>
    <xf numFmtId="1" fontId="5" fillId="0" borderId="1" xfId="1" applyNumberFormat="1" applyFont="1" applyBorder="1" applyAlignment="1" applyProtection="1">
      <alignment horizontal="center" vertical="center" wrapText="1"/>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0.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twoCellAnchor editAs="oneCell">
    <xdr:from>
      <xdr:col>9</xdr:col>
      <xdr:colOff>666751</xdr:colOff>
      <xdr:row>39</xdr:row>
      <xdr:rowOff>152400</xdr:rowOff>
    </xdr:from>
    <xdr:to>
      <xdr:col>12</xdr:col>
      <xdr:colOff>755867</xdr:colOff>
      <xdr:row>48</xdr:row>
      <xdr:rowOff>152175</xdr:rowOff>
    </xdr:to>
    <xdr:pic>
      <xdr:nvPicPr>
        <xdr:cNvPr id="2" name="Picture 1"/>
        <xdr:cNvPicPr>
          <a:picLocks noChangeAspect="1"/>
        </xdr:cNvPicPr>
      </xdr:nvPicPr>
      <xdr:blipFill>
        <a:blip xmlns:r="http://schemas.openxmlformats.org/officeDocument/2006/relationships" r:embed="rId1"/>
        <a:stretch>
          <a:fillRect/>
        </a:stretch>
      </xdr:blipFill>
      <xdr:spPr>
        <a:xfrm>
          <a:off x="8143876" y="8963025"/>
          <a:ext cx="2479891" cy="1800000"/>
        </a:xfrm>
        <a:prstGeom prst="rect">
          <a:avLst/>
        </a:prstGeom>
      </xdr:spPr>
    </xdr:pic>
    <xdr:clientData/>
  </xdr:twoCellAnchor>
  <xdr:twoCellAnchor editAs="oneCell">
    <xdr:from>
      <xdr:col>9</xdr:col>
      <xdr:colOff>419100</xdr:colOff>
      <xdr:row>48</xdr:row>
      <xdr:rowOff>219075</xdr:rowOff>
    </xdr:from>
    <xdr:to>
      <xdr:col>15</xdr:col>
      <xdr:colOff>104875</xdr:colOff>
      <xdr:row>55</xdr:row>
      <xdr:rowOff>125159</xdr:rowOff>
    </xdr:to>
    <xdr:pic>
      <xdr:nvPicPr>
        <xdr:cNvPr id="3" name="Picture 2"/>
        <xdr:cNvPicPr>
          <a:picLocks noChangeAspect="1"/>
        </xdr:cNvPicPr>
      </xdr:nvPicPr>
      <xdr:blipFill>
        <a:blip xmlns:r="http://schemas.openxmlformats.org/officeDocument/2006/relationships" r:embed="rId2"/>
        <a:stretch>
          <a:fillRect/>
        </a:stretch>
      </xdr:blipFill>
      <xdr:spPr>
        <a:xfrm>
          <a:off x="7896225" y="10620375"/>
          <a:ext cx="4514950" cy="1801559"/>
        </a:xfrm>
        <a:prstGeom prst="rect">
          <a:avLst/>
        </a:prstGeom>
      </xdr:spPr>
    </xdr:pic>
    <xdr:clientData/>
  </xdr:twoCellAnchor>
  <xdr:twoCellAnchor editAs="oneCell">
    <xdr:from>
      <xdr:col>8</xdr:col>
      <xdr:colOff>180975</xdr:colOff>
      <xdr:row>9</xdr:row>
      <xdr:rowOff>161925</xdr:rowOff>
    </xdr:from>
    <xdr:to>
      <xdr:col>11</xdr:col>
      <xdr:colOff>856837</xdr:colOff>
      <xdr:row>14</xdr:row>
      <xdr:rowOff>9396</xdr:rowOff>
    </xdr:to>
    <xdr:pic>
      <xdr:nvPicPr>
        <xdr:cNvPr id="4" name="Picture 3"/>
        <xdr:cNvPicPr>
          <a:picLocks noChangeAspect="1"/>
        </xdr:cNvPicPr>
      </xdr:nvPicPr>
      <xdr:blipFill>
        <a:blip xmlns:r="http://schemas.openxmlformats.org/officeDocument/2006/relationships" r:embed="rId3"/>
        <a:stretch>
          <a:fillRect/>
        </a:stretch>
      </xdr:blipFill>
      <xdr:spPr>
        <a:xfrm>
          <a:off x="6496050" y="2362200"/>
          <a:ext cx="3304762" cy="1028571"/>
        </a:xfrm>
        <a:prstGeom prst="rect">
          <a:avLst/>
        </a:prstGeom>
      </xdr:spPr>
    </xdr:pic>
    <xdr:clientData/>
  </xdr:twoCellAnchor>
  <xdr:twoCellAnchor editAs="oneCell">
    <xdr:from>
      <xdr:col>0</xdr:col>
      <xdr:colOff>561975</xdr:colOff>
      <xdr:row>353</xdr:row>
      <xdr:rowOff>142875</xdr:rowOff>
    </xdr:from>
    <xdr:to>
      <xdr:col>6</xdr:col>
      <xdr:colOff>613262</xdr:colOff>
      <xdr:row>369</xdr:row>
      <xdr:rowOff>182475</xdr:rowOff>
    </xdr:to>
    <xdr:pic>
      <xdr:nvPicPr>
        <xdr:cNvPr id="6" name="Picture 5"/>
        <xdr:cNvPicPr>
          <a:picLocks noChangeAspect="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a:stretch/>
      </xdr:blipFill>
      <xdr:spPr>
        <a:xfrm>
          <a:off x="561975" y="60759975"/>
          <a:ext cx="4899512" cy="3240000"/>
        </a:xfrm>
        <a:prstGeom prst="rect">
          <a:avLst/>
        </a:prstGeom>
        <a:ln>
          <a:solidFill>
            <a:schemeClr val="tx1"/>
          </a:solidFill>
        </a:ln>
      </xdr:spPr>
    </xdr:pic>
    <xdr:clientData/>
  </xdr:twoCellAnchor>
  <xdr:twoCellAnchor editAs="oneCell">
    <xdr:from>
      <xdr:col>0</xdr:col>
      <xdr:colOff>685800</xdr:colOff>
      <xdr:row>370</xdr:row>
      <xdr:rowOff>114299</xdr:rowOff>
    </xdr:from>
    <xdr:to>
      <xdr:col>6</xdr:col>
      <xdr:colOff>572958</xdr:colOff>
      <xdr:row>386</xdr:row>
      <xdr:rowOff>153899</xdr:rowOff>
    </xdr:to>
    <xdr:pic>
      <xdr:nvPicPr>
        <xdr:cNvPr id="8" name="Picture 7"/>
        <xdr:cNvPicPr>
          <a:picLocks noChangeAspect="1"/>
        </xdr:cNvPicPr>
      </xdr:nvPicPr>
      <xdr:blipFill rotWithShape="1">
        <a:blip xmlns:r="http://schemas.openxmlformats.org/officeDocument/2006/relationships" r:embed="rId5" cstate="screen">
          <a:extLst>
            <a:ext uri="{28A0092B-C50C-407E-A947-70E740481C1C}">
              <a14:useLocalDpi xmlns:a14="http://schemas.microsoft.com/office/drawing/2010/main"/>
            </a:ext>
          </a:extLst>
        </a:blip>
        <a:srcRect/>
        <a:stretch/>
      </xdr:blipFill>
      <xdr:spPr>
        <a:xfrm>
          <a:off x="685800" y="64131824"/>
          <a:ext cx="4735383" cy="3240000"/>
        </a:xfrm>
        <a:prstGeom prst="rect">
          <a:avLst/>
        </a:prstGeom>
        <a:ln>
          <a:solidFill>
            <a:schemeClr val="tx1"/>
          </a:solidFill>
        </a:ln>
      </xdr:spPr>
    </xdr:pic>
    <xdr:clientData/>
  </xdr:twoCellAnchor>
  <xdr:twoCellAnchor>
    <xdr:from>
      <xdr:col>2</xdr:col>
      <xdr:colOff>663764</xdr:colOff>
      <xdr:row>372</xdr:row>
      <xdr:rowOff>109220</xdr:rowOff>
    </xdr:from>
    <xdr:to>
      <xdr:col>3</xdr:col>
      <xdr:colOff>755232</xdr:colOff>
      <xdr:row>375</xdr:row>
      <xdr:rowOff>164831</xdr:rowOff>
    </xdr:to>
    <xdr:sp macro="" textlink="">
      <xdr:nvSpPr>
        <xdr:cNvPr id="7" name="Rectangle 6"/>
        <xdr:cNvSpPr/>
      </xdr:nvSpPr>
      <xdr:spPr>
        <a:xfrm rot="1447877">
          <a:off x="2225864" y="64526795"/>
          <a:ext cx="939193" cy="655686"/>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editAs="oneCell">
    <xdr:from>
      <xdr:col>0</xdr:col>
      <xdr:colOff>683558</xdr:colOff>
      <xdr:row>396</xdr:row>
      <xdr:rowOff>33617</xdr:rowOff>
    </xdr:from>
    <xdr:to>
      <xdr:col>6</xdr:col>
      <xdr:colOff>341134</xdr:colOff>
      <xdr:row>431</xdr:row>
      <xdr:rowOff>173912</xdr:rowOff>
    </xdr:to>
    <xdr:pic>
      <xdr:nvPicPr>
        <xdr:cNvPr id="18" name="Picture 17"/>
        <xdr:cNvPicPr>
          <a:picLocks noChangeAspect="1"/>
        </xdr:cNvPicPr>
      </xdr:nvPicPr>
      <xdr:blipFill rotWithShape="1">
        <a:blip xmlns:r="http://schemas.openxmlformats.org/officeDocument/2006/relationships" r:embed="rId6"/>
        <a:srcRect l="44199" t="12500" r="25966" b="9198"/>
        <a:stretch/>
      </xdr:blipFill>
      <xdr:spPr>
        <a:xfrm>
          <a:off x="683558" y="68871352"/>
          <a:ext cx="4879517" cy="7200000"/>
        </a:xfrm>
        <a:prstGeom prst="rect">
          <a:avLst/>
        </a:prstGeom>
        <a:ln>
          <a:solidFill>
            <a:schemeClr val="tx1"/>
          </a:solidFill>
        </a:ln>
      </xdr:spPr>
    </xdr:pic>
    <xdr:clientData/>
  </xdr:twoCellAnchor>
  <xdr:twoCellAnchor editAs="oneCell">
    <xdr:from>
      <xdr:col>8</xdr:col>
      <xdr:colOff>679176</xdr:colOff>
      <xdr:row>164</xdr:row>
      <xdr:rowOff>182218</xdr:rowOff>
    </xdr:from>
    <xdr:to>
      <xdr:col>15</xdr:col>
      <xdr:colOff>707601</xdr:colOff>
      <xdr:row>176</xdr:row>
      <xdr:rowOff>101114</xdr:rowOff>
    </xdr:to>
    <xdr:pic>
      <xdr:nvPicPr>
        <xdr:cNvPr id="16" name="Picture 15"/>
        <xdr:cNvPicPr>
          <a:picLocks noChangeAspect="1"/>
        </xdr:cNvPicPr>
      </xdr:nvPicPr>
      <xdr:blipFill rotWithShape="1">
        <a:blip xmlns:r="http://schemas.openxmlformats.org/officeDocument/2006/relationships" r:embed="rId7"/>
        <a:srcRect l="36858" t="24250" r="16899" b="44250"/>
        <a:stretch/>
      </xdr:blipFill>
      <xdr:spPr>
        <a:xfrm>
          <a:off x="6998806" y="31606435"/>
          <a:ext cx="6016752" cy="2304288"/>
        </a:xfrm>
        <a:prstGeom prst="rect">
          <a:avLst/>
        </a:prstGeom>
        <a:ln>
          <a:solidFill>
            <a:schemeClr val="tx1"/>
          </a:solidFill>
        </a:ln>
      </xdr:spPr>
    </xdr:pic>
    <xdr:clientData/>
  </xdr:twoCellAnchor>
  <xdr:twoCellAnchor>
    <xdr:from>
      <xdr:col>0</xdr:col>
      <xdr:colOff>504825</xdr:colOff>
      <xdr:row>311</xdr:row>
      <xdr:rowOff>9525</xdr:rowOff>
    </xdr:from>
    <xdr:to>
      <xdr:col>7</xdr:col>
      <xdr:colOff>215048</xdr:colOff>
      <xdr:row>351</xdr:row>
      <xdr:rowOff>53340</xdr:rowOff>
    </xdr:to>
    <xdr:grpSp>
      <xdr:nvGrpSpPr>
        <xdr:cNvPr id="5" name="Group 4"/>
        <xdr:cNvGrpSpPr/>
      </xdr:nvGrpSpPr>
      <xdr:grpSpPr>
        <a:xfrm>
          <a:off x="504825" y="64677925"/>
          <a:ext cx="5564923" cy="7917815"/>
          <a:chOff x="504825" y="62274450"/>
          <a:chExt cx="5291873" cy="8432850"/>
        </a:xfrm>
      </xdr:grpSpPr>
      <xdr:pic>
        <xdr:nvPicPr>
          <xdr:cNvPr id="13" name="Picture 12"/>
          <xdr:cNvPicPr>
            <a:picLocks noChangeAspect="1"/>
          </xdr:cNvPicPr>
        </xdr:nvPicPr>
        <xdr:blipFill rotWithShape="1">
          <a:blip xmlns:r="http://schemas.openxmlformats.org/officeDocument/2006/relationships" r:embed="rId8" cstate="email">
            <a:extLst>
              <a:ext uri="{28A0092B-C50C-407E-A947-70E740481C1C}">
                <a14:useLocalDpi xmlns:a14="http://schemas.microsoft.com/office/drawing/2010/main"/>
              </a:ext>
            </a:extLst>
          </a:blip>
          <a:srcRect/>
          <a:stretch/>
        </xdr:blipFill>
        <xdr:spPr>
          <a:xfrm>
            <a:off x="1019175" y="62274450"/>
            <a:ext cx="4267200" cy="3676650"/>
          </a:xfrm>
          <a:prstGeom prst="rect">
            <a:avLst/>
          </a:prstGeom>
          <a:ln>
            <a:solidFill>
              <a:schemeClr val="tx1"/>
            </a:solidFill>
          </a:ln>
        </xdr:spPr>
      </xdr:pic>
      <xdr:pic>
        <xdr:nvPicPr>
          <xdr:cNvPr id="17" name="Picture 16"/>
          <xdr:cNvPicPr>
            <a:picLocks noChangeAspect="1"/>
          </xdr:cNvPicPr>
        </xdr:nvPicPr>
        <xdr:blipFill rotWithShape="1">
          <a:blip xmlns:r="http://schemas.openxmlformats.org/officeDocument/2006/relationships" r:embed="rId9"/>
          <a:srcRect l="595" t="18750" r="54426" b="10500"/>
          <a:stretch/>
        </xdr:blipFill>
        <xdr:spPr>
          <a:xfrm>
            <a:off x="504825" y="66027300"/>
            <a:ext cx="5291873" cy="4680000"/>
          </a:xfrm>
          <a:prstGeom prst="rect">
            <a:avLst/>
          </a:prstGeom>
          <a:ln>
            <a:solidFill>
              <a:schemeClr val="tx1"/>
            </a:solidFill>
          </a:ln>
        </xdr:spPr>
      </xdr:pic>
    </xdr:grpSp>
    <xdr:clientData/>
  </xdr:twoCellAnchor>
  <xdr:twoCellAnchor>
    <xdr:from>
      <xdr:col>9</xdr:col>
      <xdr:colOff>642158</xdr:colOff>
      <xdr:row>271</xdr:row>
      <xdr:rowOff>117071</xdr:rowOff>
    </xdr:from>
    <xdr:to>
      <xdr:col>17</xdr:col>
      <xdr:colOff>412865</xdr:colOff>
      <xdr:row>310</xdr:row>
      <xdr:rowOff>86591</xdr:rowOff>
    </xdr:to>
    <xdr:grpSp>
      <xdr:nvGrpSpPr>
        <xdr:cNvPr id="19" name="Group 18"/>
        <xdr:cNvGrpSpPr/>
      </xdr:nvGrpSpPr>
      <xdr:grpSpPr>
        <a:xfrm>
          <a:off x="8484408" y="56917821"/>
          <a:ext cx="6285807" cy="7640320"/>
          <a:chOff x="197062" y="191610"/>
          <a:chExt cx="5969362" cy="7889400"/>
        </a:xfrm>
      </xdr:grpSpPr>
      <xdr:grpSp>
        <xdr:nvGrpSpPr>
          <xdr:cNvPr id="20" name="Group 19"/>
          <xdr:cNvGrpSpPr/>
        </xdr:nvGrpSpPr>
        <xdr:grpSpPr>
          <a:xfrm>
            <a:off x="197062" y="191610"/>
            <a:ext cx="5969362" cy="5220000"/>
            <a:chOff x="197062" y="191610"/>
            <a:chExt cx="5969362" cy="5220000"/>
          </a:xfrm>
        </xdr:grpSpPr>
        <xdr:pic>
          <xdr:nvPicPr>
            <xdr:cNvPr id="28" name="Picture 27"/>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278392" y="2891610"/>
              <a:ext cx="1888031" cy="2520000"/>
            </a:xfrm>
            <a:prstGeom prst="rect">
              <a:avLst/>
            </a:prstGeom>
            <a:ln>
              <a:solidFill>
                <a:schemeClr val="tx1"/>
              </a:solidFill>
            </a:ln>
          </xdr:spPr>
        </xdr:pic>
        <xdr:pic>
          <xdr:nvPicPr>
            <xdr:cNvPr id="29" name="Picture 28"/>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97062" y="191610"/>
              <a:ext cx="3910921" cy="5220000"/>
            </a:xfrm>
            <a:prstGeom prst="rect">
              <a:avLst/>
            </a:prstGeom>
            <a:ln>
              <a:solidFill>
                <a:schemeClr val="tx1"/>
              </a:solidFill>
            </a:ln>
          </xdr:spPr>
        </xdr:pic>
        <xdr:pic>
          <xdr:nvPicPr>
            <xdr:cNvPr id="30" name="Picture 29"/>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4278393" y="191610"/>
              <a:ext cx="1888031" cy="2520000"/>
            </a:xfrm>
            <a:prstGeom prst="rect">
              <a:avLst/>
            </a:prstGeom>
            <a:ln>
              <a:solidFill>
                <a:schemeClr val="tx1"/>
              </a:solidFill>
            </a:ln>
          </xdr:spPr>
        </xdr:pic>
      </xdr:grpSp>
      <xdr:grpSp>
        <xdr:nvGrpSpPr>
          <xdr:cNvPr id="25" name="Group 24"/>
          <xdr:cNvGrpSpPr/>
        </xdr:nvGrpSpPr>
        <xdr:grpSpPr>
          <a:xfrm>
            <a:off x="474079" y="5561010"/>
            <a:ext cx="5415329" cy="2520000"/>
            <a:chOff x="751094" y="5561010"/>
            <a:chExt cx="5415329" cy="2520000"/>
          </a:xfrm>
        </xdr:grpSpPr>
        <xdr:pic>
          <xdr:nvPicPr>
            <xdr:cNvPr id="26" name="Picture 25"/>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751094" y="5561010"/>
              <a:ext cx="3356889" cy="2520000"/>
            </a:xfrm>
            <a:prstGeom prst="rect">
              <a:avLst/>
            </a:prstGeom>
            <a:ln>
              <a:solidFill>
                <a:schemeClr val="tx1"/>
              </a:solidFill>
            </a:ln>
          </xdr:spPr>
        </xdr:pic>
        <xdr:pic>
          <xdr:nvPicPr>
            <xdr:cNvPr id="27" name="Picture 26"/>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4278392" y="5561010"/>
              <a:ext cx="1888031" cy="2520000"/>
            </a:xfrm>
            <a:prstGeom prst="rect">
              <a:avLst/>
            </a:prstGeom>
            <a:ln>
              <a:solidFill>
                <a:schemeClr val="tx1"/>
              </a:solidFill>
            </a:ln>
          </xdr:spPr>
        </xdr:pic>
      </xdr:grpSp>
    </xdr:grpSp>
    <xdr:clientData/>
  </xdr:twoCellAnchor>
  <xdr:twoCellAnchor>
    <xdr:from>
      <xdr:col>0</xdr:col>
      <xdr:colOff>241300</xdr:colOff>
      <xdr:row>269</xdr:row>
      <xdr:rowOff>88900</xdr:rowOff>
    </xdr:from>
    <xdr:to>
      <xdr:col>7</xdr:col>
      <xdr:colOff>482925</xdr:colOff>
      <xdr:row>301</xdr:row>
      <xdr:rowOff>62499</xdr:rowOff>
    </xdr:to>
    <xdr:grpSp>
      <xdr:nvGrpSpPr>
        <xdr:cNvPr id="9" name="Group 8"/>
        <xdr:cNvGrpSpPr/>
      </xdr:nvGrpSpPr>
      <xdr:grpSpPr>
        <a:xfrm>
          <a:off x="241300" y="56495950"/>
          <a:ext cx="6096325" cy="6266449"/>
          <a:chOff x="241300" y="56495950"/>
          <a:chExt cx="6096325" cy="6266449"/>
        </a:xfrm>
      </xdr:grpSpPr>
      <xdr:pic>
        <xdr:nvPicPr>
          <xdr:cNvPr id="32" name="Picture 31"/>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2399050" y="60602399"/>
            <a:ext cx="1618313" cy="2160000"/>
          </a:xfrm>
          <a:prstGeom prst="rect">
            <a:avLst/>
          </a:prstGeom>
          <a:ln>
            <a:solidFill>
              <a:schemeClr val="tx1"/>
            </a:solidFill>
          </a:ln>
        </xdr:spPr>
      </xdr:pic>
      <xdr:pic>
        <xdr:nvPicPr>
          <xdr:cNvPr id="33" name="Picture 32"/>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241300" y="56495950"/>
            <a:ext cx="2966907" cy="3960000"/>
          </a:xfrm>
          <a:prstGeom prst="rect">
            <a:avLst/>
          </a:prstGeom>
          <a:ln>
            <a:solidFill>
              <a:schemeClr val="tx1"/>
            </a:solidFill>
          </a:ln>
        </xdr:spPr>
      </xdr:pic>
      <xdr:pic>
        <xdr:nvPicPr>
          <xdr:cNvPr id="34" name="Picture 33"/>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3370718" y="56495950"/>
            <a:ext cx="2966907" cy="396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D2s35oFsePeBEPL38"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395"/>
  <sheetViews>
    <sheetView tabSelected="1" view="pageBreakPreview" zoomScaleNormal="100" zoomScaleSheetLayoutView="100" zoomScalePageLayoutView="85" workbookViewId="0">
      <selection activeCell="E10" sqref="E10:H10"/>
    </sheetView>
  </sheetViews>
  <sheetFormatPr defaultColWidth="9.1796875" defaultRowHeight="15.5" x14ac:dyDescent="0.35"/>
  <cols>
    <col min="1" max="1" width="11.453125" style="40" customWidth="1"/>
    <col min="2" max="2" width="12" style="40" customWidth="1"/>
    <col min="3" max="3" width="12.7265625" style="40" customWidth="1"/>
    <col min="4" max="4" width="13.7265625" style="40" customWidth="1"/>
    <col min="5" max="5" width="11.7265625" style="40" customWidth="1"/>
    <col min="6" max="6" width="11.1796875" style="40" customWidth="1"/>
    <col min="7" max="8" width="11" style="40" customWidth="1"/>
    <col min="9" max="9" width="17.453125" style="21" customWidth="1"/>
    <col min="10" max="10" width="11.453125" style="21" customWidth="1"/>
    <col min="11" max="11" width="10.54296875" style="21" bestFit="1" customWidth="1"/>
    <col min="12" max="12" width="13.81640625" style="21" bestFit="1" customWidth="1"/>
    <col min="13" max="13" width="11.81640625" style="21" customWidth="1"/>
    <col min="14" max="14" width="12.54296875" style="21" customWidth="1"/>
    <col min="15" max="15" width="12.1796875" style="21" customWidth="1"/>
    <col min="16" max="16" width="11.7265625" style="21" customWidth="1"/>
    <col min="17" max="18" width="9.1796875" style="21"/>
    <col min="19" max="19" width="10.81640625" style="21" bestFit="1" customWidth="1"/>
    <col min="20" max="20" width="10.7265625" style="21" customWidth="1"/>
    <col min="21" max="247" width="9.1796875" style="21"/>
    <col min="248" max="248" width="8.7265625" style="21" customWidth="1"/>
    <col min="249" max="249" width="9.81640625" style="21" customWidth="1"/>
    <col min="250" max="250" width="14.453125" style="21" customWidth="1"/>
    <col min="251" max="251" width="7.26953125" style="21" customWidth="1"/>
    <col min="252" max="252" width="5.54296875" style="21" customWidth="1"/>
    <col min="253" max="253" width="9" style="21" customWidth="1"/>
    <col min="254" max="255" width="9.81640625" style="21" customWidth="1"/>
    <col min="256" max="256" width="11.1796875" style="21" customWidth="1"/>
    <col min="257" max="257" width="2.81640625" style="21" customWidth="1"/>
    <col min="258" max="258" width="3.54296875" style="21" customWidth="1"/>
    <col min="259" max="503" width="9.1796875" style="21"/>
    <col min="504" max="504" width="8.7265625" style="21" customWidth="1"/>
    <col min="505" max="505" width="9.81640625" style="21" customWidth="1"/>
    <col min="506" max="506" width="14.453125" style="21" customWidth="1"/>
    <col min="507" max="507" width="7.26953125" style="21" customWidth="1"/>
    <col min="508" max="508" width="5.54296875" style="21" customWidth="1"/>
    <col min="509" max="509" width="9" style="21" customWidth="1"/>
    <col min="510" max="511" width="9.81640625" style="21" customWidth="1"/>
    <col min="512" max="512" width="11.1796875" style="21" customWidth="1"/>
    <col min="513" max="513" width="2.81640625" style="21" customWidth="1"/>
    <col min="514" max="514" width="3.54296875" style="21" customWidth="1"/>
    <col min="515" max="759" width="9.1796875" style="21"/>
    <col min="760" max="760" width="8.7265625" style="21" customWidth="1"/>
    <col min="761" max="761" width="9.81640625" style="21" customWidth="1"/>
    <col min="762" max="762" width="14.453125" style="21" customWidth="1"/>
    <col min="763" max="763" width="7.26953125" style="21" customWidth="1"/>
    <col min="764" max="764" width="5.54296875" style="21" customWidth="1"/>
    <col min="765" max="765" width="9" style="21" customWidth="1"/>
    <col min="766" max="767" width="9.81640625" style="21" customWidth="1"/>
    <col min="768" max="768" width="11.1796875" style="21" customWidth="1"/>
    <col min="769" max="769" width="2.81640625" style="21" customWidth="1"/>
    <col min="770" max="770" width="3.54296875" style="21" customWidth="1"/>
    <col min="771" max="1015" width="9.1796875" style="21"/>
    <col min="1016" max="1016" width="8.7265625" style="21" customWidth="1"/>
    <col min="1017" max="1017" width="9.81640625" style="21" customWidth="1"/>
    <col min="1018" max="1018" width="14.453125" style="21" customWidth="1"/>
    <col min="1019" max="1019" width="7.26953125" style="21" customWidth="1"/>
    <col min="1020" max="1020" width="5.54296875" style="21" customWidth="1"/>
    <col min="1021" max="1021" width="9" style="21" customWidth="1"/>
    <col min="1022" max="1023" width="9.81640625" style="21" customWidth="1"/>
    <col min="1024" max="1024" width="11.1796875" style="21" customWidth="1"/>
    <col min="1025" max="1025" width="2.81640625" style="21" customWidth="1"/>
    <col min="1026" max="1026" width="3.54296875" style="21" customWidth="1"/>
    <col min="1027" max="1271" width="9.1796875" style="21"/>
    <col min="1272" max="1272" width="8.7265625" style="21" customWidth="1"/>
    <col min="1273" max="1273" width="9.81640625" style="21" customWidth="1"/>
    <col min="1274" max="1274" width="14.453125" style="21" customWidth="1"/>
    <col min="1275" max="1275" width="7.26953125" style="21" customWidth="1"/>
    <col min="1276" max="1276" width="5.54296875" style="21" customWidth="1"/>
    <col min="1277" max="1277" width="9" style="21" customWidth="1"/>
    <col min="1278" max="1279" width="9.81640625" style="21" customWidth="1"/>
    <col min="1280" max="1280" width="11.1796875" style="21" customWidth="1"/>
    <col min="1281" max="1281" width="2.81640625" style="21" customWidth="1"/>
    <col min="1282" max="1282" width="3.54296875" style="21" customWidth="1"/>
    <col min="1283" max="1527" width="9.1796875" style="21"/>
    <col min="1528" max="1528" width="8.7265625" style="21" customWidth="1"/>
    <col min="1529" max="1529" width="9.81640625" style="21" customWidth="1"/>
    <col min="1530" max="1530" width="14.453125" style="21" customWidth="1"/>
    <col min="1531" max="1531" width="7.26953125" style="21" customWidth="1"/>
    <col min="1532" max="1532" width="5.54296875" style="21" customWidth="1"/>
    <col min="1533" max="1533" width="9" style="21" customWidth="1"/>
    <col min="1534" max="1535" width="9.81640625" style="21" customWidth="1"/>
    <col min="1536" max="1536" width="11.1796875" style="21" customWidth="1"/>
    <col min="1537" max="1537" width="2.81640625" style="21" customWidth="1"/>
    <col min="1538" max="1538" width="3.54296875" style="21" customWidth="1"/>
    <col min="1539" max="1783" width="9.1796875" style="21"/>
    <col min="1784" max="1784" width="8.7265625" style="21" customWidth="1"/>
    <col min="1785" max="1785" width="9.81640625" style="21" customWidth="1"/>
    <col min="1786" max="1786" width="14.453125" style="21" customWidth="1"/>
    <col min="1787" max="1787" width="7.26953125" style="21" customWidth="1"/>
    <col min="1788" max="1788" width="5.54296875" style="21" customWidth="1"/>
    <col min="1789" max="1789" width="9" style="21" customWidth="1"/>
    <col min="1790" max="1791" width="9.81640625" style="21" customWidth="1"/>
    <col min="1792" max="1792" width="11.1796875" style="21" customWidth="1"/>
    <col min="1793" max="1793" width="2.81640625" style="21" customWidth="1"/>
    <col min="1794" max="1794" width="3.54296875" style="21" customWidth="1"/>
    <col min="1795" max="2039" width="9.1796875" style="21"/>
    <col min="2040" max="2040" width="8.7265625" style="21" customWidth="1"/>
    <col min="2041" max="2041" width="9.81640625" style="21" customWidth="1"/>
    <col min="2042" max="2042" width="14.453125" style="21" customWidth="1"/>
    <col min="2043" max="2043" width="7.26953125" style="21" customWidth="1"/>
    <col min="2044" max="2044" width="5.54296875" style="21" customWidth="1"/>
    <col min="2045" max="2045" width="9" style="21" customWidth="1"/>
    <col min="2046" max="2047" width="9.81640625" style="21" customWidth="1"/>
    <col min="2048" max="2048" width="11.1796875" style="21" customWidth="1"/>
    <col min="2049" max="2049" width="2.81640625" style="21" customWidth="1"/>
    <col min="2050" max="2050" width="3.54296875" style="21" customWidth="1"/>
    <col min="2051" max="2295" width="9.1796875" style="21"/>
    <col min="2296" max="2296" width="8.7265625" style="21" customWidth="1"/>
    <col min="2297" max="2297" width="9.81640625" style="21" customWidth="1"/>
    <col min="2298" max="2298" width="14.453125" style="21" customWidth="1"/>
    <col min="2299" max="2299" width="7.26953125" style="21" customWidth="1"/>
    <col min="2300" max="2300" width="5.54296875" style="21" customWidth="1"/>
    <col min="2301" max="2301" width="9" style="21" customWidth="1"/>
    <col min="2302" max="2303" width="9.81640625" style="21" customWidth="1"/>
    <col min="2304" max="2304" width="11.1796875" style="21" customWidth="1"/>
    <col min="2305" max="2305" width="2.81640625" style="21" customWidth="1"/>
    <col min="2306" max="2306" width="3.54296875" style="21" customWidth="1"/>
    <col min="2307" max="2551" width="9.1796875" style="21"/>
    <col min="2552" max="2552" width="8.7265625" style="21" customWidth="1"/>
    <col min="2553" max="2553" width="9.81640625" style="21" customWidth="1"/>
    <col min="2554" max="2554" width="14.453125" style="21" customWidth="1"/>
    <col min="2555" max="2555" width="7.26953125" style="21" customWidth="1"/>
    <col min="2556" max="2556" width="5.54296875" style="21" customWidth="1"/>
    <col min="2557" max="2557" width="9" style="21" customWidth="1"/>
    <col min="2558" max="2559" width="9.81640625" style="21" customWidth="1"/>
    <col min="2560" max="2560" width="11.1796875" style="21" customWidth="1"/>
    <col min="2561" max="2561" width="2.81640625" style="21" customWidth="1"/>
    <col min="2562" max="2562" width="3.54296875" style="21" customWidth="1"/>
    <col min="2563" max="2807" width="9.1796875" style="21"/>
    <col min="2808" max="2808" width="8.7265625" style="21" customWidth="1"/>
    <col min="2809" max="2809" width="9.81640625" style="21" customWidth="1"/>
    <col min="2810" max="2810" width="14.453125" style="21" customWidth="1"/>
    <col min="2811" max="2811" width="7.26953125" style="21" customWidth="1"/>
    <col min="2812" max="2812" width="5.54296875" style="21" customWidth="1"/>
    <col min="2813" max="2813" width="9" style="21" customWidth="1"/>
    <col min="2814" max="2815" width="9.81640625" style="21" customWidth="1"/>
    <col min="2816" max="2816" width="11.1796875" style="21" customWidth="1"/>
    <col min="2817" max="2817" width="2.81640625" style="21" customWidth="1"/>
    <col min="2818" max="2818" width="3.54296875" style="21" customWidth="1"/>
    <col min="2819" max="3063" width="9.1796875" style="21"/>
    <col min="3064" max="3064" width="8.7265625" style="21" customWidth="1"/>
    <col min="3065" max="3065" width="9.81640625" style="21" customWidth="1"/>
    <col min="3066" max="3066" width="14.453125" style="21" customWidth="1"/>
    <col min="3067" max="3067" width="7.26953125" style="21" customWidth="1"/>
    <col min="3068" max="3068" width="5.54296875" style="21" customWidth="1"/>
    <col min="3069" max="3069" width="9" style="21" customWidth="1"/>
    <col min="3070" max="3071" width="9.81640625" style="21" customWidth="1"/>
    <col min="3072" max="3072" width="11.1796875" style="21" customWidth="1"/>
    <col min="3073" max="3073" width="2.81640625" style="21" customWidth="1"/>
    <col min="3074" max="3074" width="3.54296875" style="21" customWidth="1"/>
    <col min="3075" max="3319" width="9.1796875" style="21"/>
    <col min="3320" max="3320" width="8.7265625" style="21" customWidth="1"/>
    <col min="3321" max="3321" width="9.81640625" style="21" customWidth="1"/>
    <col min="3322" max="3322" width="14.453125" style="21" customWidth="1"/>
    <col min="3323" max="3323" width="7.26953125" style="21" customWidth="1"/>
    <col min="3324" max="3324" width="5.54296875" style="21" customWidth="1"/>
    <col min="3325" max="3325" width="9" style="21" customWidth="1"/>
    <col min="3326" max="3327" width="9.81640625" style="21" customWidth="1"/>
    <col min="3328" max="3328" width="11.1796875" style="21" customWidth="1"/>
    <col min="3329" max="3329" width="2.81640625" style="21" customWidth="1"/>
    <col min="3330" max="3330" width="3.54296875" style="21" customWidth="1"/>
    <col min="3331" max="3575" width="9.1796875" style="21"/>
    <col min="3576" max="3576" width="8.7265625" style="21" customWidth="1"/>
    <col min="3577" max="3577" width="9.81640625" style="21" customWidth="1"/>
    <col min="3578" max="3578" width="14.453125" style="21" customWidth="1"/>
    <col min="3579" max="3579" width="7.26953125" style="21" customWidth="1"/>
    <col min="3580" max="3580" width="5.54296875" style="21" customWidth="1"/>
    <col min="3581" max="3581" width="9" style="21" customWidth="1"/>
    <col min="3582" max="3583" width="9.81640625" style="21" customWidth="1"/>
    <col min="3584" max="3584" width="11.1796875" style="21" customWidth="1"/>
    <col min="3585" max="3585" width="2.81640625" style="21" customWidth="1"/>
    <col min="3586" max="3586" width="3.54296875" style="21" customWidth="1"/>
    <col min="3587" max="3831" width="9.1796875" style="21"/>
    <col min="3832" max="3832" width="8.7265625" style="21" customWidth="1"/>
    <col min="3833" max="3833" width="9.81640625" style="21" customWidth="1"/>
    <col min="3834" max="3834" width="14.453125" style="21" customWidth="1"/>
    <col min="3835" max="3835" width="7.26953125" style="21" customWidth="1"/>
    <col min="3836" max="3836" width="5.54296875" style="21" customWidth="1"/>
    <col min="3837" max="3837" width="9" style="21" customWidth="1"/>
    <col min="3838" max="3839" width="9.81640625" style="21" customWidth="1"/>
    <col min="3840" max="3840" width="11.1796875" style="21" customWidth="1"/>
    <col min="3841" max="3841" width="2.81640625" style="21" customWidth="1"/>
    <col min="3842" max="3842" width="3.54296875" style="21" customWidth="1"/>
    <col min="3843" max="4087" width="9.1796875" style="21"/>
    <col min="4088" max="4088" width="8.7265625" style="21" customWidth="1"/>
    <col min="4089" max="4089" width="9.81640625" style="21" customWidth="1"/>
    <col min="4090" max="4090" width="14.453125" style="21" customWidth="1"/>
    <col min="4091" max="4091" width="7.26953125" style="21" customWidth="1"/>
    <col min="4092" max="4092" width="5.54296875" style="21" customWidth="1"/>
    <col min="4093" max="4093" width="9" style="21" customWidth="1"/>
    <col min="4094" max="4095" width="9.81640625" style="21" customWidth="1"/>
    <col min="4096" max="4096" width="11.1796875" style="21" customWidth="1"/>
    <col min="4097" max="4097" width="2.81640625" style="21" customWidth="1"/>
    <col min="4098" max="4098" width="3.54296875" style="21" customWidth="1"/>
    <col min="4099" max="4343" width="9.1796875" style="21"/>
    <col min="4344" max="4344" width="8.7265625" style="21" customWidth="1"/>
    <col min="4345" max="4345" width="9.81640625" style="21" customWidth="1"/>
    <col min="4346" max="4346" width="14.453125" style="21" customWidth="1"/>
    <col min="4347" max="4347" width="7.26953125" style="21" customWidth="1"/>
    <col min="4348" max="4348" width="5.54296875" style="21" customWidth="1"/>
    <col min="4349" max="4349" width="9" style="21" customWidth="1"/>
    <col min="4350" max="4351" width="9.81640625" style="21" customWidth="1"/>
    <col min="4352" max="4352" width="11.1796875" style="21" customWidth="1"/>
    <col min="4353" max="4353" width="2.81640625" style="21" customWidth="1"/>
    <col min="4354" max="4354" width="3.54296875" style="21" customWidth="1"/>
    <col min="4355" max="4599" width="9.1796875" style="21"/>
    <col min="4600" max="4600" width="8.7265625" style="21" customWidth="1"/>
    <col min="4601" max="4601" width="9.81640625" style="21" customWidth="1"/>
    <col min="4602" max="4602" width="14.453125" style="21" customWidth="1"/>
    <col min="4603" max="4603" width="7.26953125" style="21" customWidth="1"/>
    <col min="4604" max="4604" width="5.54296875" style="21" customWidth="1"/>
    <col min="4605" max="4605" width="9" style="21" customWidth="1"/>
    <col min="4606" max="4607" width="9.81640625" style="21" customWidth="1"/>
    <col min="4608" max="4608" width="11.1796875" style="21" customWidth="1"/>
    <col min="4609" max="4609" width="2.81640625" style="21" customWidth="1"/>
    <col min="4610" max="4610" width="3.54296875" style="21" customWidth="1"/>
    <col min="4611" max="4855" width="9.1796875" style="21"/>
    <col min="4856" max="4856" width="8.7265625" style="21" customWidth="1"/>
    <col min="4857" max="4857" width="9.81640625" style="21" customWidth="1"/>
    <col min="4858" max="4858" width="14.453125" style="21" customWidth="1"/>
    <col min="4859" max="4859" width="7.26953125" style="21" customWidth="1"/>
    <col min="4860" max="4860" width="5.54296875" style="21" customWidth="1"/>
    <col min="4861" max="4861" width="9" style="21" customWidth="1"/>
    <col min="4862" max="4863" width="9.81640625" style="21" customWidth="1"/>
    <col min="4864" max="4864" width="11.1796875" style="21" customWidth="1"/>
    <col min="4865" max="4865" width="2.81640625" style="21" customWidth="1"/>
    <col min="4866" max="4866" width="3.54296875" style="21" customWidth="1"/>
    <col min="4867" max="5111" width="9.1796875" style="21"/>
    <col min="5112" max="5112" width="8.7265625" style="21" customWidth="1"/>
    <col min="5113" max="5113" width="9.81640625" style="21" customWidth="1"/>
    <col min="5114" max="5114" width="14.453125" style="21" customWidth="1"/>
    <col min="5115" max="5115" width="7.26953125" style="21" customWidth="1"/>
    <col min="5116" max="5116" width="5.54296875" style="21" customWidth="1"/>
    <col min="5117" max="5117" width="9" style="21" customWidth="1"/>
    <col min="5118" max="5119" width="9.81640625" style="21" customWidth="1"/>
    <col min="5120" max="5120" width="11.1796875" style="21" customWidth="1"/>
    <col min="5121" max="5121" width="2.81640625" style="21" customWidth="1"/>
    <col min="5122" max="5122" width="3.54296875" style="21" customWidth="1"/>
    <col min="5123" max="5367" width="9.1796875" style="21"/>
    <col min="5368" max="5368" width="8.7265625" style="21" customWidth="1"/>
    <col min="5369" max="5369" width="9.81640625" style="21" customWidth="1"/>
    <col min="5370" max="5370" width="14.453125" style="21" customWidth="1"/>
    <col min="5371" max="5371" width="7.26953125" style="21" customWidth="1"/>
    <col min="5372" max="5372" width="5.54296875" style="21" customWidth="1"/>
    <col min="5373" max="5373" width="9" style="21" customWidth="1"/>
    <col min="5374" max="5375" width="9.81640625" style="21" customWidth="1"/>
    <col min="5376" max="5376" width="11.1796875" style="21" customWidth="1"/>
    <col min="5377" max="5377" width="2.81640625" style="21" customWidth="1"/>
    <col min="5378" max="5378" width="3.54296875" style="21" customWidth="1"/>
    <col min="5379" max="5623" width="9.1796875" style="21"/>
    <col min="5624" max="5624" width="8.7265625" style="21" customWidth="1"/>
    <col min="5625" max="5625" width="9.81640625" style="21" customWidth="1"/>
    <col min="5626" max="5626" width="14.453125" style="21" customWidth="1"/>
    <col min="5627" max="5627" width="7.26953125" style="21" customWidth="1"/>
    <col min="5628" max="5628" width="5.54296875" style="21" customWidth="1"/>
    <col min="5629" max="5629" width="9" style="21" customWidth="1"/>
    <col min="5630" max="5631" width="9.81640625" style="21" customWidth="1"/>
    <col min="5632" max="5632" width="11.1796875" style="21" customWidth="1"/>
    <col min="5633" max="5633" width="2.81640625" style="21" customWidth="1"/>
    <col min="5634" max="5634" width="3.54296875" style="21" customWidth="1"/>
    <col min="5635" max="5879" width="9.1796875" style="21"/>
    <col min="5880" max="5880" width="8.7265625" style="21" customWidth="1"/>
    <col min="5881" max="5881" width="9.81640625" style="21" customWidth="1"/>
    <col min="5882" max="5882" width="14.453125" style="21" customWidth="1"/>
    <col min="5883" max="5883" width="7.26953125" style="21" customWidth="1"/>
    <col min="5884" max="5884" width="5.54296875" style="21" customWidth="1"/>
    <col min="5885" max="5885" width="9" style="21" customWidth="1"/>
    <col min="5886" max="5887" width="9.81640625" style="21" customWidth="1"/>
    <col min="5888" max="5888" width="11.1796875" style="21" customWidth="1"/>
    <col min="5889" max="5889" width="2.81640625" style="21" customWidth="1"/>
    <col min="5890" max="5890" width="3.54296875" style="21" customWidth="1"/>
    <col min="5891" max="6135" width="9.1796875" style="21"/>
    <col min="6136" max="6136" width="8.7265625" style="21" customWidth="1"/>
    <col min="6137" max="6137" width="9.81640625" style="21" customWidth="1"/>
    <col min="6138" max="6138" width="14.453125" style="21" customWidth="1"/>
    <col min="6139" max="6139" width="7.26953125" style="21" customWidth="1"/>
    <col min="6140" max="6140" width="5.54296875" style="21" customWidth="1"/>
    <col min="6141" max="6141" width="9" style="21" customWidth="1"/>
    <col min="6142" max="6143" width="9.81640625" style="21" customWidth="1"/>
    <col min="6144" max="6144" width="11.1796875" style="21" customWidth="1"/>
    <col min="6145" max="6145" width="2.81640625" style="21" customWidth="1"/>
    <col min="6146" max="6146" width="3.54296875" style="21" customWidth="1"/>
    <col min="6147" max="6391" width="9.1796875" style="21"/>
    <col min="6392" max="6392" width="8.7265625" style="21" customWidth="1"/>
    <col min="6393" max="6393" width="9.81640625" style="21" customWidth="1"/>
    <col min="6394" max="6394" width="14.453125" style="21" customWidth="1"/>
    <col min="6395" max="6395" width="7.26953125" style="21" customWidth="1"/>
    <col min="6396" max="6396" width="5.54296875" style="21" customWidth="1"/>
    <col min="6397" max="6397" width="9" style="21" customWidth="1"/>
    <col min="6398" max="6399" width="9.81640625" style="21" customWidth="1"/>
    <col min="6400" max="6400" width="11.1796875" style="21" customWidth="1"/>
    <col min="6401" max="6401" width="2.81640625" style="21" customWidth="1"/>
    <col min="6402" max="6402" width="3.54296875" style="21" customWidth="1"/>
    <col min="6403" max="6647" width="9.1796875" style="21"/>
    <col min="6648" max="6648" width="8.7265625" style="21" customWidth="1"/>
    <col min="6649" max="6649" width="9.81640625" style="21" customWidth="1"/>
    <col min="6650" max="6650" width="14.453125" style="21" customWidth="1"/>
    <col min="6651" max="6651" width="7.26953125" style="21" customWidth="1"/>
    <col min="6652" max="6652" width="5.54296875" style="21" customWidth="1"/>
    <col min="6653" max="6653" width="9" style="21" customWidth="1"/>
    <col min="6654" max="6655" width="9.81640625" style="21" customWidth="1"/>
    <col min="6656" max="6656" width="11.1796875" style="21" customWidth="1"/>
    <col min="6657" max="6657" width="2.81640625" style="21" customWidth="1"/>
    <col min="6658" max="6658" width="3.54296875" style="21" customWidth="1"/>
    <col min="6659" max="6903" width="9.1796875" style="21"/>
    <col min="6904" max="6904" width="8.7265625" style="21" customWidth="1"/>
    <col min="6905" max="6905" width="9.81640625" style="21" customWidth="1"/>
    <col min="6906" max="6906" width="14.453125" style="21" customWidth="1"/>
    <col min="6907" max="6907" width="7.26953125" style="21" customWidth="1"/>
    <col min="6908" max="6908" width="5.54296875" style="21" customWidth="1"/>
    <col min="6909" max="6909" width="9" style="21" customWidth="1"/>
    <col min="6910" max="6911" width="9.81640625" style="21" customWidth="1"/>
    <col min="6912" max="6912" width="11.1796875" style="21" customWidth="1"/>
    <col min="6913" max="6913" width="2.81640625" style="21" customWidth="1"/>
    <col min="6914" max="6914" width="3.54296875" style="21" customWidth="1"/>
    <col min="6915" max="7159" width="9.1796875" style="21"/>
    <col min="7160" max="7160" width="8.7265625" style="21" customWidth="1"/>
    <col min="7161" max="7161" width="9.81640625" style="21" customWidth="1"/>
    <col min="7162" max="7162" width="14.453125" style="21" customWidth="1"/>
    <col min="7163" max="7163" width="7.26953125" style="21" customWidth="1"/>
    <col min="7164" max="7164" width="5.54296875" style="21" customWidth="1"/>
    <col min="7165" max="7165" width="9" style="21" customWidth="1"/>
    <col min="7166" max="7167" width="9.81640625" style="21" customWidth="1"/>
    <col min="7168" max="7168" width="11.1796875" style="21" customWidth="1"/>
    <col min="7169" max="7169" width="2.81640625" style="21" customWidth="1"/>
    <col min="7170" max="7170" width="3.54296875" style="21" customWidth="1"/>
    <col min="7171" max="7415" width="9.1796875" style="21"/>
    <col min="7416" max="7416" width="8.7265625" style="21" customWidth="1"/>
    <col min="7417" max="7417" width="9.81640625" style="21" customWidth="1"/>
    <col min="7418" max="7418" width="14.453125" style="21" customWidth="1"/>
    <col min="7419" max="7419" width="7.26953125" style="21" customWidth="1"/>
    <col min="7420" max="7420" width="5.54296875" style="21" customWidth="1"/>
    <col min="7421" max="7421" width="9" style="21" customWidth="1"/>
    <col min="7422" max="7423" width="9.81640625" style="21" customWidth="1"/>
    <col min="7424" max="7424" width="11.1796875" style="21" customWidth="1"/>
    <col min="7425" max="7425" width="2.81640625" style="21" customWidth="1"/>
    <col min="7426" max="7426" width="3.54296875" style="21" customWidth="1"/>
    <col min="7427" max="7671" width="9.1796875" style="21"/>
    <col min="7672" max="7672" width="8.7265625" style="21" customWidth="1"/>
    <col min="7673" max="7673" width="9.81640625" style="21" customWidth="1"/>
    <col min="7674" max="7674" width="14.453125" style="21" customWidth="1"/>
    <col min="7675" max="7675" width="7.26953125" style="21" customWidth="1"/>
    <col min="7676" max="7676" width="5.54296875" style="21" customWidth="1"/>
    <col min="7677" max="7677" width="9" style="21" customWidth="1"/>
    <col min="7678" max="7679" width="9.81640625" style="21" customWidth="1"/>
    <col min="7680" max="7680" width="11.1796875" style="21" customWidth="1"/>
    <col min="7681" max="7681" width="2.81640625" style="21" customWidth="1"/>
    <col min="7682" max="7682" width="3.54296875" style="21" customWidth="1"/>
    <col min="7683" max="7927" width="9.1796875" style="21"/>
    <col min="7928" max="7928" width="8.7265625" style="21" customWidth="1"/>
    <col min="7929" max="7929" width="9.81640625" style="21" customWidth="1"/>
    <col min="7930" max="7930" width="14.453125" style="21" customWidth="1"/>
    <col min="7931" max="7931" width="7.26953125" style="21" customWidth="1"/>
    <col min="7932" max="7932" width="5.54296875" style="21" customWidth="1"/>
    <col min="7933" max="7933" width="9" style="21" customWidth="1"/>
    <col min="7934" max="7935" width="9.81640625" style="21" customWidth="1"/>
    <col min="7936" max="7936" width="11.1796875" style="21" customWidth="1"/>
    <col min="7937" max="7937" width="2.81640625" style="21" customWidth="1"/>
    <col min="7938" max="7938" width="3.54296875" style="21" customWidth="1"/>
    <col min="7939" max="8183" width="9.1796875" style="21"/>
    <col min="8184" max="8184" width="8.7265625" style="21" customWidth="1"/>
    <col min="8185" max="8185" width="9.81640625" style="21" customWidth="1"/>
    <col min="8186" max="8186" width="14.453125" style="21" customWidth="1"/>
    <col min="8187" max="8187" width="7.26953125" style="21" customWidth="1"/>
    <col min="8188" max="8188" width="5.54296875" style="21" customWidth="1"/>
    <col min="8189" max="8189" width="9" style="21" customWidth="1"/>
    <col min="8190" max="8191" width="9.81640625" style="21" customWidth="1"/>
    <col min="8192" max="8192" width="11.1796875" style="21" customWidth="1"/>
    <col min="8193" max="8193" width="2.81640625" style="21" customWidth="1"/>
    <col min="8194" max="8194" width="3.54296875" style="21" customWidth="1"/>
    <col min="8195" max="8439" width="9.1796875" style="21"/>
    <col min="8440" max="8440" width="8.7265625" style="21" customWidth="1"/>
    <col min="8441" max="8441" width="9.81640625" style="21" customWidth="1"/>
    <col min="8442" max="8442" width="14.453125" style="21" customWidth="1"/>
    <col min="8443" max="8443" width="7.26953125" style="21" customWidth="1"/>
    <col min="8444" max="8444" width="5.54296875" style="21" customWidth="1"/>
    <col min="8445" max="8445" width="9" style="21" customWidth="1"/>
    <col min="8446" max="8447" width="9.81640625" style="21" customWidth="1"/>
    <col min="8448" max="8448" width="11.1796875" style="21" customWidth="1"/>
    <col min="8449" max="8449" width="2.81640625" style="21" customWidth="1"/>
    <col min="8450" max="8450" width="3.54296875" style="21" customWidth="1"/>
    <col min="8451" max="8695" width="9.1796875" style="21"/>
    <col min="8696" max="8696" width="8.7265625" style="21" customWidth="1"/>
    <col min="8697" max="8697" width="9.81640625" style="21" customWidth="1"/>
    <col min="8698" max="8698" width="14.453125" style="21" customWidth="1"/>
    <col min="8699" max="8699" width="7.26953125" style="21" customWidth="1"/>
    <col min="8700" max="8700" width="5.54296875" style="21" customWidth="1"/>
    <col min="8701" max="8701" width="9" style="21" customWidth="1"/>
    <col min="8702" max="8703" width="9.81640625" style="21" customWidth="1"/>
    <col min="8704" max="8704" width="11.1796875" style="21" customWidth="1"/>
    <col min="8705" max="8705" width="2.81640625" style="21" customWidth="1"/>
    <col min="8706" max="8706" width="3.54296875" style="21" customWidth="1"/>
    <col min="8707" max="8951" width="9.1796875" style="21"/>
    <col min="8952" max="8952" width="8.7265625" style="21" customWidth="1"/>
    <col min="8953" max="8953" width="9.81640625" style="21" customWidth="1"/>
    <col min="8954" max="8954" width="14.453125" style="21" customWidth="1"/>
    <col min="8955" max="8955" width="7.26953125" style="21" customWidth="1"/>
    <col min="8956" max="8956" width="5.54296875" style="21" customWidth="1"/>
    <col min="8957" max="8957" width="9" style="21" customWidth="1"/>
    <col min="8958" max="8959" width="9.81640625" style="21" customWidth="1"/>
    <col min="8960" max="8960" width="11.1796875" style="21" customWidth="1"/>
    <col min="8961" max="8961" width="2.81640625" style="21" customWidth="1"/>
    <col min="8962" max="8962" width="3.54296875" style="21" customWidth="1"/>
    <col min="8963" max="9207" width="9.1796875" style="21"/>
    <col min="9208" max="9208" width="8.7265625" style="21" customWidth="1"/>
    <col min="9209" max="9209" width="9.81640625" style="21" customWidth="1"/>
    <col min="9210" max="9210" width="14.453125" style="21" customWidth="1"/>
    <col min="9211" max="9211" width="7.26953125" style="21" customWidth="1"/>
    <col min="9212" max="9212" width="5.54296875" style="21" customWidth="1"/>
    <col min="9213" max="9213" width="9" style="21" customWidth="1"/>
    <col min="9214" max="9215" width="9.81640625" style="21" customWidth="1"/>
    <col min="9216" max="9216" width="11.1796875" style="21" customWidth="1"/>
    <col min="9217" max="9217" width="2.81640625" style="21" customWidth="1"/>
    <col min="9218" max="9218" width="3.54296875" style="21" customWidth="1"/>
    <col min="9219" max="9463" width="9.1796875" style="21"/>
    <col min="9464" max="9464" width="8.7265625" style="21" customWidth="1"/>
    <col min="9465" max="9465" width="9.81640625" style="21" customWidth="1"/>
    <col min="9466" max="9466" width="14.453125" style="21" customWidth="1"/>
    <col min="9467" max="9467" width="7.26953125" style="21" customWidth="1"/>
    <col min="9468" max="9468" width="5.54296875" style="21" customWidth="1"/>
    <col min="9469" max="9469" width="9" style="21" customWidth="1"/>
    <col min="9470" max="9471" width="9.81640625" style="21" customWidth="1"/>
    <col min="9472" max="9472" width="11.1796875" style="21" customWidth="1"/>
    <col min="9473" max="9473" width="2.81640625" style="21" customWidth="1"/>
    <col min="9474" max="9474" width="3.54296875" style="21" customWidth="1"/>
    <col min="9475" max="9719" width="9.1796875" style="21"/>
    <col min="9720" max="9720" width="8.7265625" style="21" customWidth="1"/>
    <col min="9721" max="9721" width="9.81640625" style="21" customWidth="1"/>
    <col min="9722" max="9722" width="14.453125" style="21" customWidth="1"/>
    <col min="9723" max="9723" width="7.26953125" style="21" customWidth="1"/>
    <col min="9724" max="9724" width="5.54296875" style="21" customWidth="1"/>
    <col min="9725" max="9725" width="9" style="21" customWidth="1"/>
    <col min="9726" max="9727" width="9.81640625" style="21" customWidth="1"/>
    <col min="9728" max="9728" width="11.1796875" style="21" customWidth="1"/>
    <col min="9729" max="9729" width="2.81640625" style="21" customWidth="1"/>
    <col min="9730" max="9730" width="3.54296875" style="21" customWidth="1"/>
    <col min="9731" max="9975" width="9.1796875" style="21"/>
    <col min="9976" max="9976" width="8.7265625" style="21" customWidth="1"/>
    <col min="9977" max="9977" width="9.81640625" style="21" customWidth="1"/>
    <col min="9978" max="9978" width="14.453125" style="21" customWidth="1"/>
    <col min="9979" max="9979" width="7.26953125" style="21" customWidth="1"/>
    <col min="9980" max="9980" width="5.54296875" style="21" customWidth="1"/>
    <col min="9981" max="9981" width="9" style="21" customWidth="1"/>
    <col min="9982" max="9983" width="9.81640625" style="21" customWidth="1"/>
    <col min="9984" max="9984" width="11.1796875" style="21" customWidth="1"/>
    <col min="9985" max="9985" width="2.81640625" style="21" customWidth="1"/>
    <col min="9986" max="9986" width="3.54296875" style="21" customWidth="1"/>
    <col min="9987" max="10231" width="9.1796875" style="21"/>
    <col min="10232" max="10232" width="8.7265625" style="21" customWidth="1"/>
    <col min="10233" max="10233" width="9.81640625" style="21" customWidth="1"/>
    <col min="10234" max="10234" width="14.453125" style="21" customWidth="1"/>
    <col min="10235" max="10235" width="7.26953125" style="21" customWidth="1"/>
    <col min="10236" max="10236" width="5.54296875" style="21" customWidth="1"/>
    <col min="10237" max="10237" width="9" style="21" customWidth="1"/>
    <col min="10238" max="10239" width="9.81640625" style="21" customWidth="1"/>
    <col min="10240" max="10240" width="11.1796875" style="21" customWidth="1"/>
    <col min="10241" max="10241" width="2.81640625" style="21" customWidth="1"/>
    <col min="10242" max="10242" width="3.54296875" style="21" customWidth="1"/>
    <col min="10243" max="10487" width="9.1796875" style="21"/>
    <col min="10488" max="10488" width="8.7265625" style="21" customWidth="1"/>
    <col min="10489" max="10489" width="9.81640625" style="21" customWidth="1"/>
    <col min="10490" max="10490" width="14.453125" style="21" customWidth="1"/>
    <col min="10491" max="10491" width="7.26953125" style="21" customWidth="1"/>
    <col min="10492" max="10492" width="5.54296875" style="21" customWidth="1"/>
    <col min="10493" max="10493" width="9" style="21" customWidth="1"/>
    <col min="10494" max="10495" width="9.81640625" style="21" customWidth="1"/>
    <col min="10496" max="10496" width="11.1796875" style="21" customWidth="1"/>
    <col min="10497" max="10497" width="2.81640625" style="21" customWidth="1"/>
    <col min="10498" max="10498" width="3.54296875" style="21" customWidth="1"/>
    <col min="10499" max="10743" width="9.1796875" style="21"/>
    <col min="10744" max="10744" width="8.7265625" style="21" customWidth="1"/>
    <col min="10745" max="10745" width="9.81640625" style="21" customWidth="1"/>
    <col min="10746" max="10746" width="14.453125" style="21" customWidth="1"/>
    <col min="10747" max="10747" width="7.26953125" style="21" customWidth="1"/>
    <col min="10748" max="10748" width="5.54296875" style="21" customWidth="1"/>
    <col min="10749" max="10749" width="9" style="21" customWidth="1"/>
    <col min="10750" max="10751" width="9.81640625" style="21" customWidth="1"/>
    <col min="10752" max="10752" width="11.1796875" style="21" customWidth="1"/>
    <col min="10753" max="10753" width="2.81640625" style="21" customWidth="1"/>
    <col min="10754" max="10754" width="3.54296875" style="21" customWidth="1"/>
    <col min="10755" max="10999" width="9.1796875" style="21"/>
    <col min="11000" max="11000" width="8.7265625" style="21" customWidth="1"/>
    <col min="11001" max="11001" width="9.81640625" style="21" customWidth="1"/>
    <col min="11002" max="11002" width="14.453125" style="21" customWidth="1"/>
    <col min="11003" max="11003" width="7.26953125" style="21" customWidth="1"/>
    <col min="11004" max="11004" width="5.54296875" style="21" customWidth="1"/>
    <col min="11005" max="11005" width="9" style="21" customWidth="1"/>
    <col min="11006" max="11007" width="9.81640625" style="21" customWidth="1"/>
    <col min="11008" max="11008" width="11.1796875" style="21" customWidth="1"/>
    <col min="11009" max="11009" width="2.81640625" style="21" customWidth="1"/>
    <col min="11010" max="11010" width="3.54296875" style="21" customWidth="1"/>
    <col min="11011" max="11255" width="9.1796875" style="21"/>
    <col min="11256" max="11256" width="8.7265625" style="21" customWidth="1"/>
    <col min="11257" max="11257" width="9.81640625" style="21" customWidth="1"/>
    <col min="11258" max="11258" width="14.453125" style="21" customWidth="1"/>
    <col min="11259" max="11259" width="7.26953125" style="21" customWidth="1"/>
    <col min="11260" max="11260" width="5.54296875" style="21" customWidth="1"/>
    <col min="11261" max="11261" width="9" style="21" customWidth="1"/>
    <col min="11262" max="11263" width="9.81640625" style="21" customWidth="1"/>
    <col min="11264" max="11264" width="11.1796875" style="21" customWidth="1"/>
    <col min="11265" max="11265" width="2.81640625" style="21" customWidth="1"/>
    <col min="11266" max="11266" width="3.54296875" style="21" customWidth="1"/>
    <col min="11267" max="11511" width="9.1796875" style="21"/>
    <col min="11512" max="11512" width="8.7265625" style="21" customWidth="1"/>
    <col min="11513" max="11513" width="9.81640625" style="21" customWidth="1"/>
    <col min="11514" max="11514" width="14.453125" style="21" customWidth="1"/>
    <col min="11515" max="11515" width="7.26953125" style="21" customWidth="1"/>
    <col min="11516" max="11516" width="5.54296875" style="21" customWidth="1"/>
    <col min="11517" max="11517" width="9" style="21" customWidth="1"/>
    <col min="11518" max="11519" width="9.81640625" style="21" customWidth="1"/>
    <col min="11520" max="11520" width="11.1796875" style="21" customWidth="1"/>
    <col min="11521" max="11521" width="2.81640625" style="21" customWidth="1"/>
    <col min="11522" max="11522" width="3.54296875" style="21" customWidth="1"/>
    <col min="11523" max="11767" width="9.1796875" style="21"/>
    <col min="11768" max="11768" width="8.7265625" style="21" customWidth="1"/>
    <col min="11769" max="11769" width="9.81640625" style="21" customWidth="1"/>
    <col min="11770" max="11770" width="14.453125" style="21" customWidth="1"/>
    <col min="11771" max="11771" width="7.26953125" style="21" customWidth="1"/>
    <col min="11772" max="11772" width="5.54296875" style="21" customWidth="1"/>
    <col min="11773" max="11773" width="9" style="21" customWidth="1"/>
    <col min="11774" max="11775" width="9.81640625" style="21" customWidth="1"/>
    <col min="11776" max="11776" width="11.1796875" style="21" customWidth="1"/>
    <col min="11777" max="11777" width="2.81640625" style="21" customWidth="1"/>
    <col min="11778" max="11778" width="3.54296875" style="21" customWidth="1"/>
    <col min="11779" max="12023" width="9.1796875" style="21"/>
    <col min="12024" max="12024" width="8.7265625" style="21" customWidth="1"/>
    <col min="12025" max="12025" width="9.81640625" style="21" customWidth="1"/>
    <col min="12026" max="12026" width="14.453125" style="21" customWidth="1"/>
    <col min="12027" max="12027" width="7.26953125" style="21" customWidth="1"/>
    <col min="12028" max="12028" width="5.54296875" style="21" customWidth="1"/>
    <col min="12029" max="12029" width="9" style="21" customWidth="1"/>
    <col min="12030" max="12031" width="9.81640625" style="21" customWidth="1"/>
    <col min="12032" max="12032" width="11.1796875" style="21" customWidth="1"/>
    <col min="12033" max="12033" width="2.81640625" style="21" customWidth="1"/>
    <col min="12034" max="12034" width="3.54296875" style="21" customWidth="1"/>
    <col min="12035" max="12279" width="9.1796875" style="21"/>
    <col min="12280" max="12280" width="8.7265625" style="21" customWidth="1"/>
    <col min="12281" max="12281" width="9.81640625" style="21" customWidth="1"/>
    <col min="12282" max="12282" width="14.453125" style="21" customWidth="1"/>
    <col min="12283" max="12283" width="7.26953125" style="21" customWidth="1"/>
    <col min="12284" max="12284" width="5.54296875" style="21" customWidth="1"/>
    <col min="12285" max="12285" width="9" style="21" customWidth="1"/>
    <col min="12286" max="12287" width="9.81640625" style="21" customWidth="1"/>
    <col min="12288" max="12288" width="11.1796875" style="21" customWidth="1"/>
    <col min="12289" max="12289" width="2.81640625" style="21" customWidth="1"/>
    <col min="12290" max="12290" width="3.54296875" style="21" customWidth="1"/>
    <col min="12291" max="12535" width="9.1796875" style="21"/>
    <col min="12536" max="12536" width="8.7265625" style="21" customWidth="1"/>
    <col min="12537" max="12537" width="9.81640625" style="21" customWidth="1"/>
    <col min="12538" max="12538" width="14.453125" style="21" customWidth="1"/>
    <col min="12539" max="12539" width="7.26953125" style="21" customWidth="1"/>
    <col min="12540" max="12540" width="5.54296875" style="21" customWidth="1"/>
    <col min="12541" max="12541" width="9" style="21" customWidth="1"/>
    <col min="12542" max="12543" width="9.81640625" style="21" customWidth="1"/>
    <col min="12544" max="12544" width="11.1796875" style="21" customWidth="1"/>
    <col min="12545" max="12545" width="2.81640625" style="21" customWidth="1"/>
    <col min="12546" max="12546" width="3.54296875" style="21" customWidth="1"/>
    <col min="12547" max="12791" width="9.1796875" style="21"/>
    <col min="12792" max="12792" width="8.7265625" style="21" customWidth="1"/>
    <col min="12793" max="12793" width="9.81640625" style="21" customWidth="1"/>
    <col min="12794" max="12794" width="14.453125" style="21" customWidth="1"/>
    <col min="12795" max="12795" width="7.26953125" style="21" customWidth="1"/>
    <col min="12796" max="12796" width="5.54296875" style="21" customWidth="1"/>
    <col min="12797" max="12797" width="9" style="21" customWidth="1"/>
    <col min="12798" max="12799" width="9.81640625" style="21" customWidth="1"/>
    <col min="12800" max="12800" width="11.1796875" style="21" customWidth="1"/>
    <col min="12801" max="12801" width="2.81640625" style="21" customWidth="1"/>
    <col min="12802" max="12802" width="3.54296875" style="21" customWidth="1"/>
    <col min="12803" max="13047" width="9.1796875" style="21"/>
    <col min="13048" max="13048" width="8.7265625" style="21" customWidth="1"/>
    <col min="13049" max="13049" width="9.81640625" style="21" customWidth="1"/>
    <col min="13050" max="13050" width="14.453125" style="21" customWidth="1"/>
    <col min="13051" max="13051" width="7.26953125" style="21" customWidth="1"/>
    <col min="13052" max="13052" width="5.54296875" style="21" customWidth="1"/>
    <col min="13053" max="13053" width="9" style="21" customWidth="1"/>
    <col min="13054" max="13055" width="9.81640625" style="21" customWidth="1"/>
    <col min="13056" max="13056" width="11.1796875" style="21" customWidth="1"/>
    <col min="13057" max="13057" width="2.81640625" style="21" customWidth="1"/>
    <col min="13058" max="13058" width="3.54296875" style="21" customWidth="1"/>
    <col min="13059" max="13303" width="9.1796875" style="21"/>
    <col min="13304" max="13304" width="8.7265625" style="21" customWidth="1"/>
    <col min="13305" max="13305" width="9.81640625" style="21" customWidth="1"/>
    <col min="13306" max="13306" width="14.453125" style="21" customWidth="1"/>
    <col min="13307" max="13307" width="7.26953125" style="21" customWidth="1"/>
    <col min="13308" max="13308" width="5.54296875" style="21" customWidth="1"/>
    <col min="13309" max="13309" width="9" style="21" customWidth="1"/>
    <col min="13310" max="13311" width="9.81640625" style="21" customWidth="1"/>
    <col min="13312" max="13312" width="11.1796875" style="21" customWidth="1"/>
    <col min="13313" max="13313" width="2.81640625" style="21" customWidth="1"/>
    <col min="13314" max="13314" width="3.54296875" style="21" customWidth="1"/>
    <col min="13315" max="13559" width="9.1796875" style="21"/>
    <col min="13560" max="13560" width="8.7265625" style="21" customWidth="1"/>
    <col min="13561" max="13561" width="9.81640625" style="21" customWidth="1"/>
    <col min="13562" max="13562" width="14.453125" style="21" customWidth="1"/>
    <col min="13563" max="13563" width="7.26953125" style="21" customWidth="1"/>
    <col min="13564" max="13564" width="5.54296875" style="21" customWidth="1"/>
    <col min="13565" max="13565" width="9" style="21" customWidth="1"/>
    <col min="13566" max="13567" width="9.81640625" style="21" customWidth="1"/>
    <col min="13568" max="13568" width="11.1796875" style="21" customWidth="1"/>
    <col min="13569" max="13569" width="2.81640625" style="21" customWidth="1"/>
    <col min="13570" max="13570" width="3.54296875" style="21" customWidth="1"/>
    <col min="13571" max="13815" width="9.1796875" style="21"/>
    <col min="13816" max="13816" width="8.7265625" style="21" customWidth="1"/>
    <col min="13817" max="13817" width="9.81640625" style="21" customWidth="1"/>
    <col min="13818" max="13818" width="14.453125" style="21" customWidth="1"/>
    <col min="13819" max="13819" width="7.26953125" style="21" customWidth="1"/>
    <col min="13820" max="13820" width="5.54296875" style="21" customWidth="1"/>
    <col min="13821" max="13821" width="9" style="21" customWidth="1"/>
    <col min="13822" max="13823" width="9.81640625" style="21" customWidth="1"/>
    <col min="13824" max="13824" width="11.1796875" style="21" customWidth="1"/>
    <col min="13825" max="13825" width="2.81640625" style="21" customWidth="1"/>
    <col min="13826" max="13826" width="3.54296875" style="21" customWidth="1"/>
    <col min="13827" max="14071" width="9.1796875" style="21"/>
    <col min="14072" max="14072" width="8.7265625" style="21" customWidth="1"/>
    <col min="14073" max="14073" width="9.81640625" style="21" customWidth="1"/>
    <col min="14074" max="14074" width="14.453125" style="21" customWidth="1"/>
    <col min="14075" max="14075" width="7.26953125" style="21" customWidth="1"/>
    <col min="14076" max="14076" width="5.54296875" style="21" customWidth="1"/>
    <col min="14077" max="14077" width="9" style="21" customWidth="1"/>
    <col min="14078" max="14079" width="9.81640625" style="21" customWidth="1"/>
    <col min="14080" max="14080" width="11.1796875" style="21" customWidth="1"/>
    <col min="14081" max="14081" width="2.81640625" style="21" customWidth="1"/>
    <col min="14082" max="14082" width="3.54296875" style="21" customWidth="1"/>
    <col min="14083" max="14327" width="9.1796875" style="21"/>
    <col min="14328" max="14328" width="8.7265625" style="21" customWidth="1"/>
    <col min="14329" max="14329" width="9.81640625" style="21" customWidth="1"/>
    <col min="14330" max="14330" width="14.453125" style="21" customWidth="1"/>
    <col min="14331" max="14331" width="7.26953125" style="21" customWidth="1"/>
    <col min="14332" max="14332" width="5.54296875" style="21" customWidth="1"/>
    <col min="14333" max="14333" width="9" style="21" customWidth="1"/>
    <col min="14334" max="14335" width="9.81640625" style="21" customWidth="1"/>
    <col min="14336" max="14336" width="11.1796875" style="21" customWidth="1"/>
    <col min="14337" max="14337" width="2.81640625" style="21" customWidth="1"/>
    <col min="14338" max="14338" width="3.54296875" style="21" customWidth="1"/>
    <col min="14339" max="14583" width="9.1796875" style="21"/>
    <col min="14584" max="14584" width="8.7265625" style="21" customWidth="1"/>
    <col min="14585" max="14585" width="9.81640625" style="21" customWidth="1"/>
    <col min="14586" max="14586" width="14.453125" style="21" customWidth="1"/>
    <col min="14587" max="14587" width="7.26953125" style="21" customWidth="1"/>
    <col min="14588" max="14588" width="5.54296875" style="21" customWidth="1"/>
    <col min="14589" max="14589" width="9" style="21" customWidth="1"/>
    <col min="14590" max="14591" width="9.81640625" style="21" customWidth="1"/>
    <col min="14592" max="14592" width="11.1796875" style="21" customWidth="1"/>
    <col min="14593" max="14593" width="2.81640625" style="21" customWidth="1"/>
    <col min="14594" max="14594" width="3.54296875" style="21" customWidth="1"/>
    <col min="14595" max="14839" width="9.1796875" style="21"/>
    <col min="14840" max="14840" width="8.7265625" style="21" customWidth="1"/>
    <col min="14841" max="14841" width="9.81640625" style="21" customWidth="1"/>
    <col min="14842" max="14842" width="14.453125" style="21" customWidth="1"/>
    <col min="14843" max="14843" width="7.26953125" style="21" customWidth="1"/>
    <col min="14844" max="14844" width="5.54296875" style="21" customWidth="1"/>
    <col min="14845" max="14845" width="9" style="21" customWidth="1"/>
    <col min="14846" max="14847" width="9.81640625" style="21" customWidth="1"/>
    <col min="14848" max="14848" width="11.1796875" style="21" customWidth="1"/>
    <col min="14849" max="14849" width="2.81640625" style="21" customWidth="1"/>
    <col min="14850" max="14850" width="3.54296875" style="21" customWidth="1"/>
    <col min="14851" max="15095" width="9.1796875" style="21"/>
    <col min="15096" max="15096" width="8.7265625" style="21" customWidth="1"/>
    <col min="15097" max="15097" width="9.81640625" style="21" customWidth="1"/>
    <col min="15098" max="15098" width="14.453125" style="21" customWidth="1"/>
    <col min="15099" max="15099" width="7.26953125" style="21" customWidth="1"/>
    <col min="15100" max="15100" width="5.54296875" style="21" customWidth="1"/>
    <col min="15101" max="15101" width="9" style="21" customWidth="1"/>
    <col min="15102" max="15103" width="9.81640625" style="21" customWidth="1"/>
    <col min="15104" max="15104" width="11.1796875" style="21" customWidth="1"/>
    <col min="15105" max="15105" width="2.81640625" style="21" customWidth="1"/>
    <col min="15106" max="15106" width="3.54296875" style="21" customWidth="1"/>
    <col min="15107" max="15351" width="9.1796875" style="21"/>
    <col min="15352" max="15352" width="8.7265625" style="21" customWidth="1"/>
    <col min="15353" max="15353" width="9.81640625" style="21" customWidth="1"/>
    <col min="15354" max="15354" width="14.453125" style="21" customWidth="1"/>
    <col min="15355" max="15355" width="7.26953125" style="21" customWidth="1"/>
    <col min="15356" max="15356" width="5.54296875" style="21" customWidth="1"/>
    <col min="15357" max="15357" width="9" style="21" customWidth="1"/>
    <col min="15358" max="15359" width="9.81640625" style="21" customWidth="1"/>
    <col min="15360" max="15360" width="11.1796875" style="21" customWidth="1"/>
    <col min="15361" max="15361" width="2.81640625" style="21" customWidth="1"/>
    <col min="15362" max="15362" width="3.54296875" style="21" customWidth="1"/>
    <col min="15363" max="15607" width="9.1796875" style="21"/>
    <col min="15608" max="15608" width="8.7265625" style="21" customWidth="1"/>
    <col min="15609" max="15609" width="9.81640625" style="21" customWidth="1"/>
    <col min="15610" max="15610" width="14.453125" style="21" customWidth="1"/>
    <col min="15611" max="15611" width="7.26953125" style="21" customWidth="1"/>
    <col min="15612" max="15612" width="5.54296875" style="21" customWidth="1"/>
    <col min="15613" max="15613" width="9" style="21" customWidth="1"/>
    <col min="15614" max="15615" width="9.81640625" style="21" customWidth="1"/>
    <col min="15616" max="15616" width="11.1796875" style="21" customWidth="1"/>
    <col min="15617" max="15617" width="2.81640625" style="21" customWidth="1"/>
    <col min="15618" max="15618" width="3.54296875" style="21" customWidth="1"/>
    <col min="15619" max="15863" width="9.1796875" style="21"/>
    <col min="15864" max="15864" width="8.7265625" style="21" customWidth="1"/>
    <col min="15865" max="15865" width="9.81640625" style="21" customWidth="1"/>
    <col min="15866" max="15866" width="14.453125" style="21" customWidth="1"/>
    <col min="15867" max="15867" width="7.26953125" style="21" customWidth="1"/>
    <col min="15868" max="15868" width="5.54296875" style="21" customWidth="1"/>
    <col min="15869" max="15869" width="9" style="21" customWidth="1"/>
    <col min="15870" max="15871" width="9.81640625" style="21" customWidth="1"/>
    <col min="15872" max="15872" width="11.1796875" style="21" customWidth="1"/>
    <col min="15873" max="15873" width="2.81640625" style="21" customWidth="1"/>
    <col min="15874" max="15874" width="3.54296875" style="21" customWidth="1"/>
    <col min="15875" max="16119" width="9.1796875" style="21"/>
    <col min="16120" max="16120" width="8.7265625" style="21" customWidth="1"/>
    <col min="16121" max="16121" width="9.81640625" style="21" customWidth="1"/>
    <col min="16122" max="16122" width="14.453125" style="21" customWidth="1"/>
    <col min="16123" max="16123" width="7.26953125" style="21" customWidth="1"/>
    <col min="16124" max="16124" width="5.54296875" style="21" customWidth="1"/>
    <col min="16125" max="16125" width="9" style="21" customWidth="1"/>
    <col min="16126" max="16127" width="9.81640625" style="21" customWidth="1"/>
    <col min="16128" max="16128" width="11.1796875" style="21" customWidth="1"/>
    <col min="16129" max="16129" width="2.81640625" style="21" customWidth="1"/>
    <col min="16130" max="16130" width="3.54296875" style="21" customWidth="1"/>
    <col min="16131" max="16384" width="9.1796875" style="21"/>
  </cols>
  <sheetData>
    <row r="1" spans="1:26" ht="46.5" customHeight="1" x14ac:dyDescent="0.35">
      <c r="A1" s="167" t="s">
        <v>153</v>
      </c>
      <c r="B1" s="167"/>
      <c r="C1" s="167"/>
      <c r="D1" s="167"/>
      <c r="E1" s="167"/>
      <c r="F1" s="167"/>
      <c r="G1" s="167"/>
      <c r="H1" s="167"/>
    </row>
    <row r="2" spans="1:26" ht="16.5" customHeight="1" x14ac:dyDescent="0.35">
      <c r="A2" s="168" t="s">
        <v>0</v>
      </c>
      <c r="B2" s="168"/>
      <c r="C2" s="168"/>
      <c r="D2" s="168"/>
      <c r="E2" s="168"/>
      <c r="F2" s="168"/>
      <c r="G2" s="168"/>
      <c r="H2" s="168"/>
    </row>
    <row r="3" spans="1:26" x14ac:dyDescent="0.35">
      <c r="A3" s="137" t="s">
        <v>1</v>
      </c>
      <c r="B3" s="137"/>
      <c r="C3" s="137"/>
      <c r="D3" s="137"/>
      <c r="E3" s="137" t="str">
        <f ca="1">TEXT(TODAY(),"DD/MM/YYYY")</f>
        <v>09/09/2025</v>
      </c>
      <c r="F3" s="137"/>
      <c r="G3" s="137"/>
      <c r="H3" s="137"/>
      <c r="K3" s="55" t="s">
        <v>222</v>
      </c>
      <c r="L3" s="54" t="s">
        <v>220</v>
      </c>
      <c r="M3" s="54" t="s">
        <v>225</v>
      </c>
      <c r="N3" s="54" t="s">
        <v>223</v>
      </c>
      <c r="O3" s="54" t="s">
        <v>224</v>
      </c>
      <c r="P3" s="54" t="s">
        <v>226</v>
      </c>
    </row>
    <row r="4" spans="1:26" ht="15" customHeight="1" x14ac:dyDescent="0.35">
      <c r="A4" s="137" t="s">
        <v>219</v>
      </c>
      <c r="B4" s="137"/>
      <c r="C4" s="137"/>
      <c r="D4" s="137"/>
      <c r="E4" s="155" t="s">
        <v>220</v>
      </c>
      <c r="F4" s="155"/>
      <c r="G4" s="155"/>
      <c r="H4" s="155"/>
      <c r="K4" s="53" t="s">
        <v>221</v>
      </c>
      <c r="L4" s="54" t="s">
        <v>159</v>
      </c>
      <c r="M4" s="54" t="s">
        <v>230</v>
      </c>
      <c r="N4" s="54" t="s">
        <v>232</v>
      </c>
      <c r="O4" s="54" t="s">
        <v>234</v>
      </c>
      <c r="P4" s="54"/>
    </row>
    <row r="5" spans="1:26" ht="15" customHeight="1" x14ac:dyDescent="0.35">
      <c r="A5" s="137" t="s">
        <v>2</v>
      </c>
      <c r="B5" s="137"/>
      <c r="C5" s="137"/>
      <c r="D5" s="137"/>
      <c r="E5" s="155" t="s">
        <v>227</v>
      </c>
      <c r="F5" s="155"/>
      <c r="G5" s="155"/>
      <c r="H5" s="155"/>
      <c r="K5" s="53"/>
      <c r="L5" s="54" t="s">
        <v>227</v>
      </c>
      <c r="M5" s="54" t="s">
        <v>231</v>
      </c>
      <c r="N5" s="54" t="s">
        <v>233</v>
      </c>
      <c r="O5" s="54" t="s">
        <v>235</v>
      </c>
      <c r="P5" s="54"/>
    </row>
    <row r="6" spans="1:26" x14ac:dyDescent="0.35">
      <c r="A6" s="137" t="s">
        <v>3</v>
      </c>
      <c r="B6" s="137"/>
      <c r="C6" s="137"/>
      <c r="D6" s="137"/>
      <c r="E6" s="169">
        <v>45906</v>
      </c>
      <c r="F6" s="155"/>
      <c r="G6" s="155"/>
      <c r="H6" s="155"/>
      <c r="K6" s="53"/>
      <c r="L6" s="54" t="s">
        <v>228</v>
      </c>
      <c r="M6" s="54"/>
      <c r="N6" s="54"/>
      <c r="O6" s="54" t="s">
        <v>236</v>
      </c>
      <c r="P6" s="54"/>
    </row>
    <row r="7" spans="1:26" ht="16.5" customHeight="1" x14ac:dyDescent="0.35">
      <c r="A7" s="137" t="s">
        <v>4</v>
      </c>
      <c r="B7" s="137"/>
      <c r="C7" s="137"/>
      <c r="D7" s="137"/>
      <c r="E7" s="146" t="s">
        <v>285</v>
      </c>
      <c r="F7" s="137"/>
      <c r="G7" s="137"/>
      <c r="H7" s="137"/>
      <c r="K7" s="53"/>
      <c r="L7" s="54" t="s">
        <v>229</v>
      </c>
      <c r="M7" s="54"/>
      <c r="N7" s="54"/>
      <c r="O7" s="54" t="s">
        <v>236</v>
      </c>
      <c r="P7" s="54"/>
    </row>
    <row r="8" spans="1:26" ht="16.5" customHeight="1" x14ac:dyDescent="0.35">
      <c r="A8" s="137" t="s">
        <v>5</v>
      </c>
      <c r="B8" s="137"/>
      <c r="C8" s="137"/>
      <c r="D8" s="137"/>
      <c r="E8" s="137" t="str">
        <f>E7</f>
        <v xml:space="preserve">Shree Anant Enterprises
</v>
      </c>
      <c r="F8" s="137"/>
      <c r="G8" s="137"/>
      <c r="H8" s="137"/>
      <c r="K8" s="53"/>
      <c r="L8" s="54"/>
      <c r="M8" s="54"/>
      <c r="N8" s="54"/>
      <c r="O8" s="54" t="s">
        <v>237</v>
      </c>
      <c r="P8" s="54"/>
    </row>
    <row r="9" spans="1:26" x14ac:dyDescent="0.35">
      <c r="A9" s="137" t="s">
        <v>6</v>
      </c>
      <c r="B9" s="137"/>
      <c r="C9" s="137"/>
      <c r="D9" s="137"/>
      <c r="E9" s="105" t="s">
        <v>286</v>
      </c>
      <c r="F9" s="105"/>
      <c r="G9" s="105"/>
      <c r="H9" s="105"/>
      <c r="K9" s="53"/>
      <c r="L9" s="54"/>
      <c r="M9" s="54"/>
      <c r="N9" s="54"/>
      <c r="O9" s="54" t="s">
        <v>238</v>
      </c>
      <c r="P9" s="54"/>
    </row>
    <row r="10" spans="1:26" x14ac:dyDescent="0.35">
      <c r="A10" s="137" t="s">
        <v>156</v>
      </c>
      <c r="B10" s="137"/>
      <c r="C10" s="137"/>
      <c r="D10" s="137"/>
      <c r="E10" s="137">
        <v>9820533664</v>
      </c>
      <c r="F10" s="137"/>
      <c r="G10" s="137"/>
      <c r="H10" s="137"/>
      <c r="K10" s="53"/>
      <c r="L10" s="54"/>
      <c r="M10" s="54"/>
      <c r="N10" s="54"/>
      <c r="O10" s="54"/>
      <c r="P10" s="54"/>
    </row>
    <row r="11" spans="1:26" x14ac:dyDescent="0.35">
      <c r="A11" s="137" t="s">
        <v>157</v>
      </c>
      <c r="B11" s="137"/>
      <c r="C11" s="137"/>
      <c r="D11" s="137"/>
      <c r="E11" s="155" t="s">
        <v>357</v>
      </c>
      <c r="F11" s="155"/>
      <c r="G11" s="155"/>
      <c r="H11" s="155"/>
    </row>
    <row r="12" spans="1:26" x14ac:dyDescent="0.35">
      <c r="A12" s="137" t="s">
        <v>7</v>
      </c>
      <c r="B12" s="137"/>
      <c r="C12" s="137"/>
      <c r="D12" s="137"/>
      <c r="E12" s="137" t="s">
        <v>313</v>
      </c>
      <c r="F12" s="137"/>
      <c r="G12" s="137"/>
      <c r="H12" s="137"/>
    </row>
    <row r="13" spans="1:26" x14ac:dyDescent="0.35">
      <c r="A13" s="137" t="s">
        <v>160</v>
      </c>
      <c r="B13" s="137"/>
      <c r="C13" s="137"/>
      <c r="D13" s="137"/>
      <c r="E13" s="137" t="s">
        <v>301</v>
      </c>
      <c r="F13" s="137"/>
      <c r="G13" s="137"/>
      <c r="H13" s="137"/>
      <c r="S13" s="54" t="s">
        <v>165</v>
      </c>
      <c r="T13" s="54" t="s">
        <v>175</v>
      </c>
      <c r="U13" s="54" t="s">
        <v>161</v>
      </c>
      <c r="V13" s="54" t="s">
        <v>180</v>
      </c>
      <c r="W13" s="54" t="s">
        <v>198</v>
      </c>
      <c r="X13"/>
      <c r="Y13" t="s">
        <v>180</v>
      </c>
      <c r="Z13" t="e">
        <f ca="1">OFFSET($S$13,1,MATCH($G20,$S$13:$W$13,0)-1,15,1)</f>
        <v>#VALUE!</v>
      </c>
    </row>
    <row r="14" spans="1:26" ht="30" customHeight="1" x14ac:dyDescent="0.35">
      <c r="A14" s="106" t="s">
        <v>265</v>
      </c>
      <c r="B14" s="106"/>
      <c r="C14" s="106"/>
      <c r="D14" s="106"/>
      <c r="E14" s="146" t="s">
        <v>350</v>
      </c>
      <c r="F14" s="146"/>
      <c r="G14" s="146"/>
      <c r="H14" s="146"/>
      <c r="S14" s="54" t="s">
        <v>166</v>
      </c>
      <c r="T14" s="54" t="s">
        <v>173</v>
      </c>
      <c r="U14" s="54" t="s">
        <v>195</v>
      </c>
      <c r="V14" s="54" t="s">
        <v>181</v>
      </c>
      <c r="W14" s="54" t="s">
        <v>199</v>
      </c>
      <c r="X14"/>
      <c r="Y14"/>
      <c r="Z14"/>
    </row>
    <row r="15" spans="1:26" x14ac:dyDescent="0.35">
      <c r="A15" s="106" t="s">
        <v>8</v>
      </c>
      <c r="B15" s="106"/>
      <c r="C15" s="106"/>
      <c r="D15" s="106"/>
      <c r="E15" s="165" t="s">
        <v>358</v>
      </c>
      <c r="F15" s="155"/>
      <c r="G15" s="155"/>
      <c r="H15" s="155"/>
      <c r="I15" s="206" t="e">
        <f ca="1">OFFSET($D$5,1,MATCH($J13,$D$5:$H$5,0)-1,15,1)</f>
        <v>#N/A</v>
      </c>
      <c r="J15" s="207"/>
      <c r="K15" s="207"/>
      <c r="L15" s="207"/>
      <c r="M15" s="207"/>
      <c r="N15" s="207"/>
      <c r="O15" s="207"/>
      <c r="P15" s="207"/>
      <c r="S15" s="54" t="s">
        <v>167</v>
      </c>
      <c r="T15" s="54" t="s">
        <v>174</v>
      </c>
      <c r="U15" s="54" t="s">
        <v>196</v>
      </c>
      <c r="V15" s="54" t="s">
        <v>182</v>
      </c>
      <c r="W15" s="54" t="s">
        <v>212</v>
      </c>
      <c r="X15"/>
      <c r="Y15"/>
      <c r="Z15"/>
    </row>
    <row r="16" spans="1:26" ht="30.75" customHeight="1" x14ac:dyDescent="0.35">
      <c r="A16" s="151" t="s">
        <v>9</v>
      </c>
      <c r="B16" s="151"/>
      <c r="C16" s="151" t="str">
        <f>CONCATENATE((IF(OR(E9="",E9="NA"),"",E9)),", ",(IF(OR(A17="",A17="NA"),"",A17)),".",(IF(OR(C17="",C17="NA"),"",C17)),", near ",(IF(OR(C22="",C22="NA"),"",C22)),", ",(IF(OR(C19="",C19="NA"),"",C19)),", ",(IF(OR(C18="",C18="NA"),"",C18)),", ",(IF(OR(G19="",G19="NA"),"",G19)),", ",(IF(OR(C20="",C20="NA"),"",C20)),", ",(IF(OR(C21="",C21="NA"),"",C21)),", ",(IF(OR(G20="",G20="NA"),"",G20))," - ",(IF(OR(G21="",G21="NA"),"",G21)),".")</f>
        <v>Centurion, Plot No.A-84, A-85, near Sai Avenue, SG Barve Road, Neheru Nagar, Thane, Thane West, Thane, Thane  - 400604.</v>
      </c>
      <c r="D16" s="151"/>
      <c r="E16" s="151"/>
      <c r="F16" s="151"/>
      <c r="G16" s="151"/>
      <c r="H16" s="151"/>
      <c r="S16" s="54" t="s">
        <v>168</v>
      </c>
      <c r="T16" s="54" t="s">
        <v>176</v>
      </c>
      <c r="U16" s="54" t="s">
        <v>197</v>
      </c>
      <c r="V16" s="54" t="s">
        <v>183</v>
      </c>
      <c r="W16" s="54" t="s">
        <v>200</v>
      </c>
      <c r="X16"/>
      <c r="Y16"/>
      <c r="Z16"/>
    </row>
    <row r="17" spans="1:26" x14ac:dyDescent="0.35">
      <c r="A17" s="165" t="s">
        <v>288</v>
      </c>
      <c r="B17" s="165"/>
      <c r="C17" s="165" t="s">
        <v>289</v>
      </c>
      <c r="D17" s="165"/>
      <c r="E17" s="165"/>
      <c r="F17" s="165"/>
      <c r="G17" s="165"/>
      <c r="H17" s="165"/>
      <c r="S17" s="54" t="s">
        <v>169</v>
      </c>
      <c r="T17" s="54" t="s">
        <v>177</v>
      </c>
      <c r="U17" s="54" t="s">
        <v>161</v>
      </c>
      <c r="V17" s="54" t="s">
        <v>184</v>
      </c>
      <c r="W17" s="54" t="s">
        <v>201</v>
      </c>
      <c r="X17"/>
      <c r="Y17"/>
      <c r="Z17"/>
    </row>
    <row r="18" spans="1:26" ht="15.75" customHeight="1" x14ac:dyDescent="0.35">
      <c r="A18" s="146" t="s">
        <v>151</v>
      </c>
      <c r="B18" s="146"/>
      <c r="C18" s="146" t="s">
        <v>291</v>
      </c>
      <c r="D18" s="146"/>
      <c r="E18" s="146"/>
      <c r="F18" s="146"/>
      <c r="G18" s="146"/>
      <c r="H18" s="146"/>
      <c r="S18" s="54" t="s">
        <v>170</v>
      </c>
      <c r="T18" s="54" t="s">
        <v>175</v>
      </c>
      <c r="U18" s="54"/>
      <c r="V18" s="54" t="s">
        <v>185</v>
      </c>
      <c r="W18" s="54" t="s">
        <v>202</v>
      </c>
      <c r="X18"/>
      <c r="Y18"/>
      <c r="Z18"/>
    </row>
    <row r="19" spans="1:26" ht="15.75" customHeight="1" x14ac:dyDescent="0.35">
      <c r="A19" s="151" t="s">
        <v>10</v>
      </c>
      <c r="B19" s="151"/>
      <c r="C19" s="155" t="s">
        <v>296</v>
      </c>
      <c r="D19" s="155"/>
      <c r="E19" s="165" t="s">
        <v>68</v>
      </c>
      <c r="F19" s="165"/>
      <c r="G19" s="165" t="s">
        <v>166</v>
      </c>
      <c r="H19" s="165"/>
      <c r="S19" s="54" t="s">
        <v>171</v>
      </c>
      <c r="T19" s="54" t="s">
        <v>178</v>
      </c>
      <c r="U19" s="54"/>
      <c r="V19" s="54" t="s">
        <v>186</v>
      </c>
      <c r="W19" s="54" t="s">
        <v>203</v>
      </c>
      <c r="X19"/>
      <c r="Y19"/>
      <c r="Z19"/>
    </row>
    <row r="20" spans="1:26" x14ac:dyDescent="0.35">
      <c r="A20" s="106" t="s">
        <v>12</v>
      </c>
      <c r="B20" s="106"/>
      <c r="C20" s="165" t="s">
        <v>290</v>
      </c>
      <c r="D20" s="165"/>
      <c r="E20" s="165" t="s">
        <v>11</v>
      </c>
      <c r="F20" s="165"/>
      <c r="G20" s="166" t="s">
        <v>165</v>
      </c>
      <c r="H20" s="166"/>
      <c r="S20" s="54" t="s">
        <v>172</v>
      </c>
      <c r="T20" s="54" t="s">
        <v>179</v>
      </c>
      <c r="U20" s="54"/>
      <c r="V20" s="54" t="s">
        <v>187</v>
      </c>
      <c r="W20" s="54" t="s">
        <v>204</v>
      </c>
      <c r="X20"/>
      <c r="Y20"/>
      <c r="Z20"/>
    </row>
    <row r="21" spans="1:26" x14ac:dyDescent="0.35">
      <c r="A21" s="106" t="s">
        <v>69</v>
      </c>
      <c r="B21" s="106"/>
      <c r="C21" s="165" t="s">
        <v>166</v>
      </c>
      <c r="D21" s="165"/>
      <c r="E21" s="165" t="s">
        <v>13</v>
      </c>
      <c r="F21" s="165"/>
      <c r="G21" s="165">
        <v>400604</v>
      </c>
      <c r="H21" s="165"/>
      <c r="S21" s="54"/>
      <c r="T21" s="54"/>
      <c r="U21" s="54"/>
      <c r="V21" s="54" t="s">
        <v>188</v>
      </c>
      <c r="W21" s="54" t="s">
        <v>205</v>
      </c>
      <c r="X21"/>
      <c r="Y21"/>
      <c r="Z21"/>
    </row>
    <row r="22" spans="1:26" ht="32.25" customHeight="1" x14ac:dyDescent="0.35">
      <c r="A22" s="106" t="s">
        <v>114</v>
      </c>
      <c r="B22" s="106"/>
      <c r="C22" s="165" t="s">
        <v>292</v>
      </c>
      <c r="D22" s="165"/>
      <c r="E22" s="165" t="s">
        <v>14</v>
      </c>
      <c r="F22" s="165"/>
      <c r="G22" s="165" t="s">
        <v>293</v>
      </c>
      <c r="H22" s="165"/>
      <c r="S22" s="54"/>
      <c r="T22" s="54"/>
      <c r="U22" s="54"/>
      <c r="V22" s="54" t="s">
        <v>189</v>
      </c>
      <c r="W22" s="54" t="s">
        <v>206</v>
      </c>
      <c r="X22"/>
      <c r="Y22"/>
      <c r="Z22"/>
    </row>
    <row r="23" spans="1:26" ht="15" customHeight="1" x14ac:dyDescent="0.35">
      <c r="A23" s="151" t="s">
        <v>70</v>
      </c>
      <c r="B23" s="151"/>
      <c r="C23" s="151"/>
      <c r="D23" s="151"/>
      <c r="E23" s="137" t="s">
        <v>15</v>
      </c>
      <c r="F23" s="137"/>
      <c r="G23" s="137"/>
      <c r="H23" s="137"/>
      <c r="S23" s="54"/>
      <c r="T23" s="54"/>
      <c r="U23" s="54"/>
      <c r="V23" s="54" t="s">
        <v>190</v>
      </c>
      <c r="W23" s="54" t="s">
        <v>207</v>
      </c>
      <c r="X23"/>
      <c r="Y23"/>
      <c r="Z23"/>
    </row>
    <row r="24" spans="1:26" ht="18.75" customHeight="1" x14ac:dyDescent="0.35">
      <c r="A24" s="151"/>
      <c r="B24" s="151"/>
      <c r="C24" s="151"/>
      <c r="D24" s="151"/>
      <c r="E24" s="137"/>
      <c r="F24" s="137"/>
      <c r="G24" s="137"/>
      <c r="H24" s="137"/>
      <c r="S24" s="54"/>
      <c r="T24" s="54"/>
      <c r="U24" s="54"/>
      <c r="V24" s="54" t="s">
        <v>191</v>
      </c>
      <c r="W24" s="54" t="s">
        <v>208</v>
      </c>
      <c r="X24"/>
      <c r="Y24"/>
      <c r="Z24"/>
    </row>
    <row r="25" spans="1:26" ht="15" customHeight="1" x14ac:dyDescent="0.35">
      <c r="A25" s="151" t="s">
        <v>16</v>
      </c>
      <c r="B25" s="151"/>
      <c r="C25" s="151"/>
      <c r="D25" s="151"/>
      <c r="E25" s="146" t="s">
        <v>17</v>
      </c>
      <c r="F25" s="146"/>
      <c r="G25" s="146"/>
      <c r="H25" s="146"/>
      <c r="S25" s="54"/>
      <c r="T25" s="54"/>
      <c r="U25" s="54"/>
      <c r="V25" s="54" t="s">
        <v>192</v>
      </c>
      <c r="W25" s="54" t="s">
        <v>209</v>
      </c>
      <c r="X25"/>
      <c r="Y25"/>
      <c r="Z25"/>
    </row>
    <row r="26" spans="1:26" ht="15" customHeight="1" x14ac:dyDescent="0.35">
      <c r="A26" s="106" t="s">
        <v>18</v>
      </c>
      <c r="B26" s="106"/>
      <c r="C26" s="106"/>
      <c r="D26" s="106"/>
      <c r="E26" s="146" t="str">
        <f>IF(AND(G20="Mumbai"),"Upper Class","Middle Class")</f>
        <v>Middle Class</v>
      </c>
      <c r="F26" s="146"/>
      <c r="G26" s="146"/>
      <c r="H26" s="146"/>
      <c r="S26" s="54"/>
      <c r="T26" s="54"/>
      <c r="U26" s="54"/>
      <c r="V26" s="54" t="s">
        <v>193</v>
      </c>
      <c r="W26" s="54" t="s">
        <v>210</v>
      </c>
      <c r="X26"/>
      <c r="Y26"/>
      <c r="Z26"/>
    </row>
    <row r="27" spans="1:26" x14ac:dyDescent="0.35">
      <c r="A27" s="106" t="s">
        <v>19</v>
      </c>
      <c r="B27" s="106"/>
      <c r="C27" s="106"/>
      <c r="D27" s="106"/>
      <c r="E27" s="146" t="s">
        <v>20</v>
      </c>
      <c r="F27" s="146"/>
      <c r="G27" s="146"/>
      <c r="H27" s="146"/>
      <c r="S27" s="54"/>
      <c r="T27" s="54"/>
      <c r="U27" s="54"/>
      <c r="V27" s="54" t="s">
        <v>194</v>
      </c>
      <c r="W27" s="54" t="s">
        <v>211</v>
      </c>
      <c r="X27"/>
      <c r="Y27"/>
      <c r="Z27"/>
    </row>
    <row r="28" spans="1:26" ht="15.75" customHeight="1" x14ac:dyDescent="0.35">
      <c r="A28" s="106" t="s">
        <v>21</v>
      </c>
      <c r="B28" s="106"/>
      <c r="C28" s="106"/>
      <c r="D28" s="106"/>
      <c r="E28" s="146" t="str">
        <f>IF(AND(G20="Mumbai"),"Developed","Developing")</f>
        <v>Developing</v>
      </c>
      <c r="F28" s="146"/>
      <c r="G28" s="146"/>
      <c r="H28" s="146"/>
    </row>
    <row r="29" spans="1:26" x14ac:dyDescent="0.35">
      <c r="A29" s="106" t="s">
        <v>22</v>
      </c>
      <c r="B29" s="106"/>
      <c r="C29" s="106"/>
      <c r="D29" s="106"/>
      <c r="E29" s="146" t="s">
        <v>23</v>
      </c>
      <c r="F29" s="146"/>
      <c r="G29" s="146"/>
      <c r="H29" s="146"/>
    </row>
    <row r="30" spans="1:26" ht="15.75" customHeight="1" x14ac:dyDescent="0.35">
      <c r="A30" s="106" t="s">
        <v>75</v>
      </c>
      <c r="B30" s="106"/>
      <c r="C30" s="106"/>
      <c r="D30" s="106"/>
      <c r="E30" s="146" t="s">
        <v>76</v>
      </c>
      <c r="F30" s="146"/>
      <c r="G30" s="146"/>
      <c r="H30" s="146"/>
    </row>
    <row r="31" spans="1:26" ht="15" customHeight="1" x14ac:dyDescent="0.35">
      <c r="A31" s="106" t="s">
        <v>30</v>
      </c>
      <c r="B31" s="106"/>
      <c r="C31" s="106"/>
      <c r="D31" s="106"/>
      <c r="E31" s="146" t="str">
        <f>IF(AND(ISNUMBER(SEARCH("Flat",D60)),ISNUMBER(SEARCH("Shop",D60)),ISNUMBER(SEARCH("Office",D60))),"Residential + Commercial",IF(AND(ISNUMBER(SEARCH("Flat",D60)),ISNUMBER(SEARCH("Shop",D60))),"Residential + Commercial",IF(AND(ISNUMBER(SEARCH("Flat",D60)),ISNUMBER(SEARCH("Office",D60))),"Residential + Commercial",IF(AND(ISNUMBER(SEARCH("Shop",D60)),ISNUMBER(SEARCH("Office",D60))),"Commercial",IF(ISNUMBER(SEARCH("Shop",D60)),"Commercial",IF(ISNUMBER(SEARCH("Office",D60)),"Commercial",IF(ISNUMBER(SEARCH("Flat",D60)),"Residential")))))))</f>
        <v>Commercial</v>
      </c>
      <c r="F31" s="146"/>
      <c r="G31" s="146"/>
      <c r="H31" s="146"/>
    </row>
    <row r="32" spans="1:26" ht="15.75" customHeight="1" x14ac:dyDescent="0.35">
      <c r="A32" s="106" t="s">
        <v>87</v>
      </c>
      <c r="B32" s="106"/>
      <c r="C32" s="106"/>
      <c r="D32" s="106"/>
      <c r="E32" s="146" t="s">
        <v>31</v>
      </c>
      <c r="F32" s="146"/>
      <c r="G32" s="146"/>
      <c r="H32" s="146"/>
    </row>
    <row r="33" spans="1:19" s="22" customFormat="1" x14ac:dyDescent="0.35">
      <c r="A33" s="164" t="s">
        <v>88</v>
      </c>
      <c r="B33" s="164"/>
      <c r="C33" s="214" t="s">
        <v>162</v>
      </c>
      <c r="D33" s="214"/>
      <c r="E33" s="214"/>
      <c r="F33" s="214" t="s">
        <v>29</v>
      </c>
      <c r="G33" s="214"/>
      <c r="H33" s="214"/>
      <c r="S33" s="22" t="e">
        <f ca="1">OFFSET($S$13,1,MATCH($G20,$S$13:$W$13,0)-1,15,1)</f>
        <v>#VALUE!</v>
      </c>
    </row>
    <row r="34" spans="1:19" s="22" customFormat="1" x14ac:dyDescent="0.35">
      <c r="A34" s="149" t="s">
        <v>24</v>
      </c>
      <c r="B34" s="149" t="s">
        <v>28</v>
      </c>
      <c r="C34" s="215" t="s">
        <v>295</v>
      </c>
      <c r="D34" s="215"/>
      <c r="E34" s="215"/>
      <c r="F34" s="215" t="s">
        <v>292</v>
      </c>
      <c r="G34" s="215"/>
      <c r="H34" s="215"/>
    </row>
    <row r="35" spans="1:19" x14ac:dyDescent="0.35">
      <c r="A35" s="149" t="s">
        <v>25</v>
      </c>
      <c r="B35" s="149" t="s">
        <v>28</v>
      </c>
      <c r="C35" s="215" t="s">
        <v>295</v>
      </c>
      <c r="D35" s="215"/>
      <c r="E35" s="215"/>
      <c r="F35" s="215" t="s">
        <v>298</v>
      </c>
      <c r="G35" s="215"/>
      <c r="H35" s="215"/>
    </row>
    <row r="36" spans="1:19" s="22" customFormat="1" x14ac:dyDescent="0.35">
      <c r="A36" s="149" t="s">
        <v>27</v>
      </c>
      <c r="B36" s="149" t="s">
        <v>28</v>
      </c>
      <c r="C36" s="215" t="s">
        <v>294</v>
      </c>
      <c r="D36" s="215"/>
      <c r="E36" s="215"/>
      <c r="F36" s="215" t="s">
        <v>296</v>
      </c>
      <c r="G36" s="215"/>
      <c r="H36" s="215"/>
    </row>
    <row r="37" spans="1:19" x14ac:dyDescent="0.35">
      <c r="A37" s="149" t="s">
        <v>26</v>
      </c>
      <c r="B37" s="149" t="s">
        <v>28</v>
      </c>
      <c r="C37" s="215" t="s">
        <v>295</v>
      </c>
      <c r="D37" s="215"/>
      <c r="E37" s="215"/>
      <c r="F37" s="215" t="s">
        <v>297</v>
      </c>
      <c r="G37" s="215"/>
      <c r="H37" s="215"/>
    </row>
    <row r="38" spans="1:19" x14ac:dyDescent="0.35">
      <c r="A38" s="106" t="s">
        <v>266</v>
      </c>
      <c r="B38" s="106"/>
      <c r="C38" s="106"/>
      <c r="D38" s="106"/>
      <c r="E38" s="106"/>
      <c r="F38" s="106"/>
      <c r="G38" s="106"/>
      <c r="H38" s="106"/>
    </row>
    <row r="39" spans="1:19" ht="15.75" customHeight="1" x14ac:dyDescent="0.35">
      <c r="A39" s="106" t="s">
        <v>154</v>
      </c>
      <c r="B39" s="106"/>
      <c r="C39" s="133" t="s">
        <v>300</v>
      </c>
      <c r="D39" s="133"/>
      <c r="E39" s="133"/>
      <c r="F39" s="133"/>
      <c r="G39" s="133"/>
      <c r="H39" s="133"/>
    </row>
    <row r="40" spans="1:19" x14ac:dyDescent="0.35">
      <c r="A40" s="106" t="s">
        <v>150</v>
      </c>
      <c r="B40" s="106"/>
      <c r="C40" s="145" t="s">
        <v>299</v>
      </c>
      <c r="D40" s="146"/>
      <c r="E40" s="146"/>
      <c r="F40" s="146"/>
      <c r="G40" s="146"/>
      <c r="H40" s="146"/>
    </row>
    <row r="41" spans="1:19" x14ac:dyDescent="0.35">
      <c r="A41" s="133" t="s">
        <v>32</v>
      </c>
      <c r="B41" s="133"/>
      <c r="C41" s="133"/>
      <c r="D41" s="133"/>
      <c r="E41" s="133"/>
      <c r="F41" s="133"/>
      <c r="G41" s="133"/>
      <c r="H41" s="133"/>
    </row>
    <row r="42" spans="1:19" x14ac:dyDescent="0.35">
      <c r="A42" s="106" t="s">
        <v>33</v>
      </c>
      <c r="B42" s="106"/>
      <c r="C42" s="106"/>
      <c r="D42" s="106"/>
      <c r="E42" s="150">
        <v>2507.2199999999998</v>
      </c>
      <c r="F42" s="150"/>
      <c r="G42" s="150"/>
      <c r="H42" s="150"/>
    </row>
    <row r="43" spans="1:19" x14ac:dyDescent="0.35">
      <c r="A43" s="106" t="s">
        <v>34</v>
      </c>
      <c r="B43" s="106"/>
      <c r="C43" s="106"/>
      <c r="D43" s="106"/>
      <c r="E43" s="153">
        <f>2507.22/E42</f>
        <v>1</v>
      </c>
      <c r="F43" s="153"/>
      <c r="G43" s="153"/>
      <c r="H43" s="153"/>
    </row>
    <row r="44" spans="1:19" x14ac:dyDescent="0.35">
      <c r="A44" s="106" t="s">
        <v>35</v>
      </c>
      <c r="B44" s="106"/>
      <c r="C44" s="106"/>
      <c r="D44" s="106"/>
      <c r="E44" s="153">
        <f>E46/E42-E43</f>
        <v>4.5409656910841498</v>
      </c>
      <c r="F44" s="153"/>
      <c r="G44" s="153"/>
      <c r="H44" s="153"/>
    </row>
    <row r="45" spans="1:19" x14ac:dyDescent="0.35">
      <c r="A45" s="106" t="s">
        <v>36</v>
      </c>
      <c r="B45" s="106"/>
      <c r="C45" s="106"/>
      <c r="D45" s="106"/>
      <c r="E45" s="153">
        <f>E43+E44</f>
        <v>5.5409656910841498</v>
      </c>
      <c r="F45" s="153"/>
      <c r="G45" s="153"/>
      <c r="H45" s="153"/>
    </row>
    <row r="46" spans="1:19" x14ac:dyDescent="0.35">
      <c r="A46" s="106" t="s">
        <v>86</v>
      </c>
      <c r="B46" s="106"/>
      <c r="C46" s="106"/>
      <c r="D46" s="106"/>
      <c r="E46" s="154">
        <v>13892.42</v>
      </c>
      <c r="F46" s="154"/>
      <c r="G46" s="154"/>
      <c r="H46" s="154"/>
      <c r="I46" s="21">
        <v>9173.02</v>
      </c>
    </row>
    <row r="47" spans="1:19" x14ac:dyDescent="0.35">
      <c r="A47" s="137" t="s">
        <v>37</v>
      </c>
      <c r="B47" s="137"/>
      <c r="C47" s="137"/>
      <c r="D47" s="137"/>
      <c r="E47" s="155" t="s">
        <v>113</v>
      </c>
      <c r="F47" s="155"/>
      <c r="G47" s="155"/>
      <c r="H47" s="155"/>
    </row>
    <row r="48" spans="1:19" x14ac:dyDescent="0.35">
      <c r="A48" s="133" t="s">
        <v>38</v>
      </c>
      <c r="B48" s="133"/>
      <c r="C48" s="133"/>
      <c r="D48" s="133"/>
      <c r="E48" s="133"/>
      <c r="F48" s="133"/>
      <c r="G48" s="133"/>
      <c r="H48" s="133"/>
    </row>
    <row r="49" spans="1:24" ht="33.75" customHeight="1" x14ac:dyDescent="0.35">
      <c r="A49" s="156" t="s">
        <v>143</v>
      </c>
      <c r="B49" s="157"/>
      <c r="C49" s="158" t="s">
        <v>255</v>
      </c>
      <c r="D49" s="159"/>
      <c r="E49" s="159"/>
      <c r="F49" s="159"/>
      <c r="G49" s="159"/>
      <c r="H49" s="160"/>
      <c r="R49" t="s">
        <v>239</v>
      </c>
      <c r="S49" t="s">
        <v>161</v>
      </c>
      <c r="T49" t="s">
        <v>165</v>
      </c>
      <c r="U49" t="s">
        <v>180</v>
      </c>
      <c r="V49" t="s">
        <v>175</v>
      </c>
    </row>
    <row r="50" spans="1:24" ht="15.75" customHeight="1" x14ac:dyDescent="0.35">
      <c r="A50" s="156" t="s">
        <v>39</v>
      </c>
      <c r="B50" s="157"/>
      <c r="C50" s="156" t="s">
        <v>323</v>
      </c>
      <c r="D50" s="161"/>
      <c r="E50" s="157"/>
      <c r="F50" s="18" t="s">
        <v>40</v>
      </c>
      <c r="G50" s="162">
        <v>45527</v>
      </c>
      <c r="H50" s="157"/>
      <c r="R50"/>
      <c r="S50" t="s">
        <v>240</v>
      </c>
      <c r="T50" t="s">
        <v>245</v>
      </c>
      <c r="U50" t="s">
        <v>256</v>
      </c>
      <c r="V50" t="s">
        <v>261</v>
      </c>
    </row>
    <row r="51" spans="1:24" x14ac:dyDescent="0.35">
      <c r="A51" s="156" t="s">
        <v>41</v>
      </c>
      <c r="B51" s="157"/>
      <c r="C51" s="156" t="s">
        <v>323</v>
      </c>
      <c r="D51" s="161"/>
      <c r="E51" s="157"/>
      <c r="F51" s="18" t="s">
        <v>40</v>
      </c>
      <c r="G51" s="162">
        <v>45527</v>
      </c>
      <c r="H51" s="157"/>
      <c r="R51"/>
      <c r="S51" t="s">
        <v>241</v>
      </c>
      <c r="T51" t="s">
        <v>246</v>
      </c>
      <c r="U51" t="s">
        <v>254</v>
      </c>
      <c r="V51" t="s">
        <v>262</v>
      </c>
    </row>
    <row r="52" spans="1:24" s="23" customFormat="1" ht="15.75" customHeight="1" x14ac:dyDescent="0.35">
      <c r="A52" s="196" t="s">
        <v>321</v>
      </c>
      <c r="B52" s="197"/>
      <c r="C52" s="156" t="s">
        <v>323</v>
      </c>
      <c r="D52" s="161"/>
      <c r="E52" s="157"/>
      <c r="F52" s="18" t="s">
        <v>40</v>
      </c>
      <c r="G52" s="162">
        <v>45527</v>
      </c>
      <c r="H52" s="157"/>
      <c r="R52"/>
      <c r="S52" t="s">
        <v>242</v>
      </c>
      <c r="T52" t="s">
        <v>247</v>
      </c>
      <c r="U52" t="s">
        <v>244</v>
      </c>
      <c r="V52" t="s">
        <v>263</v>
      </c>
    </row>
    <row r="53" spans="1:24" s="23" customFormat="1" ht="32.25" customHeight="1" x14ac:dyDescent="0.35">
      <c r="A53" s="198"/>
      <c r="B53" s="199"/>
      <c r="C53" s="156" t="s">
        <v>324</v>
      </c>
      <c r="D53" s="161"/>
      <c r="E53" s="161"/>
      <c r="F53" s="161"/>
      <c r="G53" s="161"/>
      <c r="H53" s="157"/>
      <c r="R53"/>
      <c r="S53" t="s">
        <v>243</v>
      </c>
      <c r="T53" t="s">
        <v>250</v>
      </c>
      <c r="U53" t="s">
        <v>257</v>
      </c>
    </row>
    <row r="54" spans="1:24" s="23" customFormat="1" x14ac:dyDescent="0.35">
      <c r="A54" s="140" t="s">
        <v>267</v>
      </c>
      <c r="B54" s="142"/>
      <c r="C54" s="192" t="s">
        <v>318</v>
      </c>
      <c r="D54" s="193"/>
      <c r="E54" s="194"/>
      <c r="F54" s="82" t="s">
        <v>40</v>
      </c>
      <c r="G54" s="195">
        <v>45114</v>
      </c>
      <c r="H54" s="194"/>
      <c r="R54"/>
      <c r="S54" t="s">
        <v>242</v>
      </c>
      <c r="T54" t="s">
        <v>247</v>
      </c>
      <c r="U54" t="s">
        <v>244</v>
      </c>
      <c r="V54" t="s">
        <v>263</v>
      </c>
    </row>
    <row r="55" spans="1:24" s="23" customFormat="1" ht="20.25" customHeight="1" x14ac:dyDescent="0.35">
      <c r="A55" s="190"/>
      <c r="B55" s="191"/>
      <c r="C55" s="200" t="s">
        <v>312</v>
      </c>
      <c r="D55" s="201"/>
      <c r="E55" s="201"/>
      <c r="F55" s="201"/>
      <c r="G55" s="201"/>
      <c r="H55" s="202"/>
      <c r="R55"/>
      <c r="S55" t="s">
        <v>244</v>
      </c>
      <c r="T55" t="s">
        <v>248</v>
      </c>
      <c r="U55" t="s">
        <v>258</v>
      </c>
      <c r="V55" s="21"/>
      <c r="W55" s="21"/>
      <c r="X55" s="21"/>
    </row>
    <row r="56" spans="1:24" ht="64.5" customHeight="1" x14ac:dyDescent="0.35">
      <c r="A56" s="203" t="s">
        <v>322</v>
      </c>
      <c r="B56" s="204"/>
      <c r="C56" s="203" t="s">
        <v>352</v>
      </c>
      <c r="D56" s="205"/>
      <c r="E56" s="204"/>
      <c r="F56" s="44" t="s">
        <v>40</v>
      </c>
      <c r="G56" s="188">
        <v>45218</v>
      </c>
      <c r="H56" s="189"/>
      <c r="I56" s="21">
        <f>26/3</f>
        <v>8.6666666666666661</v>
      </c>
      <c r="R56"/>
      <c r="T56" t="s">
        <v>255</v>
      </c>
    </row>
    <row r="57" spans="1:24" ht="110.25" customHeight="1" x14ac:dyDescent="0.35">
      <c r="A57" s="203" t="s">
        <v>322</v>
      </c>
      <c r="B57" s="204"/>
      <c r="C57" s="203" t="s">
        <v>353</v>
      </c>
      <c r="D57" s="205"/>
      <c r="E57" s="204"/>
      <c r="F57" s="90" t="s">
        <v>40</v>
      </c>
      <c r="G57" s="188">
        <v>45573</v>
      </c>
      <c r="H57" s="189"/>
      <c r="I57" s="21">
        <f>26/3</f>
        <v>8.6666666666666661</v>
      </c>
      <c r="R57"/>
      <c r="T57" t="s">
        <v>255</v>
      </c>
    </row>
    <row r="58" spans="1:24" x14ac:dyDescent="0.35">
      <c r="A58" s="163" t="s">
        <v>43</v>
      </c>
      <c r="B58" s="163"/>
      <c r="C58" s="163"/>
      <c r="D58" s="163"/>
      <c r="E58" s="163"/>
      <c r="F58" s="163"/>
      <c r="G58" s="163"/>
      <c r="H58" s="163"/>
      <c r="T58" t="s">
        <v>264</v>
      </c>
    </row>
    <row r="59" spans="1:24" x14ac:dyDescent="0.35">
      <c r="A59" s="151" t="s">
        <v>85</v>
      </c>
      <c r="B59" s="151"/>
      <c r="C59" s="151"/>
      <c r="D59" s="106">
        <f>E46</f>
        <v>13892.42</v>
      </c>
      <c r="E59" s="106"/>
      <c r="F59" s="106"/>
      <c r="G59" s="106"/>
      <c r="H59" s="106"/>
      <c r="R59"/>
    </row>
    <row r="60" spans="1:24" x14ac:dyDescent="0.35">
      <c r="A60" s="146" t="s">
        <v>44</v>
      </c>
      <c r="B60" s="137"/>
      <c r="C60" s="137"/>
      <c r="D60" s="165" t="s">
        <v>356</v>
      </c>
      <c r="E60" s="155"/>
      <c r="F60" s="155"/>
      <c r="G60" s="155"/>
      <c r="H60" s="155"/>
      <c r="I60" s="24"/>
      <c r="R60"/>
    </row>
    <row r="61" spans="1:24" ht="16.5" customHeight="1" x14ac:dyDescent="0.35">
      <c r="A61" s="140" t="s">
        <v>45</v>
      </c>
      <c r="B61" s="141"/>
      <c r="C61" s="142"/>
      <c r="D61" s="138" t="s">
        <v>325</v>
      </c>
      <c r="E61" s="139"/>
      <c r="F61" s="139"/>
      <c r="G61" s="139"/>
      <c r="H61" s="139"/>
      <c r="R61"/>
    </row>
    <row r="62" spans="1:24" ht="15.75" customHeight="1" x14ac:dyDescent="0.35">
      <c r="A62" s="140" t="s">
        <v>83</v>
      </c>
      <c r="B62" s="141"/>
      <c r="C62" s="141"/>
      <c r="D62" s="138" t="s">
        <v>325</v>
      </c>
      <c r="E62" s="139"/>
      <c r="F62" s="139"/>
      <c r="G62" s="139"/>
      <c r="H62" s="139"/>
      <c r="R62"/>
    </row>
    <row r="63" spans="1:24" ht="15.75" customHeight="1" x14ac:dyDescent="0.35">
      <c r="A63" s="106" t="s">
        <v>42</v>
      </c>
      <c r="B63" s="106"/>
      <c r="C63" s="106"/>
      <c r="D63" s="151" t="s">
        <v>302</v>
      </c>
      <c r="E63" s="151"/>
      <c r="F63" s="151"/>
      <c r="G63" s="151"/>
      <c r="H63" s="151"/>
      <c r="J63" s="25"/>
      <c r="K63" s="24"/>
      <c r="N63" s="24"/>
      <c r="S63"/>
    </row>
    <row r="64" spans="1:24" ht="15.75" customHeight="1" x14ac:dyDescent="0.35">
      <c r="A64" s="106" t="s">
        <v>81</v>
      </c>
      <c r="B64" s="106"/>
      <c r="C64" s="106"/>
      <c r="D64" s="152" t="str">
        <f ca="1">(IF(G56="NA","60 Years After Completion",IF(G56&lt;&gt;"NA",""&amp;60-ROUNDDOWN((E3-G56)/360,0)&amp;" Years"," ")))</f>
        <v>59 Years</v>
      </c>
      <c r="E64" s="152"/>
      <c r="F64" s="152"/>
      <c r="G64" s="152"/>
      <c r="H64" s="152"/>
      <c r="N64" s="24"/>
      <c r="S64"/>
    </row>
    <row r="65" spans="1:19" ht="15.75" customHeight="1" x14ac:dyDescent="0.35">
      <c r="A65" s="106" t="s">
        <v>82</v>
      </c>
      <c r="B65" s="106"/>
      <c r="C65" s="106"/>
      <c r="D65" s="151" t="s">
        <v>23</v>
      </c>
      <c r="E65" s="151"/>
      <c r="F65" s="151"/>
      <c r="G65" s="151"/>
      <c r="H65" s="151"/>
      <c r="J65" s="26"/>
      <c r="K65" s="26"/>
      <c r="S65"/>
    </row>
    <row r="66" spans="1:19" x14ac:dyDescent="0.35">
      <c r="A66" s="155" t="s">
        <v>314</v>
      </c>
      <c r="B66" s="155"/>
      <c r="C66" s="155"/>
      <c r="D66" s="146" t="s">
        <v>28</v>
      </c>
      <c r="E66" s="151"/>
      <c r="F66" s="151"/>
      <c r="G66" s="151"/>
      <c r="H66" s="151"/>
      <c r="S66"/>
    </row>
    <row r="67" spans="1:19" x14ac:dyDescent="0.35">
      <c r="A67" s="151" t="s">
        <v>140</v>
      </c>
      <c r="B67" s="151"/>
      <c r="C67" s="151"/>
      <c r="D67" s="151" t="s">
        <v>28</v>
      </c>
      <c r="E67" s="151"/>
      <c r="F67" s="151"/>
      <c r="G67" s="151"/>
      <c r="H67" s="151"/>
      <c r="I67" s="27"/>
      <c r="J67" s="27"/>
      <c r="K67" s="27"/>
      <c r="L67" s="27"/>
      <c r="M67" s="27"/>
      <c r="N67" s="27"/>
    </row>
    <row r="68" spans="1:19" ht="15.75" customHeight="1" x14ac:dyDescent="0.35">
      <c r="A68" s="106" t="s">
        <v>80</v>
      </c>
      <c r="B68" s="106"/>
      <c r="C68" s="106"/>
      <c r="D68" s="146" t="str">
        <f ca="1">(IF(G74&gt;95%,"Nothing",IF(G74&gt;0%,"Cement, Aggregate, Steel, etc",IF(G74=0%,"Work not yet Started"))))</f>
        <v>Cement, Aggregate, Steel, etc</v>
      </c>
      <c r="E68" s="146"/>
      <c r="F68" s="146"/>
      <c r="G68" s="146"/>
      <c r="H68" s="146"/>
      <c r="J68" s="26"/>
      <c r="S68"/>
    </row>
    <row r="69" spans="1:19" ht="33.75" customHeight="1" thickBot="1" x14ac:dyDescent="0.4">
      <c r="A69" s="151" t="s">
        <v>112</v>
      </c>
      <c r="B69" s="151"/>
      <c r="C69" s="151"/>
      <c r="D69" s="146" t="str">
        <f ca="1">(IF(D68="Nothing","Yes",IF(D68="Cement, Aggregate, Steel, etc","Under Construction",IF(D68="Work not yet Started","Work not yet Started"))))</f>
        <v>Under Construction</v>
      </c>
      <c r="E69" s="146"/>
      <c r="F69" s="146" t="str">
        <f ca="1">(IF(D68="Nothing","Yes",IF(D68="Cement, Aggregate, Steel, etc","Under Construction",IF(D68="Work not yet Started","Work not yet Started"))))</f>
        <v>Under Construction</v>
      </c>
      <c r="G69" s="146"/>
      <c r="H69" s="146"/>
      <c r="S69"/>
    </row>
    <row r="70" spans="1:19" ht="15.75" customHeight="1" x14ac:dyDescent="0.35">
      <c r="A70" s="218" t="s">
        <v>132</v>
      </c>
      <c r="B70" s="218"/>
      <c r="C70" s="218" t="str">
        <f>D62</f>
        <v xml:space="preserve">Building A = 1B + G + 1st to 17th Floor
</v>
      </c>
      <c r="D70" s="218"/>
      <c r="E70" s="218"/>
      <c r="F70" s="218"/>
      <c r="G70" s="218"/>
      <c r="H70" s="218"/>
      <c r="I70" s="216" t="str">
        <f ca="1">IF(D83=100%,"All work Completed. Possession granted to the Building.",IF(D82=100%,"All work Completed, Waiting for OC",I71&amp;""&amp;I72&amp;""&amp;J71&amp;""&amp;J70&amp;" "&amp;J72))</f>
        <v>Excavation, Plinth, RCC Slab, Brickwork Completed, Internal Plaster upto 14 Floor, External Plaster upto 12 Floor, Flooring upto 8 Floor, Painting upto 8 Floor Completed</v>
      </c>
      <c r="J70" s="49" t="str">
        <f ca="1">(IF(C76=(D71+F71+H71),"",IF(C76&gt;0,", RCC upto "&amp;C76&amp;" Slab","")))&amp;(IF(C77=H71,"",IF(C77&gt;0,", Brickwork upto "&amp;C77&amp;" Floor","")))&amp;(IF(C78=H71,"",IF(C78&gt;0,", Internal Plaster upto "&amp;C78&amp;" Floor","")))&amp;(IF(C79=H71,"",IF(C79&gt;0,", External Plaster upto "&amp;C79&amp;" Floor","")))&amp;(IF(C80=H71,"",IF(C80&gt;0,", Flooring upto "&amp;C80&amp;" Floor","")))&amp;(IF(C81=H71,"",IF(C81&gt;0,", Painting upto "&amp;C81&amp;" Floor","")))&amp;(IF(C82=H71,"",IF(C82&gt;0,", Finishing upto "&amp;C82&amp;" Floor","")))&amp;(IF(C83=H71,"",IF(C83&gt;0,", Possession upto "&amp;C83&amp;" Floor","")))</f>
        <v>, Internal Plaster upto 14 Floor, External Plaster upto 12 Floor, Flooring upto 8 Floor, Painting upto 8 Floor</v>
      </c>
      <c r="S70"/>
    </row>
    <row r="71" spans="1:19" x14ac:dyDescent="0.35">
      <c r="A71" s="52" t="s">
        <v>134</v>
      </c>
      <c r="B71" s="52">
        <f>IF(AND(ISNUMBER(SEARCH("1B",C70))),1,IF(AND(ISNUMBER(SEARCH("2B",C70))),2,IF(AND(ISNUMBER(SEARCH("3B",C70))),3,IF(AND(ISNUMBER(SEARCH("4B",C70))),4,IF(ISNUMBER(SEARCH("5B",C70)),5,0)))))</f>
        <v>1</v>
      </c>
      <c r="C71" s="52" t="s">
        <v>67</v>
      </c>
      <c r="D71" s="52">
        <v>1</v>
      </c>
      <c r="E71" s="52" t="s">
        <v>66</v>
      </c>
      <c r="F71" s="78">
        <v>0</v>
      </c>
      <c r="G71" s="47" t="s">
        <v>74</v>
      </c>
      <c r="H71" s="52">
        <f ca="1">--TRIM(RIGHT(SUBSTITUTE(LEFT(C70,_xlfn.AGGREGATE(16,6,FIND({0,1,2,3,4,5,6,7,8,9},C70,ROW(INDIRECT("1:"&amp;LEN(C70)))),1))," ",REPT(" ",LEN(C70))),LEN(C70)))</f>
        <v>17</v>
      </c>
      <c r="I71" s="217" t="str">
        <f ca="1">IF(D74=100%,"Excavation","")&amp;IF(D75=100%,", Plinth","")&amp;IF(D76=100%,", RCC Slab","")&amp;IF(D77=100%,", Brickwork","")&amp;IF(D78=100%,", Internal Plaster","")&amp;IF(D79=100%,", External Plaster","")&amp;IF(D80=100%,", Flooring","")&amp;IF(D81=100%,", Painting","")&amp;IF(D82=100%,", Building common Amenities","")</f>
        <v>Excavation, Plinth, RCC Slab, Brickwork</v>
      </c>
      <c r="J71" s="51" t="str">
        <f ca="1">(IF(C74=0,"Work not yet Started.",IF(D74=25%,"Piling work in process",IF(D74=50%,"Excavation work in process",IF(D74=100%,"","0")))))&amp;(IF(C75=0%,"",IF(C75=J76,", Footing work is process",IF(C75=J77,", Footing work Completed",IF(C75=J78,", 1st Basement Completed",IF(C75=J79,", 1st &amp; 2nd Basement Completed",IF(C75=J80,", 1st to 3rd Basement Completed",IF(C75=J81,", 1st to 4th Basement Completed",IF(C75=J82,", Plinth work is process",IF(C75=J83,"","0"))))))))))</f>
        <v/>
      </c>
      <c r="S71"/>
    </row>
    <row r="72" spans="1:19" ht="49" customHeight="1" x14ac:dyDescent="0.35">
      <c r="A72" s="105" t="s">
        <v>84</v>
      </c>
      <c r="B72" s="105"/>
      <c r="C72" s="143" t="str">
        <f ca="1">I70</f>
        <v>Excavation, Plinth, RCC Slab, Brickwork Completed, Internal Plaster upto 14 Floor, External Plaster upto 12 Floor, Flooring upto 8 Floor, Painting upto 8 Floor Completed</v>
      </c>
      <c r="D72" s="143"/>
      <c r="E72" s="143"/>
      <c r="F72" s="143"/>
      <c r="G72" s="143"/>
      <c r="H72" s="143"/>
      <c r="I72" s="217" t="str">
        <f ca="1">IF(I71&lt;&gt;""," Completed","")</f>
        <v xml:space="preserve"> Completed</v>
      </c>
      <c r="J72" s="51" t="str">
        <f ca="1">IF(J70&lt;&gt;"","Completed","")</f>
        <v>Completed</v>
      </c>
      <c r="S72"/>
    </row>
    <row r="73" spans="1:19" ht="15.75" customHeight="1" x14ac:dyDescent="0.35">
      <c r="A73" s="122" t="s">
        <v>46</v>
      </c>
      <c r="B73" s="113"/>
      <c r="C73" s="42" t="s">
        <v>131</v>
      </c>
      <c r="D73" s="42" t="s">
        <v>77</v>
      </c>
      <c r="E73" s="113" t="s">
        <v>79</v>
      </c>
      <c r="F73" s="113"/>
      <c r="G73" s="113" t="s">
        <v>78</v>
      </c>
      <c r="H73" s="114"/>
      <c r="I73" s="13" t="s">
        <v>133</v>
      </c>
      <c r="J73" s="28">
        <f ca="1">H71*25%</f>
        <v>4.25</v>
      </c>
      <c r="S73"/>
    </row>
    <row r="74" spans="1:19" x14ac:dyDescent="0.35">
      <c r="A74" s="122" t="s">
        <v>120</v>
      </c>
      <c r="B74" s="113"/>
      <c r="C74" s="74">
        <f ca="1">J75</f>
        <v>17</v>
      </c>
      <c r="D74" s="19">
        <f ca="1">((100/H71)*C74)/100</f>
        <v>1</v>
      </c>
      <c r="E74" s="116">
        <f ca="1">(((C75/H71*10)+(40/(D71+F71+H71)*C76)+(7.5/(H71)*C77)+(7.5/(H71)*C78)+(10/H71*C79)+(10/H71*C80)+(5/H71*C81)+(5/H71*C82)+(5/H71*C83))/100)</f>
        <v>0.77794117647058825</v>
      </c>
      <c r="F74" s="117"/>
      <c r="G74" s="116">
        <f ca="1">((((C74/H71)*20)+((C75/H71)*25)+(30/(H71+F71+D71)*C76)+(5/H71*C77)+(5/H71*C78)+(5/H71*C79)+(5/H71*C80)+(0/H71*C81)+(0/H71*C82)+(5/H71*C83))/100)</f>
        <v>0.90000000000000013</v>
      </c>
      <c r="H74" s="175"/>
      <c r="I74" s="13" t="s">
        <v>95</v>
      </c>
      <c r="J74" s="29">
        <f ca="1">H71*50%</f>
        <v>8.5</v>
      </c>
    </row>
    <row r="75" spans="1:19" x14ac:dyDescent="0.35">
      <c r="A75" s="122" t="s">
        <v>47</v>
      </c>
      <c r="B75" s="113"/>
      <c r="C75" s="74">
        <f ca="1">J83</f>
        <v>17</v>
      </c>
      <c r="D75" s="19">
        <f ca="1">((100/H71)*C75)/100</f>
        <v>1</v>
      </c>
      <c r="E75" s="118"/>
      <c r="F75" s="119"/>
      <c r="G75" s="118"/>
      <c r="H75" s="176"/>
      <c r="I75" s="13" t="s">
        <v>96</v>
      </c>
      <c r="J75" s="29">
        <f ca="1">H71</f>
        <v>17</v>
      </c>
      <c r="S75"/>
    </row>
    <row r="76" spans="1:19" ht="15.75" customHeight="1" x14ac:dyDescent="0.35">
      <c r="A76" s="122" t="s">
        <v>121</v>
      </c>
      <c r="B76" s="113"/>
      <c r="C76" s="42">
        <v>18</v>
      </c>
      <c r="D76" s="19">
        <f ca="1">((100/(D71+F71+H71))*C76)/100</f>
        <v>1</v>
      </c>
      <c r="E76" s="118"/>
      <c r="F76" s="119"/>
      <c r="G76" s="118"/>
      <c r="H76" s="176"/>
      <c r="I76" s="13" t="s">
        <v>97</v>
      </c>
      <c r="J76" s="30">
        <f ca="1">(IF(B71&gt;1,(H71/(B71+2)),H71/4))</f>
        <v>4.25</v>
      </c>
      <c r="S76"/>
    </row>
    <row r="77" spans="1:19" ht="15.75" customHeight="1" x14ac:dyDescent="0.35">
      <c r="A77" s="122" t="s">
        <v>128</v>
      </c>
      <c r="B77" s="113" t="s">
        <v>122</v>
      </c>
      <c r="C77" s="42">
        <v>17</v>
      </c>
      <c r="D77" s="19">
        <f ca="1">((100/H71)*C77)/100</f>
        <v>1</v>
      </c>
      <c r="E77" s="118"/>
      <c r="F77" s="119"/>
      <c r="G77" s="118"/>
      <c r="H77" s="176"/>
      <c r="I77" s="13" t="s">
        <v>98</v>
      </c>
      <c r="J77" s="30">
        <f ca="1">(IF(B71&gt;1,(H71/(B71+2)+J76),H71/4+J76))</f>
        <v>8.5</v>
      </c>
    </row>
    <row r="78" spans="1:19" ht="15.75" customHeight="1" x14ac:dyDescent="0.35">
      <c r="A78" s="122" t="s">
        <v>129</v>
      </c>
      <c r="B78" s="113" t="s">
        <v>122</v>
      </c>
      <c r="C78" s="42">
        <v>14</v>
      </c>
      <c r="D78" s="19">
        <f ca="1">((100/H71)*C78)/100</f>
        <v>0.82352941176470595</v>
      </c>
      <c r="E78" s="118"/>
      <c r="F78" s="119"/>
      <c r="G78" s="118"/>
      <c r="H78" s="176"/>
      <c r="I78" s="13" t="s">
        <v>138</v>
      </c>
      <c r="J78" s="30">
        <f>(IF(B71&gt;1,(H71/(B71+2)+J77),0))</f>
        <v>0</v>
      </c>
    </row>
    <row r="79" spans="1:19" ht="15" customHeight="1" x14ac:dyDescent="0.35">
      <c r="A79" s="122" t="s">
        <v>127</v>
      </c>
      <c r="B79" s="113" t="s">
        <v>124</v>
      </c>
      <c r="C79" s="61">
        <v>12</v>
      </c>
      <c r="D79" s="19">
        <f ca="1">((100/(H71))*C79)/100</f>
        <v>0.70588235294117652</v>
      </c>
      <c r="E79" s="118"/>
      <c r="F79" s="119"/>
      <c r="G79" s="118"/>
      <c r="H79" s="176"/>
      <c r="I79" s="13" t="s">
        <v>135</v>
      </c>
      <c r="J79" s="30">
        <f>(IF(B71&gt;2,(H71/(B71+2)+J78),0))</f>
        <v>0</v>
      </c>
    </row>
    <row r="80" spans="1:19" ht="15.75" customHeight="1" x14ac:dyDescent="0.35">
      <c r="A80" s="122" t="s">
        <v>123</v>
      </c>
      <c r="B80" s="113" t="s">
        <v>123</v>
      </c>
      <c r="C80" s="42">
        <v>8</v>
      </c>
      <c r="D80" s="19">
        <f ca="1">((100/H71)*C80)/100</f>
        <v>0.4705882352941177</v>
      </c>
      <c r="E80" s="118"/>
      <c r="F80" s="119"/>
      <c r="G80" s="118"/>
      <c r="H80" s="176"/>
      <c r="I80" s="13" t="s">
        <v>136</v>
      </c>
      <c r="J80" s="31">
        <f>(IF(B71&gt;3,(H71/(B71+2)+J79),0))</f>
        <v>0</v>
      </c>
    </row>
    <row r="81" spans="1:10" ht="15.75" customHeight="1" x14ac:dyDescent="0.35">
      <c r="A81" s="122" t="s">
        <v>130</v>
      </c>
      <c r="B81" s="113"/>
      <c r="C81" s="42">
        <v>8</v>
      </c>
      <c r="D81" s="19">
        <f ca="1">((100/H71)*C81)/100</f>
        <v>0.4705882352941177</v>
      </c>
      <c r="E81" s="118"/>
      <c r="F81" s="119"/>
      <c r="G81" s="118"/>
      <c r="H81" s="176"/>
      <c r="I81" s="13" t="s">
        <v>137</v>
      </c>
      <c r="J81" s="30">
        <f>(IF(B71&gt;4,(H71/(B71+2)+J80),0))</f>
        <v>0</v>
      </c>
    </row>
    <row r="82" spans="1:10" ht="15.75" customHeight="1" x14ac:dyDescent="0.35">
      <c r="A82" s="122" t="s">
        <v>125</v>
      </c>
      <c r="B82" s="113" t="s">
        <v>125</v>
      </c>
      <c r="C82" s="42">
        <v>0</v>
      </c>
      <c r="D82" s="19">
        <f ca="1">((100/(H71))*C82)/100</f>
        <v>0</v>
      </c>
      <c r="E82" s="118"/>
      <c r="F82" s="119"/>
      <c r="G82" s="118"/>
      <c r="H82" s="176"/>
      <c r="I82" s="13" t="s">
        <v>139</v>
      </c>
      <c r="J82" s="30">
        <f ca="1">(IF(B71=1,(H71/(B71+3)+J77),IF(B71=0,(H71/4+J77),IF(B71&gt;1,0))))</f>
        <v>12.75</v>
      </c>
    </row>
    <row r="83" spans="1:10" ht="16" thickBot="1" x14ac:dyDescent="0.4">
      <c r="A83" s="107" t="s">
        <v>126</v>
      </c>
      <c r="B83" s="108"/>
      <c r="C83" s="43">
        <v>0</v>
      </c>
      <c r="D83" s="20">
        <f ca="1">((100/(H71))*C83)/100</f>
        <v>0</v>
      </c>
      <c r="E83" s="120"/>
      <c r="F83" s="121"/>
      <c r="G83" s="120"/>
      <c r="H83" s="177"/>
      <c r="I83" s="15" t="s">
        <v>99</v>
      </c>
      <c r="J83" s="32">
        <f ca="1">(IF(B71&gt;1.5,(H71/(B71+2)+J77+MAX(0,J78-J77)+MAX(0,J79-J78)+MAX(0,J80-J79)+MAX(0,J81-J80)+MAX(0,J82-J81)),IF(B71=1,(H71/(B71+3)+J82),IF(B71=0,H71/4+J82))))</f>
        <v>17</v>
      </c>
    </row>
    <row r="84" spans="1:10" ht="15.75" hidden="1" customHeight="1" x14ac:dyDescent="0.35">
      <c r="A84" s="170" t="s">
        <v>132</v>
      </c>
      <c r="B84" s="171"/>
      <c r="C84" s="172" t="e">
        <f>#REF!</f>
        <v>#REF!</v>
      </c>
      <c r="D84" s="173"/>
      <c r="E84" s="173"/>
      <c r="F84" s="173"/>
      <c r="G84" s="173"/>
      <c r="H84" s="174"/>
      <c r="I84" s="48" t="e">
        <f ca="1">IF(D97=100%,"All work Completed. Possession granted to the Building.",IF(D96=100%,"All work Completed, Waiting for OC",I85&amp;""&amp;I86&amp;""&amp;J85&amp;""&amp;J84&amp;" "&amp;J86))</f>
        <v>#REF!</v>
      </c>
      <c r="J84" s="49" t="e">
        <f ca="1">(IF(C90=(D85+F85+H85),"",IF(C90&gt;0,", RCC upto "&amp;C90&amp;" Slab","")))&amp;(IF(C91=H85,"",IF(C91&gt;0,", Brickwork upto "&amp;C91&amp;" Floor","")))&amp;(IF(C92=H85,"",IF(C92&gt;0,", Internal Plaster upto "&amp;C92&amp;" Floor","")))&amp;(IF(C93=H85,"",IF(C93&gt;0,", External Plaster upto "&amp;C93&amp;" Floor","")))&amp;(IF(C94=H85,"",IF(C94&gt;0,", Flooring upto "&amp;C94&amp;" Floor","")))&amp;(IF(C95=H85,"",IF(C95&gt;0,", Painting upto "&amp;C95&amp;" Floor","")))&amp;(IF(C96=H85,"",IF(C96&gt;0,", Finishing upto "&amp;C96&amp;" Floor","")))&amp;(IF(C97=H85,"",IF(C97&gt;0,", Possession upto "&amp;C97&amp;" Floor","")))</f>
        <v>#REF!</v>
      </c>
    </row>
    <row r="85" spans="1:10" hidden="1" x14ac:dyDescent="0.35">
      <c r="A85" s="16" t="s">
        <v>134</v>
      </c>
      <c r="B85" s="52">
        <f>IF(AND(ISNUMBER(SEARCH("1B",C84))),1,IF(AND(ISNUMBER(SEARCH("2B",C84))),2,IF(AND(ISNUMBER(SEARCH("3B",C84))),3,IF(AND(ISNUMBER(SEARCH("4B",C84))),4,IF(ISNUMBER(SEARCH("5B",C84)),5,0)))))</f>
        <v>0</v>
      </c>
      <c r="C85" s="46" t="s">
        <v>67</v>
      </c>
      <c r="D85" s="46">
        <v>1</v>
      </c>
      <c r="E85" s="46" t="s">
        <v>66</v>
      </c>
      <c r="F85" s="14">
        <v>0</v>
      </c>
      <c r="G85" s="47" t="s">
        <v>74</v>
      </c>
      <c r="H85" s="17" t="e">
        <f ca="1">--TRIM(RIGHT(SUBSTITUTE(LEFT(C84,_xlfn.AGGREGATE(16,6,FIND({0,1,2,3,4,5,6,7,8,9},C84,ROW(INDIRECT("1:"&amp;LEN(C84)))),1))," ",REPT(" ",LEN(C84))),LEN(C84)))</f>
        <v>#REF!</v>
      </c>
      <c r="I85" s="50" t="e">
        <f ca="1">IF(D88=100%,"Excavation","")&amp;IF(D89=100%,", Plinth","")&amp;IF(D90=100%,", RCC Slab","")&amp;IF(D91=100%,", Brickwork","")&amp;IF(D92=100%,", Internal Plaster","")&amp;IF(D93=100%,", External Plaster","")&amp;IF(D94=100%,", Flooring","")&amp;IF(D95=100%,", Painting","")&amp;IF(D96=100%,", Building common Amenities","")</f>
        <v>#REF!</v>
      </c>
      <c r="J85" s="51" t="e">
        <f ca="1">(IF(C88=0,"Work not yet Started.",IF(D88=25%,"Piling work in process",IF(D88=50%,"Excavation work in process",IF(D88=100%,"","0")))))&amp;(IF(C89=0%,"",IF(C89=J90,", Footing work is process",IF(C89=J91,", Footing work Completed",IF(C89=J92,", 1st Basement Completed",IF(C89=J93,", 1st &amp; 2nd Basement Completed",IF(C89=J94,", 1st to 3rd Basement Completed",IF(C89=J95,", 1st to 4th Basement Completed",IF(C89=J96,", Plinth work is process",IF(C89=J97,"","0"))))))))))</f>
        <v>#REF!</v>
      </c>
    </row>
    <row r="86" spans="1:10" hidden="1" x14ac:dyDescent="0.35">
      <c r="A86" s="104" t="s">
        <v>84</v>
      </c>
      <c r="B86" s="105"/>
      <c r="C86" s="143" t="str">
        <f>(IF($G$56="NA",I84,"All work Completed. OC Received."))</f>
        <v>All work Completed. OC Received.</v>
      </c>
      <c r="D86" s="143"/>
      <c r="E86" s="143"/>
      <c r="F86" s="143"/>
      <c r="G86" s="143"/>
      <c r="H86" s="144"/>
      <c r="I86" s="50" t="e">
        <f ca="1">IF(I85&lt;&gt;""," Completed","")</f>
        <v>#REF!</v>
      </c>
      <c r="J86" s="51" t="e">
        <f ca="1">IF(J84&lt;&gt;"","Completed","")</f>
        <v>#REF!</v>
      </c>
    </row>
    <row r="87" spans="1:10" ht="15.75" hidden="1" customHeight="1" x14ac:dyDescent="0.35">
      <c r="A87" s="122" t="s">
        <v>46</v>
      </c>
      <c r="B87" s="113"/>
      <c r="C87" s="42" t="s">
        <v>131</v>
      </c>
      <c r="D87" s="42" t="s">
        <v>77</v>
      </c>
      <c r="E87" s="113" t="s">
        <v>79</v>
      </c>
      <c r="F87" s="113"/>
      <c r="G87" s="113" t="s">
        <v>78</v>
      </c>
      <c r="H87" s="114"/>
      <c r="I87" s="13" t="s">
        <v>133</v>
      </c>
      <c r="J87" s="28" t="e">
        <f ca="1">H85*25%</f>
        <v>#REF!</v>
      </c>
    </row>
    <row r="88" spans="1:10" hidden="1" x14ac:dyDescent="0.35">
      <c r="A88" s="122" t="s">
        <v>120</v>
      </c>
      <c r="B88" s="113"/>
      <c r="C88" s="62" t="e">
        <f ca="1">J89</f>
        <v>#REF!</v>
      </c>
      <c r="D88" s="19" t="e">
        <f ca="1">((100/H85)*C88)/100</f>
        <v>#REF!</v>
      </c>
      <c r="E88" s="116" t="e">
        <f ca="1">(((C89/H85*10)+(40/(D85+F85+H85)*C90)+(7.5/(H85)*C91)+(7.5/(H85)*C92)+(10/H85*C93)+(10/H85*C94)+(5/H85*C95)+(5/H85*C96)+(5/H85*C97))/100)</f>
        <v>#REF!</v>
      </c>
      <c r="F88" s="117"/>
      <c r="G88" s="116" t="e">
        <f ca="1">((((C88/H85)*20)+((C89/H85)*25)+(30/(H85+F85+D85)*C90)+(5/H85*C91)+(5/H85*C92)+(5/H85*C93)+(5/H85*C94)+(0/H85*C95)+(0/H85*C96)+(5/H85*C97))/100)</f>
        <v>#REF!</v>
      </c>
      <c r="H88" s="175"/>
      <c r="I88" s="13" t="s">
        <v>95</v>
      </c>
      <c r="J88" s="29" t="e">
        <f ca="1">H85*50%</f>
        <v>#REF!</v>
      </c>
    </row>
    <row r="89" spans="1:10" hidden="1" x14ac:dyDescent="0.35">
      <c r="A89" s="122" t="s">
        <v>47</v>
      </c>
      <c r="B89" s="113"/>
      <c r="C89" s="63">
        <v>19</v>
      </c>
      <c r="D89" s="19" t="e">
        <f ca="1">((100/H85)*C89)/100</f>
        <v>#REF!</v>
      </c>
      <c r="E89" s="118"/>
      <c r="F89" s="119"/>
      <c r="G89" s="118"/>
      <c r="H89" s="176"/>
      <c r="I89" s="13" t="s">
        <v>96</v>
      </c>
      <c r="J89" s="29" t="e">
        <f ca="1">H85</f>
        <v>#REF!</v>
      </c>
    </row>
    <row r="90" spans="1:10" ht="15.75" hidden="1" customHeight="1" x14ac:dyDescent="0.35">
      <c r="A90" s="122" t="s">
        <v>121</v>
      </c>
      <c r="B90" s="113"/>
      <c r="C90" s="42">
        <v>0</v>
      </c>
      <c r="D90" s="19" t="e">
        <f ca="1">((100/(D85+F85+H85))*C90)/100</f>
        <v>#REF!</v>
      </c>
      <c r="E90" s="118"/>
      <c r="F90" s="119"/>
      <c r="G90" s="118"/>
      <c r="H90" s="176"/>
      <c r="I90" s="13" t="s">
        <v>97</v>
      </c>
      <c r="J90" s="30" t="e">
        <f ca="1">(IF(B85&gt;1,(H85/(B85+2)),H85/4))</f>
        <v>#REF!</v>
      </c>
    </row>
    <row r="91" spans="1:10" ht="15.75" hidden="1" customHeight="1" x14ac:dyDescent="0.35">
      <c r="A91" s="122" t="s">
        <v>128</v>
      </c>
      <c r="B91" s="113" t="s">
        <v>122</v>
      </c>
      <c r="C91" s="60">
        <v>0</v>
      </c>
      <c r="D91" s="19" t="e">
        <f ca="1">((100/H85)*C91)/100</f>
        <v>#REF!</v>
      </c>
      <c r="E91" s="118"/>
      <c r="F91" s="119"/>
      <c r="G91" s="118"/>
      <c r="H91" s="176"/>
      <c r="I91" s="13" t="s">
        <v>98</v>
      </c>
      <c r="J91" s="30" t="e">
        <f ca="1">(IF(B85&gt;1,(H85/(B85+2)+J90),H85/4+J90))</f>
        <v>#REF!</v>
      </c>
    </row>
    <row r="92" spans="1:10" ht="15.75" hidden="1" customHeight="1" x14ac:dyDescent="0.35">
      <c r="A92" s="122" t="s">
        <v>129</v>
      </c>
      <c r="B92" s="113" t="s">
        <v>122</v>
      </c>
      <c r="C92" s="60">
        <v>0</v>
      </c>
      <c r="D92" s="19" t="e">
        <f ca="1">((100/H85)*C92)/100</f>
        <v>#REF!</v>
      </c>
      <c r="E92" s="118"/>
      <c r="F92" s="119"/>
      <c r="G92" s="118"/>
      <c r="H92" s="176"/>
      <c r="I92" s="13" t="s">
        <v>138</v>
      </c>
      <c r="J92" s="30">
        <f>(IF(B85&gt;1,(H85/(B85+2)+J91),0))</f>
        <v>0</v>
      </c>
    </row>
    <row r="93" spans="1:10" ht="15" hidden="1" customHeight="1" x14ac:dyDescent="0.35">
      <c r="A93" s="122" t="s">
        <v>127</v>
      </c>
      <c r="B93" s="113" t="s">
        <v>124</v>
      </c>
      <c r="C93" s="60">
        <v>0</v>
      </c>
      <c r="D93" s="19" t="e">
        <f ca="1">((100/(H85))*C93)/100</f>
        <v>#REF!</v>
      </c>
      <c r="E93" s="118"/>
      <c r="F93" s="119"/>
      <c r="G93" s="118"/>
      <c r="H93" s="176"/>
      <c r="I93" s="13" t="s">
        <v>135</v>
      </c>
      <c r="J93" s="30">
        <f>(IF(B85&gt;2,(H85/(B85+2)+J92),0))</f>
        <v>0</v>
      </c>
    </row>
    <row r="94" spans="1:10" ht="15.75" hidden="1" customHeight="1" x14ac:dyDescent="0.35">
      <c r="A94" s="122" t="s">
        <v>123</v>
      </c>
      <c r="B94" s="113" t="s">
        <v>123</v>
      </c>
      <c r="C94" s="60">
        <v>0</v>
      </c>
      <c r="D94" s="19" t="e">
        <f ca="1">((100/H85)*C94)/100</f>
        <v>#REF!</v>
      </c>
      <c r="E94" s="118"/>
      <c r="F94" s="119"/>
      <c r="G94" s="118"/>
      <c r="H94" s="176"/>
      <c r="I94" s="13" t="s">
        <v>136</v>
      </c>
      <c r="J94" s="31">
        <f>(IF(B85&gt;3,(H85/(B85+2)+J93),0))</f>
        <v>0</v>
      </c>
    </row>
    <row r="95" spans="1:10" ht="15.75" hidden="1" customHeight="1" x14ac:dyDescent="0.35">
      <c r="A95" s="122" t="s">
        <v>130</v>
      </c>
      <c r="B95" s="113"/>
      <c r="C95" s="42">
        <v>0</v>
      </c>
      <c r="D95" s="19" t="e">
        <f ca="1">((100/H85)*C95)/100</f>
        <v>#REF!</v>
      </c>
      <c r="E95" s="118"/>
      <c r="F95" s="119"/>
      <c r="G95" s="118"/>
      <c r="H95" s="176"/>
      <c r="I95" s="13" t="s">
        <v>137</v>
      </c>
      <c r="J95" s="30">
        <f>(IF(B85&gt;4,(H85/(B85+2)+J94),0))</f>
        <v>0</v>
      </c>
    </row>
    <row r="96" spans="1:10" ht="15.75" hidden="1" customHeight="1" x14ac:dyDescent="0.35">
      <c r="A96" s="122" t="s">
        <v>125</v>
      </c>
      <c r="B96" s="113" t="s">
        <v>125</v>
      </c>
      <c r="C96" s="42">
        <v>0</v>
      </c>
      <c r="D96" s="19" t="e">
        <f ca="1">((100/(H85))*C96)/100</f>
        <v>#REF!</v>
      </c>
      <c r="E96" s="118"/>
      <c r="F96" s="119"/>
      <c r="G96" s="118"/>
      <c r="H96" s="176"/>
      <c r="I96" s="13" t="s">
        <v>139</v>
      </c>
      <c r="J96" s="30" t="e">
        <f ca="1">(IF(B85=1,(H85/(B85+3)+J91),IF(B85=0,(H85/4+J91),IF(B85&gt;1,0))))</f>
        <v>#REF!</v>
      </c>
    </row>
    <row r="97" spans="1:22" ht="16" hidden="1" thickBot="1" x14ac:dyDescent="0.4">
      <c r="A97" s="107" t="s">
        <v>126</v>
      </c>
      <c r="B97" s="108"/>
      <c r="C97" s="43">
        <v>0</v>
      </c>
      <c r="D97" s="20" t="e">
        <f ca="1">((100/(H85))*C97)/100</f>
        <v>#REF!</v>
      </c>
      <c r="E97" s="120"/>
      <c r="F97" s="121"/>
      <c r="G97" s="120"/>
      <c r="H97" s="177"/>
      <c r="I97" s="15" t="s">
        <v>99</v>
      </c>
      <c r="J97" s="32" t="e">
        <f ca="1">(IF(B85&gt;1.5,(H85/(B85+2)+J91+MAX(0,J92-J91)+MAX(0,J93-J92)+MAX(0,J94-J93)+MAX(0,J95-J94)+MAX(0,J96-J95)),IF(B85=1,(H85/(B85+3)+J96),IF(B85=0,H85/4+J96))))</f>
        <v>#REF!</v>
      </c>
    </row>
    <row r="98" spans="1:22" x14ac:dyDescent="0.35">
      <c r="A98" s="183" t="s">
        <v>147</v>
      </c>
      <c r="B98" s="183"/>
      <c r="C98" s="183"/>
      <c r="D98" s="183"/>
      <c r="E98" s="183"/>
      <c r="F98" s="112" t="s">
        <v>149</v>
      </c>
      <c r="G98" s="112"/>
      <c r="H98" s="112"/>
      <c r="R98" t="s">
        <v>239</v>
      </c>
      <c r="S98" t="s">
        <v>161</v>
      </c>
      <c r="T98" t="s">
        <v>165</v>
      </c>
      <c r="U98" t="s">
        <v>180</v>
      </c>
      <c r="V98" t="s">
        <v>175</v>
      </c>
    </row>
    <row r="99" spans="1:22" hidden="1" x14ac:dyDescent="0.35">
      <c r="A99" s="106" t="s">
        <v>148</v>
      </c>
      <c r="B99" s="106"/>
      <c r="C99" s="106"/>
      <c r="D99" s="106"/>
      <c r="E99" s="106"/>
      <c r="F99" s="115"/>
      <c r="G99" s="115"/>
      <c r="H99" s="115"/>
      <c r="R99"/>
      <c r="S99">
        <v>800000</v>
      </c>
      <c r="T99">
        <v>150000</v>
      </c>
      <c r="U99">
        <v>100000</v>
      </c>
      <c r="V99">
        <v>100000</v>
      </c>
    </row>
    <row r="100" spans="1:22" x14ac:dyDescent="0.35">
      <c r="A100" s="151" t="s">
        <v>341</v>
      </c>
      <c r="B100" s="151"/>
      <c r="C100" s="151"/>
      <c r="D100" s="151"/>
      <c r="E100" s="151"/>
      <c r="F100" s="115">
        <v>27000</v>
      </c>
      <c r="G100" s="115"/>
      <c r="H100" s="115"/>
      <c r="R100"/>
      <c r="S100">
        <v>900000</v>
      </c>
      <c r="T100">
        <v>200000</v>
      </c>
      <c r="U100">
        <v>150000</v>
      </c>
      <c r="V100">
        <v>150000</v>
      </c>
    </row>
    <row r="101" spans="1:22" ht="33" customHeight="1" x14ac:dyDescent="0.35">
      <c r="A101" s="151" t="s">
        <v>342</v>
      </c>
      <c r="B101" s="151"/>
      <c r="C101" s="151"/>
      <c r="D101" s="151"/>
      <c r="E101" s="151"/>
      <c r="F101" s="115">
        <v>13000</v>
      </c>
      <c r="G101" s="115"/>
      <c r="H101" s="115"/>
      <c r="R101"/>
      <c r="S101">
        <v>1000000</v>
      </c>
      <c r="T101">
        <v>250000</v>
      </c>
      <c r="U101">
        <v>200000</v>
      </c>
      <c r="V101">
        <v>200000</v>
      </c>
    </row>
    <row r="102" spans="1:22" s="33" customFormat="1" hidden="1" x14ac:dyDescent="0.35">
      <c r="A102" s="106" t="s">
        <v>163</v>
      </c>
      <c r="B102" s="106"/>
      <c r="C102" s="106"/>
      <c r="D102" s="106"/>
      <c r="E102" s="106"/>
      <c r="F102" s="115"/>
      <c r="G102" s="115"/>
      <c r="H102" s="115"/>
      <c r="R102"/>
      <c r="S102">
        <v>1100000</v>
      </c>
      <c r="T102">
        <v>300000</v>
      </c>
      <c r="U102">
        <v>250000</v>
      </c>
      <c r="V102" s="23">
        <v>250000</v>
      </c>
    </row>
    <row r="103" spans="1:22" s="33" customFormat="1" hidden="1" x14ac:dyDescent="0.35">
      <c r="A103" s="106" t="s">
        <v>89</v>
      </c>
      <c r="B103" s="106"/>
      <c r="C103" s="106"/>
      <c r="D103" s="106"/>
      <c r="E103" s="106"/>
      <c r="F103" s="115"/>
      <c r="G103" s="115"/>
      <c r="H103" s="115"/>
      <c r="R103"/>
      <c r="S103">
        <v>1200000</v>
      </c>
      <c r="T103">
        <v>350000</v>
      </c>
      <c r="U103">
        <v>300000</v>
      </c>
      <c r="V103">
        <v>300000</v>
      </c>
    </row>
    <row r="104" spans="1:22" s="33" customFormat="1" hidden="1" x14ac:dyDescent="0.35">
      <c r="A104" s="106" t="s">
        <v>90</v>
      </c>
      <c r="B104" s="106"/>
      <c r="C104" s="106"/>
      <c r="D104" s="106"/>
      <c r="E104" s="106"/>
      <c r="F104" s="115"/>
      <c r="G104" s="115"/>
      <c r="H104" s="115"/>
      <c r="R104"/>
      <c r="S104">
        <v>1300000</v>
      </c>
      <c r="T104">
        <v>400000</v>
      </c>
      <c r="U104">
        <v>350000</v>
      </c>
      <c r="V104" s="23">
        <v>400000</v>
      </c>
    </row>
    <row r="105" spans="1:22" s="33" customFormat="1" hidden="1" x14ac:dyDescent="0.35">
      <c r="A105" s="106" t="s">
        <v>91</v>
      </c>
      <c r="B105" s="106"/>
      <c r="C105" s="106"/>
      <c r="D105" s="106"/>
      <c r="E105" s="106"/>
      <c r="F105" s="115"/>
      <c r="G105" s="115"/>
      <c r="H105" s="115"/>
      <c r="R105"/>
      <c r="S105">
        <v>1400000</v>
      </c>
      <c r="T105">
        <v>500000</v>
      </c>
      <c r="U105">
        <v>400000</v>
      </c>
      <c r="V105"/>
    </row>
    <row r="106" spans="1:22" s="33" customFormat="1" hidden="1" x14ac:dyDescent="0.35">
      <c r="A106" s="106" t="s">
        <v>92</v>
      </c>
      <c r="B106" s="106"/>
      <c r="C106" s="106"/>
      <c r="D106" s="106"/>
      <c r="E106" s="106"/>
      <c r="F106" s="115"/>
      <c r="G106" s="115"/>
      <c r="H106" s="115"/>
      <c r="R106"/>
      <c r="S106">
        <v>1500000</v>
      </c>
      <c r="T106">
        <v>600000</v>
      </c>
      <c r="U106">
        <v>500000</v>
      </c>
      <c r="V106" s="23"/>
    </row>
    <row r="107" spans="1:22" s="33" customFormat="1" hidden="1" x14ac:dyDescent="0.35">
      <c r="A107" s="106" t="s">
        <v>93</v>
      </c>
      <c r="B107" s="106"/>
      <c r="C107" s="106"/>
      <c r="D107" s="106"/>
      <c r="E107" s="106"/>
      <c r="F107" s="115"/>
      <c r="G107" s="115"/>
      <c r="H107" s="115"/>
      <c r="R107"/>
      <c r="S107">
        <v>1600000</v>
      </c>
      <c r="T107">
        <v>700000</v>
      </c>
      <c r="U107">
        <v>600000</v>
      </c>
      <c r="V107"/>
    </row>
    <row r="108" spans="1:22" s="33" customFormat="1" hidden="1" x14ac:dyDescent="0.35">
      <c r="A108" s="106" t="s">
        <v>94</v>
      </c>
      <c r="B108" s="106"/>
      <c r="C108" s="106"/>
      <c r="D108" s="106"/>
      <c r="E108" s="106"/>
      <c r="F108" s="115"/>
      <c r="G108" s="115"/>
      <c r="H108" s="115"/>
      <c r="R108"/>
      <c r="S108">
        <v>1700000</v>
      </c>
      <c r="T108">
        <v>800000</v>
      </c>
      <c r="U108"/>
      <c r="V108" s="23"/>
    </row>
    <row r="109" spans="1:22" x14ac:dyDescent="0.35">
      <c r="A109" s="106" t="s">
        <v>48</v>
      </c>
      <c r="B109" s="106"/>
      <c r="C109" s="106"/>
      <c r="D109" s="106"/>
      <c r="E109" s="106"/>
      <c r="F109" s="115">
        <v>400000</v>
      </c>
      <c r="G109" s="115"/>
      <c r="H109" s="115"/>
      <c r="R109"/>
      <c r="S109">
        <v>1800000</v>
      </c>
      <c r="T109">
        <v>900000</v>
      </c>
      <c r="U109"/>
    </row>
    <row r="110" spans="1:22" s="34" customFormat="1" x14ac:dyDescent="0.35">
      <c r="A110" s="133" t="s">
        <v>49</v>
      </c>
      <c r="B110" s="133"/>
      <c r="C110" s="133"/>
      <c r="D110" s="133"/>
      <c r="E110" s="133"/>
      <c r="F110" s="115">
        <f>F100*0.8</f>
        <v>21600</v>
      </c>
      <c r="G110" s="115"/>
      <c r="H110" s="115"/>
      <c r="R110" s="21"/>
      <c r="S110" s="21"/>
      <c r="T110">
        <v>1000000</v>
      </c>
      <c r="U110"/>
      <c r="V110" s="21"/>
    </row>
    <row r="111" spans="1:22" s="35" customFormat="1" ht="15.75" customHeight="1" x14ac:dyDescent="0.35">
      <c r="A111" s="109" t="s">
        <v>310</v>
      </c>
      <c r="B111" s="109"/>
      <c r="C111" s="109"/>
      <c r="D111" s="109"/>
      <c r="E111" s="109"/>
      <c r="F111" s="109"/>
      <c r="G111" s="109"/>
      <c r="H111" s="109"/>
      <c r="R111"/>
      <c r="S111" s="21"/>
      <c r="T111"/>
      <c r="U111"/>
      <c r="V111" s="21"/>
    </row>
    <row r="112" spans="1:22" s="35" customFormat="1" ht="15.75" customHeight="1" x14ac:dyDescent="0.35">
      <c r="A112" s="209" t="s">
        <v>50</v>
      </c>
      <c r="B112" s="209"/>
      <c r="C112" s="185" t="s">
        <v>72</v>
      </c>
      <c r="D112" s="185"/>
      <c r="E112" s="111" t="s">
        <v>51</v>
      </c>
      <c r="F112" s="111"/>
      <c r="G112" s="209" t="s">
        <v>52</v>
      </c>
      <c r="H112" s="209"/>
      <c r="R112"/>
      <c r="S112" s="21"/>
      <c r="T112"/>
      <c r="U112" s="21"/>
      <c r="V112" s="21"/>
    </row>
    <row r="113" spans="1:22" s="35" customFormat="1" x14ac:dyDescent="0.35">
      <c r="A113" s="94" t="s">
        <v>339</v>
      </c>
      <c r="B113" s="94"/>
      <c r="C113" s="95">
        <f>COUNT(F127:F137)+COUNT(F139:F144)+COUNT(F193:F196)+COUNT(F209:F210)+COUNT(F224:F227,F229:F231)*3</f>
        <v>44</v>
      </c>
      <c r="D113" s="95"/>
      <c r="E113" s="95">
        <f>SUM(F127:F137)+SUM(F139:F144)+SUM(F193:F196)+SUM(F209:F210)+SUM(F224:F227,F229:F231)*3</f>
        <v>36935.513893199997</v>
      </c>
      <c r="F113" s="95"/>
      <c r="G113" s="95">
        <f>SUM(H127:H137)+SUM(H139:H144)+SUM(H193:H196)+SUM(H209:H210)+SUM(H224:H227,H229:H231)*3</f>
        <v>56285.973604799998</v>
      </c>
      <c r="H113" s="95"/>
      <c r="R113"/>
      <c r="S113" s="21"/>
      <c r="T113"/>
      <c r="U113" s="21"/>
      <c r="V113" s="21"/>
    </row>
    <row r="114" spans="1:22" s="35" customFormat="1" x14ac:dyDescent="0.35">
      <c r="A114" s="94" t="s">
        <v>328</v>
      </c>
      <c r="B114" s="94"/>
      <c r="C114" s="95">
        <f>COUNT(F145:F146)+COUNT(F170:F178)+COUNT(F181:F190)*3+COUNT(F198:F201)+COUNT(F204:F207)+COUNT(F214:F217,F219:F221)</f>
        <v>56</v>
      </c>
      <c r="D114" s="95"/>
      <c r="E114" s="95">
        <f>SUM(F145:F146)+SUM(F170:F178)+SUM(F181:F190)*3+SUM(F198:F201)+SUM(F204:F207)+SUM(F214:F217,F219:F221)</f>
        <v>50314.317833519992</v>
      </c>
      <c r="F114" s="95"/>
      <c r="G114" s="95">
        <f>SUM(H145:H146)+SUM(H170:H178)+SUM(H181:H190)*3+SUM(H198:H201)+SUM(H204:H207)+SUM(H214:H217,H219:H221)</f>
        <v>75471.47675027998</v>
      </c>
      <c r="H114" s="95"/>
      <c r="J114" s="80">
        <f>8000/1.5</f>
        <v>5333.333333333333</v>
      </c>
      <c r="R114"/>
      <c r="S114" s="21"/>
      <c r="T114"/>
      <c r="U114" s="21"/>
      <c r="V114" s="21"/>
    </row>
    <row r="115" spans="1:22" s="35" customFormat="1" x14ac:dyDescent="0.35">
      <c r="A115" s="94" t="s">
        <v>307</v>
      </c>
      <c r="B115" s="94"/>
      <c r="C115" s="95">
        <f>COUNT(F148:F153,F157)+COUNT(F159:F168)*4</f>
        <v>47</v>
      </c>
      <c r="D115" s="95"/>
      <c r="E115" s="95">
        <f>SUM(F148:F153,F157)+SUM(F159:F168)*4</f>
        <v>38677.867862400002</v>
      </c>
      <c r="F115" s="95"/>
      <c r="G115" s="95">
        <f>SUM(H148:H153,H157)+SUM(H159:H168)*4</f>
        <v>58016.801793599996</v>
      </c>
      <c r="H115" s="95"/>
      <c r="J115" s="80">
        <f>8000/1.5</f>
        <v>5333.333333333333</v>
      </c>
      <c r="R115"/>
      <c r="S115" s="21"/>
      <c r="T115"/>
      <c r="U115" s="21"/>
      <c r="V115" s="21"/>
    </row>
    <row r="116" spans="1:22" s="35" customFormat="1" x14ac:dyDescent="0.35">
      <c r="A116" s="94" t="s">
        <v>340</v>
      </c>
      <c r="B116" s="94"/>
      <c r="C116" s="95">
        <f>COUNT(F234:F235,F237:F239)</f>
        <v>5</v>
      </c>
      <c r="D116" s="95"/>
      <c r="E116" s="95">
        <f>SUM(F234:F235,F237:F239)</f>
        <v>5133.9759119999999</v>
      </c>
      <c r="F116" s="95"/>
      <c r="G116" s="95">
        <f>SUM(H234:H235,H237:H239)</f>
        <v>7700.9638679999998</v>
      </c>
      <c r="H116" s="95"/>
      <c r="J116" s="80">
        <f>8000/1.5</f>
        <v>5333.333333333333</v>
      </c>
      <c r="R116"/>
      <c r="S116" s="21"/>
      <c r="T116"/>
      <c r="U116" s="21"/>
      <c r="V116" s="21"/>
    </row>
    <row r="117" spans="1:22" s="35" customFormat="1" x14ac:dyDescent="0.35">
      <c r="A117" s="94" t="s">
        <v>327</v>
      </c>
      <c r="B117" s="94"/>
      <c r="C117" s="95">
        <f>COUNT(F154:F156)</f>
        <v>3</v>
      </c>
      <c r="D117" s="95"/>
      <c r="E117" s="95">
        <f>SUM(F154:F156)</f>
        <v>1926.9217655999996</v>
      </c>
      <c r="F117" s="95"/>
      <c r="G117" s="95">
        <f>SUM(H154:H156)</f>
        <v>2890.3826483999997</v>
      </c>
      <c r="H117" s="95"/>
      <c r="J117" s="80">
        <f>8000/1.5</f>
        <v>5333.333333333333</v>
      </c>
      <c r="R117"/>
      <c r="S117" s="21"/>
      <c r="T117"/>
      <c r="U117" s="21"/>
      <c r="V117" s="21"/>
    </row>
    <row r="118" spans="1:22" s="35" customFormat="1" ht="16" thickBot="1" x14ac:dyDescent="0.4">
      <c r="A118" s="109" t="s">
        <v>142</v>
      </c>
      <c r="B118" s="109"/>
      <c r="C118" s="110">
        <f>SUM(C113:C117)</f>
        <v>155</v>
      </c>
      <c r="D118" s="111"/>
      <c r="E118" s="110">
        <f>SUM(E113:E117)</f>
        <v>132988.59726672</v>
      </c>
      <c r="F118" s="111"/>
      <c r="G118" s="110">
        <f>SUM(G113:G117)</f>
        <v>200365.59866507998</v>
      </c>
      <c r="H118" s="111"/>
      <c r="R118"/>
      <c r="S118" s="21"/>
      <c r="T118"/>
      <c r="U118" s="21"/>
      <c r="V118" s="21"/>
    </row>
    <row r="119" spans="1:22" s="35" customFormat="1" ht="16" thickBot="1" x14ac:dyDescent="0.4">
      <c r="A119" s="186" t="s">
        <v>155</v>
      </c>
      <c r="B119" s="187"/>
      <c r="C119" s="181">
        <f>SUM(C118)</f>
        <v>155</v>
      </c>
      <c r="D119" s="182"/>
      <c r="E119" s="181">
        <f>SUM(E118)</f>
        <v>132988.59726672</v>
      </c>
      <c r="F119" s="182"/>
      <c r="G119" s="181">
        <f>SUM(G118)</f>
        <v>200365.59866507998</v>
      </c>
      <c r="H119" s="182"/>
      <c r="T119"/>
    </row>
    <row r="120" spans="1:22" s="34" customFormat="1" x14ac:dyDescent="0.35">
      <c r="A120" s="112" t="s">
        <v>53</v>
      </c>
      <c r="B120" s="112"/>
      <c r="C120" s="112"/>
      <c r="D120" s="112"/>
      <c r="E120" s="112"/>
      <c r="F120" s="112"/>
      <c r="G120" s="112"/>
      <c r="H120" s="112"/>
      <c r="T120" s="35"/>
    </row>
    <row r="121" spans="1:22" x14ac:dyDescent="0.35">
      <c r="A121" s="208" t="s">
        <v>303</v>
      </c>
      <c r="B121" s="208"/>
      <c r="C121" s="208"/>
      <c r="D121" s="208"/>
      <c r="E121" s="208"/>
      <c r="F121" s="208"/>
      <c r="G121" s="208"/>
      <c r="H121" s="208"/>
      <c r="T121" s="35"/>
    </row>
    <row r="122" spans="1:22" ht="47.25" customHeight="1" x14ac:dyDescent="0.35">
      <c r="A122" s="147" t="s">
        <v>315</v>
      </c>
      <c r="B122" s="147" t="s">
        <v>164</v>
      </c>
      <c r="C122" s="147" t="s">
        <v>54</v>
      </c>
      <c r="D122" s="147" t="s">
        <v>218</v>
      </c>
      <c r="E122" s="135" t="s">
        <v>326</v>
      </c>
      <c r="F122" s="147" t="s">
        <v>55</v>
      </c>
      <c r="G122" s="135" t="s">
        <v>56</v>
      </c>
      <c r="H122" s="75" t="s">
        <v>141</v>
      </c>
      <c r="T122" s="35"/>
    </row>
    <row r="123" spans="1:22" s="37" customFormat="1" x14ac:dyDescent="0.35">
      <c r="A123" s="148"/>
      <c r="B123" s="148"/>
      <c r="C123" s="148"/>
      <c r="D123" s="148"/>
      <c r="E123" s="136"/>
      <c r="F123" s="148"/>
      <c r="G123" s="136"/>
      <c r="H123" s="76">
        <v>0.5</v>
      </c>
      <c r="T123" s="35"/>
    </row>
    <row r="124" spans="1:22" s="70" customFormat="1" x14ac:dyDescent="0.35">
      <c r="A124" s="219" t="s">
        <v>287</v>
      </c>
      <c r="B124" s="219"/>
      <c r="C124" s="219"/>
      <c r="D124" s="219"/>
      <c r="E124" s="219"/>
      <c r="F124" s="219"/>
      <c r="G124" s="219"/>
      <c r="H124" s="219"/>
      <c r="T124" s="35"/>
    </row>
    <row r="125" spans="1:22" s="70" customFormat="1" ht="32.25" customHeight="1" x14ac:dyDescent="0.35">
      <c r="A125" s="219" t="s">
        <v>304</v>
      </c>
      <c r="B125" s="219"/>
      <c r="C125" s="219"/>
      <c r="D125" s="219"/>
      <c r="E125" s="219"/>
      <c r="F125" s="219"/>
      <c r="G125" s="219"/>
      <c r="H125" s="219"/>
      <c r="T125" s="35"/>
    </row>
    <row r="126" spans="1:22" s="37" customFormat="1" x14ac:dyDescent="0.35">
      <c r="A126" s="220" t="s">
        <v>305</v>
      </c>
      <c r="B126" s="220"/>
      <c r="C126" s="220"/>
      <c r="D126" s="220"/>
      <c r="E126" s="220"/>
      <c r="F126" s="220"/>
      <c r="G126" s="220"/>
      <c r="H126" s="220"/>
      <c r="J126" s="36"/>
      <c r="T126" s="35"/>
    </row>
    <row r="127" spans="1:22" s="37" customFormat="1" ht="15.75" customHeight="1" x14ac:dyDescent="0.35">
      <c r="A127" s="221">
        <v>1</v>
      </c>
      <c r="B127" s="221"/>
      <c r="C127" s="69" t="s">
        <v>339</v>
      </c>
      <c r="D127" s="71">
        <f>(3.92*10.48+1.27*2.25+2.5*2.25)*10.764</f>
        <v>533.50797239999997</v>
      </c>
      <c r="E127" s="71">
        <f>(((3+3.64)/2)*3.92)*(10.764)</f>
        <v>140.08700159999998</v>
      </c>
      <c r="F127" s="69">
        <f>D127+(IF(E127&lt;201,E127,IF(E127&lt;301,E127/2,E127/3)))</f>
        <v>673.59497399999998</v>
      </c>
      <c r="G127" s="64">
        <v>0</v>
      </c>
      <c r="H127" s="69">
        <f>(F127+(IF(G127&lt;101,G127,IF(G127&lt;201,G127/2,IF(G127&lt;=301,G127/3,G127/4)))))*(($H$123)+1)</f>
        <v>1010.3924609999999</v>
      </c>
      <c r="I127" s="36">
        <f>3.92*3.32*10.764</f>
        <v>140.08700159999998</v>
      </c>
      <c r="J127" s="79"/>
      <c r="K127" s="37">
        <f>5333*H127</f>
        <v>5388422.9945129994</v>
      </c>
      <c r="L127" s="134"/>
      <c r="M127" s="134"/>
      <c r="N127" s="36"/>
      <c r="T127" s="35"/>
    </row>
    <row r="128" spans="1:22" s="37" customFormat="1" ht="15.75" customHeight="1" x14ac:dyDescent="0.35">
      <c r="A128" s="221">
        <f>A127+1</f>
        <v>2</v>
      </c>
      <c r="B128" s="221"/>
      <c r="C128" s="69" t="s">
        <v>339</v>
      </c>
      <c r="D128" s="71">
        <f>((3.85*12.86+3.11*2.01+1.2*2.5+1.76*2.5))*(10.764)</f>
        <v>679.87684439999987</v>
      </c>
      <c r="E128" s="71">
        <f>(((3.66+4.27)/2)*3.85)*(10.764)</f>
        <v>164.31515099999999</v>
      </c>
      <c r="F128" s="69">
        <f t="shared" ref="F128:F137" si="0">D128+(IF(E128&lt;201,E128,IF(E128&lt;301,E128/2,E128/3)))</f>
        <v>844.19199539999988</v>
      </c>
      <c r="G128" s="69">
        <v>0</v>
      </c>
      <c r="H128" s="69">
        <f t="shared" ref="H128:H178" si="1">(F128+(IF(G128&lt;101,G128,IF(G128&lt;201,G128/2,IF(G128&lt;=301,G128/3,G128/4)))))*(($H$123)+1)</f>
        <v>1266.2879930999998</v>
      </c>
      <c r="I128" s="36">
        <f>3.85*3.96*10.764</f>
        <v>164.107944</v>
      </c>
      <c r="K128" s="37">
        <f>10*10</f>
        <v>100</v>
      </c>
      <c r="L128" s="134"/>
      <c r="M128" s="134"/>
      <c r="N128" s="36"/>
      <c r="T128" s="34"/>
    </row>
    <row r="129" spans="1:20" s="37" customFormat="1" ht="15.75" customHeight="1" x14ac:dyDescent="0.35">
      <c r="A129" s="221">
        <f>A128+1</f>
        <v>3</v>
      </c>
      <c r="B129" s="221"/>
      <c r="C129" s="69" t="s">
        <v>339</v>
      </c>
      <c r="D129" s="71">
        <f>((3.85*12.86+3.31*2.01+1.2*2.5+1.96*2.5))*(10.764)</f>
        <v>689.58597239999995</v>
      </c>
      <c r="E129" s="71">
        <f>(((4.29+4.9)/2)*3.85)*(10.764)</f>
        <v>190.42323300000001</v>
      </c>
      <c r="F129" s="69">
        <f t="shared" si="0"/>
        <v>880.00920539999993</v>
      </c>
      <c r="G129" s="69">
        <v>0</v>
      </c>
      <c r="H129" s="69">
        <f t="shared" si="1"/>
        <v>1320.0138081</v>
      </c>
      <c r="I129" s="36">
        <f>3.85*4.6*10.764</f>
        <v>190.63043999999996</v>
      </c>
      <c r="L129" s="134"/>
      <c r="M129" s="134"/>
      <c r="N129" s="36"/>
      <c r="T129" s="21"/>
    </row>
    <row r="130" spans="1:20" s="37" customFormat="1" ht="15.75" customHeight="1" x14ac:dyDescent="0.35">
      <c r="A130" s="96">
        <f>A129+1</f>
        <v>4</v>
      </c>
      <c r="B130" s="97"/>
      <c r="C130" s="69" t="s">
        <v>339</v>
      </c>
      <c r="D130" s="71">
        <f>((3.66*10.46+1.2*2.25+2.31*2.25))*(10.764)</f>
        <v>497.09336040000005</v>
      </c>
      <c r="E130" s="71">
        <f>(3.66*5.21)*(10.764)</f>
        <v>205.25441039999998</v>
      </c>
      <c r="F130" s="69">
        <f t="shared" si="0"/>
        <v>599.7205656000001</v>
      </c>
      <c r="G130" s="69">
        <v>0</v>
      </c>
      <c r="H130" s="69">
        <f t="shared" si="1"/>
        <v>899.58084840000015</v>
      </c>
      <c r="I130" s="36"/>
      <c r="L130" s="134"/>
      <c r="M130" s="134"/>
      <c r="N130" s="36"/>
      <c r="T130" s="21"/>
    </row>
    <row r="131" spans="1:20" s="70" customFormat="1" ht="15.75" customHeight="1" x14ac:dyDescent="0.35">
      <c r="A131" s="96">
        <f t="shared" ref="A131:A135" si="2">A130+1</f>
        <v>5</v>
      </c>
      <c r="B131" s="97"/>
      <c r="C131" s="69" t="s">
        <v>339</v>
      </c>
      <c r="D131" s="71">
        <f>((3.26*13.92+1.2*2.25+1.83*2.24))*(10.764)</f>
        <v>561.64829759999998</v>
      </c>
      <c r="E131" s="71">
        <f>(3.26*3.26)*(10.764)</f>
        <v>114.39548639999998</v>
      </c>
      <c r="F131" s="69">
        <f t="shared" si="0"/>
        <v>676.04378399999996</v>
      </c>
      <c r="G131" s="69">
        <v>0</v>
      </c>
      <c r="H131" s="69">
        <f t="shared" si="1"/>
        <v>1014.0656759999999</v>
      </c>
      <c r="I131" s="36"/>
      <c r="N131" s="36"/>
      <c r="T131" s="21"/>
    </row>
    <row r="132" spans="1:20" s="70" customFormat="1" ht="15.75" customHeight="1" x14ac:dyDescent="0.35">
      <c r="A132" s="96">
        <f t="shared" si="2"/>
        <v>6</v>
      </c>
      <c r="B132" s="97"/>
      <c r="C132" s="69" t="s">
        <v>339</v>
      </c>
      <c r="D132" s="71">
        <f>((2.99*16.32+2.06*2.23))*(10.764)</f>
        <v>574.69641840000008</v>
      </c>
      <c r="E132" s="71">
        <f>(2.99*3.78)*(10.764)</f>
        <v>121.6568808</v>
      </c>
      <c r="F132" s="69">
        <f t="shared" si="0"/>
        <v>696.35329920000004</v>
      </c>
      <c r="G132" s="69">
        <v>0</v>
      </c>
      <c r="H132" s="69">
        <f t="shared" si="1"/>
        <v>1044.5299488000001</v>
      </c>
      <c r="I132" s="36"/>
      <c r="N132" s="36"/>
      <c r="T132" s="21"/>
    </row>
    <row r="133" spans="1:20" s="70" customFormat="1" ht="15.75" customHeight="1" x14ac:dyDescent="0.35">
      <c r="A133" s="96">
        <f t="shared" si="2"/>
        <v>7</v>
      </c>
      <c r="B133" s="97"/>
      <c r="C133" s="69" t="s">
        <v>339</v>
      </c>
      <c r="D133" s="71">
        <f>((6.41*13.92+2*4.63+1.2*2.25+2.84*2.25))*(10.764)</f>
        <v>1157.9609808</v>
      </c>
      <c r="E133" s="71">
        <f>(6.41*4.6)*(10.764)</f>
        <v>317.38730399999997</v>
      </c>
      <c r="F133" s="69">
        <f t="shared" si="0"/>
        <v>1263.7567488</v>
      </c>
      <c r="G133" s="69">
        <v>0</v>
      </c>
      <c r="H133" s="69">
        <f t="shared" si="1"/>
        <v>1895.6351232</v>
      </c>
      <c r="I133" s="36"/>
      <c r="N133" s="36"/>
      <c r="T133" s="21"/>
    </row>
    <row r="134" spans="1:20" s="70" customFormat="1" ht="15.75" customHeight="1" x14ac:dyDescent="0.35">
      <c r="A134" s="96">
        <f t="shared" si="2"/>
        <v>8</v>
      </c>
      <c r="B134" s="97"/>
      <c r="C134" s="69" t="s">
        <v>339</v>
      </c>
      <c r="D134" s="71">
        <f>((4.3*15.02+1.27*2.25+2.88*2.25))*(10.764)</f>
        <v>795.71255399999995</v>
      </c>
      <c r="E134" s="71">
        <f>(4.3*3.36)*(10.764)</f>
        <v>155.51827199999997</v>
      </c>
      <c r="F134" s="69">
        <f t="shared" si="0"/>
        <v>951.23082599999998</v>
      </c>
      <c r="G134" s="69">
        <v>0</v>
      </c>
      <c r="H134" s="69">
        <f t="shared" si="1"/>
        <v>1426.846239</v>
      </c>
      <c r="I134" s="36"/>
      <c r="N134" s="36"/>
      <c r="T134" s="21"/>
    </row>
    <row r="135" spans="1:20" s="70" customFormat="1" ht="15.75" customHeight="1" x14ac:dyDescent="0.35">
      <c r="A135" s="96">
        <f t="shared" si="2"/>
        <v>9</v>
      </c>
      <c r="B135" s="97"/>
      <c r="C135" s="69" t="s">
        <v>339</v>
      </c>
      <c r="D135" s="71">
        <f>((3.38*19.43+1.2*2.5+2.13*2.5))*(10.764)</f>
        <v>796.51877760000002</v>
      </c>
      <c r="E135" s="71">
        <f>(3.38*3.98)*(10.764)</f>
        <v>144.80163359999997</v>
      </c>
      <c r="F135" s="69">
        <f t="shared" si="0"/>
        <v>941.32041119999997</v>
      </c>
      <c r="G135" s="69">
        <v>0</v>
      </c>
      <c r="H135" s="69">
        <f t="shared" si="1"/>
        <v>1411.9806168</v>
      </c>
      <c r="I135" s="71">
        <f>10.764</f>
        <v>10.763999999999999</v>
      </c>
      <c r="N135" s="36"/>
      <c r="T135" s="21"/>
    </row>
    <row r="136" spans="1:20" s="70" customFormat="1" ht="15.75" customHeight="1" x14ac:dyDescent="0.35">
      <c r="A136" s="96">
        <f>A135+1</f>
        <v>10</v>
      </c>
      <c r="B136" s="97"/>
      <c r="C136" s="69" t="s">
        <v>339</v>
      </c>
      <c r="D136" s="71">
        <f>((3.79*17.42+1.2*2.5+1.59*2.5))*(10.764)</f>
        <v>785.73755520000009</v>
      </c>
      <c r="E136" s="71">
        <f>(3.79*4.58)*(10.764)</f>
        <v>186.8436648</v>
      </c>
      <c r="F136" s="69">
        <f t="shared" si="0"/>
        <v>972.58122000000003</v>
      </c>
      <c r="G136" s="69">
        <v>0</v>
      </c>
      <c r="H136" s="69">
        <f t="shared" si="1"/>
        <v>1458.87183</v>
      </c>
      <c r="I136" s="36"/>
      <c r="N136" s="36"/>
      <c r="T136" s="21"/>
    </row>
    <row r="137" spans="1:20" s="70" customFormat="1" ht="15.75" customHeight="1" x14ac:dyDescent="0.35">
      <c r="A137" s="96">
        <f t="shared" ref="A137" si="3">A136+1</f>
        <v>11</v>
      </c>
      <c r="B137" s="97"/>
      <c r="C137" s="69" t="s">
        <v>339</v>
      </c>
      <c r="D137" s="71">
        <f>((3.8*15.02+1.2*2.25+2.45*2.25))*(10.764)</f>
        <v>702.76541399999996</v>
      </c>
      <c r="E137" s="71">
        <f>(3.8*5.2)*(10.764)</f>
        <v>212.69663999999997</v>
      </c>
      <c r="F137" s="69">
        <f t="shared" si="0"/>
        <v>809.11373399999991</v>
      </c>
      <c r="G137" s="69">
        <v>0</v>
      </c>
      <c r="H137" s="69">
        <f t="shared" si="1"/>
        <v>1213.6706009999998</v>
      </c>
      <c r="I137" s="36"/>
      <c r="N137" s="36"/>
      <c r="T137" s="21"/>
    </row>
    <row r="138" spans="1:20" s="70" customFormat="1" ht="15.75" customHeight="1" x14ac:dyDescent="0.35">
      <c r="A138" s="101" t="s">
        <v>306</v>
      </c>
      <c r="B138" s="102"/>
      <c r="C138" s="102"/>
      <c r="D138" s="102"/>
      <c r="E138" s="102"/>
      <c r="F138" s="102"/>
      <c r="G138" s="102"/>
      <c r="H138" s="103"/>
      <c r="I138" s="36"/>
      <c r="N138" s="36"/>
      <c r="T138" s="21"/>
    </row>
    <row r="139" spans="1:20" s="70" customFormat="1" ht="15.75" customHeight="1" x14ac:dyDescent="0.35">
      <c r="A139" s="96">
        <v>1</v>
      </c>
      <c r="B139" s="97"/>
      <c r="C139" s="69" t="s">
        <v>339</v>
      </c>
      <c r="D139" s="71">
        <f>(8*7.91)*(10.764)</f>
        <v>681.14591999999993</v>
      </c>
      <c r="E139" s="71">
        <f>(6.57*1.5)*(10.764)</f>
        <v>106.07921999999999</v>
      </c>
      <c r="F139" s="69">
        <f>D139+E139</f>
        <v>787.2251399999999</v>
      </c>
      <c r="G139" s="69">
        <f>(((1.3+2.7)/2)*8)*(10.764)</f>
        <v>172.22399999999999</v>
      </c>
      <c r="H139" s="69">
        <f t="shared" si="1"/>
        <v>1310.0057099999999</v>
      </c>
      <c r="I139" s="36"/>
      <c r="N139" s="36"/>
      <c r="T139" s="21"/>
    </row>
    <row r="140" spans="1:20" s="70" customFormat="1" ht="15.75" customHeight="1" x14ac:dyDescent="0.35">
      <c r="A140" s="96">
        <f>A139+1</f>
        <v>2</v>
      </c>
      <c r="B140" s="97"/>
      <c r="C140" s="69" t="s">
        <v>339</v>
      </c>
      <c r="D140" s="71">
        <f>(7.7*7.91)*(10.764)</f>
        <v>655.60294799999997</v>
      </c>
      <c r="E140" s="71">
        <f>(6.16*1.5)*(10.764)</f>
        <v>99.45935999999999</v>
      </c>
      <c r="F140" s="69">
        <f>D140+E140</f>
        <v>755.06230799999992</v>
      </c>
      <c r="G140" s="69">
        <f>(((2.7+3.9)/2)*7.9)*(10.764)</f>
        <v>280.61748</v>
      </c>
      <c r="H140" s="69">
        <f t="shared" si="1"/>
        <v>1272.902202</v>
      </c>
      <c r="I140" s="36"/>
      <c r="N140" s="36"/>
      <c r="T140" s="21"/>
    </row>
    <row r="141" spans="1:20" s="70" customFormat="1" ht="15.75" customHeight="1" x14ac:dyDescent="0.35">
      <c r="A141" s="96">
        <f>A140+1</f>
        <v>3</v>
      </c>
      <c r="B141" s="97"/>
      <c r="C141" s="69" t="s">
        <v>339</v>
      </c>
      <c r="D141" s="71">
        <f>(6.5*10.27)*(10.764)</f>
        <v>718.55081999999993</v>
      </c>
      <c r="E141" s="71">
        <f>(5.05*1.5)*(10.764)</f>
        <v>81.537299999999988</v>
      </c>
      <c r="F141" s="69">
        <f>D141+E141</f>
        <v>800.08811999999989</v>
      </c>
      <c r="G141" s="69">
        <f>(((1.5+2.4)/2)*6.5)*(10.764)</f>
        <v>136.43369999999999</v>
      </c>
      <c r="H141" s="69">
        <f t="shared" si="1"/>
        <v>1302.4574549999998</v>
      </c>
      <c r="I141" s="36"/>
      <c r="N141" s="36"/>
      <c r="T141" s="21"/>
    </row>
    <row r="142" spans="1:20" s="70" customFormat="1" ht="15.75" customHeight="1" x14ac:dyDescent="0.35">
      <c r="A142" s="96">
        <f>A141+1</f>
        <v>4</v>
      </c>
      <c r="B142" s="97"/>
      <c r="C142" s="69" t="s">
        <v>339</v>
      </c>
      <c r="D142" s="71">
        <f>(6.5*10.27)*(10.764)</f>
        <v>718.55081999999993</v>
      </c>
      <c r="E142" s="71">
        <f>(4.91*1.5)*(10.764)</f>
        <v>79.276859999999999</v>
      </c>
      <c r="F142" s="69">
        <f t="shared" ref="F142:F146" si="4">D142+E142</f>
        <v>797.82767999999987</v>
      </c>
      <c r="G142" s="69">
        <f>(((2.4+3.5)/2)*6.5)*(10.764)</f>
        <v>206.3997</v>
      </c>
      <c r="H142" s="69">
        <f t="shared" si="1"/>
        <v>1299.9413699999998</v>
      </c>
      <c r="I142" s="36"/>
      <c r="N142" s="36"/>
      <c r="T142" s="21"/>
    </row>
    <row r="143" spans="1:20" s="70" customFormat="1" ht="15.75" customHeight="1" x14ac:dyDescent="0.35">
      <c r="A143" s="96">
        <f t="shared" ref="A143:A146" si="5">A142+1</f>
        <v>5</v>
      </c>
      <c r="B143" s="97"/>
      <c r="C143" s="69" t="s">
        <v>339</v>
      </c>
      <c r="D143" s="71">
        <f>(7.9*12.32)*(10.764)</f>
        <v>1047.638592</v>
      </c>
      <c r="E143" s="71">
        <f>(6.48*1.5)*(10.764)</f>
        <v>104.62608</v>
      </c>
      <c r="F143" s="69">
        <f t="shared" si="4"/>
        <v>1152.264672</v>
      </c>
      <c r="G143" s="69">
        <f>(((1.3+2.6)/2)*8)*(10.764)</f>
        <v>167.91839999999999</v>
      </c>
      <c r="H143" s="69">
        <f t="shared" si="1"/>
        <v>1854.335808</v>
      </c>
      <c r="I143" s="36"/>
      <c r="J143" s="70">
        <f>11+8+10+40+9+30</f>
        <v>108</v>
      </c>
      <c r="N143" s="36"/>
      <c r="T143" s="21"/>
    </row>
    <row r="144" spans="1:20" s="70" customFormat="1" ht="15.75" customHeight="1" x14ac:dyDescent="0.35">
      <c r="A144" s="96">
        <f t="shared" si="5"/>
        <v>6</v>
      </c>
      <c r="B144" s="97"/>
      <c r="C144" s="69" t="s">
        <v>339</v>
      </c>
      <c r="D144" s="71">
        <f>(7.9*12.32)*(10.764)</f>
        <v>1047.638592</v>
      </c>
      <c r="E144" s="71">
        <f>(6.39*1.5)*(10.764)</f>
        <v>103.17293999999998</v>
      </c>
      <c r="F144" s="69">
        <f t="shared" si="4"/>
        <v>1150.8115319999999</v>
      </c>
      <c r="G144" s="69">
        <f>(((2.6+3.9)/2)*8)*(10.764)</f>
        <v>279.86399999999998</v>
      </c>
      <c r="H144" s="69">
        <f t="shared" si="1"/>
        <v>1866.1492979999998</v>
      </c>
      <c r="I144" s="36"/>
      <c r="N144" s="36"/>
      <c r="T144" s="21"/>
    </row>
    <row r="145" spans="1:20" s="70" customFormat="1" ht="15.75" customHeight="1" x14ac:dyDescent="0.35">
      <c r="A145" s="96">
        <f t="shared" si="5"/>
        <v>7</v>
      </c>
      <c r="B145" s="97"/>
      <c r="C145" s="69" t="s">
        <v>328</v>
      </c>
      <c r="D145" s="71">
        <f>(6.57*9.4)*(10.764)</f>
        <v>664.76311199999998</v>
      </c>
      <c r="E145" s="71">
        <f>((4.92*1.5)*(10.764))*(10.764)</f>
        <v>855.0740764799998</v>
      </c>
      <c r="F145" s="69">
        <f t="shared" si="4"/>
        <v>1519.8371884799999</v>
      </c>
      <c r="G145" s="69">
        <v>0</v>
      </c>
      <c r="H145" s="69">
        <f t="shared" si="1"/>
        <v>2279.7557827199998</v>
      </c>
      <c r="I145" s="36"/>
      <c r="N145" s="36"/>
      <c r="T145" s="21"/>
    </row>
    <row r="146" spans="1:20" s="70" customFormat="1" ht="15.75" customHeight="1" x14ac:dyDescent="0.35">
      <c r="A146" s="96">
        <f t="shared" si="5"/>
        <v>8</v>
      </c>
      <c r="B146" s="97"/>
      <c r="C146" s="69" t="s">
        <v>328</v>
      </c>
      <c r="D146" s="71">
        <f>(6.57*9.4)*(10.764)</f>
        <v>664.76311199999998</v>
      </c>
      <c r="E146" s="71">
        <f>((4.92*1.5)*(10.764))*(10.764)</f>
        <v>855.0740764799998</v>
      </c>
      <c r="F146" s="69">
        <f t="shared" si="4"/>
        <v>1519.8371884799999</v>
      </c>
      <c r="G146" s="69">
        <v>0</v>
      </c>
      <c r="H146" s="69">
        <f t="shared" si="1"/>
        <v>2279.7557827199998</v>
      </c>
      <c r="I146" s="36"/>
      <c r="N146" s="36"/>
      <c r="T146" s="21"/>
    </row>
    <row r="147" spans="1:20" s="70" customFormat="1" ht="15.75" customHeight="1" x14ac:dyDescent="0.35">
      <c r="A147" s="130" t="s">
        <v>319</v>
      </c>
      <c r="B147" s="131"/>
      <c r="C147" s="131"/>
      <c r="D147" s="131"/>
      <c r="E147" s="131"/>
      <c r="F147" s="131"/>
      <c r="G147" s="131"/>
      <c r="H147" s="132"/>
      <c r="I147" s="36"/>
      <c r="N147" s="36"/>
      <c r="T147" s="21"/>
    </row>
    <row r="148" spans="1:20" s="70" customFormat="1" ht="15.75" customHeight="1" x14ac:dyDescent="0.35">
      <c r="A148" s="96">
        <v>1</v>
      </c>
      <c r="B148" s="97"/>
      <c r="C148" s="69" t="s">
        <v>308</v>
      </c>
      <c r="D148" s="71">
        <f>(8*7.91)*(10.764)</f>
        <v>681.14591999999993</v>
      </c>
      <c r="E148" s="71">
        <f>(6.27*1.5)*(10.764)</f>
        <v>101.23541999999999</v>
      </c>
      <c r="F148" s="69">
        <f>D148+E148</f>
        <v>782.38133999999991</v>
      </c>
      <c r="G148" s="83">
        <v>0</v>
      </c>
      <c r="H148" s="69">
        <f t="shared" si="1"/>
        <v>1173.5720099999999</v>
      </c>
      <c r="I148" s="36"/>
      <c r="N148" s="36"/>
      <c r="T148" s="21"/>
    </row>
    <row r="149" spans="1:20" s="70" customFormat="1" ht="15.75" customHeight="1" x14ac:dyDescent="0.35">
      <c r="A149" s="96">
        <f>A148+1</f>
        <v>2</v>
      </c>
      <c r="B149" s="97"/>
      <c r="C149" s="69" t="s">
        <v>308</v>
      </c>
      <c r="D149" s="71">
        <f>(7.7*7.91)*(10.764)</f>
        <v>655.60294799999997</v>
      </c>
      <c r="E149" s="71">
        <f>(6.01*1.5)*(10.764)</f>
        <v>97.037459999999996</v>
      </c>
      <c r="F149" s="69">
        <f>D149+E149</f>
        <v>752.64040799999998</v>
      </c>
      <c r="G149" s="83">
        <v>0</v>
      </c>
      <c r="H149" s="69">
        <f t="shared" si="1"/>
        <v>1128.9606119999999</v>
      </c>
      <c r="I149" s="36"/>
      <c r="N149" s="36"/>
      <c r="T149" s="21"/>
    </row>
    <row r="150" spans="1:20" s="70" customFormat="1" ht="15.75" customHeight="1" x14ac:dyDescent="0.35">
      <c r="A150" s="96">
        <f>A149+1</f>
        <v>3</v>
      </c>
      <c r="B150" s="97"/>
      <c r="C150" s="69" t="s">
        <v>308</v>
      </c>
      <c r="D150" s="71">
        <f>(6.5*10.27)*(10.764)</f>
        <v>718.55081999999993</v>
      </c>
      <c r="E150" s="71">
        <f>(4.76*1.5)*(10.764)</f>
        <v>76.854959999999991</v>
      </c>
      <c r="F150" s="69">
        <f>D150+E150</f>
        <v>795.40577999999994</v>
      </c>
      <c r="G150" s="83">
        <v>0</v>
      </c>
      <c r="H150" s="69">
        <f t="shared" si="1"/>
        <v>1193.1086699999998</v>
      </c>
      <c r="I150" s="36"/>
      <c r="N150" s="36"/>
      <c r="T150" s="21"/>
    </row>
    <row r="151" spans="1:20" s="70" customFormat="1" ht="15.75" customHeight="1" x14ac:dyDescent="0.35">
      <c r="A151" s="96">
        <f>A150+1</f>
        <v>4</v>
      </c>
      <c r="B151" s="97"/>
      <c r="C151" s="69" t="s">
        <v>308</v>
      </c>
      <c r="D151" s="71">
        <f>(6.5*10.27)*(10.764)</f>
        <v>718.55081999999993</v>
      </c>
      <c r="E151" s="71">
        <f>(4.76*1.5)*(10.764)</f>
        <v>76.854959999999991</v>
      </c>
      <c r="F151" s="69">
        <f t="shared" ref="F151:F157" si="6">D151+E151</f>
        <v>795.40577999999994</v>
      </c>
      <c r="G151" s="83">
        <v>0</v>
      </c>
      <c r="H151" s="69">
        <f t="shared" si="1"/>
        <v>1193.1086699999998</v>
      </c>
      <c r="I151" s="36"/>
      <c r="N151" s="36"/>
      <c r="T151" s="21"/>
    </row>
    <row r="152" spans="1:20" s="70" customFormat="1" ht="15.75" customHeight="1" x14ac:dyDescent="0.35">
      <c r="A152" s="96">
        <f t="shared" ref="A152:A155" si="7">A151+1</f>
        <v>5</v>
      </c>
      <c r="B152" s="97"/>
      <c r="C152" s="69" t="s">
        <v>308</v>
      </c>
      <c r="D152" s="71">
        <f>(7.9*12.5)*(10.764)</f>
        <v>1062.9449999999999</v>
      </c>
      <c r="E152" s="71">
        <f>(6.18*1.5)*(10.764)</f>
        <v>99.782279999999986</v>
      </c>
      <c r="F152" s="69">
        <f t="shared" si="6"/>
        <v>1162.7272799999998</v>
      </c>
      <c r="G152" s="83">
        <v>0</v>
      </c>
      <c r="H152" s="69">
        <f t="shared" si="1"/>
        <v>1744.0909199999996</v>
      </c>
      <c r="I152" s="36"/>
      <c r="N152" s="36"/>
      <c r="T152" s="21"/>
    </row>
    <row r="153" spans="1:20" s="70" customFormat="1" ht="15.75" customHeight="1" x14ac:dyDescent="0.35">
      <c r="A153" s="96">
        <f t="shared" si="7"/>
        <v>6</v>
      </c>
      <c r="B153" s="97"/>
      <c r="C153" s="69" t="s">
        <v>308</v>
      </c>
      <c r="D153" s="71">
        <f>(7.9*12.5)*(10.764)</f>
        <v>1062.9449999999999</v>
      </c>
      <c r="E153" s="71">
        <f>(6.09*1.5)*(10.764)</f>
        <v>98.329139999999995</v>
      </c>
      <c r="F153" s="69">
        <f t="shared" si="6"/>
        <v>1161.27414</v>
      </c>
      <c r="G153" s="83">
        <v>0</v>
      </c>
      <c r="H153" s="69">
        <f t="shared" si="1"/>
        <v>1741.91121</v>
      </c>
      <c r="I153" s="36"/>
      <c r="N153" s="36"/>
      <c r="T153" s="21"/>
    </row>
    <row r="154" spans="1:20" s="70" customFormat="1" ht="31.5" customHeight="1" x14ac:dyDescent="0.35">
      <c r="A154" s="96">
        <f t="shared" si="7"/>
        <v>7</v>
      </c>
      <c r="B154" s="97"/>
      <c r="C154" s="69" t="s">
        <v>327</v>
      </c>
      <c r="D154" s="71">
        <f>(6.57*9.4)*(10.764)</f>
        <v>664.76311199999998</v>
      </c>
      <c r="E154" s="71">
        <f>((4.92*1.5))*(10.764)</f>
        <v>79.43831999999999</v>
      </c>
      <c r="F154" s="69">
        <f t="shared" si="6"/>
        <v>744.20143199999995</v>
      </c>
      <c r="G154" s="69">
        <v>0</v>
      </c>
      <c r="H154" s="69">
        <f t="shared" si="1"/>
        <v>1116.302148</v>
      </c>
      <c r="I154" s="36"/>
      <c r="N154" s="36"/>
      <c r="T154" s="21"/>
    </row>
    <row r="155" spans="1:20" s="70" customFormat="1" ht="31.5" customHeight="1" x14ac:dyDescent="0.35">
      <c r="A155" s="96">
        <f t="shared" si="7"/>
        <v>8</v>
      </c>
      <c r="B155" s="97"/>
      <c r="C155" s="69" t="s">
        <v>327</v>
      </c>
      <c r="D155" s="71">
        <f>(2.07*2.31+6.33*3.15+7.44*2.85+1.5*2.85)*(10.764)</f>
        <v>540.35495279999998</v>
      </c>
      <c r="E155" s="71">
        <f>((7.44*1.5))*(10.764)</f>
        <v>120.12624</v>
      </c>
      <c r="F155" s="69">
        <f t="shared" si="6"/>
        <v>660.48119279999992</v>
      </c>
      <c r="G155" s="69">
        <v>0</v>
      </c>
      <c r="H155" s="69">
        <f t="shared" si="1"/>
        <v>990.72178919999988</v>
      </c>
      <c r="I155" s="36"/>
      <c r="N155" s="36"/>
      <c r="T155" s="21"/>
    </row>
    <row r="156" spans="1:20" s="70" customFormat="1" ht="31.5" customHeight="1" x14ac:dyDescent="0.35">
      <c r="A156" s="96">
        <f t="shared" ref="A156:A157" si="8">A155+1</f>
        <v>9</v>
      </c>
      <c r="B156" s="97"/>
      <c r="C156" s="69" t="s">
        <v>327</v>
      </c>
      <c r="D156" s="71">
        <f>(((6.33*3.75+4.68*2.1+1.5*2.1+2.07*2.31)))*(10.764)</f>
        <v>446.67586079999995</v>
      </c>
      <c r="E156" s="71">
        <f>((4.68*1.5))*(10.764)</f>
        <v>75.563279999999992</v>
      </c>
      <c r="F156" s="69">
        <f t="shared" si="6"/>
        <v>522.23914079999997</v>
      </c>
      <c r="G156" s="69">
        <v>0</v>
      </c>
      <c r="H156" s="69">
        <f t="shared" si="1"/>
        <v>783.35871120000002</v>
      </c>
      <c r="I156" s="36"/>
      <c r="N156" s="36"/>
      <c r="T156" s="21"/>
    </row>
    <row r="157" spans="1:20" s="70" customFormat="1" ht="15.75" customHeight="1" x14ac:dyDescent="0.35">
      <c r="A157" s="96">
        <f t="shared" si="8"/>
        <v>10</v>
      </c>
      <c r="B157" s="97"/>
      <c r="C157" s="69" t="s">
        <v>308</v>
      </c>
      <c r="D157" s="71">
        <f>(6.57*9.4)*(10.764)</f>
        <v>664.76311199999998</v>
      </c>
      <c r="E157" s="71">
        <f>((4.92*1.5))*(10.764)</f>
        <v>79.43831999999999</v>
      </c>
      <c r="F157" s="69">
        <f t="shared" si="6"/>
        <v>744.20143199999995</v>
      </c>
      <c r="G157" s="69">
        <v>0</v>
      </c>
      <c r="H157" s="69">
        <f t="shared" si="1"/>
        <v>1116.302148</v>
      </c>
      <c r="I157" s="36"/>
      <c r="N157" s="36"/>
      <c r="T157" s="21"/>
    </row>
    <row r="158" spans="1:20" s="81" customFormat="1" ht="15.75" customHeight="1" x14ac:dyDescent="0.35">
      <c r="A158" s="130" t="s">
        <v>320</v>
      </c>
      <c r="B158" s="131"/>
      <c r="C158" s="131"/>
      <c r="D158" s="131"/>
      <c r="E158" s="131"/>
      <c r="F158" s="131"/>
      <c r="G158" s="131"/>
      <c r="H158" s="132"/>
      <c r="I158" s="36"/>
      <c r="N158" s="36"/>
      <c r="T158" s="21"/>
    </row>
    <row r="159" spans="1:20" s="81" customFormat="1" ht="15.75" customHeight="1" x14ac:dyDescent="0.35">
      <c r="A159" s="96">
        <v>1</v>
      </c>
      <c r="B159" s="97"/>
      <c r="C159" s="69" t="s">
        <v>308</v>
      </c>
      <c r="D159" s="71">
        <f>(8*7.91)*(10.764)</f>
        <v>681.14591999999993</v>
      </c>
      <c r="E159" s="71">
        <f>(6.27*1.5)*(10.764)</f>
        <v>101.23541999999999</v>
      </c>
      <c r="F159" s="69">
        <f>D159+E159</f>
        <v>782.38133999999991</v>
      </c>
      <c r="G159" s="83">
        <v>0</v>
      </c>
      <c r="H159" s="69">
        <f t="shared" si="1"/>
        <v>1173.5720099999999</v>
      </c>
      <c r="I159" s="36"/>
      <c r="N159" s="36"/>
      <c r="T159" s="21"/>
    </row>
    <row r="160" spans="1:20" s="81" customFormat="1" ht="15.75" customHeight="1" x14ac:dyDescent="0.35">
      <c r="A160" s="96">
        <f>A159+1</f>
        <v>2</v>
      </c>
      <c r="B160" s="97"/>
      <c r="C160" s="69" t="s">
        <v>308</v>
      </c>
      <c r="D160" s="71">
        <f>(7.7*7.91)*(10.764)</f>
        <v>655.60294799999997</v>
      </c>
      <c r="E160" s="71">
        <f>(6.01*1.5)*(10.764)</f>
        <v>97.037459999999996</v>
      </c>
      <c r="F160" s="69">
        <f>D160+E160</f>
        <v>752.64040799999998</v>
      </c>
      <c r="G160" s="83">
        <v>0</v>
      </c>
      <c r="H160" s="69">
        <f t="shared" si="1"/>
        <v>1128.9606119999999</v>
      </c>
      <c r="I160" s="36"/>
      <c r="N160" s="36"/>
      <c r="T160" s="21"/>
    </row>
    <row r="161" spans="1:20" s="81" customFormat="1" ht="15.75" customHeight="1" x14ac:dyDescent="0.35">
      <c r="A161" s="96">
        <f>A160+1</f>
        <v>3</v>
      </c>
      <c r="B161" s="97"/>
      <c r="C161" s="69" t="s">
        <v>308</v>
      </c>
      <c r="D161" s="71">
        <f>(6.5*10.27)*(10.764)</f>
        <v>718.55081999999993</v>
      </c>
      <c r="E161" s="71">
        <f>(4.76*1.5)*(10.764)</f>
        <v>76.854959999999991</v>
      </c>
      <c r="F161" s="69">
        <f>D161+E161</f>
        <v>795.40577999999994</v>
      </c>
      <c r="G161" s="83">
        <v>0</v>
      </c>
      <c r="H161" s="69">
        <f t="shared" si="1"/>
        <v>1193.1086699999998</v>
      </c>
      <c r="I161" s="36"/>
      <c r="N161" s="36"/>
      <c r="T161" s="21"/>
    </row>
    <row r="162" spans="1:20" s="81" customFormat="1" ht="15.75" customHeight="1" x14ac:dyDescent="0.35">
      <c r="A162" s="96">
        <f>A161+1</f>
        <v>4</v>
      </c>
      <c r="B162" s="97"/>
      <c r="C162" s="69" t="s">
        <v>308</v>
      </c>
      <c r="D162" s="71">
        <f>(6.5*10.27)*(10.764)</f>
        <v>718.55081999999993</v>
      </c>
      <c r="E162" s="71">
        <f>(4.76*1.5)*(10.764)</f>
        <v>76.854959999999991</v>
      </c>
      <c r="F162" s="69">
        <f t="shared" ref="F162:F168" si="9">D162+E162</f>
        <v>795.40577999999994</v>
      </c>
      <c r="G162" s="83">
        <v>0</v>
      </c>
      <c r="H162" s="69">
        <f t="shared" si="1"/>
        <v>1193.1086699999998</v>
      </c>
      <c r="I162" s="36"/>
      <c r="N162" s="36"/>
      <c r="T162" s="21"/>
    </row>
    <row r="163" spans="1:20" s="81" customFormat="1" ht="15.75" customHeight="1" x14ac:dyDescent="0.35">
      <c r="A163" s="96">
        <f t="shared" ref="A163:A168" si="10">A162+1</f>
        <v>5</v>
      </c>
      <c r="B163" s="97"/>
      <c r="C163" s="69" t="s">
        <v>308</v>
      </c>
      <c r="D163" s="71">
        <f>(7.9*12.5)*(10.764)</f>
        <v>1062.9449999999999</v>
      </c>
      <c r="E163" s="71">
        <f>(6.18*1.5)*(10.764)</f>
        <v>99.782279999999986</v>
      </c>
      <c r="F163" s="69">
        <f t="shared" si="9"/>
        <v>1162.7272799999998</v>
      </c>
      <c r="G163" s="83">
        <v>0</v>
      </c>
      <c r="H163" s="69">
        <f t="shared" si="1"/>
        <v>1744.0909199999996</v>
      </c>
      <c r="I163" s="36"/>
      <c r="N163" s="36"/>
      <c r="T163" s="21"/>
    </row>
    <row r="164" spans="1:20" s="81" customFormat="1" ht="15.75" customHeight="1" x14ac:dyDescent="0.35">
      <c r="A164" s="96">
        <f t="shared" si="10"/>
        <v>6</v>
      </c>
      <c r="B164" s="97"/>
      <c r="C164" s="69" t="s">
        <v>308</v>
      </c>
      <c r="D164" s="71">
        <f>(7.9*12.5)*(10.764)</f>
        <v>1062.9449999999999</v>
      </c>
      <c r="E164" s="71">
        <f>(6.09*1.5)*(10.764)</f>
        <v>98.329139999999995</v>
      </c>
      <c r="F164" s="69">
        <f t="shared" si="9"/>
        <v>1161.27414</v>
      </c>
      <c r="G164" s="83">
        <v>0</v>
      </c>
      <c r="H164" s="69">
        <f t="shared" si="1"/>
        <v>1741.91121</v>
      </c>
      <c r="I164" s="36"/>
      <c r="N164" s="36"/>
      <c r="T164" s="21"/>
    </row>
    <row r="165" spans="1:20" s="81" customFormat="1" ht="15.75" customHeight="1" x14ac:dyDescent="0.35">
      <c r="A165" s="96">
        <f t="shared" si="10"/>
        <v>7</v>
      </c>
      <c r="B165" s="97"/>
      <c r="C165" s="69" t="s">
        <v>308</v>
      </c>
      <c r="D165" s="71">
        <f>(6.57*9.4)*(10.764)</f>
        <v>664.76311199999998</v>
      </c>
      <c r="E165" s="71">
        <f>((4.92*1.5))*(10.764)</f>
        <v>79.43831999999999</v>
      </c>
      <c r="F165" s="69">
        <f t="shared" si="9"/>
        <v>744.20143199999995</v>
      </c>
      <c r="G165" s="69">
        <v>0</v>
      </c>
      <c r="H165" s="69">
        <f t="shared" si="1"/>
        <v>1116.302148</v>
      </c>
      <c r="I165" s="36"/>
      <c r="N165" s="36"/>
      <c r="T165" s="21"/>
    </row>
    <row r="166" spans="1:20" s="81" customFormat="1" ht="15.75" customHeight="1" x14ac:dyDescent="0.35">
      <c r="A166" s="96">
        <f t="shared" si="10"/>
        <v>8</v>
      </c>
      <c r="B166" s="97"/>
      <c r="C166" s="69" t="s">
        <v>308</v>
      </c>
      <c r="D166" s="71">
        <f>(2.07*2.31+6.33*3.15+7.44*2.85+1.5*2.85)*(10.764)</f>
        <v>540.35495279999998</v>
      </c>
      <c r="E166" s="71">
        <f>((7.44*1.5))*(10.764)</f>
        <v>120.12624</v>
      </c>
      <c r="F166" s="69">
        <f t="shared" si="9"/>
        <v>660.48119279999992</v>
      </c>
      <c r="G166" s="69">
        <v>0</v>
      </c>
      <c r="H166" s="69">
        <f t="shared" si="1"/>
        <v>990.72178919999988</v>
      </c>
      <c r="I166" s="36"/>
      <c r="N166" s="36"/>
      <c r="T166" s="21"/>
    </row>
    <row r="167" spans="1:20" s="81" customFormat="1" ht="15.75" customHeight="1" x14ac:dyDescent="0.35">
      <c r="A167" s="96">
        <f t="shared" si="10"/>
        <v>9</v>
      </c>
      <c r="B167" s="97"/>
      <c r="C167" s="69" t="s">
        <v>308</v>
      </c>
      <c r="D167" s="71">
        <f>(((6.33*3.75+4.68*2.1+1.5*2.1+2.07*2.31)))*(10.764)</f>
        <v>446.67586079999995</v>
      </c>
      <c r="E167" s="71">
        <f>((4.68*1.5))*(10.764)</f>
        <v>75.563279999999992</v>
      </c>
      <c r="F167" s="69">
        <f t="shared" si="9"/>
        <v>522.23914079999997</v>
      </c>
      <c r="G167" s="69">
        <v>0</v>
      </c>
      <c r="H167" s="69">
        <f t="shared" si="1"/>
        <v>783.35871120000002</v>
      </c>
      <c r="I167" s="36"/>
      <c r="N167" s="36"/>
      <c r="T167" s="21"/>
    </row>
    <row r="168" spans="1:20" s="81" customFormat="1" ht="15.75" customHeight="1" x14ac:dyDescent="0.35">
      <c r="A168" s="96">
        <f t="shared" si="10"/>
        <v>10</v>
      </c>
      <c r="B168" s="97"/>
      <c r="C168" s="69" t="s">
        <v>308</v>
      </c>
      <c r="D168" s="71">
        <f>(6.57*9.4)*(10.764)</f>
        <v>664.76311199999998</v>
      </c>
      <c r="E168" s="71">
        <f>((4.92*1.5))*(10.764)</f>
        <v>79.43831999999999</v>
      </c>
      <c r="F168" s="69">
        <f t="shared" si="9"/>
        <v>744.20143199999995</v>
      </c>
      <c r="G168" s="69">
        <v>0</v>
      </c>
      <c r="H168" s="69">
        <f t="shared" si="1"/>
        <v>1116.302148</v>
      </c>
      <c r="I168" s="36"/>
      <c r="N168" s="36"/>
      <c r="T168" s="21"/>
    </row>
    <row r="169" spans="1:20" s="70" customFormat="1" ht="15.75" customHeight="1" x14ac:dyDescent="0.35">
      <c r="A169" s="101" t="s">
        <v>309</v>
      </c>
      <c r="B169" s="102"/>
      <c r="C169" s="102"/>
      <c r="D169" s="102"/>
      <c r="E169" s="102"/>
      <c r="F169" s="102"/>
      <c r="G169" s="102"/>
      <c r="H169" s="103"/>
      <c r="I169" s="36"/>
      <c r="N169" s="36"/>
      <c r="T169" s="21"/>
    </row>
    <row r="170" spans="1:20" s="70" customFormat="1" ht="15.75" customHeight="1" x14ac:dyDescent="0.35">
      <c r="A170" s="96">
        <v>1</v>
      </c>
      <c r="B170" s="97"/>
      <c r="C170" s="69" t="s">
        <v>328</v>
      </c>
      <c r="D170" s="71">
        <f>(8*7.91)*(10.764)</f>
        <v>681.14591999999993</v>
      </c>
      <c r="E170" s="71">
        <f>(6.27*1.5)*(10.764)</f>
        <v>101.23541999999999</v>
      </c>
      <c r="F170" s="69">
        <f>D170+E170</f>
        <v>782.38133999999991</v>
      </c>
      <c r="G170" s="69">
        <v>0</v>
      </c>
      <c r="H170" s="69">
        <f t="shared" si="1"/>
        <v>1173.5720099999999</v>
      </c>
      <c r="I170" s="86">
        <f>8*7.9</f>
        <v>63.2</v>
      </c>
      <c r="J170" s="86">
        <f>6.57*1.5</f>
        <v>9.8550000000000004</v>
      </c>
      <c r="N170" s="36"/>
      <c r="T170" s="21"/>
    </row>
    <row r="171" spans="1:20" s="70" customFormat="1" ht="15.75" customHeight="1" x14ac:dyDescent="0.35">
      <c r="A171" s="96">
        <f>A170+1</f>
        <v>2</v>
      </c>
      <c r="B171" s="97"/>
      <c r="C171" s="69" t="s">
        <v>328</v>
      </c>
      <c r="D171" s="71">
        <f>(7.7*7.91)*(10.764)</f>
        <v>655.60294799999997</v>
      </c>
      <c r="E171" s="71">
        <f>(6.01*1.5)*(10.764)</f>
        <v>97.037459999999996</v>
      </c>
      <c r="F171" s="69">
        <f>D171+E171</f>
        <v>752.64040799999998</v>
      </c>
      <c r="G171" s="69">
        <v>0</v>
      </c>
      <c r="H171" s="69">
        <f t="shared" si="1"/>
        <v>1128.9606119999999</v>
      </c>
      <c r="I171" s="36"/>
      <c r="N171" s="36"/>
      <c r="T171" s="21"/>
    </row>
    <row r="172" spans="1:20" s="70" customFormat="1" ht="15.75" customHeight="1" x14ac:dyDescent="0.35">
      <c r="A172" s="96">
        <f>A171+1</f>
        <v>3</v>
      </c>
      <c r="B172" s="97"/>
      <c r="C172" s="69" t="s">
        <v>328</v>
      </c>
      <c r="D172" s="71">
        <f>(6.5*10.27)*(10.764)</f>
        <v>718.55081999999993</v>
      </c>
      <c r="E172" s="71">
        <f>(4.76*1.5)*(10.764)</f>
        <v>76.854959999999991</v>
      </c>
      <c r="F172" s="69">
        <f>D172+E172</f>
        <v>795.40577999999994</v>
      </c>
      <c r="G172" s="69">
        <v>0</v>
      </c>
      <c r="H172" s="69">
        <f t="shared" si="1"/>
        <v>1193.1086699999998</v>
      </c>
      <c r="I172" s="36"/>
      <c r="N172" s="36"/>
      <c r="T172" s="21"/>
    </row>
    <row r="173" spans="1:20" s="70" customFormat="1" ht="15.75" customHeight="1" x14ac:dyDescent="0.35">
      <c r="A173" s="96">
        <f>A172+1</f>
        <v>4</v>
      </c>
      <c r="B173" s="97"/>
      <c r="C173" s="69" t="s">
        <v>328</v>
      </c>
      <c r="D173" s="71">
        <f>(6.5*10.27)*(10.764)</f>
        <v>718.55081999999993</v>
      </c>
      <c r="E173" s="71">
        <f>(4.76*1.5)*(10.764)</f>
        <v>76.854959999999991</v>
      </c>
      <c r="F173" s="69">
        <f t="shared" ref="F173:F178" si="11">D173+E173</f>
        <v>795.40577999999994</v>
      </c>
      <c r="G173" s="69">
        <v>0</v>
      </c>
      <c r="H173" s="69">
        <f t="shared" si="1"/>
        <v>1193.1086699999998</v>
      </c>
      <c r="I173" s="36"/>
      <c r="N173" s="36"/>
      <c r="T173" s="21"/>
    </row>
    <row r="174" spans="1:20" s="70" customFormat="1" ht="15.75" customHeight="1" x14ac:dyDescent="0.35">
      <c r="A174" s="96">
        <f t="shared" ref="A174:A179" si="12">A173+1</f>
        <v>5</v>
      </c>
      <c r="B174" s="97"/>
      <c r="C174" s="69" t="s">
        <v>328</v>
      </c>
      <c r="D174" s="71">
        <f>(7.9*12.5)*(10.764)</f>
        <v>1062.9449999999999</v>
      </c>
      <c r="E174" s="71">
        <f>(6.18*1.5)*(10.764)</f>
        <v>99.782279999999986</v>
      </c>
      <c r="F174" s="69">
        <f t="shared" si="11"/>
        <v>1162.7272799999998</v>
      </c>
      <c r="G174" s="69">
        <v>0</v>
      </c>
      <c r="H174" s="69">
        <f t="shared" si="1"/>
        <v>1744.0909199999996</v>
      </c>
      <c r="I174" s="36">
        <f>(7.83*12.32)</f>
        <v>96.465600000000009</v>
      </c>
      <c r="J174" s="36">
        <f>6.48*1.5</f>
        <v>9.7200000000000006</v>
      </c>
      <c r="N174" s="36"/>
      <c r="T174" s="21"/>
    </row>
    <row r="175" spans="1:20" s="70" customFormat="1" ht="15.75" customHeight="1" x14ac:dyDescent="0.35">
      <c r="A175" s="96">
        <f t="shared" si="12"/>
        <v>6</v>
      </c>
      <c r="B175" s="97"/>
      <c r="C175" s="69" t="s">
        <v>328</v>
      </c>
      <c r="D175" s="71">
        <f>(7.9*12.5)*(10.764)</f>
        <v>1062.9449999999999</v>
      </c>
      <c r="E175" s="71">
        <f>(6.09*1.5)*(10.764)</f>
        <v>98.329139999999995</v>
      </c>
      <c r="F175" s="69">
        <f t="shared" si="11"/>
        <v>1161.27414</v>
      </c>
      <c r="G175" s="69">
        <v>0</v>
      </c>
      <c r="H175" s="69">
        <f t="shared" si="1"/>
        <v>1741.91121</v>
      </c>
      <c r="I175" s="36"/>
      <c r="N175" s="36"/>
      <c r="T175" s="21"/>
    </row>
    <row r="176" spans="1:20" s="70" customFormat="1" ht="15.75" customHeight="1" x14ac:dyDescent="0.35">
      <c r="A176" s="96">
        <f t="shared" si="12"/>
        <v>7</v>
      </c>
      <c r="B176" s="97"/>
      <c r="C176" s="69" t="s">
        <v>328</v>
      </c>
      <c r="D176" s="71">
        <f>(6.65*9.26)*(10.764)</f>
        <v>662.83635599999991</v>
      </c>
      <c r="E176" s="71">
        <f>((5.2*1.5))*(10.764)</f>
        <v>83.959199999999996</v>
      </c>
      <c r="F176" s="69">
        <f t="shared" si="11"/>
        <v>746.79555599999992</v>
      </c>
      <c r="G176" s="69">
        <v>0</v>
      </c>
      <c r="H176" s="69">
        <f t="shared" si="1"/>
        <v>1120.1933339999998</v>
      </c>
      <c r="I176" s="36"/>
      <c r="N176" s="36"/>
      <c r="T176" s="21"/>
    </row>
    <row r="177" spans="1:20" s="70" customFormat="1" ht="15.75" customHeight="1" x14ac:dyDescent="0.35">
      <c r="A177" s="96">
        <f t="shared" si="12"/>
        <v>8</v>
      </c>
      <c r="B177" s="97"/>
      <c r="C177" s="69" t="s">
        <v>328</v>
      </c>
      <c r="D177" s="71">
        <f>(1.77*2.31+6.33*3.15+7.44*2.85+1.5*2.85)*(10.764)</f>
        <v>532.89550079999992</v>
      </c>
      <c r="E177" s="71">
        <f>((7.44*1.5))*(10.764)</f>
        <v>120.12624</v>
      </c>
      <c r="F177" s="77">
        <f t="shared" si="11"/>
        <v>653.02174079999986</v>
      </c>
      <c r="G177" s="77">
        <v>0</v>
      </c>
      <c r="H177" s="69">
        <f t="shared" si="1"/>
        <v>979.53261119999979</v>
      </c>
      <c r="I177" s="86">
        <f>1.77*2.31+6.1*6.1+3*3</f>
        <v>50.298699999999997</v>
      </c>
      <c r="J177" s="36">
        <f>12.66*1.5</f>
        <v>18.990000000000002</v>
      </c>
      <c r="N177" s="36"/>
      <c r="T177" s="21"/>
    </row>
    <row r="178" spans="1:20" s="70" customFormat="1" ht="15.75" customHeight="1" x14ac:dyDescent="0.35">
      <c r="A178" s="96">
        <f t="shared" si="12"/>
        <v>9</v>
      </c>
      <c r="B178" s="97"/>
      <c r="C178" s="69" t="s">
        <v>328</v>
      </c>
      <c r="D178" s="71">
        <f>(((6.33*3.75+4.68*2.1+1.5*2.1+2.29*2.31)))*(10.764)</f>
        <v>452.1461256</v>
      </c>
      <c r="E178" s="71">
        <f>((5.2*1.5))*(10.764)</f>
        <v>83.959199999999996</v>
      </c>
      <c r="F178" s="77">
        <f t="shared" si="11"/>
        <v>536.10532560000001</v>
      </c>
      <c r="G178" s="77">
        <v>0</v>
      </c>
      <c r="H178" s="69">
        <f t="shared" si="1"/>
        <v>804.15798840000002</v>
      </c>
      <c r="I178" s="36">
        <f>(6.63*6+2.29*2.31)</f>
        <v>45.069900000000004</v>
      </c>
      <c r="N178" s="36"/>
      <c r="T178" s="21"/>
    </row>
    <row r="179" spans="1:20" s="73" customFormat="1" ht="15.75" customHeight="1" x14ac:dyDescent="0.35">
      <c r="A179" s="96">
        <f t="shared" si="12"/>
        <v>10</v>
      </c>
      <c r="B179" s="97"/>
      <c r="C179" s="210" t="s">
        <v>317</v>
      </c>
      <c r="D179" s="211"/>
      <c r="E179" s="211"/>
      <c r="F179" s="211"/>
      <c r="G179" s="212"/>
      <c r="H179" s="69" t="s">
        <v>316</v>
      </c>
      <c r="I179" s="36">
        <f>(6.63*6+2.29*2.31)</f>
        <v>45.069900000000004</v>
      </c>
      <c r="N179" s="36"/>
      <c r="T179" s="21"/>
    </row>
    <row r="180" spans="1:20" s="70" customFormat="1" ht="15.75" customHeight="1" x14ac:dyDescent="0.35">
      <c r="A180" s="101" t="s">
        <v>329</v>
      </c>
      <c r="B180" s="102"/>
      <c r="C180" s="102"/>
      <c r="D180" s="102"/>
      <c r="E180" s="102"/>
      <c r="F180" s="102"/>
      <c r="G180" s="102"/>
      <c r="H180" s="103"/>
      <c r="I180" s="36"/>
      <c r="N180" s="36"/>
      <c r="T180" s="21"/>
    </row>
    <row r="181" spans="1:20" s="70" customFormat="1" ht="15.75" customHeight="1" x14ac:dyDescent="0.35">
      <c r="A181" s="96">
        <v>1</v>
      </c>
      <c r="B181" s="97"/>
      <c r="C181" s="69" t="s">
        <v>328</v>
      </c>
      <c r="D181" s="71">
        <f>(8*7.91)*(10.764)</f>
        <v>681.14591999999993</v>
      </c>
      <c r="E181" s="71">
        <f>(6.27*1.5)*(10.764)</f>
        <v>101.23541999999999</v>
      </c>
      <c r="F181" s="69">
        <f>D181+E181</f>
        <v>782.38133999999991</v>
      </c>
      <c r="G181" s="69">
        <v>0</v>
      </c>
      <c r="H181" s="69">
        <f t="shared" ref="H181:H190" si="13">(F181+(IF(G181&lt;101,G181,IF(G181&lt;201,G181/2,IF(G181&lt;=301,G181/3,G181/4)))))*(($H$123)+1)</f>
        <v>1173.5720099999999</v>
      </c>
      <c r="I181" s="36">
        <f>7.92*7.76</f>
        <v>61.459199999999996</v>
      </c>
      <c r="J181" s="36">
        <f>6.57*1.5</f>
        <v>9.8550000000000004</v>
      </c>
      <c r="N181" s="36"/>
      <c r="T181" s="21"/>
    </row>
    <row r="182" spans="1:20" s="70" customFormat="1" ht="15.75" customHeight="1" x14ac:dyDescent="0.35">
      <c r="A182" s="96">
        <f>A181+1</f>
        <v>2</v>
      </c>
      <c r="B182" s="97"/>
      <c r="C182" s="69" t="s">
        <v>328</v>
      </c>
      <c r="D182" s="71">
        <f>(7.7*7.91)*(10.764)</f>
        <v>655.60294799999997</v>
      </c>
      <c r="E182" s="71">
        <f>(6.01*1.5)*(10.764)</f>
        <v>97.037459999999996</v>
      </c>
      <c r="F182" s="69">
        <f>D182+E182</f>
        <v>752.64040799999998</v>
      </c>
      <c r="G182" s="69">
        <v>0</v>
      </c>
      <c r="H182" s="69">
        <f t="shared" si="13"/>
        <v>1128.9606119999999</v>
      </c>
      <c r="I182" s="36">
        <f>(7.66*7.76)</f>
        <v>59.441600000000001</v>
      </c>
      <c r="J182" s="36">
        <f>6.16*1.5</f>
        <v>9.24</v>
      </c>
      <c r="N182" s="36"/>
      <c r="T182" s="21"/>
    </row>
    <row r="183" spans="1:20" s="70" customFormat="1" ht="15.75" customHeight="1" x14ac:dyDescent="0.35">
      <c r="A183" s="96">
        <f>A182+1</f>
        <v>3</v>
      </c>
      <c r="B183" s="97"/>
      <c r="C183" s="69" t="s">
        <v>328</v>
      </c>
      <c r="D183" s="71">
        <f>(6.5*10.27)*(10.764)</f>
        <v>718.55081999999993</v>
      </c>
      <c r="E183" s="71">
        <f>(4.76*1.5)*(10.764)</f>
        <v>76.854959999999991</v>
      </c>
      <c r="F183" s="69">
        <f>D183+E183</f>
        <v>795.40577999999994</v>
      </c>
      <c r="G183" s="69">
        <v>0</v>
      </c>
      <c r="H183" s="69">
        <f t="shared" si="13"/>
        <v>1193.1086699999998</v>
      </c>
      <c r="I183" s="36">
        <f>6.4*10.27</f>
        <v>65.727999999999994</v>
      </c>
      <c r="J183" s="36">
        <f>5.05*1.5</f>
        <v>7.5749999999999993</v>
      </c>
      <c r="N183" s="36"/>
      <c r="T183" s="21"/>
    </row>
    <row r="184" spans="1:20" s="70" customFormat="1" ht="15.75" customHeight="1" x14ac:dyDescent="0.35">
      <c r="A184" s="96">
        <f>A183+1</f>
        <v>4</v>
      </c>
      <c r="B184" s="97"/>
      <c r="C184" s="69" t="s">
        <v>328</v>
      </c>
      <c r="D184" s="71">
        <f>(6.5*10.27)*(10.764)</f>
        <v>718.55081999999993</v>
      </c>
      <c r="E184" s="71">
        <f>(4.76*1.5)*(10.764)</f>
        <v>76.854959999999991</v>
      </c>
      <c r="F184" s="69">
        <f t="shared" ref="F184:F190" si="14">D184+E184</f>
        <v>795.40577999999994</v>
      </c>
      <c r="G184" s="69">
        <v>0</v>
      </c>
      <c r="H184" s="69">
        <f t="shared" si="13"/>
        <v>1193.1086699999998</v>
      </c>
      <c r="I184" s="36">
        <f>6.41*10.27</f>
        <v>65.830699999999993</v>
      </c>
      <c r="J184" s="36">
        <f>4.91*1.5</f>
        <v>7.3650000000000002</v>
      </c>
      <c r="N184" s="36"/>
      <c r="T184" s="21"/>
    </row>
    <row r="185" spans="1:20" s="70" customFormat="1" ht="15.75" customHeight="1" x14ac:dyDescent="0.35">
      <c r="A185" s="96">
        <f t="shared" ref="A185:A190" si="15">A184+1</f>
        <v>5</v>
      </c>
      <c r="B185" s="97"/>
      <c r="C185" s="69" t="s">
        <v>328</v>
      </c>
      <c r="D185" s="71">
        <f>(7.9*12.5)*(10.764)</f>
        <v>1062.9449999999999</v>
      </c>
      <c r="E185" s="71">
        <f>(6.18*1.5)*(10.764)</f>
        <v>99.782279999999986</v>
      </c>
      <c r="F185" s="69">
        <f t="shared" si="14"/>
        <v>1162.7272799999998</v>
      </c>
      <c r="G185" s="69">
        <v>0</v>
      </c>
      <c r="H185" s="69">
        <f t="shared" si="13"/>
        <v>1744.0909199999996</v>
      </c>
      <c r="I185" s="36">
        <f>7.83*12.32</f>
        <v>96.465600000000009</v>
      </c>
      <c r="J185" s="36">
        <f>6.4*1.5</f>
        <v>9.6000000000000014</v>
      </c>
      <c r="N185" s="36"/>
      <c r="T185" s="21"/>
    </row>
    <row r="186" spans="1:20" s="70" customFormat="1" ht="15.75" customHeight="1" x14ac:dyDescent="0.35">
      <c r="A186" s="96">
        <f t="shared" si="15"/>
        <v>6</v>
      </c>
      <c r="B186" s="97"/>
      <c r="C186" s="69" t="s">
        <v>328</v>
      </c>
      <c r="D186" s="71">
        <f>(7.9*12.5)*(10.764)</f>
        <v>1062.9449999999999</v>
      </c>
      <c r="E186" s="71">
        <f>(6.09*1.5)*(10.764)</f>
        <v>98.329139999999995</v>
      </c>
      <c r="F186" s="69">
        <f t="shared" si="14"/>
        <v>1161.27414</v>
      </c>
      <c r="G186" s="69">
        <v>0</v>
      </c>
      <c r="H186" s="69">
        <f t="shared" si="13"/>
        <v>1741.91121</v>
      </c>
      <c r="I186" s="36">
        <f>7.74*12.32</f>
        <v>95.356800000000007</v>
      </c>
      <c r="J186" s="36">
        <f>6.39*1.5</f>
        <v>9.5849999999999991</v>
      </c>
      <c r="N186" s="36"/>
      <c r="T186" s="21"/>
    </row>
    <row r="187" spans="1:20" s="70" customFormat="1" ht="15.75" customHeight="1" x14ac:dyDescent="0.35">
      <c r="A187" s="96">
        <f t="shared" si="15"/>
        <v>7</v>
      </c>
      <c r="B187" s="97"/>
      <c r="C187" s="69" t="s">
        <v>328</v>
      </c>
      <c r="D187" s="71">
        <f>(6.65*9.26)*(10.764)</f>
        <v>662.83635599999991</v>
      </c>
      <c r="E187" s="71">
        <f>((5.2*1.5))*(10.764)</f>
        <v>83.959199999999996</v>
      </c>
      <c r="F187" s="69">
        <f t="shared" si="14"/>
        <v>746.79555599999992</v>
      </c>
      <c r="G187" s="69">
        <v>0</v>
      </c>
      <c r="H187" s="69">
        <f t="shared" si="13"/>
        <v>1120.1933339999998</v>
      </c>
      <c r="I187" s="36">
        <f>6.65*9.26</f>
        <v>61.579000000000001</v>
      </c>
      <c r="J187" s="36">
        <f>5.2*1.5</f>
        <v>7.8000000000000007</v>
      </c>
      <c r="N187" s="36"/>
      <c r="T187" s="21"/>
    </row>
    <row r="188" spans="1:20" s="70" customFormat="1" ht="15.75" customHeight="1" x14ac:dyDescent="0.35">
      <c r="A188" s="96">
        <f t="shared" si="15"/>
        <v>8</v>
      </c>
      <c r="B188" s="97"/>
      <c r="C188" s="69" t="s">
        <v>328</v>
      </c>
      <c r="D188" s="71">
        <f>(1.77*2.31+6.33*3.15+7.44*2.85+1.5*2.85)*(10.764)</f>
        <v>532.89550079999992</v>
      </c>
      <c r="E188" s="71">
        <f>((7.44*1.5))*(10.764)</f>
        <v>120.12624</v>
      </c>
      <c r="F188" s="69">
        <f t="shared" si="14"/>
        <v>653.02174079999986</v>
      </c>
      <c r="G188" s="69">
        <v>0</v>
      </c>
      <c r="H188" s="69">
        <f t="shared" si="13"/>
        <v>979.53261119999979</v>
      </c>
      <c r="I188" s="36">
        <f>(5.88*6.31+1.84*2.31+3*3)</f>
        <v>50.353199999999994</v>
      </c>
      <c r="J188" s="36">
        <f>12.66*1.5</f>
        <v>18.990000000000002</v>
      </c>
      <c r="N188" s="36"/>
      <c r="T188" s="21"/>
    </row>
    <row r="189" spans="1:20" s="70" customFormat="1" ht="15.75" customHeight="1" x14ac:dyDescent="0.35">
      <c r="A189" s="96">
        <f t="shared" si="15"/>
        <v>9</v>
      </c>
      <c r="B189" s="97"/>
      <c r="C189" s="69" t="s">
        <v>328</v>
      </c>
      <c r="D189" s="71">
        <f>(((6.33*3.75+4.68*2.1+1.5*2.1+2.29*2.31)))*(10.764)</f>
        <v>452.1461256</v>
      </c>
      <c r="E189" s="71">
        <f>((5.2*1.5))*(10.764)</f>
        <v>83.959199999999996</v>
      </c>
      <c r="F189" s="69">
        <f t="shared" si="14"/>
        <v>536.10532560000001</v>
      </c>
      <c r="G189" s="69">
        <v>0</v>
      </c>
      <c r="H189" s="69">
        <f t="shared" si="13"/>
        <v>804.15798840000002</v>
      </c>
      <c r="I189" s="36">
        <f>6.63*6+2.9*2.31</f>
        <v>46.478999999999999</v>
      </c>
      <c r="J189" s="70">
        <v>0</v>
      </c>
      <c r="N189" s="36"/>
      <c r="T189" s="21"/>
    </row>
    <row r="190" spans="1:20" s="70" customFormat="1" ht="15.75" customHeight="1" x14ac:dyDescent="0.35">
      <c r="A190" s="96">
        <f t="shared" si="15"/>
        <v>10</v>
      </c>
      <c r="B190" s="97"/>
      <c r="C190" s="69" t="s">
        <v>328</v>
      </c>
      <c r="D190" s="71">
        <f>(6.65*9.26)*(10.764)</f>
        <v>662.83635599999991</v>
      </c>
      <c r="E190" s="71">
        <f>((5.26*1.5)*(10.764))*(10.764)</f>
        <v>914.16456143999983</v>
      </c>
      <c r="F190" s="69">
        <f t="shared" si="14"/>
        <v>1577.0009174399997</v>
      </c>
      <c r="G190" s="69">
        <v>0</v>
      </c>
      <c r="H190" s="69">
        <f t="shared" si="13"/>
        <v>2365.5013761599994</v>
      </c>
      <c r="I190" s="36">
        <f>6.65*9.28</f>
        <v>61.711999999999996</v>
      </c>
      <c r="J190" s="36">
        <f>9.61*1.5</f>
        <v>14.414999999999999</v>
      </c>
      <c r="N190" s="36"/>
      <c r="T190" s="21"/>
    </row>
    <row r="191" spans="1:20" s="84" customFormat="1" ht="15.75" customHeight="1" x14ac:dyDescent="0.35">
      <c r="A191" s="101" t="s">
        <v>351</v>
      </c>
      <c r="B191" s="102"/>
      <c r="C191" s="102"/>
      <c r="D191" s="102"/>
      <c r="E191" s="102"/>
      <c r="F191" s="102"/>
      <c r="G191" s="102"/>
      <c r="H191" s="103"/>
      <c r="I191" s="36"/>
      <c r="N191" s="36"/>
      <c r="T191" s="21"/>
    </row>
    <row r="192" spans="1:20" s="84" customFormat="1" ht="15.75" customHeight="1" x14ac:dyDescent="0.35">
      <c r="A192" s="96">
        <v>1</v>
      </c>
      <c r="B192" s="97"/>
      <c r="C192" s="96" t="s">
        <v>330</v>
      </c>
      <c r="D192" s="98"/>
      <c r="E192" s="98"/>
      <c r="F192" s="98"/>
      <c r="G192" s="97"/>
      <c r="H192" s="69">
        <f t="shared" ref="H192:H201" si="16">(F192+(IF(G192&lt;101,G192,IF(G192&lt;201,G192/2,IF(G192&lt;=301,G192/3,G192/4)))))*(($H$123)+1)</f>
        <v>0</v>
      </c>
      <c r="I192" s="36">
        <f>7.92*7.76</f>
        <v>61.459199999999996</v>
      </c>
      <c r="J192" s="36">
        <f>6.57*1.5</f>
        <v>9.8550000000000004</v>
      </c>
      <c r="N192" s="36"/>
      <c r="T192" s="21"/>
    </row>
    <row r="193" spans="1:20" s="84" customFormat="1" ht="15.75" customHeight="1" x14ac:dyDescent="0.35">
      <c r="A193" s="96">
        <f>A192+1</f>
        <v>2</v>
      </c>
      <c r="B193" s="97"/>
      <c r="C193" s="69" t="s">
        <v>339</v>
      </c>
      <c r="D193" s="71">
        <f>(9.31*7.76)*(10.764)</f>
        <v>777.65163839999991</v>
      </c>
      <c r="E193" s="71">
        <f>(6.16*1.5)*(10.764)</f>
        <v>99.45935999999999</v>
      </c>
      <c r="F193" s="69">
        <f>D193+E193</f>
        <v>877.11099839999986</v>
      </c>
      <c r="G193" s="69">
        <v>0</v>
      </c>
      <c r="H193" s="69">
        <f t="shared" si="16"/>
        <v>1315.6664975999997</v>
      </c>
      <c r="I193" s="36">
        <f>(7.66*7.76)</f>
        <v>59.441600000000001</v>
      </c>
      <c r="J193" s="36">
        <f>6.16*1.5</f>
        <v>9.24</v>
      </c>
      <c r="N193" s="36"/>
      <c r="T193" s="21"/>
    </row>
    <row r="194" spans="1:20" s="84" customFormat="1" ht="15.75" customHeight="1" x14ac:dyDescent="0.35">
      <c r="A194" s="96">
        <f>A193+1</f>
        <v>3</v>
      </c>
      <c r="B194" s="97"/>
      <c r="C194" s="69" t="s">
        <v>339</v>
      </c>
      <c r="D194" s="71">
        <f>(6.4*10.27)*(10.764)</f>
        <v>707.49619199999995</v>
      </c>
      <c r="E194" s="71">
        <f>(5.05*1.5)*(10.764)</f>
        <v>81.537299999999988</v>
      </c>
      <c r="F194" s="69">
        <f>D194+E194</f>
        <v>789.03349199999991</v>
      </c>
      <c r="G194" s="69">
        <v>0</v>
      </c>
      <c r="H194" s="69">
        <f t="shared" si="16"/>
        <v>1183.5502379999998</v>
      </c>
      <c r="I194" s="36">
        <f>6.4*10.27</f>
        <v>65.727999999999994</v>
      </c>
      <c r="J194" s="36">
        <f>5.05*1.5</f>
        <v>7.5749999999999993</v>
      </c>
      <c r="N194" s="36"/>
      <c r="T194" s="21"/>
    </row>
    <row r="195" spans="1:20" s="84" customFormat="1" ht="15.75" customHeight="1" x14ac:dyDescent="0.35">
      <c r="A195" s="96">
        <f>A194+1</f>
        <v>4</v>
      </c>
      <c r="B195" s="97"/>
      <c r="C195" s="69" t="s">
        <v>339</v>
      </c>
      <c r="D195" s="71">
        <f>(6.41*10.27)*(10.764)</f>
        <v>708.60165479999989</v>
      </c>
      <c r="E195" s="71">
        <f>(4.91*1.5)*(10.764)</f>
        <v>79.276859999999999</v>
      </c>
      <c r="F195" s="69">
        <f t="shared" ref="F195:F201" si="17">D195+E195</f>
        <v>787.87851479999995</v>
      </c>
      <c r="G195" s="69">
        <v>0</v>
      </c>
      <c r="H195" s="69">
        <f t="shared" si="16"/>
        <v>1181.8177722</v>
      </c>
      <c r="I195" s="36">
        <f>6.41*10.27</f>
        <v>65.830699999999993</v>
      </c>
      <c r="J195" s="36">
        <f>4.91*1.5</f>
        <v>7.3650000000000002</v>
      </c>
      <c r="N195" s="36"/>
      <c r="T195" s="21"/>
    </row>
    <row r="196" spans="1:20" s="84" customFormat="1" ht="15.75" customHeight="1" x14ac:dyDescent="0.35">
      <c r="A196" s="96">
        <f t="shared" ref="A196:A201" si="18">A195+1</f>
        <v>5</v>
      </c>
      <c r="B196" s="97"/>
      <c r="C196" s="69" t="s">
        <v>339</v>
      </c>
      <c r="D196" s="71">
        <f>(9.48*12.32)*(10.764)</f>
        <v>1257.1663104000002</v>
      </c>
      <c r="E196" s="71">
        <f>(6.48*1.5)*(10.764)</f>
        <v>104.62608</v>
      </c>
      <c r="F196" s="69">
        <f t="shared" si="17"/>
        <v>1361.7923904000002</v>
      </c>
      <c r="G196" s="69">
        <v>0</v>
      </c>
      <c r="H196" s="69">
        <f t="shared" si="16"/>
        <v>2042.6885856000004</v>
      </c>
      <c r="I196" s="36">
        <f>7.83*12.32</f>
        <v>96.465600000000009</v>
      </c>
      <c r="J196" s="36">
        <f>6.4*1.5</f>
        <v>9.6000000000000014</v>
      </c>
      <c r="N196" s="36"/>
      <c r="T196" s="21"/>
    </row>
    <row r="197" spans="1:20" s="84" customFormat="1" ht="15.75" customHeight="1" x14ac:dyDescent="0.35">
      <c r="A197" s="96">
        <f t="shared" si="18"/>
        <v>6</v>
      </c>
      <c r="B197" s="97"/>
      <c r="C197" s="96" t="s">
        <v>330</v>
      </c>
      <c r="D197" s="98"/>
      <c r="E197" s="98"/>
      <c r="F197" s="98"/>
      <c r="G197" s="97"/>
      <c r="H197" s="69">
        <f t="shared" si="16"/>
        <v>0</v>
      </c>
      <c r="I197" s="36">
        <f>7.74*12.32</f>
        <v>95.356800000000007</v>
      </c>
      <c r="J197" s="36">
        <f>6.39*1.5</f>
        <v>9.5849999999999991</v>
      </c>
      <c r="N197" s="36"/>
      <c r="T197" s="21"/>
    </row>
    <row r="198" spans="1:20" s="84" customFormat="1" ht="15.75" customHeight="1" x14ac:dyDescent="0.35">
      <c r="A198" s="96">
        <f t="shared" si="18"/>
        <v>7</v>
      </c>
      <c r="B198" s="97"/>
      <c r="C198" s="69" t="s">
        <v>328</v>
      </c>
      <c r="D198" s="71">
        <f>(6.65*9.26)*(10.764)</f>
        <v>662.83635599999991</v>
      </c>
      <c r="E198" s="71">
        <f>((5.2*1.5))*(10.764)</f>
        <v>83.959199999999996</v>
      </c>
      <c r="F198" s="69">
        <f t="shared" si="17"/>
        <v>746.79555599999992</v>
      </c>
      <c r="G198" s="69">
        <v>0</v>
      </c>
      <c r="H198" s="69">
        <f t="shared" si="16"/>
        <v>1120.1933339999998</v>
      </c>
      <c r="I198" s="36">
        <f>6.65*9.26</f>
        <v>61.579000000000001</v>
      </c>
      <c r="J198" s="36">
        <f>5.2*1.5</f>
        <v>7.8000000000000007</v>
      </c>
      <c r="N198" s="36"/>
      <c r="T198" s="21"/>
    </row>
    <row r="199" spans="1:20" s="84" customFormat="1" ht="15.75" customHeight="1" x14ac:dyDescent="0.35">
      <c r="A199" s="96">
        <f t="shared" si="18"/>
        <v>8</v>
      </c>
      <c r="B199" s="97"/>
      <c r="C199" s="69" t="s">
        <v>328</v>
      </c>
      <c r="D199" s="71">
        <f>(1.77*2.31+6.33*3.15+7.44*2.85+1.5*2.85)*(10.764)</f>
        <v>532.89550079999992</v>
      </c>
      <c r="E199" s="71">
        <f>((7.44*1.5))*(10.764)</f>
        <v>120.12624</v>
      </c>
      <c r="F199" s="69">
        <f t="shared" si="17"/>
        <v>653.02174079999986</v>
      </c>
      <c r="G199" s="69">
        <v>0</v>
      </c>
      <c r="H199" s="69">
        <f t="shared" si="16"/>
        <v>979.53261119999979</v>
      </c>
      <c r="I199" s="36">
        <f>(5.88*6.31+1.84*2.31+3*3)</f>
        <v>50.353199999999994</v>
      </c>
      <c r="J199" s="36">
        <f>12.66*1.5</f>
        <v>18.990000000000002</v>
      </c>
      <c r="N199" s="36"/>
      <c r="T199" s="21"/>
    </row>
    <row r="200" spans="1:20" s="84" customFormat="1" ht="15.75" customHeight="1" x14ac:dyDescent="0.35">
      <c r="A200" s="96">
        <f t="shared" si="18"/>
        <v>9</v>
      </c>
      <c r="B200" s="97"/>
      <c r="C200" s="69" t="s">
        <v>328</v>
      </c>
      <c r="D200" s="71">
        <f>(((6.33*3.75+4.68*2.1+1.5*2.1+2.29*2.31)))*(10.764)</f>
        <v>452.1461256</v>
      </c>
      <c r="E200" s="71">
        <f>((5.2*1.5))*(10.764)</f>
        <v>83.959199999999996</v>
      </c>
      <c r="F200" s="69">
        <f t="shared" si="17"/>
        <v>536.10532560000001</v>
      </c>
      <c r="G200" s="69">
        <v>0</v>
      </c>
      <c r="H200" s="69">
        <f t="shared" si="16"/>
        <v>804.15798840000002</v>
      </c>
      <c r="I200" s="36">
        <f>6.63*6+2.9*2.31</f>
        <v>46.478999999999999</v>
      </c>
      <c r="J200" s="84">
        <v>0</v>
      </c>
      <c r="N200" s="36"/>
      <c r="T200" s="21"/>
    </row>
    <row r="201" spans="1:20" s="84" customFormat="1" ht="15.75" customHeight="1" x14ac:dyDescent="0.35">
      <c r="A201" s="96">
        <f t="shared" si="18"/>
        <v>10</v>
      </c>
      <c r="B201" s="97"/>
      <c r="C201" s="69" t="s">
        <v>328</v>
      </c>
      <c r="D201" s="71">
        <f>(6.57*9.26)*(10.764)</f>
        <v>654.86238479999997</v>
      </c>
      <c r="E201" s="71">
        <f>((5.26*1.5)*(10.764))*(10.764)</f>
        <v>914.16456143999983</v>
      </c>
      <c r="F201" s="69">
        <f t="shared" si="17"/>
        <v>1569.0269462399997</v>
      </c>
      <c r="G201" s="69">
        <v>0</v>
      </c>
      <c r="H201" s="69">
        <f t="shared" si="16"/>
        <v>2353.5404193599998</v>
      </c>
      <c r="I201" s="36">
        <f>6.65*9.28</f>
        <v>61.711999999999996</v>
      </c>
      <c r="J201" s="36">
        <f>9.61*1.5</f>
        <v>14.414999999999999</v>
      </c>
      <c r="N201" s="36"/>
      <c r="T201" s="21"/>
    </row>
    <row r="202" spans="1:20" s="84" customFormat="1" ht="15.75" customHeight="1" x14ac:dyDescent="0.35">
      <c r="A202" s="101" t="s">
        <v>333</v>
      </c>
      <c r="B202" s="102"/>
      <c r="C202" s="102"/>
      <c r="D202" s="102"/>
      <c r="E202" s="102"/>
      <c r="F202" s="102"/>
      <c r="G202" s="102"/>
      <c r="H202" s="103"/>
      <c r="I202" s="36"/>
      <c r="N202" s="36"/>
      <c r="T202" s="21"/>
    </row>
    <row r="203" spans="1:20" s="84" customFormat="1" ht="15.75" customHeight="1" x14ac:dyDescent="0.35">
      <c r="A203" s="96">
        <v>1</v>
      </c>
      <c r="B203" s="97"/>
      <c r="C203" s="96" t="s">
        <v>331</v>
      </c>
      <c r="D203" s="98"/>
      <c r="E203" s="98"/>
      <c r="F203" s="98"/>
      <c r="G203" s="97"/>
      <c r="H203" s="69">
        <f t="shared" ref="H203:H211" si="19">(F203+(IF(G203&lt;101,G203,IF(G203&lt;201,G203/2,IF(G203&lt;=301,G203/3,G203/4)))))*(($H$123)+1)</f>
        <v>0</v>
      </c>
      <c r="I203" s="36">
        <f>7.92*7.76</f>
        <v>61.459199999999996</v>
      </c>
      <c r="J203" s="36">
        <f>6.57*1.5</f>
        <v>9.8550000000000004</v>
      </c>
      <c r="N203" s="36"/>
      <c r="T203" s="21"/>
    </row>
    <row r="204" spans="1:20" s="84" customFormat="1" ht="15.75" customHeight="1" x14ac:dyDescent="0.35">
      <c r="A204" s="96">
        <f>A203+1</f>
        <v>2</v>
      </c>
      <c r="B204" s="97"/>
      <c r="C204" s="69" t="s">
        <v>328</v>
      </c>
      <c r="D204" s="71">
        <f>(9.31*7.76)*(10.764)</f>
        <v>777.65163839999991</v>
      </c>
      <c r="E204" s="71">
        <f>(6.16*1.5)*(10.764)</f>
        <v>99.45935999999999</v>
      </c>
      <c r="F204" s="69">
        <f>D204+E204</f>
        <v>877.11099839999986</v>
      </c>
      <c r="G204" s="69">
        <v>0</v>
      </c>
      <c r="H204" s="69">
        <f t="shared" si="19"/>
        <v>1315.6664975999997</v>
      </c>
      <c r="I204" s="36">
        <f>(7.66*7.76)</f>
        <v>59.441600000000001</v>
      </c>
      <c r="J204" s="36">
        <f>6.16*1.5</f>
        <v>9.24</v>
      </c>
      <c r="N204" s="36"/>
      <c r="T204" s="21"/>
    </row>
    <row r="205" spans="1:20" s="84" customFormat="1" ht="15.75" customHeight="1" x14ac:dyDescent="0.35">
      <c r="A205" s="96">
        <f>A204+1</f>
        <v>3</v>
      </c>
      <c r="B205" s="97"/>
      <c r="C205" s="69" t="s">
        <v>328</v>
      </c>
      <c r="D205" s="71">
        <f>(6.4*10.27)*(10.764)</f>
        <v>707.49619199999995</v>
      </c>
      <c r="E205" s="71">
        <f>(5.05*1.5)*(10.764)</f>
        <v>81.537299999999988</v>
      </c>
      <c r="F205" s="69">
        <f>D205+E205</f>
        <v>789.03349199999991</v>
      </c>
      <c r="G205" s="69">
        <v>0</v>
      </c>
      <c r="H205" s="69">
        <f t="shared" si="19"/>
        <v>1183.5502379999998</v>
      </c>
      <c r="I205" s="36">
        <f>6.4*10.27</f>
        <v>65.727999999999994</v>
      </c>
      <c r="J205" s="36">
        <f>5.05*1.5</f>
        <v>7.5749999999999993</v>
      </c>
      <c r="N205" s="36"/>
      <c r="T205" s="21"/>
    </row>
    <row r="206" spans="1:20" s="84" customFormat="1" ht="15.75" customHeight="1" x14ac:dyDescent="0.35">
      <c r="A206" s="96">
        <f>A205+1</f>
        <v>4</v>
      </c>
      <c r="B206" s="97"/>
      <c r="C206" s="69" t="s">
        <v>328</v>
      </c>
      <c r="D206" s="71">
        <f>(6.41*10.27)*(10.764)</f>
        <v>708.60165479999989</v>
      </c>
      <c r="E206" s="71">
        <f>(4.91*1.5)*(10.764)</f>
        <v>79.276859999999999</v>
      </c>
      <c r="F206" s="69">
        <f t="shared" ref="F206:F207" si="20">D206+E206</f>
        <v>787.87851479999995</v>
      </c>
      <c r="G206" s="69">
        <v>0</v>
      </c>
      <c r="H206" s="69">
        <f t="shared" si="19"/>
        <v>1181.8177722</v>
      </c>
      <c r="I206" s="36">
        <f>6.41*10.27</f>
        <v>65.830699999999993</v>
      </c>
      <c r="J206" s="36">
        <f>4.91*1.5</f>
        <v>7.3650000000000002</v>
      </c>
      <c r="N206" s="36"/>
      <c r="T206" s="21"/>
    </row>
    <row r="207" spans="1:20" s="84" customFormat="1" ht="15.75" customHeight="1" x14ac:dyDescent="0.35">
      <c r="A207" s="96">
        <f t="shared" ref="A207:A209" si="21">A206+1</f>
        <v>5</v>
      </c>
      <c r="B207" s="97"/>
      <c r="C207" s="69" t="s">
        <v>328</v>
      </c>
      <c r="D207" s="71">
        <f>(9.48*12.32)*(10.764)</f>
        <v>1257.1663104000002</v>
      </c>
      <c r="E207" s="71">
        <f>(6.48*1.5)*(10.764)</f>
        <v>104.62608</v>
      </c>
      <c r="F207" s="69">
        <f t="shared" si="20"/>
        <v>1361.7923904000002</v>
      </c>
      <c r="G207" s="69">
        <v>0</v>
      </c>
      <c r="H207" s="69">
        <f t="shared" si="19"/>
        <v>2042.6885856000004</v>
      </c>
      <c r="I207" s="36">
        <f>7.83*12.32</f>
        <v>96.465600000000009</v>
      </c>
      <c r="J207" s="36">
        <f>6.4*1.5</f>
        <v>9.6000000000000014</v>
      </c>
      <c r="N207" s="36"/>
      <c r="T207" s="21"/>
    </row>
    <row r="208" spans="1:20" s="84" customFormat="1" ht="15.75" customHeight="1" x14ac:dyDescent="0.35">
      <c r="A208" s="96">
        <f t="shared" si="21"/>
        <v>6</v>
      </c>
      <c r="B208" s="97"/>
      <c r="C208" s="96" t="s">
        <v>331</v>
      </c>
      <c r="D208" s="98"/>
      <c r="E208" s="98"/>
      <c r="F208" s="98"/>
      <c r="G208" s="97"/>
      <c r="H208" s="69">
        <f t="shared" si="19"/>
        <v>0</v>
      </c>
      <c r="I208" s="36">
        <f>7.74*12.32</f>
        <v>95.356800000000007</v>
      </c>
      <c r="J208" s="36">
        <f>6.39*1.5</f>
        <v>9.5849999999999991</v>
      </c>
      <c r="N208" s="36"/>
      <c r="T208" s="21"/>
    </row>
    <row r="209" spans="1:20" s="84" customFormat="1" ht="15.75" customHeight="1" x14ac:dyDescent="0.35">
      <c r="A209" s="96">
        <f t="shared" si="21"/>
        <v>7</v>
      </c>
      <c r="B209" s="97"/>
      <c r="C209" s="69" t="s">
        <v>339</v>
      </c>
      <c r="D209" s="71">
        <f>(6.65*6.26)*(10.764)</f>
        <v>448.09455599999995</v>
      </c>
      <c r="E209" s="71">
        <f>((5.2*1.6))*(10.764)</f>
        <v>89.556479999999993</v>
      </c>
      <c r="F209" s="69">
        <f t="shared" ref="F209:F210" si="22">D209+E209</f>
        <v>537.65103599999998</v>
      </c>
      <c r="G209" s="69">
        <f>6.73*12.56+8.5*1.2+6.7*1.5+1.3*1.6</f>
        <v>106.8588</v>
      </c>
      <c r="H209" s="69">
        <f t="shared" si="19"/>
        <v>886.62065399999994</v>
      </c>
      <c r="I209" s="36">
        <f>6.65*9.26</f>
        <v>61.579000000000001</v>
      </c>
      <c r="J209" s="36">
        <f>5.2*1.5</f>
        <v>7.8000000000000007</v>
      </c>
      <c r="N209" s="36"/>
      <c r="T209" s="21"/>
    </row>
    <row r="210" spans="1:20" s="84" customFormat="1" ht="15.75" customHeight="1" x14ac:dyDescent="0.35">
      <c r="A210" s="99" t="s">
        <v>332</v>
      </c>
      <c r="B210" s="100"/>
      <c r="C210" s="87" t="s">
        <v>339</v>
      </c>
      <c r="D210" s="71">
        <f>(12.81*3.2+4.21*2.31)*(10.764)</f>
        <v>545.91886439999996</v>
      </c>
      <c r="E210" s="71">
        <f>((14.16*1.61))*(10.764)</f>
        <v>245.39336640000002</v>
      </c>
      <c r="F210" s="87">
        <f t="shared" si="22"/>
        <v>791.31223079999995</v>
      </c>
      <c r="G210" s="87">
        <f>(1.5+12.66+1.65)*1.4+12.66*1.5</f>
        <v>41.124000000000002</v>
      </c>
      <c r="H210" s="69">
        <f t="shared" si="19"/>
        <v>1248.6543462</v>
      </c>
      <c r="I210" s="36">
        <f>(5.88*6.31+1.84*2.31+3*3)</f>
        <v>50.353199999999994</v>
      </c>
      <c r="J210" s="36">
        <f>12.66*1.5</f>
        <v>18.990000000000002</v>
      </c>
      <c r="N210" s="36"/>
      <c r="T210" s="21"/>
    </row>
    <row r="211" spans="1:20" s="84" customFormat="1" ht="15.75" customHeight="1" x14ac:dyDescent="0.35">
      <c r="A211" s="96">
        <v>10</v>
      </c>
      <c r="B211" s="97"/>
      <c r="C211" s="96" t="s">
        <v>317</v>
      </c>
      <c r="D211" s="98"/>
      <c r="E211" s="98"/>
      <c r="F211" s="98"/>
      <c r="G211" s="97"/>
      <c r="H211" s="69">
        <f t="shared" si="19"/>
        <v>0</v>
      </c>
      <c r="I211" s="36">
        <f>6.65*9.28</f>
        <v>61.711999999999996</v>
      </c>
      <c r="J211" s="36">
        <f>9.61*1.5</f>
        <v>14.414999999999999</v>
      </c>
      <c r="N211" s="36"/>
      <c r="T211" s="21"/>
    </row>
    <row r="212" spans="1:20" s="84" customFormat="1" ht="15.75" customHeight="1" x14ac:dyDescent="0.35">
      <c r="A212" s="101" t="s">
        <v>334</v>
      </c>
      <c r="B212" s="102"/>
      <c r="C212" s="102"/>
      <c r="D212" s="102"/>
      <c r="E212" s="102"/>
      <c r="F212" s="102"/>
      <c r="G212" s="102"/>
      <c r="H212" s="103"/>
      <c r="I212" s="36"/>
      <c r="N212" s="36"/>
      <c r="T212" s="21"/>
    </row>
    <row r="213" spans="1:20" s="84" customFormat="1" ht="15.75" customHeight="1" x14ac:dyDescent="0.35">
      <c r="A213" s="96">
        <v>1</v>
      </c>
      <c r="B213" s="97"/>
      <c r="C213" s="96" t="s">
        <v>331</v>
      </c>
      <c r="D213" s="98"/>
      <c r="E213" s="98"/>
      <c r="F213" s="98"/>
      <c r="G213" s="97"/>
      <c r="H213" s="69">
        <f t="shared" ref="H213:H221" si="23">(F213+(IF(G213&lt;101,G213,IF(G213&lt;201,G213/2,IF(G213&lt;=301,G213/3,G213/4)))))*(($H$123)+1)</f>
        <v>0</v>
      </c>
      <c r="I213" s="36">
        <f>7.92*7.76</f>
        <v>61.459199999999996</v>
      </c>
      <c r="J213" s="36">
        <f>6.57*1.5</f>
        <v>9.8550000000000004</v>
      </c>
      <c r="N213" s="36"/>
      <c r="T213" s="21"/>
    </row>
    <row r="214" spans="1:20" s="84" customFormat="1" ht="15.75" customHeight="1" x14ac:dyDescent="0.35">
      <c r="A214" s="96">
        <f>A213+1</f>
        <v>2</v>
      </c>
      <c r="B214" s="97"/>
      <c r="C214" s="69" t="s">
        <v>328</v>
      </c>
      <c r="D214" s="71">
        <f>(9.31*7.76)*(10.764)</f>
        <v>777.65163839999991</v>
      </c>
      <c r="E214" s="71">
        <f>(6.16*1.5)*(10.764)</f>
        <v>99.45935999999999</v>
      </c>
      <c r="F214" s="69">
        <f>D214+E214</f>
        <v>877.11099839999986</v>
      </c>
      <c r="G214" s="69">
        <v>0</v>
      </c>
      <c r="H214" s="69">
        <f t="shared" si="23"/>
        <v>1315.6664975999997</v>
      </c>
      <c r="I214" s="36">
        <f>(7.66*7.76)</f>
        <v>59.441600000000001</v>
      </c>
      <c r="J214" s="36">
        <f>6.16*1.5</f>
        <v>9.24</v>
      </c>
      <c r="N214" s="36"/>
      <c r="T214" s="21"/>
    </row>
    <row r="215" spans="1:20" s="84" customFormat="1" ht="15.75" customHeight="1" x14ac:dyDescent="0.35">
      <c r="A215" s="96">
        <f>A214+1</f>
        <v>3</v>
      </c>
      <c r="B215" s="97"/>
      <c r="C215" s="69" t="s">
        <v>328</v>
      </c>
      <c r="D215" s="71">
        <f>(6.4*10.27)*(10.764)</f>
        <v>707.49619199999995</v>
      </c>
      <c r="E215" s="71">
        <f>(5.05*1.5)*(10.764)</f>
        <v>81.537299999999988</v>
      </c>
      <c r="F215" s="69">
        <f>D215+E215</f>
        <v>789.03349199999991</v>
      </c>
      <c r="G215" s="69">
        <v>0</v>
      </c>
      <c r="H215" s="69">
        <f t="shared" si="23"/>
        <v>1183.5502379999998</v>
      </c>
      <c r="I215" s="36">
        <f>6.4*10.27</f>
        <v>65.727999999999994</v>
      </c>
      <c r="J215" s="36">
        <f>5.05*1.5</f>
        <v>7.5749999999999993</v>
      </c>
      <c r="N215" s="36"/>
      <c r="T215" s="21"/>
    </row>
    <row r="216" spans="1:20" s="84" customFormat="1" ht="15.75" customHeight="1" x14ac:dyDescent="0.35">
      <c r="A216" s="96">
        <f>A215+1</f>
        <v>4</v>
      </c>
      <c r="B216" s="97"/>
      <c r="C216" s="69" t="s">
        <v>328</v>
      </c>
      <c r="D216" s="71">
        <f>(6.41*10.27)*(10.764)</f>
        <v>708.60165479999989</v>
      </c>
      <c r="E216" s="71">
        <f>(4.91*1.5)*(10.764)</f>
        <v>79.276859999999999</v>
      </c>
      <c r="F216" s="69">
        <f t="shared" ref="F216:F217" si="24">D216+E216</f>
        <v>787.87851479999995</v>
      </c>
      <c r="G216" s="69">
        <v>0</v>
      </c>
      <c r="H216" s="69">
        <f t="shared" si="23"/>
        <v>1181.8177722</v>
      </c>
      <c r="I216" s="36">
        <f>6.41*10.27</f>
        <v>65.830699999999993</v>
      </c>
      <c r="J216" s="36">
        <f>4.91*1.5</f>
        <v>7.3650000000000002</v>
      </c>
      <c r="N216" s="36"/>
      <c r="T216" s="21"/>
    </row>
    <row r="217" spans="1:20" s="84" customFormat="1" ht="15.75" customHeight="1" x14ac:dyDescent="0.35">
      <c r="A217" s="96">
        <f t="shared" ref="A217:A219" si="25">A216+1</f>
        <v>5</v>
      </c>
      <c r="B217" s="97"/>
      <c r="C217" s="69" t="s">
        <v>328</v>
      </c>
      <c r="D217" s="71">
        <f>(9.48*12.32)*(10.764)</f>
        <v>1257.1663104000002</v>
      </c>
      <c r="E217" s="71">
        <f>(6.48*1.5)*(10.764)</f>
        <v>104.62608</v>
      </c>
      <c r="F217" s="69">
        <f t="shared" si="24"/>
        <v>1361.7923904000002</v>
      </c>
      <c r="G217" s="69">
        <v>0</v>
      </c>
      <c r="H217" s="69">
        <f t="shared" si="23"/>
        <v>2042.6885856000004</v>
      </c>
      <c r="I217" s="36">
        <f>7.83*12.32</f>
        <v>96.465600000000009</v>
      </c>
      <c r="J217" s="36">
        <f>6.4*1.5</f>
        <v>9.6000000000000014</v>
      </c>
      <c r="N217" s="36"/>
      <c r="T217" s="21"/>
    </row>
    <row r="218" spans="1:20" s="84" customFormat="1" ht="15.75" customHeight="1" x14ac:dyDescent="0.35">
      <c r="A218" s="96">
        <f t="shared" si="25"/>
        <v>6</v>
      </c>
      <c r="B218" s="97"/>
      <c r="C218" s="96" t="s">
        <v>331</v>
      </c>
      <c r="D218" s="98"/>
      <c r="E218" s="98"/>
      <c r="F218" s="98"/>
      <c r="G218" s="97"/>
      <c r="H218" s="69">
        <f t="shared" si="23"/>
        <v>0</v>
      </c>
      <c r="I218" s="36">
        <f>7.74*12.32</f>
        <v>95.356800000000007</v>
      </c>
      <c r="J218" s="36">
        <f>6.39*1.5</f>
        <v>9.5849999999999991</v>
      </c>
      <c r="N218" s="36"/>
      <c r="T218" s="21"/>
    </row>
    <row r="219" spans="1:20" s="84" customFormat="1" ht="15.75" customHeight="1" x14ac:dyDescent="0.35">
      <c r="A219" s="96">
        <f t="shared" si="25"/>
        <v>7</v>
      </c>
      <c r="B219" s="97"/>
      <c r="C219" s="69" t="s">
        <v>328</v>
      </c>
      <c r="D219" s="71">
        <f>(6.65*6.26)*(10.764)</f>
        <v>448.09455599999995</v>
      </c>
      <c r="E219" s="71">
        <f>((5.2*1.6))*(10.764)</f>
        <v>89.556479999999993</v>
      </c>
      <c r="F219" s="69">
        <f t="shared" ref="F219:F221" si="26">D219+E219</f>
        <v>537.65103599999998</v>
      </c>
      <c r="G219" s="69">
        <v>0</v>
      </c>
      <c r="H219" s="69">
        <f t="shared" si="23"/>
        <v>806.47655399999996</v>
      </c>
      <c r="I219" s="36">
        <f>6.65*9.26</f>
        <v>61.579000000000001</v>
      </c>
      <c r="J219" s="36">
        <f>5.2*1.5</f>
        <v>7.8000000000000007</v>
      </c>
      <c r="N219" s="36"/>
      <c r="T219" s="21"/>
    </row>
    <row r="220" spans="1:20" s="84" customFormat="1" ht="15.75" customHeight="1" x14ac:dyDescent="0.35">
      <c r="A220" s="99" t="s">
        <v>332</v>
      </c>
      <c r="B220" s="100"/>
      <c r="C220" s="69" t="s">
        <v>328</v>
      </c>
      <c r="D220" s="71">
        <f>(12.81*3.2+4.21*2.31)*(10.764)</f>
        <v>545.91886439999996</v>
      </c>
      <c r="E220" s="71">
        <f>((14.16*1.61))*(10.764)</f>
        <v>245.39336640000002</v>
      </c>
      <c r="F220" s="69">
        <f t="shared" si="26"/>
        <v>791.31223079999995</v>
      </c>
      <c r="G220" s="69">
        <v>0</v>
      </c>
      <c r="H220" s="69">
        <f t="shared" si="23"/>
        <v>1186.9683461999998</v>
      </c>
      <c r="I220" s="36">
        <f>(5.88*6.31+1.84*2.31+3*3)</f>
        <v>50.353199999999994</v>
      </c>
      <c r="J220" s="36">
        <f>12.66*1.5</f>
        <v>18.990000000000002</v>
      </c>
      <c r="N220" s="36"/>
      <c r="T220" s="21"/>
    </row>
    <row r="221" spans="1:20" s="84" customFormat="1" ht="15.75" customHeight="1" x14ac:dyDescent="0.35">
      <c r="A221" s="96">
        <v>10</v>
      </c>
      <c r="B221" s="97"/>
      <c r="C221" s="69" t="s">
        <v>328</v>
      </c>
      <c r="D221" s="71">
        <f>(6.65*6.26)*(10.764)</f>
        <v>448.09455599999995</v>
      </c>
      <c r="E221" s="71">
        <f>(5.05*1.6)*(10.764)</f>
        <v>86.973119999999994</v>
      </c>
      <c r="F221" s="69">
        <f t="shared" si="26"/>
        <v>535.06767599999989</v>
      </c>
      <c r="G221" s="69">
        <v>0</v>
      </c>
      <c r="H221" s="69">
        <f t="shared" si="23"/>
        <v>802.60151399999984</v>
      </c>
      <c r="I221" s="36">
        <f>6.65*9.28</f>
        <v>61.711999999999996</v>
      </c>
      <c r="J221" s="36">
        <f>9.61*1.5</f>
        <v>14.414999999999999</v>
      </c>
      <c r="N221" s="36"/>
      <c r="T221" s="21"/>
    </row>
    <row r="222" spans="1:20" s="85" customFormat="1" ht="15.75" customHeight="1" x14ac:dyDescent="0.35">
      <c r="A222" s="101" t="s">
        <v>335</v>
      </c>
      <c r="B222" s="102"/>
      <c r="C222" s="102"/>
      <c r="D222" s="102"/>
      <c r="E222" s="102"/>
      <c r="F222" s="102"/>
      <c r="G222" s="102"/>
      <c r="H222" s="103"/>
      <c r="I222" s="36"/>
      <c r="N222" s="36"/>
      <c r="T222" s="21"/>
    </row>
    <row r="223" spans="1:20" s="85" customFormat="1" ht="15.75" customHeight="1" x14ac:dyDescent="0.35">
      <c r="A223" s="96">
        <v>1</v>
      </c>
      <c r="B223" s="97"/>
      <c r="C223" s="96" t="s">
        <v>331</v>
      </c>
      <c r="D223" s="98"/>
      <c r="E223" s="98"/>
      <c r="F223" s="98"/>
      <c r="G223" s="97"/>
      <c r="H223" s="69">
        <f t="shared" ref="H223:H231" si="27">(F223+(IF(G223&lt;101,G223,IF(G223&lt;201,G223/2,IF(G223&lt;=301,G223/3,G223/4)))))*(($H$123)+1)</f>
        <v>0</v>
      </c>
      <c r="I223" s="36">
        <f>7.92*7.76</f>
        <v>61.459199999999996</v>
      </c>
      <c r="J223" s="36">
        <f>6.57*1.5</f>
        <v>9.8550000000000004</v>
      </c>
      <c r="N223" s="36"/>
      <c r="T223" s="21"/>
    </row>
    <row r="224" spans="1:20" s="85" customFormat="1" ht="15.75" customHeight="1" x14ac:dyDescent="0.35">
      <c r="A224" s="96">
        <f>A223+1</f>
        <v>2</v>
      </c>
      <c r="B224" s="97"/>
      <c r="C224" s="69" t="s">
        <v>339</v>
      </c>
      <c r="D224" s="71">
        <f>(9.31*7.76)*(10.764)</f>
        <v>777.65163839999991</v>
      </c>
      <c r="E224" s="71">
        <f>(6.16*1.5)*(10.764)</f>
        <v>99.45935999999999</v>
      </c>
      <c r="F224" s="69">
        <f>D224+E224</f>
        <v>877.11099839999986</v>
      </c>
      <c r="G224" s="69">
        <v>0</v>
      </c>
      <c r="H224" s="69">
        <f t="shared" si="27"/>
        <v>1315.6664975999997</v>
      </c>
      <c r="I224" s="36">
        <f>(7.66*7.76)</f>
        <v>59.441600000000001</v>
      </c>
      <c r="J224" s="36">
        <f>6.16*1.5</f>
        <v>9.24</v>
      </c>
      <c r="N224" s="36"/>
      <c r="T224" s="21"/>
    </row>
    <row r="225" spans="1:20" s="85" customFormat="1" ht="15.75" customHeight="1" x14ac:dyDescent="0.35">
      <c r="A225" s="96">
        <f>A224+1</f>
        <v>3</v>
      </c>
      <c r="B225" s="97"/>
      <c r="C225" s="69" t="s">
        <v>339</v>
      </c>
      <c r="D225" s="71">
        <f>(6.4*10.27)*(10.764)</f>
        <v>707.49619199999995</v>
      </c>
      <c r="E225" s="71">
        <f>(5.05*1.5)*(10.764)</f>
        <v>81.537299999999988</v>
      </c>
      <c r="F225" s="69">
        <f>D225+E225</f>
        <v>789.03349199999991</v>
      </c>
      <c r="G225" s="69">
        <v>0</v>
      </c>
      <c r="H225" s="69">
        <f t="shared" si="27"/>
        <v>1183.5502379999998</v>
      </c>
      <c r="I225" s="36">
        <f>6.4*10.27</f>
        <v>65.727999999999994</v>
      </c>
      <c r="J225" s="36">
        <f>5.05*1.5</f>
        <v>7.5749999999999993</v>
      </c>
      <c r="N225" s="36"/>
      <c r="T225" s="21"/>
    </row>
    <row r="226" spans="1:20" s="85" customFormat="1" ht="15.75" customHeight="1" x14ac:dyDescent="0.35">
      <c r="A226" s="96">
        <f>A225+1</f>
        <v>4</v>
      </c>
      <c r="B226" s="97"/>
      <c r="C226" s="69" t="s">
        <v>339</v>
      </c>
      <c r="D226" s="71">
        <f>(6.41*10.27)*(10.764)</f>
        <v>708.60165479999989</v>
      </c>
      <c r="E226" s="71">
        <f>(4.91*1.5)*(10.764)</f>
        <v>79.276859999999999</v>
      </c>
      <c r="F226" s="69">
        <f t="shared" ref="F226:F227" si="28">D226+E226</f>
        <v>787.87851479999995</v>
      </c>
      <c r="G226" s="69">
        <v>0</v>
      </c>
      <c r="H226" s="69">
        <f t="shared" si="27"/>
        <v>1181.8177722</v>
      </c>
      <c r="I226" s="36">
        <f>6.41*10.27</f>
        <v>65.830699999999993</v>
      </c>
      <c r="J226" s="36">
        <f>4.91*1.5</f>
        <v>7.3650000000000002</v>
      </c>
      <c r="N226" s="36"/>
      <c r="T226" s="21"/>
    </row>
    <row r="227" spans="1:20" s="85" customFormat="1" ht="15.75" customHeight="1" x14ac:dyDescent="0.35">
      <c r="A227" s="96">
        <f t="shared" ref="A227:A229" si="29">A226+1</f>
        <v>5</v>
      </c>
      <c r="B227" s="97"/>
      <c r="C227" s="69" t="s">
        <v>339</v>
      </c>
      <c r="D227" s="71">
        <f>(9.48*12.32)*(10.764)</f>
        <v>1257.1663104000002</v>
      </c>
      <c r="E227" s="71">
        <f>(6.48*1.5)*(10.764)</f>
        <v>104.62608</v>
      </c>
      <c r="F227" s="69">
        <f t="shared" si="28"/>
        <v>1361.7923904000002</v>
      </c>
      <c r="G227" s="69">
        <v>0</v>
      </c>
      <c r="H227" s="69">
        <f t="shared" si="27"/>
        <v>2042.6885856000004</v>
      </c>
      <c r="I227" s="36">
        <f>7.83*12.32</f>
        <v>96.465600000000009</v>
      </c>
      <c r="J227" s="36">
        <f>6.4*1.5</f>
        <v>9.6000000000000014</v>
      </c>
      <c r="N227" s="36"/>
      <c r="T227" s="21"/>
    </row>
    <row r="228" spans="1:20" s="85" customFormat="1" ht="15.75" customHeight="1" x14ac:dyDescent="0.35">
      <c r="A228" s="96">
        <f t="shared" si="29"/>
        <v>6</v>
      </c>
      <c r="B228" s="97"/>
      <c r="C228" s="96" t="s">
        <v>331</v>
      </c>
      <c r="D228" s="98"/>
      <c r="E228" s="98"/>
      <c r="F228" s="98"/>
      <c r="G228" s="97"/>
      <c r="H228" s="69">
        <f t="shared" si="27"/>
        <v>0</v>
      </c>
      <c r="I228" s="36">
        <f>7.74*12.32</f>
        <v>95.356800000000007</v>
      </c>
      <c r="J228" s="36">
        <f>6.39*1.5</f>
        <v>9.5849999999999991</v>
      </c>
      <c r="N228" s="36"/>
      <c r="T228" s="21"/>
    </row>
    <row r="229" spans="1:20" s="85" customFormat="1" ht="15.75" customHeight="1" x14ac:dyDescent="0.35">
      <c r="A229" s="96">
        <f t="shared" si="29"/>
        <v>7</v>
      </c>
      <c r="B229" s="97"/>
      <c r="C229" s="69" t="s">
        <v>339</v>
      </c>
      <c r="D229" s="71">
        <f>(6.65*6.26)*(10.764)</f>
        <v>448.09455599999995</v>
      </c>
      <c r="E229" s="71">
        <f>((5.2*1.6))*(10.764)</f>
        <v>89.556479999999993</v>
      </c>
      <c r="F229" s="69">
        <f t="shared" ref="F229:F231" si="30">D229+E229</f>
        <v>537.65103599999998</v>
      </c>
      <c r="G229" s="69">
        <v>0</v>
      </c>
      <c r="H229" s="69">
        <f t="shared" si="27"/>
        <v>806.47655399999996</v>
      </c>
      <c r="I229" s="36">
        <f>6.65*9.26</f>
        <v>61.579000000000001</v>
      </c>
      <c r="J229" s="36">
        <f>5.2*1.5</f>
        <v>7.8000000000000007</v>
      </c>
      <c r="N229" s="36"/>
      <c r="T229" s="21"/>
    </row>
    <row r="230" spans="1:20" s="85" customFormat="1" ht="15.75" customHeight="1" x14ac:dyDescent="0.35">
      <c r="A230" s="99" t="s">
        <v>332</v>
      </c>
      <c r="B230" s="100"/>
      <c r="C230" s="69" t="s">
        <v>339</v>
      </c>
      <c r="D230" s="71">
        <f>(12.81*3.2+4.21*2.31)*(10.764)</f>
        <v>545.91886439999996</v>
      </c>
      <c r="E230" s="71">
        <f>((14.16*1.61))*(10.764)</f>
        <v>245.39336640000002</v>
      </c>
      <c r="F230" s="69">
        <f t="shared" si="30"/>
        <v>791.31223079999995</v>
      </c>
      <c r="G230" s="69">
        <v>0</v>
      </c>
      <c r="H230" s="69">
        <f t="shared" si="27"/>
        <v>1186.9683461999998</v>
      </c>
      <c r="I230" s="36">
        <f>(5.88*6.31+1.84*2.31+3*3)</f>
        <v>50.353199999999994</v>
      </c>
      <c r="J230" s="36">
        <f>12.66*1.5</f>
        <v>18.990000000000002</v>
      </c>
      <c r="N230" s="36"/>
      <c r="T230" s="21"/>
    </row>
    <row r="231" spans="1:20" s="85" customFormat="1" ht="15.75" customHeight="1" x14ac:dyDescent="0.35">
      <c r="A231" s="96">
        <v>10</v>
      </c>
      <c r="B231" s="97"/>
      <c r="C231" s="69" t="s">
        <v>339</v>
      </c>
      <c r="D231" s="71">
        <f>(6.65*6.26)*(10.764)</f>
        <v>448.09455599999995</v>
      </c>
      <c r="E231" s="71">
        <f>(5.05*1.6)*(10.764)</f>
        <v>86.973119999999994</v>
      </c>
      <c r="F231" s="69">
        <f t="shared" si="30"/>
        <v>535.06767599999989</v>
      </c>
      <c r="G231" s="69">
        <v>0</v>
      </c>
      <c r="H231" s="69">
        <f t="shared" si="27"/>
        <v>802.60151399999984</v>
      </c>
      <c r="I231" s="36">
        <f>6.65*9.28</f>
        <v>61.711999999999996</v>
      </c>
      <c r="J231" s="36">
        <f>9.61*1.5</f>
        <v>14.414999999999999</v>
      </c>
      <c r="N231" s="36"/>
      <c r="T231" s="21"/>
    </row>
    <row r="232" spans="1:20" s="85" customFormat="1" ht="15.75" customHeight="1" x14ac:dyDescent="0.35">
      <c r="A232" s="101" t="s">
        <v>336</v>
      </c>
      <c r="B232" s="102"/>
      <c r="C232" s="102"/>
      <c r="D232" s="102"/>
      <c r="E232" s="102"/>
      <c r="F232" s="102"/>
      <c r="G232" s="102"/>
      <c r="H232" s="103"/>
      <c r="I232" s="36"/>
      <c r="N232" s="36"/>
      <c r="T232" s="21"/>
    </row>
    <row r="233" spans="1:20" s="85" customFormat="1" ht="15.75" customHeight="1" x14ac:dyDescent="0.35">
      <c r="A233" s="96">
        <v>1</v>
      </c>
      <c r="B233" s="97"/>
      <c r="C233" s="96" t="s">
        <v>331</v>
      </c>
      <c r="D233" s="98"/>
      <c r="E233" s="98"/>
      <c r="F233" s="98"/>
      <c r="G233" s="97"/>
      <c r="H233" s="69">
        <f t="shared" ref="H233:H240" si="31">(F233+(IF(G233&lt;101,G233,IF(G233&lt;201,G233/2,IF(G233&lt;=301,G233/3,G233/4)))))*(($H$123)+1)</f>
        <v>0</v>
      </c>
      <c r="I233" s="36">
        <f>7.92*7.76</f>
        <v>61.459199999999996</v>
      </c>
      <c r="J233" s="36">
        <f>6.57*1.5</f>
        <v>9.8550000000000004</v>
      </c>
      <c r="N233" s="36"/>
      <c r="T233" s="21"/>
    </row>
    <row r="234" spans="1:20" s="85" customFormat="1" ht="32.25" customHeight="1" x14ac:dyDescent="0.35">
      <c r="A234" s="96" t="s">
        <v>337</v>
      </c>
      <c r="B234" s="97"/>
      <c r="C234" s="69" t="s">
        <v>340</v>
      </c>
      <c r="D234" s="71">
        <f>(15.86*7.76+6.4*2.51)*(10.764)</f>
        <v>1497.6771263999999</v>
      </c>
      <c r="E234" s="71">
        <f>(6.16*1.5+5.05*1.5)*(10.764)</f>
        <v>180.99665999999996</v>
      </c>
      <c r="F234" s="69">
        <f>D234+E234</f>
        <v>1678.6737863999999</v>
      </c>
      <c r="G234" s="69">
        <v>0</v>
      </c>
      <c r="H234" s="69">
        <f t="shared" si="31"/>
        <v>2518.0106796</v>
      </c>
      <c r="I234" s="36">
        <f>(7.66*7.76)</f>
        <v>59.441600000000001</v>
      </c>
      <c r="J234" s="36">
        <f>6.16*1.5</f>
        <v>9.24</v>
      </c>
      <c r="N234" s="36"/>
      <c r="T234" s="21"/>
    </row>
    <row r="235" spans="1:20" s="85" customFormat="1" ht="30" customHeight="1" x14ac:dyDescent="0.35">
      <c r="A235" s="96" t="s">
        <v>338</v>
      </c>
      <c r="B235" s="97"/>
      <c r="C235" s="69" t="s">
        <v>340</v>
      </c>
      <c r="D235" s="71">
        <f>(16.04*10.27+9.48*2.05)*(10.764)</f>
        <v>1982.3499071999997</v>
      </c>
      <c r="E235" s="71">
        <f>(4.91*1.5+6.48*1.5)*(10.764)</f>
        <v>183.90294</v>
      </c>
      <c r="F235" s="69">
        <f>D235+E235</f>
        <v>2166.2528471999999</v>
      </c>
      <c r="G235" s="69">
        <v>0</v>
      </c>
      <c r="H235" s="69">
        <f t="shared" si="31"/>
        <v>3249.3792708000001</v>
      </c>
      <c r="I235" s="36">
        <f>6.4*10.27</f>
        <v>65.727999999999994</v>
      </c>
      <c r="J235" s="36">
        <f>5.05*1.5</f>
        <v>7.5749999999999993</v>
      </c>
      <c r="N235" s="36"/>
      <c r="T235" s="21"/>
    </row>
    <row r="236" spans="1:20" s="85" customFormat="1" ht="15.75" customHeight="1" x14ac:dyDescent="0.35">
      <c r="A236" s="96">
        <v>6</v>
      </c>
      <c r="B236" s="97"/>
      <c r="C236" s="96" t="s">
        <v>331</v>
      </c>
      <c r="D236" s="98"/>
      <c r="E236" s="98"/>
      <c r="F236" s="98"/>
      <c r="G236" s="97"/>
      <c r="H236" s="69">
        <f t="shared" si="31"/>
        <v>0</v>
      </c>
      <c r="I236" s="36">
        <f>7.74*12.32</f>
        <v>95.356800000000007</v>
      </c>
      <c r="J236" s="36">
        <f>6.39*1.5</f>
        <v>9.5849999999999991</v>
      </c>
      <c r="N236" s="36"/>
      <c r="T236" s="21"/>
    </row>
    <row r="237" spans="1:20" s="85" customFormat="1" ht="32.25" customHeight="1" x14ac:dyDescent="0.35">
      <c r="A237" s="96">
        <f t="shared" ref="A237" si="32">A236+1</f>
        <v>7</v>
      </c>
      <c r="B237" s="97"/>
      <c r="C237" s="69" t="s">
        <v>340</v>
      </c>
      <c r="D237" s="71">
        <f>(6.65*6.26)*(10.764)</f>
        <v>448.09455599999995</v>
      </c>
      <c r="E237" s="71">
        <f>((5.2*1.6))*(10.764)</f>
        <v>89.556479999999993</v>
      </c>
      <c r="F237" s="69">
        <f t="shared" ref="F237:F238" si="33">D237+E237</f>
        <v>537.65103599999998</v>
      </c>
      <c r="G237" s="69">
        <v>0</v>
      </c>
      <c r="H237" s="69">
        <f>(F237+(IF(G237&lt;101,G237,IF(G237&lt;201,G237/2,IF(G237&lt;=301,G237/3,G237/4)))))*(($H$123)+1)</f>
        <v>806.47655399999996</v>
      </c>
      <c r="I237" s="36">
        <f>6.65*9.26</f>
        <v>61.579000000000001</v>
      </c>
      <c r="J237" s="36">
        <f>5.2*1.5</f>
        <v>7.8000000000000007</v>
      </c>
      <c r="K237" s="85">
        <f>11+8+10+40+9+30+8+6+7+7*3+5</f>
        <v>155</v>
      </c>
      <c r="N237" s="36"/>
      <c r="T237" s="21"/>
    </row>
    <row r="238" spans="1:20" s="85" customFormat="1" ht="30" customHeight="1" x14ac:dyDescent="0.35">
      <c r="A238" s="99">
        <v>8</v>
      </c>
      <c r="B238" s="100"/>
      <c r="C238" s="69" t="s">
        <v>340</v>
      </c>
      <c r="D238" s="71">
        <f>(1.77*2.31+6.03*3)*(10.764)</f>
        <v>238.73152679999998</v>
      </c>
      <c r="E238" s="71">
        <f>(7.4*1.6)*(10.764)</f>
        <v>127.44576000000001</v>
      </c>
      <c r="F238" s="69">
        <f t="shared" si="33"/>
        <v>366.17728679999999</v>
      </c>
      <c r="G238" s="69">
        <v>0</v>
      </c>
      <c r="H238" s="69">
        <f t="shared" si="31"/>
        <v>549.26593019999996</v>
      </c>
      <c r="I238" s="36">
        <f>(5.88*6.31+1.84*2.31+3*3)</f>
        <v>50.353199999999994</v>
      </c>
      <c r="J238" s="36">
        <f>12.66*1.5</f>
        <v>18.990000000000002</v>
      </c>
      <c r="N238" s="36"/>
      <c r="T238" s="21"/>
    </row>
    <row r="239" spans="1:20" s="85" customFormat="1" ht="30" customHeight="1" x14ac:dyDescent="0.35">
      <c r="A239" s="99">
        <v>9</v>
      </c>
      <c r="B239" s="100"/>
      <c r="C239" s="69" t="s">
        <v>340</v>
      </c>
      <c r="D239" s="71">
        <f>(2.29*2.31+6.63*3)*(10.764)</f>
        <v>271.03644359999998</v>
      </c>
      <c r="E239" s="71">
        <f>(6.63*1.6)*(10.764)</f>
        <v>114.184512</v>
      </c>
      <c r="F239" s="69">
        <f t="shared" ref="F239" si="34">D239+E239</f>
        <v>385.22095559999997</v>
      </c>
      <c r="G239" s="69">
        <v>0</v>
      </c>
      <c r="H239" s="69">
        <f t="shared" si="31"/>
        <v>577.83143339999992</v>
      </c>
      <c r="I239" s="36">
        <f>(5.88*6.31+1.84*2.31+3*3)</f>
        <v>50.353199999999994</v>
      </c>
      <c r="J239" s="36">
        <f>12.66*1.5</f>
        <v>18.990000000000002</v>
      </c>
      <c r="N239" s="36"/>
      <c r="T239" s="21"/>
    </row>
    <row r="240" spans="1:20" s="85" customFormat="1" ht="15.75" customHeight="1" x14ac:dyDescent="0.35">
      <c r="A240" s="96">
        <v>10</v>
      </c>
      <c r="B240" s="97"/>
      <c r="C240" s="96" t="s">
        <v>330</v>
      </c>
      <c r="D240" s="98"/>
      <c r="E240" s="98"/>
      <c r="F240" s="98"/>
      <c r="G240" s="97"/>
      <c r="H240" s="69">
        <f t="shared" si="31"/>
        <v>0</v>
      </c>
      <c r="I240" s="36">
        <f>6.65*9.28</f>
        <v>61.711999999999996</v>
      </c>
      <c r="J240" s="36">
        <f>9.61*1.5</f>
        <v>14.414999999999999</v>
      </c>
      <c r="N240" s="36"/>
      <c r="T240" s="21"/>
    </row>
    <row r="241" spans="1:20" s="35" customFormat="1" x14ac:dyDescent="0.35">
      <c r="A241" s="129" t="s">
        <v>64</v>
      </c>
      <c r="B241" s="129"/>
      <c r="C241" s="129"/>
      <c r="D241" s="129"/>
      <c r="E241" s="129"/>
      <c r="F241" s="129"/>
      <c r="G241" s="129"/>
      <c r="H241" s="129"/>
      <c r="T241" s="37"/>
    </row>
    <row r="242" spans="1:20" s="35" customFormat="1" ht="67.900000000000006" customHeight="1" x14ac:dyDescent="0.35">
      <c r="A242" s="45">
        <v>1</v>
      </c>
      <c r="B242" s="126" t="s">
        <v>355</v>
      </c>
      <c r="C242" s="127"/>
      <c r="D242" s="127"/>
      <c r="E242" s="127"/>
      <c r="F242" s="127"/>
      <c r="G242" s="127"/>
      <c r="H242" s="128"/>
      <c r="T242" s="37"/>
    </row>
    <row r="243" spans="1:20" s="35" customFormat="1" hidden="1" x14ac:dyDescent="0.35">
      <c r="A243" s="45" t="s">
        <v>145</v>
      </c>
      <c r="B243" s="123" t="e">
        <f>(IF(#REF!="Saleable area Loading :","We have considered Saleable area of Flats as per our Calculation.","We considered Saleable area of Flat as per Builder area Sheet."))</f>
        <v>#REF!</v>
      </c>
      <c r="C243" s="124"/>
      <c r="D243" s="124"/>
      <c r="E243" s="124"/>
      <c r="F243" s="124"/>
      <c r="G243" s="124"/>
      <c r="H243" s="125"/>
      <c r="T243" s="37"/>
    </row>
    <row r="244" spans="1:20" s="35" customFormat="1" x14ac:dyDescent="0.35">
      <c r="A244" s="45">
        <v>2</v>
      </c>
      <c r="B244" s="123" t="str">
        <f>(IF(H122="Saleable area Loading :","We have considered Saleable area of Commercial as per our Calculation.","We considered Saleable area of Commercial as per Builder area Sheet."))</f>
        <v>We have considered Saleable area of Commercial as per our Calculation.</v>
      </c>
      <c r="C244" s="124"/>
      <c r="D244" s="124"/>
      <c r="E244" s="124"/>
      <c r="F244" s="124"/>
      <c r="G244" s="124"/>
      <c r="H244" s="125"/>
      <c r="T244" s="37"/>
    </row>
    <row r="245" spans="1:20" s="35" customFormat="1" x14ac:dyDescent="0.35">
      <c r="A245" s="45">
        <f>A244+1</f>
        <v>3</v>
      </c>
      <c r="B245" s="91" t="s">
        <v>115</v>
      </c>
      <c r="C245" s="92"/>
      <c r="D245" s="92"/>
      <c r="E245" s="92"/>
      <c r="F245" s="92"/>
      <c r="G245" s="92"/>
      <c r="H245" s="93"/>
      <c r="T245" s="37"/>
    </row>
    <row r="246" spans="1:20" s="35" customFormat="1" ht="16.5" customHeight="1" x14ac:dyDescent="0.35">
      <c r="A246" s="88">
        <f t="shared" ref="A246:A256" si="35">A245+1</f>
        <v>4</v>
      </c>
      <c r="B246" s="91" t="s">
        <v>343</v>
      </c>
      <c r="C246" s="92"/>
      <c r="D246" s="92"/>
      <c r="E246" s="92"/>
      <c r="F246" s="92"/>
      <c r="G246" s="92"/>
      <c r="H246" s="93"/>
      <c r="T246" s="37"/>
    </row>
    <row r="247" spans="1:20" s="35" customFormat="1" x14ac:dyDescent="0.35">
      <c r="A247" s="88">
        <f t="shared" si="35"/>
        <v>5</v>
      </c>
      <c r="B247" s="91" t="s">
        <v>144</v>
      </c>
      <c r="C247" s="92"/>
      <c r="D247" s="92"/>
      <c r="E247" s="92"/>
      <c r="F247" s="92"/>
      <c r="G247" s="92"/>
      <c r="H247" s="93"/>
    </row>
    <row r="248" spans="1:20" s="35" customFormat="1" x14ac:dyDescent="0.35">
      <c r="A248" s="88">
        <f t="shared" si="35"/>
        <v>6</v>
      </c>
      <c r="B248" s="91" t="s">
        <v>116</v>
      </c>
      <c r="C248" s="92"/>
      <c r="D248" s="92"/>
      <c r="E248" s="92"/>
      <c r="F248" s="92"/>
      <c r="G248" s="92"/>
      <c r="H248" s="93"/>
    </row>
    <row r="249" spans="1:20" s="35" customFormat="1" ht="34.5" customHeight="1" x14ac:dyDescent="0.35">
      <c r="A249" s="88">
        <f t="shared" si="35"/>
        <v>7</v>
      </c>
      <c r="B249" s="91" t="s">
        <v>146</v>
      </c>
      <c r="C249" s="92"/>
      <c r="D249" s="92"/>
      <c r="E249" s="92"/>
      <c r="F249" s="92"/>
      <c r="G249" s="92"/>
      <c r="H249" s="93"/>
    </row>
    <row r="250" spans="1:20" s="35" customFormat="1" x14ac:dyDescent="0.35">
      <c r="A250" s="88">
        <f t="shared" si="35"/>
        <v>8</v>
      </c>
      <c r="B250" s="91" t="s">
        <v>117</v>
      </c>
      <c r="C250" s="92"/>
      <c r="D250" s="92"/>
      <c r="E250" s="92"/>
      <c r="F250" s="92"/>
      <c r="G250" s="92"/>
      <c r="H250" s="93"/>
    </row>
    <row r="251" spans="1:20" s="35" customFormat="1" x14ac:dyDescent="0.35">
      <c r="A251" s="88">
        <f t="shared" si="35"/>
        <v>9</v>
      </c>
      <c r="B251" s="91" t="s">
        <v>344</v>
      </c>
      <c r="C251" s="92"/>
      <c r="D251" s="92"/>
      <c r="E251" s="92"/>
      <c r="F251" s="92"/>
      <c r="G251" s="92"/>
      <c r="H251" s="93"/>
    </row>
    <row r="252" spans="1:20" s="35" customFormat="1" ht="31.5" customHeight="1" x14ac:dyDescent="0.35">
      <c r="A252" s="88">
        <f t="shared" si="35"/>
        <v>10</v>
      </c>
      <c r="B252" s="91" t="s">
        <v>345</v>
      </c>
      <c r="C252" s="92"/>
      <c r="D252" s="92"/>
      <c r="E252" s="92"/>
      <c r="F252" s="92"/>
      <c r="G252" s="92"/>
      <c r="H252" s="93"/>
    </row>
    <row r="253" spans="1:20" s="35" customFormat="1" ht="31.5" customHeight="1" x14ac:dyDescent="0.35">
      <c r="A253" s="88">
        <f t="shared" si="35"/>
        <v>11</v>
      </c>
      <c r="B253" s="91" t="s">
        <v>348</v>
      </c>
      <c r="C253" s="92"/>
      <c r="D253" s="92"/>
      <c r="E253" s="92"/>
      <c r="F253" s="92"/>
      <c r="G253" s="92"/>
      <c r="H253" s="93"/>
    </row>
    <row r="254" spans="1:20" s="35" customFormat="1" x14ac:dyDescent="0.35">
      <c r="A254" s="88">
        <f t="shared" si="35"/>
        <v>12</v>
      </c>
      <c r="B254" s="91" t="s">
        <v>346</v>
      </c>
      <c r="C254" s="92"/>
      <c r="D254" s="92"/>
      <c r="E254" s="92"/>
      <c r="F254" s="92"/>
      <c r="G254" s="92"/>
      <c r="H254" s="93"/>
    </row>
    <row r="255" spans="1:20" s="35" customFormat="1" x14ac:dyDescent="0.35">
      <c r="A255" s="88">
        <f t="shared" si="35"/>
        <v>13</v>
      </c>
      <c r="B255" s="91" t="s">
        <v>347</v>
      </c>
      <c r="C255" s="92"/>
      <c r="D255" s="92"/>
      <c r="E255" s="92"/>
      <c r="F255" s="92"/>
      <c r="G255" s="92"/>
      <c r="H255" s="93"/>
    </row>
    <row r="256" spans="1:20" s="35" customFormat="1" x14ac:dyDescent="0.35">
      <c r="A256" s="89">
        <f t="shared" si="35"/>
        <v>14</v>
      </c>
      <c r="B256" s="91" t="s">
        <v>354</v>
      </c>
      <c r="C256" s="92"/>
      <c r="D256" s="92"/>
      <c r="E256" s="92"/>
      <c r="F256" s="92"/>
      <c r="G256" s="92"/>
      <c r="H256" s="93"/>
    </row>
    <row r="257" spans="1:20" x14ac:dyDescent="0.35">
      <c r="A257" s="163" t="s">
        <v>57</v>
      </c>
      <c r="B257" s="163"/>
      <c r="C257" s="163"/>
      <c r="D257" s="163"/>
      <c r="E257" s="163"/>
      <c r="F257" s="163"/>
      <c r="G257" s="163"/>
      <c r="H257" s="163"/>
      <c r="T257" s="35"/>
    </row>
    <row r="258" spans="1:20" x14ac:dyDescent="0.35">
      <c r="A258" s="106" t="s">
        <v>58</v>
      </c>
      <c r="B258" s="106"/>
      <c r="C258" s="106"/>
      <c r="D258" s="106"/>
      <c r="E258" s="106"/>
      <c r="F258" s="106"/>
      <c r="G258" s="106"/>
      <c r="H258" s="106"/>
      <c r="T258" s="35"/>
    </row>
    <row r="259" spans="1:20" ht="15.75" customHeight="1" x14ac:dyDescent="0.35">
      <c r="A259" s="184" t="s">
        <v>59</v>
      </c>
      <c r="B259" s="184"/>
      <c r="C259" s="184"/>
      <c r="D259" s="184"/>
      <c r="E259" s="184"/>
      <c r="F259" s="184"/>
      <c r="G259" s="184"/>
      <c r="H259" s="184"/>
      <c r="T259" s="35"/>
    </row>
    <row r="260" spans="1:20" x14ac:dyDescent="0.35">
      <c r="A260" s="106" t="s">
        <v>60</v>
      </c>
      <c r="B260" s="106"/>
      <c r="C260" s="106"/>
      <c r="D260" s="106"/>
      <c r="E260" s="106"/>
      <c r="F260" s="106"/>
      <c r="G260" s="106"/>
      <c r="H260" s="106"/>
      <c r="T260" s="35"/>
    </row>
    <row r="261" spans="1:20" x14ac:dyDescent="0.35">
      <c r="A261" s="106" t="s">
        <v>61</v>
      </c>
      <c r="B261" s="106"/>
      <c r="C261" s="106"/>
      <c r="D261" s="106"/>
      <c r="E261" s="106"/>
      <c r="F261" s="106"/>
      <c r="G261" s="106"/>
      <c r="H261" s="106"/>
      <c r="T261" s="35"/>
    </row>
    <row r="262" spans="1:20" x14ac:dyDescent="0.35">
      <c r="A262" s="106" t="s">
        <v>118</v>
      </c>
      <c r="B262" s="106"/>
      <c r="C262" s="106"/>
      <c r="D262" s="106"/>
      <c r="E262" s="106"/>
      <c r="F262" s="106"/>
      <c r="G262" s="106"/>
      <c r="H262" s="106"/>
      <c r="T262" s="35"/>
    </row>
    <row r="263" spans="1:20" ht="34" customHeight="1" x14ac:dyDescent="0.35">
      <c r="A263" s="151" t="s">
        <v>119</v>
      </c>
      <c r="B263" s="151"/>
      <c r="C263" s="151"/>
      <c r="D263" s="151"/>
      <c r="E263" s="151"/>
      <c r="F263" s="151"/>
      <c r="G263" s="151"/>
      <c r="H263" s="151"/>
    </row>
    <row r="264" spans="1:20" x14ac:dyDescent="0.35">
      <c r="A264" s="179" t="s">
        <v>71</v>
      </c>
      <c r="B264" s="179"/>
      <c r="C264" s="179" t="s">
        <v>311</v>
      </c>
      <c r="D264" s="179"/>
      <c r="E264" s="179" t="s">
        <v>100</v>
      </c>
      <c r="F264" s="179"/>
      <c r="G264" s="180" t="s">
        <v>359</v>
      </c>
      <c r="H264" s="180"/>
    </row>
    <row r="265" spans="1:20" x14ac:dyDescent="0.35">
      <c r="A265" s="178" t="s">
        <v>73</v>
      </c>
      <c r="B265" s="178"/>
      <c r="C265" s="178"/>
      <c r="D265" s="178"/>
      <c r="E265" s="178"/>
      <c r="F265" s="178"/>
      <c r="G265" s="178"/>
      <c r="H265" s="178"/>
    </row>
    <row r="266" spans="1:20" x14ac:dyDescent="0.35">
      <c r="A266" s="178"/>
      <c r="B266" s="178"/>
      <c r="C266" s="178"/>
      <c r="D266" s="178"/>
      <c r="E266" s="178"/>
      <c r="F266" s="178"/>
      <c r="G266" s="178"/>
      <c r="H266" s="178"/>
    </row>
    <row r="267" spans="1:20" x14ac:dyDescent="0.35">
      <c r="A267" s="178"/>
      <c r="B267" s="178"/>
      <c r="C267" s="178"/>
      <c r="D267" s="178"/>
      <c r="E267" s="178"/>
      <c r="F267" s="178"/>
      <c r="G267" s="178"/>
      <c r="H267" s="178"/>
    </row>
    <row r="268" spans="1:20" x14ac:dyDescent="0.35">
      <c r="A268" s="178"/>
      <c r="B268" s="178"/>
      <c r="C268" s="178"/>
      <c r="D268" s="178"/>
      <c r="E268" s="178"/>
      <c r="F268" s="178"/>
      <c r="G268" s="178"/>
      <c r="H268" s="178"/>
    </row>
    <row r="269" spans="1:20" x14ac:dyDescent="0.35">
      <c r="A269" s="38" t="s">
        <v>62</v>
      </c>
      <c r="B269" s="39"/>
      <c r="C269" s="39"/>
      <c r="D269" s="38" t="str">
        <f>E9</f>
        <v>Centurion</v>
      </c>
      <c r="F269" s="39"/>
      <c r="G269" s="39"/>
      <c r="H269" s="39"/>
    </row>
    <row r="270" spans="1:20" x14ac:dyDescent="0.35">
      <c r="A270" s="39"/>
      <c r="B270" s="39"/>
      <c r="C270" s="39"/>
      <c r="D270" s="39"/>
      <c r="E270" s="39"/>
      <c r="F270" s="39"/>
      <c r="G270" s="39"/>
      <c r="H270" s="39"/>
    </row>
    <row r="271" spans="1:20" x14ac:dyDescent="0.35">
      <c r="A271" s="39"/>
      <c r="B271" s="72"/>
      <c r="C271" s="39"/>
      <c r="D271" s="39"/>
      <c r="E271" s="39"/>
      <c r="F271" s="39"/>
      <c r="G271" s="39"/>
      <c r="H271" s="39"/>
    </row>
    <row r="272" spans="1:20" ht="15" customHeight="1" x14ac:dyDescent="0.35"/>
    <row r="311" spans="1:1" x14ac:dyDescent="0.35">
      <c r="A311" s="41" t="s">
        <v>152</v>
      </c>
    </row>
    <row r="353" spans="1:1" x14ac:dyDescent="0.35">
      <c r="A353" s="41" t="s">
        <v>63</v>
      </c>
    </row>
    <row r="395" spans="1:1" x14ac:dyDescent="0.35">
      <c r="A395" s="41" t="s">
        <v>349</v>
      </c>
    </row>
  </sheetData>
  <mergeCells count="416">
    <mergeCell ref="B256:H256"/>
    <mergeCell ref="A206:B206"/>
    <mergeCell ref="A207:B207"/>
    <mergeCell ref="A208:B208"/>
    <mergeCell ref="C208:G208"/>
    <mergeCell ref="A209:B209"/>
    <mergeCell ref="A211:B211"/>
    <mergeCell ref="A210:B210"/>
    <mergeCell ref="A221:B221"/>
    <mergeCell ref="C223:G223"/>
    <mergeCell ref="A223:B223"/>
    <mergeCell ref="A218:B218"/>
    <mergeCell ref="C218:G218"/>
    <mergeCell ref="A219:B219"/>
    <mergeCell ref="A220:B220"/>
    <mergeCell ref="C211:G211"/>
    <mergeCell ref="A212:H212"/>
    <mergeCell ref="A213:B213"/>
    <mergeCell ref="C213:G213"/>
    <mergeCell ref="A214:B214"/>
    <mergeCell ref="A215:B215"/>
    <mergeCell ref="A216:B216"/>
    <mergeCell ref="A217:B217"/>
    <mergeCell ref="B249:H249"/>
    <mergeCell ref="A177:B177"/>
    <mergeCell ref="A178:B178"/>
    <mergeCell ref="A191:H191"/>
    <mergeCell ref="A192:B192"/>
    <mergeCell ref="A193:B193"/>
    <mergeCell ref="A194:B194"/>
    <mergeCell ref="A195:B195"/>
    <mergeCell ref="A196:B196"/>
    <mergeCell ref="A197:B197"/>
    <mergeCell ref="C192:G192"/>
    <mergeCell ref="C197:G197"/>
    <mergeCell ref="A180:H180"/>
    <mergeCell ref="A181:B181"/>
    <mergeCell ref="A182:B182"/>
    <mergeCell ref="A183:B183"/>
    <mergeCell ref="A184:B184"/>
    <mergeCell ref="A185:B185"/>
    <mergeCell ref="A179:B179"/>
    <mergeCell ref="C179:G179"/>
    <mergeCell ref="A186:B186"/>
    <mergeCell ref="A171:B171"/>
    <mergeCell ref="A172:B172"/>
    <mergeCell ref="A173:B173"/>
    <mergeCell ref="A174:B174"/>
    <mergeCell ref="A175:B175"/>
    <mergeCell ref="A176:B176"/>
    <mergeCell ref="A159:B159"/>
    <mergeCell ref="A160:B160"/>
    <mergeCell ref="A161:B161"/>
    <mergeCell ref="A162:B162"/>
    <mergeCell ref="A163:B163"/>
    <mergeCell ref="A164:B164"/>
    <mergeCell ref="A165:B165"/>
    <mergeCell ref="A166:B166"/>
    <mergeCell ref="A167:B167"/>
    <mergeCell ref="A168:B168"/>
    <mergeCell ref="A151:B151"/>
    <mergeCell ref="A152:B152"/>
    <mergeCell ref="A153:B153"/>
    <mergeCell ref="A154:B154"/>
    <mergeCell ref="A155:B155"/>
    <mergeCell ref="A156:B156"/>
    <mergeCell ref="A157:B157"/>
    <mergeCell ref="A169:H169"/>
    <mergeCell ref="A170:B170"/>
    <mergeCell ref="I15:P15"/>
    <mergeCell ref="F108:H108"/>
    <mergeCell ref="F106:H106"/>
    <mergeCell ref="A121:H121"/>
    <mergeCell ref="G112:H112"/>
    <mergeCell ref="A107:E107"/>
    <mergeCell ref="A128:B128"/>
    <mergeCell ref="A56:B56"/>
    <mergeCell ref="C56:E56"/>
    <mergeCell ref="D59:H59"/>
    <mergeCell ref="F107:H107"/>
    <mergeCell ref="E112:F112"/>
    <mergeCell ref="A112:B112"/>
    <mergeCell ref="A116:B116"/>
    <mergeCell ref="D67:H67"/>
    <mergeCell ref="A68:C68"/>
    <mergeCell ref="E43:H43"/>
    <mergeCell ref="A43:D43"/>
    <mergeCell ref="A84:B84"/>
    <mergeCell ref="C84:H84"/>
    <mergeCell ref="A79:B79"/>
    <mergeCell ref="A50:B50"/>
    <mergeCell ref="C50:E50"/>
    <mergeCell ref="G50:H50"/>
    <mergeCell ref="A59:C59"/>
    <mergeCell ref="A60:C60"/>
    <mergeCell ref="D60:H60"/>
    <mergeCell ref="G56:H56"/>
    <mergeCell ref="A54:B55"/>
    <mergeCell ref="C54:E54"/>
    <mergeCell ref="G54:H54"/>
    <mergeCell ref="G51:H51"/>
    <mergeCell ref="A52:B53"/>
    <mergeCell ref="C53:H53"/>
    <mergeCell ref="C52:E52"/>
    <mergeCell ref="C55:H55"/>
    <mergeCell ref="A57:B57"/>
    <mergeCell ref="C57:E57"/>
    <mergeCell ref="G57:H57"/>
    <mergeCell ref="A262:H262"/>
    <mergeCell ref="A259:H259"/>
    <mergeCell ref="A92:B92"/>
    <mergeCell ref="A93:B93"/>
    <mergeCell ref="A94:B94"/>
    <mergeCell ref="F99:H99"/>
    <mergeCell ref="G113:H113"/>
    <mergeCell ref="F105:H105"/>
    <mergeCell ref="C112:D112"/>
    <mergeCell ref="A124:H124"/>
    <mergeCell ref="A125:H125"/>
    <mergeCell ref="A127:B127"/>
    <mergeCell ref="A119:B119"/>
    <mergeCell ref="C119:D119"/>
    <mergeCell ref="E119:F119"/>
    <mergeCell ref="B254:H254"/>
    <mergeCell ref="B248:H248"/>
    <mergeCell ref="A140:B140"/>
    <mergeCell ref="A141:B141"/>
    <mergeCell ref="A142:B142"/>
    <mergeCell ref="A145:B145"/>
    <mergeCell ref="B251:H251"/>
    <mergeCell ref="A158:H158"/>
    <mergeCell ref="A146:B146"/>
    <mergeCell ref="A87:B87"/>
    <mergeCell ref="F98:H98"/>
    <mergeCell ref="F103:H103"/>
    <mergeCell ref="G88:H97"/>
    <mergeCell ref="A89:B89"/>
    <mergeCell ref="A90:B90"/>
    <mergeCell ref="A91:B91"/>
    <mergeCell ref="F100:H100"/>
    <mergeCell ref="A100:E100"/>
    <mergeCell ref="A102:E102"/>
    <mergeCell ref="A101:E101"/>
    <mergeCell ref="A98:E98"/>
    <mergeCell ref="F102:H102"/>
    <mergeCell ref="A265:H268"/>
    <mergeCell ref="A264:B264"/>
    <mergeCell ref="E264:F264"/>
    <mergeCell ref="C264:D264"/>
    <mergeCell ref="G264:H264"/>
    <mergeCell ref="A111:H111"/>
    <mergeCell ref="A109:E109"/>
    <mergeCell ref="F109:H109"/>
    <mergeCell ref="A110:E110"/>
    <mergeCell ref="F110:H110"/>
    <mergeCell ref="A113:B113"/>
    <mergeCell ref="A260:H260"/>
    <mergeCell ref="A263:H263"/>
    <mergeCell ref="A261:H261"/>
    <mergeCell ref="A257:H257"/>
    <mergeCell ref="C122:C123"/>
    <mergeCell ref="A258:H258"/>
    <mergeCell ref="E113:F113"/>
    <mergeCell ref="B122:B123"/>
    <mergeCell ref="A122:A123"/>
    <mergeCell ref="B247:H247"/>
    <mergeCell ref="G119:H119"/>
    <mergeCell ref="D122:D123"/>
    <mergeCell ref="G122:G123"/>
    <mergeCell ref="A70:B70"/>
    <mergeCell ref="C70:H70"/>
    <mergeCell ref="A78:B78"/>
    <mergeCell ref="A65:C65"/>
    <mergeCell ref="D65:H65"/>
    <mergeCell ref="C72:H72"/>
    <mergeCell ref="A75:B75"/>
    <mergeCell ref="A77:B77"/>
    <mergeCell ref="E73:F73"/>
    <mergeCell ref="A66:C66"/>
    <mergeCell ref="D66:H66"/>
    <mergeCell ref="A69:C69"/>
    <mergeCell ref="D69:H69"/>
    <mergeCell ref="A67:C67"/>
    <mergeCell ref="D68:H68"/>
    <mergeCell ref="A74:B74"/>
    <mergeCell ref="G73:H73"/>
    <mergeCell ref="E74:F83"/>
    <mergeCell ref="G74:H83"/>
    <mergeCell ref="A82:B82"/>
    <mergeCell ref="A83:B83"/>
    <mergeCell ref="A73:B73"/>
    <mergeCell ref="A76:B76"/>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E27:H27"/>
    <mergeCell ref="A29:D29"/>
    <mergeCell ref="E29:H29"/>
    <mergeCell ref="A26:D26"/>
    <mergeCell ref="E26:H26"/>
    <mergeCell ref="A25:D25"/>
    <mergeCell ref="E25:H25"/>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A38:H38"/>
    <mergeCell ref="A37:B37"/>
    <mergeCell ref="C37:E37"/>
    <mergeCell ref="A42:D42"/>
    <mergeCell ref="E42:H42"/>
    <mergeCell ref="A41:H41"/>
    <mergeCell ref="A63:C63"/>
    <mergeCell ref="A64:C64"/>
    <mergeCell ref="D63:H63"/>
    <mergeCell ref="D64:H64"/>
    <mergeCell ref="A44:D44"/>
    <mergeCell ref="E44:H44"/>
    <mergeCell ref="E45:H45"/>
    <mergeCell ref="E46:H46"/>
    <mergeCell ref="E47:H47"/>
    <mergeCell ref="A49:B49"/>
    <mergeCell ref="C49:H49"/>
    <mergeCell ref="F37:H37"/>
    <mergeCell ref="A62:C62"/>
    <mergeCell ref="D62:H62"/>
    <mergeCell ref="C51:E51"/>
    <mergeCell ref="G52:H52"/>
    <mergeCell ref="A51:B51"/>
    <mergeCell ref="A58:H58"/>
    <mergeCell ref="A39:B39"/>
    <mergeCell ref="C39:H39"/>
    <mergeCell ref="A46:D46"/>
    <mergeCell ref="L130:M130"/>
    <mergeCell ref="L129:M129"/>
    <mergeCell ref="L128:M128"/>
    <mergeCell ref="L127:M127"/>
    <mergeCell ref="A81:B81"/>
    <mergeCell ref="A99:E99"/>
    <mergeCell ref="A126:H126"/>
    <mergeCell ref="E122:E123"/>
    <mergeCell ref="A88:B88"/>
    <mergeCell ref="A47:D47"/>
    <mergeCell ref="A48:H48"/>
    <mergeCell ref="D61:H61"/>
    <mergeCell ref="A61:C61"/>
    <mergeCell ref="A80:B80"/>
    <mergeCell ref="C86:H86"/>
    <mergeCell ref="A45:D45"/>
    <mergeCell ref="A40:B40"/>
    <mergeCell ref="C40:H40"/>
    <mergeCell ref="F122:F123"/>
    <mergeCell ref="C113:D113"/>
    <mergeCell ref="A72:B72"/>
    <mergeCell ref="B244:H244"/>
    <mergeCell ref="B242:H242"/>
    <mergeCell ref="B243:H243"/>
    <mergeCell ref="B245:H245"/>
    <mergeCell ref="B246:H246"/>
    <mergeCell ref="A241:H241"/>
    <mergeCell ref="A130:B130"/>
    <mergeCell ref="A129:B129"/>
    <mergeCell ref="A143:B143"/>
    <mergeCell ref="A144:B144"/>
    <mergeCell ref="A147:H147"/>
    <mergeCell ref="A131:B131"/>
    <mergeCell ref="A132:B132"/>
    <mergeCell ref="A133:B133"/>
    <mergeCell ref="A134:B134"/>
    <mergeCell ref="A135:B135"/>
    <mergeCell ref="A136:B136"/>
    <mergeCell ref="A137:B137"/>
    <mergeCell ref="A138:H138"/>
    <mergeCell ref="A139:B139"/>
    <mergeCell ref="A148:B148"/>
    <mergeCell ref="A149:B149"/>
    <mergeCell ref="A150:B150"/>
    <mergeCell ref="C203:G203"/>
    <mergeCell ref="A204:B204"/>
    <mergeCell ref="A205:B205"/>
    <mergeCell ref="A86:B86"/>
    <mergeCell ref="A103:E103"/>
    <mergeCell ref="A97:B97"/>
    <mergeCell ref="A108:E108"/>
    <mergeCell ref="C116:D116"/>
    <mergeCell ref="E116:F116"/>
    <mergeCell ref="G116:H116"/>
    <mergeCell ref="A118:B118"/>
    <mergeCell ref="C118:D118"/>
    <mergeCell ref="E118:F118"/>
    <mergeCell ref="G118:H118"/>
    <mergeCell ref="A120:H120"/>
    <mergeCell ref="E87:F87"/>
    <mergeCell ref="G87:H87"/>
    <mergeCell ref="A104:E104"/>
    <mergeCell ref="F104:H104"/>
    <mergeCell ref="A106:E106"/>
    <mergeCell ref="F101:H101"/>
    <mergeCell ref="A105:E105"/>
    <mergeCell ref="E88:F97"/>
    <mergeCell ref="A95:B95"/>
    <mergeCell ref="A96:B96"/>
    <mergeCell ref="A231:B231"/>
    <mergeCell ref="A232:H232"/>
    <mergeCell ref="A233:B233"/>
    <mergeCell ref="C233:G233"/>
    <mergeCell ref="A234:B234"/>
    <mergeCell ref="A235:B235"/>
    <mergeCell ref="A187:B187"/>
    <mergeCell ref="A222:H222"/>
    <mergeCell ref="A224:B224"/>
    <mergeCell ref="A225:B225"/>
    <mergeCell ref="A226:B226"/>
    <mergeCell ref="A227:B227"/>
    <mergeCell ref="A228:B228"/>
    <mergeCell ref="C228:G228"/>
    <mergeCell ref="A229:B229"/>
    <mergeCell ref="A188:B188"/>
    <mergeCell ref="A189:B189"/>
    <mergeCell ref="A190:B190"/>
    <mergeCell ref="A198:B198"/>
    <mergeCell ref="A199:B199"/>
    <mergeCell ref="A200:B200"/>
    <mergeCell ref="A201:B201"/>
    <mergeCell ref="A202:H202"/>
    <mergeCell ref="A203:B203"/>
    <mergeCell ref="B252:H252"/>
    <mergeCell ref="B253:H253"/>
    <mergeCell ref="B255:H255"/>
    <mergeCell ref="A114:B114"/>
    <mergeCell ref="C114:D114"/>
    <mergeCell ref="E114:F114"/>
    <mergeCell ref="G114:H114"/>
    <mergeCell ref="A115:B115"/>
    <mergeCell ref="C115:D115"/>
    <mergeCell ref="E115:F115"/>
    <mergeCell ref="G115:H115"/>
    <mergeCell ref="B250:H250"/>
    <mergeCell ref="A236:B236"/>
    <mergeCell ref="C236:G236"/>
    <mergeCell ref="A237:B237"/>
    <mergeCell ref="A238:B238"/>
    <mergeCell ref="A240:B240"/>
    <mergeCell ref="A239:B239"/>
    <mergeCell ref="C240:G240"/>
    <mergeCell ref="A117:B117"/>
    <mergeCell ref="C117:D117"/>
    <mergeCell ref="E117:F117"/>
    <mergeCell ref="G117:H117"/>
    <mergeCell ref="A230:B230"/>
  </mergeCells>
  <dataValidations count="16">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22:E123">
      <formula1>"Attached Loft area,Attached Otla,Rewas Proj./  Proposed Extn.,Attached Mezzanine area"</formula1>
    </dataValidation>
    <dataValidation type="list" allowBlank="1" showInputMessage="1" showErrorMessage="1" sqref="G264:H264">
      <formula1>"Kunal Kadam,Pranita Mhatre,Shruti Fule,Pooja Kawale,Neha Dhokale,Shruti Tathare, Hitakshi Mhatre, Sachin Sawant"</formula1>
    </dataValidation>
    <dataValidation type="list" allowBlank="1" showInputMessage="1" showErrorMessage="1" sqref="F98:H98">
      <formula1>"On Saleable Area,On Builtup Area,On Carpet Area,On Plot Area"</formula1>
    </dataValidation>
    <dataValidation type="list" allowBlank="1" showInputMessage="1" showErrorMessage="1" sqref="F109:H109">
      <formula1>OFFSET($S$98,1,MATCH($G20,$S$98:$W$98,0)-1,15,1)</formula1>
    </dataValidation>
    <dataValidation type="list" allowBlank="1" showInputMessage="1" showErrorMessage="1" sqref="B122:B123">
      <formula1>"Shop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H123">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79">
      <formula1>0</formula1>
      <formula2>H71</formula2>
    </dataValidation>
    <dataValidation type="list" allowBlank="1" showInputMessage="1" showErrorMessage="1" sqref="H122">
      <formula1>"Saleable area Loading :,Builder Saleable Area"</formula1>
    </dataValidation>
    <dataValidation type="list" allowBlank="1" showInputMessage="1" showErrorMessage="1" sqref="D122:D123">
      <formula1>"Carpet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4" manualBreakCount="4">
    <brk id="268" max="16383" man="1"/>
    <brk id="310" max="16383" man="1"/>
    <brk id="352" max="16383" man="1"/>
    <brk id="394" max="7"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213" t="s">
        <v>101</v>
      </c>
      <c r="C3" s="213"/>
      <c r="D3" s="213"/>
      <c r="E3" s="213"/>
      <c r="F3" s="213"/>
      <c r="G3" s="213"/>
      <c r="H3" s="213"/>
    </row>
    <row r="4" spans="1:9" x14ac:dyDescent="0.35">
      <c r="A4" s="2"/>
      <c r="B4" s="3" t="s">
        <v>102</v>
      </c>
      <c r="C4" s="3" t="s">
        <v>103</v>
      </c>
      <c r="D4" s="3" t="s">
        <v>65</v>
      </c>
      <c r="E4" s="3" t="s">
        <v>104</v>
      </c>
      <c r="F4" s="3" t="s">
        <v>110</v>
      </c>
      <c r="G4" s="3" t="s">
        <v>111</v>
      </c>
      <c r="H4" s="3" t="s">
        <v>105</v>
      </c>
    </row>
    <row r="5" spans="1:9" ht="15" customHeight="1" x14ac:dyDescent="0.35">
      <c r="A5" s="2"/>
      <c r="B5" s="5" t="s">
        <v>106</v>
      </c>
      <c r="C5" s="6"/>
      <c r="D5" s="5"/>
      <c r="E5" s="5"/>
      <c r="F5" s="7">
        <f>E5*1.6</f>
        <v>0</v>
      </c>
      <c r="G5" s="7" t="e">
        <f>H5/F5</f>
        <v>#DIV/0!</v>
      </c>
      <c r="H5" s="8"/>
    </row>
    <row r="6" spans="1:9" x14ac:dyDescent="0.35">
      <c r="A6" s="2"/>
      <c r="B6" s="5" t="s">
        <v>106</v>
      </c>
      <c r="C6" s="9"/>
      <c r="D6" s="5"/>
      <c r="E6" s="5"/>
      <c r="F6" s="7">
        <f t="shared" ref="F6:F11" si="0">E6*1.6</f>
        <v>0</v>
      </c>
      <c r="G6" s="7" t="e">
        <f t="shared" ref="G6:G11" si="1">H6/F6</f>
        <v>#DIV/0!</v>
      </c>
      <c r="H6" s="8"/>
    </row>
    <row r="7" spans="1:9" ht="15" customHeight="1" x14ac:dyDescent="0.35">
      <c r="A7" s="2"/>
      <c r="B7" s="5" t="s">
        <v>106</v>
      </c>
      <c r="C7" s="6"/>
      <c r="D7" s="5"/>
      <c r="E7" s="5"/>
      <c r="F7" s="7">
        <f t="shared" si="0"/>
        <v>0</v>
      </c>
      <c r="G7" s="7" t="e">
        <f t="shared" si="1"/>
        <v>#DIV/0!</v>
      </c>
      <c r="H7" s="8"/>
    </row>
    <row r="8" spans="1:9" x14ac:dyDescent="0.35">
      <c r="A8" s="2"/>
      <c r="B8" s="5" t="s">
        <v>106</v>
      </c>
      <c r="C8" s="9"/>
      <c r="D8" s="5"/>
      <c r="E8" s="5"/>
      <c r="F8" s="7">
        <f t="shared" si="0"/>
        <v>0</v>
      </c>
      <c r="G8" s="7" t="e">
        <f t="shared" si="1"/>
        <v>#DIV/0!</v>
      </c>
      <c r="H8" s="8"/>
    </row>
    <row r="9" spans="1:9" ht="15" customHeight="1" x14ac:dyDescent="0.35">
      <c r="A9" s="2"/>
      <c r="B9" s="5" t="s">
        <v>106</v>
      </c>
      <c r="C9" s="9"/>
      <c r="D9" s="5"/>
      <c r="E9" s="5"/>
      <c r="F9" s="7">
        <f t="shared" si="0"/>
        <v>0</v>
      </c>
      <c r="G9" s="7" t="e">
        <f t="shared" si="1"/>
        <v>#DIV/0!</v>
      </c>
      <c r="H9" s="8"/>
    </row>
    <row r="10" spans="1:9" ht="15" customHeight="1" x14ac:dyDescent="0.35">
      <c r="A10" s="2"/>
      <c r="B10" s="5" t="s">
        <v>107</v>
      </c>
      <c r="C10" s="6"/>
      <c r="D10" s="5"/>
      <c r="E10" s="5"/>
      <c r="F10" s="7">
        <f t="shared" si="0"/>
        <v>0</v>
      </c>
      <c r="G10" s="7" t="e">
        <f t="shared" si="1"/>
        <v>#DIV/0!</v>
      </c>
      <c r="H10" s="8"/>
    </row>
    <row r="11" spans="1:9" ht="15" customHeight="1" x14ac:dyDescent="0.35">
      <c r="A11" s="2"/>
      <c r="B11" s="5" t="s">
        <v>107</v>
      </c>
      <c r="C11" s="6"/>
      <c r="D11" s="5"/>
      <c r="E11" s="5"/>
      <c r="F11" s="7">
        <f t="shared" si="0"/>
        <v>0</v>
      </c>
      <c r="G11" s="7" t="e">
        <f t="shared" si="1"/>
        <v>#DIV/0!</v>
      </c>
      <c r="H11" s="8"/>
    </row>
    <row r="12" spans="1:9" ht="15" customHeight="1" x14ac:dyDescent="0.35">
      <c r="A12" s="2"/>
      <c r="B12" s="10" t="s">
        <v>108</v>
      </c>
      <c r="C12" s="5"/>
      <c r="D12" s="5"/>
      <c r="E12" s="5"/>
      <c r="F12" s="5"/>
      <c r="G12" s="11" t="e">
        <f>AVERAGE(G5:G11)</f>
        <v>#DIV/0!</v>
      </c>
      <c r="H12" s="5"/>
    </row>
    <row r="13" spans="1:9" ht="15" customHeight="1" x14ac:dyDescent="0.35">
      <c r="B13" s="10" t="s">
        <v>109</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53"/>
      <c r="C4" s="53" t="s">
        <v>11</v>
      </c>
      <c r="D4" s="54" t="s">
        <v>165</v>
      </c>
      <c r="E4" s="54" t="s">
        <v>175</v>
      </c>
      <c r="F4" s="54" t="s">
        <v>161</v>
      </c>
      <c r="G4" s="54" t="s">
        <v>180</v>
      </c>
      <c r="H4" s="54" t="s">
        <v>198</v>
      </c>
      <c r="J4" t="s">
        <v>180</v>
      </c>
      <c r="K4" t="s">
        <v>196</v>
      </c>
    </row>
    <row r="5" spans="2:11" x14ac:dyDescent="0.35">
      <c r="B5" s="53"/>
      <c r="C5" s="53"/>
      <c r="D5" s="54" t="s">
        <v>166</v>
      </c>
      <c r="E5" s="54" t="s">
        <v>173</v>
      </c>
      <c r="F5" s="54" t="s">
        <v>195</v>
      </c>
      <c r="G5" s="54" t="s">
        <v>181</v>
      </c>
      <c r="H5" s="54" t="s">
        <v>199</v>
      </c>
    </row>
    <row r="6" spans="2:11" x14ac:dyDescent="0.35">
      <c r="B6" s="53"/>
      <c r="C6" s="53"/>
      <c r="D6" s="54" t="s">
        <v>167</v>
      </c>
      <c r="E6" s="54" t="s">
        <v>174</v>
      </c>
      <c r="F6" s="54" t="s">
        <v>196</v>
      </c>
      <c r="G6" s="54" t="s">
        <v>182</v>
      </c>
      <c r="H6" s="54" t="s">
        <v>212</v>
      </c>
    </row>
    <row r="7" spans="2:11" x14ac:dyDescent="0.35">
      <c r="B7" s="53"/>
      <c r="C7" s="53"/>
      <c r="D7" s="54" t="s">
        <v>168</v>
      </c>
      <c r="E7" s="54" t="s">
        <v>176</v>
      </c>
      <c r="F7" s="54" t="s">
        <v>197</v>
      </c>
      <c r="G7" s="54" t="s">
        <v>183</v>
      </c>
      <c r="H7" s="54" t="s">
        <v>200</v>
      </c>
    </row>
    <row r="8" spans="2:11" x14ac:dyDescent="0.35">
      <c r="B8" s="53"/>
      <c r="C8" s="53"/>
      <c r="D8" s="54" t="s">
        <v>169</v>
      </c>
      <c r="E8" s="54" t="s">
        <v>177</v>
      </c>
      <c r="F8" s="54"/>
      <c r="G8" s="54" t="s">
        <v>184</v>
      </c>
      <c r="H8" s="54" t="s">
        <v>201</v>
      </c>
    </row>
    <row r="9" spans="2:11" x14ac:dyDescent="0.35">
      <c r="B9" s="53"/>
      <c r="C9" s="53"/>
      <c r="D9" s="54" t="s">
        <v>170</v>
      </c>
      <c r="E9" s="54" t="s">
        <v>175</v>
      </c>
      <c r="F9" s="54"/>
      <c r="G9" s="54" t="s">
        <v>185</v>
      </c>
      <c r="H9" s="54" t="s">
        <v>202</v>
      </c>
    </row>
    <row r="10" spans="2:11" x14ac:dyDescent="0.35">
      <c r="B10" s="53"/>
      <c r="C10" s="53"/>
      <c r="D10" s="54" t="s">
        <v>171</v>
      </c>
      <c r="E10" s="54" t="s">
        <v>178</v>
      </c>
      <c r="F10" s="54"/>
      <c r="G10" s="54" t="s">
        <v>186</v>
      </c>
      <c r="H10" s="54" t="s">
        <v>203</v>
      </c>
    </row>
    <row r="11" spans="2:11" x14ac:dyDescent="0.35">
      <c r="B11" s="53"/>
      <c r="C11" s="53"/>
      <c r="D11" s="54" t="s">
        <v>172</v>
      </c>
      <c r="E11" s="54" t="s">
        <v>179</v>
      </c>
      <c r="F11" s="54"/>
      <c r="G11" s="54" t="s">
        <v>187</v>
      </c>
      <c r="H11" s="54" t="s">
        <v>204</v>
      </c>
    </row>
    <row r="12" spans="2:11" x14ac:dyDescent="0.35">
      <c r="B12" s="53"/>
      <c r="C12" s="53"/>
      <c r="D12" s="54"/>
      <c r="E12" s="54"/>
      <c r="F12" s="54"/>
      <c r="G12" s="54" t="s">
        <v>188</v>
      </c>
      <c r="H12" s="54" t="s">
        <v>205</v>
      </c>
    </row>
    <row r="13" spans="2:11" x14ac:dyDescent="0.35">
      <c r="B13" s="53"/>
      <c r="C13" s="53"/>
      <c r="D13" s="54"/>
      <c r="E13" s="54"/>
      <c r="F13" s="54"/>
      <c r="G13" s="54" t="s">
        <v>189</v>
      </c>
      <c r="H13" s="54" t="s">
        <v>206</v>
      </c>
    </row>
    <row r="14" spans="2:11" x14ac:dyDescent="0.35">
      <c r="B14" s="53"/>
      <c r="C14" s="53"/>
      <c r="D14" s="54"/>
      <c r="E14" s="54"/>
      <c r="F14" s="54"/>
      <c r="G14" s="54" t="s">
        <v>190</v>
      </c>
      <c r="H14" s="54" t="s">
        <v>207</v>
      </c>
    </row>
    <row r="15" spans="2:11" x14ac:dyDescent="0.35">
      <c r="B15" s="53"/>
      <c r="C15" s="53"/>
      <c r="D15" s="54"/>
      <c r="E15" s="54"/>
      <c r="F15" s="54"/>
      <c r="G15" s="54" t="s">
        <v>191</v>
      </c>
      <c r="H15" s="54" t="s">
        <v>208</v>
      </c>
    </row>
    <row r="16" spans="2:11" x14ac:dyDescent="0.35">
      <c r="B16" s="53"/>
      <c r="C16" s="53"/>
      <c r="D16" s="54"/>
      <c r="E16" s="54"/>
      <c r="F16" s="54"/>
      <c r="G16" s="54" t="s">
        <v>192</v>
      </c>
      <c r="H16" s="54" t="s">
        <v>209</v>
      </c>
    </row>
    <row r="17" spans="2:8" x14ac:dyDescent="0.35">
      <c r="B17" s="53"/>
      <c r="C17" s="53"/>
      <c r="D17" s="54"/>
      <c r="E17" s="54"/>
      <c r="F17" s="54"/>
      <c r="G17" s="54" t="s">
        <v>193</v>
      </c>
      <c r="H17" s="54" t="s">
        <v>210</v>
      </c>
    </row>
    <row r="18" spans="2:8" x14ac:dyDescent="0.35">
      <c r="B18" s="53"/>
      <c r="C18" s="53"/>
      <c r="D18" s="54"/>
      <c r="E18" s="54"/>
      <c r="F18" s="54"/>
      <c r="G18" s="54" t="s">
        <v>194</v>
      </c>
      <c r="H18" s="54" t="s">
        <v>211</v>
      </c>
    </row>
    <row r="24" spans="2:8" x14ac:dyDescent="0.35">
      <c r="C24" t="s">
        <v>158</v>
      </c>
    </row>
    <row r="25" spans="2:8" x14ac:dyDescent="0.35">
      <c r="C25" t="s">
        <v>213</v>
      </c>
    </row>
    <row r="26" spans="2:8" x14ac:dyDescent="0.35">
      <c r="C26" t="s">
        <v>214</v>
      </c>
    </row>
    <row r="27" spans="2:8" x14ac:dyDescent="0.35">
      <c r="C27" t="s">
        <v>215</v>
      </c>
    </row>
    <row r="28" spans="2:8" x14ac:dyDescent="0.35">
      <c r="C28" t="s">
        <v>216</v>
      </c>
    </row>
    <row r="29" spans="2:8" x14ac:dyDescent="0.35">
      <c r="C29" t="s">
        <v>217</v>
      </c>
    </row>
    <row r="30" spans="2:8" x14ac:dyDescent="0.35">
      <c r="C30" t="s">
        <v>158</v>
      </c>
    </row>
    <row r="33" spans="3:11" x14ac:dyDescent="0.35">
      <c r="J33">
        <v>1</v>
      </c>
      <c r="K33">
        <v>2</v>
      </c>
    </row>
    <row r="34" spans="3:11" x14ac:dyDescent="0.35">
      <c r="C34" s="55" t="s">
        <v>222</v>
      </c>
      <c r="D34" s="54" t="s">
        <v>220</v>
      </c>
      <c r="E34" s="54" t="s">
        <v>225</v>
      </c>
      <c r="F34" s="54" t="s">
        <v>223</v>
      </c>
      <c r="G34" s="54" t="s">
        <v>224</v>
      </c>
      <c r="H34" s="54" t="s">
        <v>226</v>
      </c>
      <c r="J34" t="s">
        <v>180</v>
      </c>
      <c r="K34" t="s">
        <v>196</v>
      </c>
    </row>
    <row r="35" spans="3:11" x14ac:dyDescent="0.35">
      <c r="C35" s="53" t="s">
        <v>221</v>
      </c>
      <c r="D35" s="54" t="s">
        <v>159</v>
      </c>
      <c r="E35" s="54" t="s">
        <v>230</v>
      </c>
      <c r="F35" s="54" t="s">
        <v>232</v>
      </c>
      <c r="G35" s="54" t="s">
        <v>234</v>
      </c>
      <c r="H35" s="54"/>
    </row>
    <row r="36" spans="3:11" x14ac:dyDescent="0.35">
      <c r="C36" s="53"/>
      <c r="D36" s="54" t="s">
        <v>227</v>
      </c>
      <c r="E36" s="54" t="s">
        <v>231</v>
      </c>
      <c r="F36" s="54" t="s">
        <v>233</v>
      </c>
      <c r="G36" s="54" t="s">
        <v>235</v>
      </c>
      <c r="H36" s="54"/>
    </row>
    <row r="37" spans="3:11" x14ac:dyDescent="0.35">
      <c r="C37" s="53"/>
      <c r="D37" s="54" t="s">
        <v>228</v>
      </c>
      <c r="E37" s="54"/>
      <c r="F37" s="54"/>
      <c r="G37" s="54" t="s">
        <v>236</v>
      </c>
      <c r="H37" s="54"/>
    </row>
    <row r="38" spans="3:11" x14ac:dyDescent="0.35">
      <c r="C38" s="53"/>
      <c r="D38" s="54" t="s">
        <v>229</v>
      </c>
      <c r="E38" s="54"/>
      <c r="F38" s="54"/>
      <c r="G38" s="54" t="s">
        <v>236</v>
      </c>
      <c r="H38" s="54"/>
    </row>
    <row r="39" spans="3:11" x14ac:dyDescent="0.35">
      <c r="C39" s="53"/>
      <c r="D39" s="54"/>
      <c r="E39" s="54"/>
      <c r="F39" s="54"/>
      <c r="G39" s="54" t="s">
        <v>237</v>
      </c>
      <c r="H39" s="54"/>
    </row>
    <row r="40" spans="3:11" x14ac:dyDescent="0.35">
      <c r="C40" s="53"/>
      <c r="D40" s="54"/>
      <c r="E40" s="54"/>
      <c r="F40" s="54"/>
      <c r="G40" s="54" t="s">
        <v>238</v>
      </c>
      <c r="H40" s="54"/>
    </row>
    <row r="41" spans="3:11" x14ac:dyDescent="0.35">
      <c r="C41" s="53"/>
      <c r="D41" s="54"/>
      <c r="E41" s="54"/>
      <c r="F41" s="54"/>
      <c r="G41" s="54"/>
      <c r="H41" s="54"/>
    </row>
    <row r="43" spans="3:11" x14ac:dyDescent="0.35">
      <c r="C43" t="s">
        <v>239</v>
      </c>
    </row>
    <row r="44" spans="3:11" x14ac:dyDescent="0.35">
      <c r="C44" t="s">
        <v>161</v>
      </c>
      <c r="D44" t="s">
        <v>240</v>
      </c>
    </row>
    <row r="45" spans="3:11" x14ac:dyDescent="0.35">
      <c r="D45" t="s">
        <v>241</v>
      </c>
    </row>
    <row r="46" spans="3:11" x14ac:dyDescent="0.35">
      <c r="D46" t="s">
        <v>242</v>
      </c>
    </row>
    <row r="47" spans="3:11" x14ac:dyDescent="0.35">
      <c r="D47" t="s">
        <v>243</v>
      </c>
    </row>
    <row r="48" spans="3:11" x14ac:dyDescent="0.35">
      <c r="D48" t="s">
        <v>244</v>
      </c>
    </row>
    <row r="49" spans="3:4" x14ac:dyDescent="0.35">
      <c r="C49" t="s">
        <v>165</v>
      </c>
      <c r="D49" t="s">
        <v>245</v>
      </c>
    </row>
    <row r="50" spans="3:4" x14ac:dyDescent="0.35">
      <c r="D50" t="s">
        <v>246</v>
      </c>
    </row>
    <row r="51" spans="3:4" x14ac:dyDescent="0.35">
      <c r="D51" t="s">
        <v>247</v>
      </c>
    </row>
    <row r="52" spans="3:4" x14ac:dyDescent="0.35">
      <c r="D52" t="s">
        <v>250</v>
      </c>
    </row>
    <row r="53" spans="3:4" x14ac:dyDescent="0.35">
      <c r="D53" t="s">
        <v>248</v>
      </c>
    </row>
    <row r="54" spans="3:4" x14ac:dyDescent="0.35">
      <c r="D54" t="s">
        <v>249</v>
      </c>
    </row>
    <row r="55" spans="3:4" x14ac:dyDescent="0.35">
      <c r="D55" t="s">
        <v>251</v>
      </c>
    </row>
    <row r="56" spans="3:4" x14ac:dyDescent="0.35">
      <c r="D56" t="s">
        <v>252</v>
      </c>
    </row>
    <row r="57" spans="3:4" x14ac:dyDescent="0.35">
      <c r="D57" t="s">
        <v>253</v>
      </c>
    </row>
    <row r="58" spans="3:4" x14ac:dyDescent="0.35">
      <c r="D58" t="s">
        <v>255</v>
      </c>
    </row>
    <row r="59" spans="3:4" x14ac:dyDescent="0.35">
      <c r="D59" t="s">
        <v>264</v>
      </c>
    </row>
    <row r="60" spans="3:4" x14ac:dyDescent="0.35">
      <c r="C60" t="s">
        <v>180</v>
      </c>
      <c r="D60" t="s">
        <v>256</v>
      </c>
    </row>
    <row r="61" spans="3:4" x14ac:dyDescent="0.35">
      <c r="D61" t="s">
        <v>254</v>
      </c>
    </row>
    <row r="62" spans="3:4" x14ac:dyDescent="0.35">
      <c r="D62" t="s">
        <v>244</v>
      </c>
    </row>
    <row r="63" spans="3:4" x14ac:dyDescent="0.35">
      <c r="D63" t="s">
        <v>257</v>
      </c>
    </row>
    <row r="64" spans="3:4" x14ac:dyDescent="0.35">
      <c r="D64" t="s">
        <v>258</v>
      </c>
    </row>
    <row r="65" spans="3:4" x14ac:dyDescent="0.35">
      <c r="D65" t="s">
        <v>259</v>
      </c>
    </row>
    <row r="66" spans="3:4" x14ac:dyDescent="0.35">
      <c r="D66" t="s">
        <v>260</v>
      </c>
    </row>
    <row r="67" spans="3:4" x14ac:dyDescent="0.35">
      <c r="C67" t="s">
        <v>175</v>
      </c>
      <c r="D67" t="s">
        <v>261</v>
      </c>
    </row>
    <row r="68" spans="3:4" x14ac:dyDescent="0.35">
      <c r="D68" t="s">
        <v>262</v>
      </c>
    </row>
    <row r="69" spans="3:4" x14ac:dyDescent="0.35">
      <c r="D69" t="s">
        <v>263</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26"/>
  <sheetViews>
    <sheetView topLeftCell="A9" workbookViewId="0">
      <selection activeCell="D22" sqref="D22"/>
    </sheetView>
  </sheetViews>
  <sheetFormatPr defaultRowHeight="14.5" x14ac:dyDescent="0.35"/>
  <cols>
    <col min="2" max="2" width="3" bestFit="1" customWidth="1"/>
    <col min="3" max="3" width="130" customWidth="1"/>
  </cols>
  <sheetData>
    <row r="2" spans="2:3" ht="15" customHeight="1" x14ac:dyDescent="0.35">
      <c r="B2" s="56">
        <v>1</v>
      </c>
      <c r="C2" s="59" t="s">
        <v>268</v>
      </c>
    </row>
    <row r="3" spans="2:3" x14ac:dyDescent="0.35">
      <c r="B3" s="56">
        <v>2</v>
      </c>
      <c r="C3" s="57" t="s">
        <v>269</v>
      </c>
    </row>
    <row r="4" spans="2:3" x14ac:dyDescent="0.35">
      <c r="B4" s="56">
        <v>3</v>
      </c>
      <c r="C4" s="58" t="s">
        <v>270</v>
      </c>
    </row>
    <row r="5" spans="2:3" x14ac:dyDescent="0.35">
      <c r="B5" s="56">
        <v>4</v>
      </c>
      <c r="C5" s="57" t="s">
        <v>271</v>
      </c>
    </row>
    <row r="6" spans="2:3" x14ac:dyDescent="0.35">
      <c r="B6" s="56">
        <v>5</v>
      </c>
      <c r="C6" s="58" t="s">
        <v>272</v>
      </c>
    </row>
    <row r="7" spans="2:3" ht="29" x14ac:dyDescent="0.35">
      <c r="B7" s="56">
        <v>6</v>
      </c>
      <c r="C7" s="57" t="s">
        <v>273</v>
      </c>
    </row>
    <row r="8" spans="2:3" ht="72.5" x14ac:dyDescent="0.35">
      <c r="B8" s="56">
        <v>7</v>
      </c>
      <c r="C8" s="57" t="s">
        <v>274</v>
      </c>
    </row>
    <row r="9" spans="2:3" x14ac:dyDescent="0.35">
      <c r="B9" s="56">
        <v>8</v>
      </c>
      <c r="C9" s="58" t="s">
        <v>275</v>
      </c>
    </row>
    <row r="10" spans="2:3" x14ac:dyDescent="0.35">
      <c r="B10" s="56">
        <v>9</v>
      </c>
      <c r="C10" s="58" t="s">
        <v>276</v>
      </c>
    </row>
    <row r="11" spans="2:3" x14ac:dyDescent="0.35">
      <c r="B11" s="56">
        <v>10</v>
      </c>
      <c r="C11" s="58" t="s">
        <v>277</v>
      </c>
    </row>
    <row r="12" spans="2:3" x14ac:dyDescent="0.35">
      <c r="B12" s="56">
        <v>11</v>
      </c>
      <c r="C12" s="58" t="s">
        <v>278</v>
      </c>
    </row>
    <row r="13" spans="2:3" x14ac:dyDescent="0.35">
      <c r="B13" s="56">
        <v>12</v>
      </c>
      <c r="C13" s="58" t="s">
        <v>279</v>
      </c>
    </row>
    <row r="14" spans="2:3" x14ac:dyDescent="0.35">
      <c r="B14" s="56">
        <v>13</v>
      </c>
      <c r="C14" s="58" t="s">
        <v>280</v>
      </c>
    </row>
    <row r="15" spans="2:3" x14ac:dyDescent="0.35">
      <c r="B15" s="56">
        <v>14</v>
      </c>
      <c r="C15" s="58" t="s">
        <v>270</v>
      </c>
    </row>
    <row r="16" spans="2:3" x14ac:dyDescent="0.35">
      <c r="B16" s="56">
        <v>15</v>
      </c>
      <c r="C16" s="58" t="s">
        <v>281</v>
      </c>
    </row>
    <row r="17" spans="2:3" ht="31.5" customHeight="1" x14ac:dyDescent="0.35">
      <c r="B17" s="65">
        <v>16</v>
      </c>
      <c r="C17" s="67" t="s">
        <v>282</v>
      </c>
    </row>
    <row r="18" spans="2:3" x14ac:dyDescent="0.35">
      <c r="B18" s="66">
        <v>17</v>
      </c>
      <c r="C18" s="67" t="s">
        <v>283</v>
      </c>
    </row>
    <row r="19" spans="2:3" x14ac:dyDescent="0.35">
      <c r="B19" s="65">
        <v>18</v>
      </c>
      <c r="C19" s="56" t="s">
        <v>284</v>
      </c>
    </row>
    <row r="20" spans="2:3" x14ac:dyDescent="0.35">
      <c r="B20" s="66">
        <v>19</v>
      </c>
      <c r="C20" s="56"/>
    </row>
    <row r="21" spans="2:3" x14ac:dyDescent="0.35">
      <c r="B21" s="68">
        <v>20</v>
      </c>
      <c r="C21" s="56"/>
    </row>
    <row r="22" spans="2:3" x14ac:dyDescent="0.35">
      <c r="B22" s="56"/>
      <c r="C22" s="56"/>
    </row>
    <row r="23" spans="2:3" x14ac:dyDescent="0.35">
      <c r="B23" s="56"/>
      <c r="C23" s="56"/>
    </row>
    <row r="24" spans="2:3" x14ac:dyDescent="0.35">
      <c r="B24" s="56"/>
      <c r="C24" s="56"/>
    </row>
    <row r="25" spans="2:3" x14ac:dyDescent="0.35">
      <c r="B25" s="56"/>
      <c r="C25" s="56"/>
    </row>
    <row r="26" spans="2:3" x14ac:dyDescent="0.35">
      <c r="B26" s="56"/>
      <c r="C26" s="56"/>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2025-06-05T10:19:38Z</cp:lastPrinted>
  <dcterms:created xsi:type="dcterms:W3CDTF">2019-07-16T09:29:46Z</dcterms:created>
  <dcterms:modified xsi:type="dcterms:W3CDTF">2025-09-09T07:06:55Z</dcterms:modified>
</cp:coreProperties>
</file>