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0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_FilterDatabase" localSheetId="0" hidden="1">Report!$A$164:$H$289</definedName>
    <definedName name="_xlnm.Print_Area" localSheetId="0">Report!$A$1:$H$414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9" i="1" l="1"/>
  <c r="E147" i="1"/>
  <c r="D232" i="1"/>
  <c r="D212" i="1"/>
  <c r="D192" i="1"/>
  <c r="J148" i="1"/>
  <c r="J147" i="1"/>
  <c r="G182" i="1" l="1"/>
  <c r="G181" i="1"/>
  <c r="G180" i="1" l="1"/>
  <c r="G179" i="1"/>
  <c r="I187" i="1" l="1"/>
  <c r="D266" i="1"/>
  <c r="F266" i="1" s="1"/>
  <c r="H266" i="1" s="1"/>
  <c r="D265" i="1"/>
  <c r="F265" i="1" s="1"/>
  <c r="H265" i="1" s="1"/>
  <c r="D264" i="1"/>
  <c r="F264" i="1" s="1"/>
  <c r="H264" i="1" s="1"/>
  <c r="D263" i="1"/>
  <c r="F263" i="1" s="1"/>
  <c r="H263" i="1" s="1"/>
  <c r="D262" i="1"/>
  <c r="D261" i="1"/>
  <c r="F261" i="1" s="1"/>
  <c r="H261" i="1" s="1"/>
  <c r="D260" i="1"/>
  <c r="F260" i="1" s="1"/>
  <c r="H260" i="1" s="1"/>
  <c r="D259" i="1"/>
  <c r="D258" i="1"/>
  <c r="F258" i="1" s="1"/>
  <c r="H258" i="1" s="1"/>
  <c r="D257" i="1"/>
  <c r="F257" i="1" s="1"/>
  <c r="H257" i="1" s="1"/>
  <c r="D256" i="1"/>
  <c r="F256" i="1" s="1"/>
  <c r="H256" i="1" s="1"/>
  <c r="D255" i="1"/>
  <c r="F255" i="1" s="1"/>
  <c r="H255" i="1" s="1"/>
  <c r="D246" i="1"/>
  <c r="F246" i="1" s="1"/>
  <c r="H246" i="1" s="1"/>
  <c r="D245" i="1"/>
  <c r="F245" i="1" s="1"/>
  <c r="H245" i="1" s="1"/>
  <c r="D243" i="1"/>
  <c r="F243" i="1" s="1"/>
  <c r="H243" i="1" s="1"/>
  <c r="D241" i="1"/>
  <c r="F241" i="1" s="1"/>
  <c r="H241" i="1" s="1"/>
  <c r="D240" i="1"/>
  <c r="F240" i="1" s="1"/>
  <c r="H240" i="1" s="1"/>
  <c r="D239" i="1"/>
  <c r="F239" i="1" s="1"/>
  <c r="H239" i="1" s="1"/>
  <c r="D229" i="1"/>
  <c r="F229" i="1" s="1"/>
  <c r="H229" i="1" s="1"/>
  <c r="D228" i="1"/>
  <c r="F228" i="1" s="1"/>
  <c r="H228" i="1" s="1"/>
  <c r="D236" i="1"/>
  <c r="F236" i="1" s="1"/>
  <c r="H236" i="1" s="1"/>
  <c r="D235" i="1"/>
  <c r="F235" i="1" s="1"/>
  <c r="H235" i="1" s="1"/>
  <c r="D234" i="1"/>
  <c r="F234" i="1" s="1"/>
  <c r="H234" i="1" s="1"/>
  <c r="D233" i="1"/>
  <c r="F233" i="1" s="1"/>
  <c r="H233" i="1" s="1"/>
  <c r="D231" i="1"/>
  <c r="F231" i="1" s="1"/>
  <c r="H231" i="1" s="1"/>
  <c r="D230" i="1"/>
  <c r="F230" i="1" s="1"/>
  <c r="H230" i="1" s="1"/>
  <c r="D226" i="1"/>
  <c r="F226" i="1" s="1"/>
  <c r="H226" i="1" s="1"/>
  <c r="D225" i="1"/>
  <c r="F225" i="1" s="1"/>
  <c r="H225" i="1" s="1"/>
  <c r="D224" i="1"/>
  <c r="F224" i="1" s="1"/>
  <c r="H224" i="1" s="1"/>
  <c r="D223" i="1"/>
  <c r="F223" i="1" s="1"/>
  <c r="H223" i="1" s="1"/>
  <c r="D221" i="1"/>
  <c r="F221" i="1" s="1"/>
  <c r="H221" i="1" s="1"/>
  <c r="D220" i="1"/>
  <c r="F220" i="1" s="1"/>
  <c r="H220" i="1" s="1"/>
  <c r="J220" i="1" s="1"/>
  <c r="D219" i="1"/>
  <c r="F219" i="1" s="1"/>
  <c r="H219" i="1" s="1"/>
  <c r="J219" i="1" s="1"/>
  <c r="D218" i="1"/>
  <c r="F218" i="1" s="1"/>
  <c r="H218" i="1" s="1"/>
  <c r="J218" i="1" s="1"/>
  <c r="D217" i="1"/>
  <c r="F217" i="1" s="1"/>
  <c r="H217" i="1" s="1"/>
  <c r="J217" i="1" s="1"/>
  <c r="D216" i="1"/>
  <c r="F216" i="1" s="1"/>
  <c r="H216" i="1" s="1"/>
  <c r="J216" i="1" s="1"/>
  <c r="D215" i="1"/>
  <c r="D214" i="1"/>
  <c r="F214" i="1" s="1"/>
  <c r="H214" i="1" s="1"/>
  <c r="J214" i="1" s="1"/>
  <c r="D213" i="1"/>
  <c r="F213" i="1" s="1"/>
  <c r="H213" i="1" s="1"/>
  <c r="J213" i="1" s="1"/>
  <c r="D211" i="1"/>
  <c r="F211" i="1" s="1"/>
  <c r="H211" i="1" s="1"/>
  <c r="J211" i="1" s="1"/>
  <c r="D210" i="1"/>
  <c r="F210" i="1" s="1"/>
  <c r="H210" i="1" s="1"/>
  <c r="J210" i="1" s="1"/>
  <c r="D209" i="1"/>
  <c r="F209" i="1" s="1"/>
  <c r="H209" i="1" s="1"/>
  <c r="J209" i="1" s="1"/>
  <c r="D208" i="1"/>
  <c r="F208" i="1" s="1"/>
  <c r="H208" i="1" s="1"/>
  <c r="J208" i="1" s="1"/>
  <c r="D206" i="1"/>
  <c r="F206" i="1" s="1"/>
  <c r="H206" i="1" s="1"/>
  <c r="J206" i="1" s="1"/>
  <c r="D205" i="1"/>
  <c r="D204" i="1"/>
  <c r="F204" i="1" s="1"/>
  <c r="H204" i="1" s="1"/>
  <c r="J204" i="1" s="1"/>
  <c r="D203" i="1"/>
  <c r="F203" i="1" s="1"/>
  <c r="H203" i="1" s="1"/>
  <c r="J203" i="1" s="1"/>
  <c r="D202" i="1"/>
  <c r="F202" i="1" s="1"/>
  <c r="H202" i="1" s="1"/>
  <c r="J202" i="1" s="1"/>
  <c r="D201" i="1"/>
  <c r="F201" i="1" s="1"/>
  <c r="H201" i="1" s="1"/>
  <c r="J201" i="1" s="1"/>
  <c r="D200" i="1"/>
  <c r="F200" i="1" s="1"/>
  <c r="D199" i="1"/>
  <c r="F199" i="1" s="1"/>
  <c r="H199" i="1" s="1"/>
  <c r="J199" i="1" s="1"/>
  <c r="D198" i="1"/>
  <c r="F198" i="1" s="1"/>
  <c r="H198" i="1" s="1"/>
  <c r="J198" i="1" s="1"/>
  <c r="D197" i="1"/>
  <c r="F197" i="1" s="1"/>
  <c r="H197" i="1" s="1"/>
  <c r="J197" i="1" s="1"/>
  <c r="D196" i="1"/>
  <c r="F196" i="1" s="1"/>
  <c r="H196" i="1" s="1"/>
  <c r="J196" i="1" s="1"/>
  <c r="D195" i="1"/>
  <c r="F195" i="1" s="1"/>
  <c r="D194" i="1"/>
  <c r="F194" i="1" s="1"/>
  <c r="H194" i="1" s="1"/>
  <c r="J194" i="1" s="1"/>
  <c r="D193" i="1"/>
  <c r="F193" i="1" s="1"/>
  <c r="D191" i="1"/>
  <c r="F191" i="1" s="1"/>
  <c r="H191" i="1" s="1"/>
  <c r="J191" i="1" s="1"/>
  <c r="D190" i="1"/>
  <c r="F190" i="1" s="1"/>
  <c r="H190" i="1" s="1"/>
  <c r="J190" i="1" s="1"/>
  <c r="D189" i="1"/>
  <c r="F189" i="1" s="1"/>
  <c r="D188" i="1"/>
  <c r="F188" i="1" s="1"/>
  <c r="F262" i="1"/>
  <c r="H262" i="1" s="1"/>
  <c r="F259" i="1"/>
  <c r="H259" i="1" s="1"/>
  <c r="A249" i="1"/>
  <c r="A250" i="1" s="1"/>
  <c r="A251" i="1" s="1"/>
  <c r="A252" i="1" s="1"/>
  <c r="A253" i="1" s="1"/>
  <c r="A254" i="1" s="1"/>
  <c r="A255" i="1" s="1"/>
  <c r="A256" i="1" s="1"/>
  <c r="A257" i="1" s="1"/>
  <c r="A258" i="1" s="1"/>
  <c r="A259" i="1" s="1"/>
  <c r="A260" i="1" s="1"/>
  <c r="A261" i="1" s="1"/>
  <c r="A262" i="1" s="1"/>
  <c r="A263" i="1" s="1"/>
  <c r="A264" i="1" s="1"/>
  <c r="A265" i="1" s="1"/>
  <c r="A266" i="1" s="1"/>
  <c r="F232" i="1"/>
  <c r="H232" i="1" s="1"/>
  <c r="A229" i="1"/>
  <c r="A230" i="1" s="1"/>
  <c r="A231" i="1" s="1"/>
  <c r="A232" i="1" s="1"/>
  <c r="A233" i="1" s="1"/>
  <c r="A234" i="1" s="1"/>
  <c r="A235" i="1" s="1"/>
  <c r="A236" i="1" s="1"/>
  <c r="A237" i="1" s="1"/>
  <c r="A238" i="1" s="1"/>
  <c r="A239" i="1" s="1"/>
  <c r="A240" i="1" s="1"/>
  <c r="A241" i="1" s="1"/>
  <c r="A242" i="1" s="1"/>
  <c r="A243" i="1" s="1"/>
  <c r="A244" i="1" s="1"/>
  <c r="A245" i="1" s="1"/>
  <c r="A246" i="1" s="1"/>
  <c r="F215" i="1"/>
  <c r="H215" i="1" s="1"/>
  <c r="J215" i="1" s="1"/>
  <c r="F212" i="1"/>
  <c r="H212" i="1" s="1"/>
  <c r="J212" i="1" s="1"/>
  <c r="A209" i="1"/>
  <c r="A210" i="1" s="1"/>
  <c r="A211" i="1" s="1"/>
  <c r="A212" i="1" s="1"/>
  <c r="A213" i="1" s="1"/>
  <c r="A214" i="1" s="1"/>
  <c r="A215" i="1" s="1"/>
  <c r="A216" i="1" s="1"/>
  <c r="A217" i="1" s="1"/>
  <c r="A218" i="1" s="1"/>
  <c r="A219" i="1" s="1"/>
  <c r="A220" i="1" s="1"/>
  <c r="A221" i="1" s="1"/>
  <c r="A222" i="1" s="1"/>
  <c r="A223" i="1" s="1"/>
  <c r="A224" i="1" s="1"/>
  <c r="A225" i="1" s="1"/>
  <c r="A226" i="1" s="1"/>
  <c r="F205" i="1"/>
  <c r="H205" i="1" s="1"/>
  <c r="J205" i="1" s="1"/>
  <c r="F192" i="1"/>
  <c r="I179" i="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7" i="1"/>
  <c r="I177" i="1"/>
  <c r="A189" i="1"/>
  <c r="A190" i="1" s="1"/>
  <c r="A191" i="1" s="1"/>
  <c r="A192" i="1" s="1"/>
  <c r="A193" i="1" s="1"/>
  <c r="A194" i="1" s="1"/>
  <c r="A195" i="1" s="1"/>
  <c r="A196" i="1" s="1"/>
  <c r="A197" i="1" s="1"/>
  <c r="A198" i="1" s="1"/>
  <c r="A199" i="1" s="1"/>
  <c r="A200" i="1" s="1"/>
  <c r="A201" i="1" s="1"/>
  <c r="A202" i="1" s="1"/>
  <c r="A203" i="1" s="1"/>
  <c r="A204" i="1" s="1"/>
  <c r="A205" i="1" s="1"/>
  <c r="A206" i="1" s="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D149" i="1"/>
  <c r="E148" i="1"/>
  <c r="D148" i="1"/>
  <c r="D147" i="1"/>
  <c r="I147" i="1"/>
  <c r="I148" i="1"/>
  <c r="E43" i="1"/>
  <c r="F152" i="1" l="1"/>
  <c r="H152" i="1" s="1"/>
  <c r="F156" i="1"/>
  <c r="H156" i="1" s="1"/>
  <c r="H195" i="1"/>
  <c r="J195" i="1" s="1"/>
  <c r="K195" i="1"/>
  <c r="F177" i="1"/>
  <c r="H177" i="1" s="1"/>
  <c r="C137" i="1"/>
  <c r="H188" i="1"/>
  <c r="J188" i="1" s="1"/>
  <c r="K188" i="1"/>
  <c r="H189" i="1"/>
  <c r="J189" i="1" s="1"/>
  <c r="K189" i="1"/>
  <c r="C132" i="1"/>
  <c r="F160" i="1"/>
  <c r="H160" i="1" s="1"/>
  <c r="H192" i="1"/>
  <c r="J192" i="1" s="1"/>
  <c r="K192" i="1"/>
  <c r="H200" i="1"/>
  <c r="J200" i="1" s="1"/>
  <c r="K200" i="1"/>
  <c r="H193" i="1"/>
  <c r="J193" i="1" s="1"/>
  <c r="K193" i="1"/>
  <c r="F151" i="1"/>
  <c r="H151" i="1" s="1"/>
  <c r="F159" i="1"/>
  <c r="H159" i="1" s="1"/>
  <c r="F153" i="1"/>
  <c r="H153" i="1" s="1"/>
  <c r="F157" i="1"/>
  <c r="H157" i="1" s="1"/>
  <c r="F161" i="1"/>
  <c r="H161" i="1" s="1"/>
  <c r="F154" i="1"/>
  <c r="H154" i="1" s="1"/>
  <c r="F158" i="1"/>
  <c r="H158" i="1" s="1"/>
  <c r="F162" i="1"/>
  <c r="H162" i="1" s="1"/>
  <c r="F155" i="1"/>
  <c r="H155" i="1" s="1"/>
  <c r="I45" i="1"/>
  <c r="E137" i="1" l="1"/>
  <c r="C140" i="1"/>
  <c r="G137" i="1"/>
  <c r="B269" i="1"/>
  <c r="F148" i="1" l="1"/>
  <c r="H148" i="1" s="1"/>
  <c r="F149" i="1"/>
  <c r="H149" i="1" s="1"/>
  <c r="F150" i="1"/>
  <c r="H150" i="1" s="1"/>
  <c r="F147" i="1"/>
  <c r="H147" i="1" l="1"/>
  <c r="G132" i="1" s="1"/>
  <c r="G140" i="1" s="1"/>
  <c r="E132" i="1"/>
  <c r="E140" i="1" s="1"/>
  <c r="G58" i="1"/>
  <c r="C58" i="1"/>
  <c r="G56" i="1"/>
  <c r="C56" i="1"/>
  <c r="S33" i="1" l="1"/>
  <c r="F11" i="5" l="1"/>
  <c r="G11" i="5" s="1"/>
  <c r="F10" i="5"/>
  <c r="G10" i="5" s="1"/>
  <c r="F9" i="5"/>
  <c r="G9" i="5" s="1"/>
  <c r="F8" i="5"/>
  <c r="G8" i="5" s="1"/>
  <c r="F7" i="5"/>
  <c r="G7" i="5" s="1"/>
  <c r="F6" i="5"/>
  <c r="G6" i="5" s="1"/>
  <c r="F5" i="5"/>
  <c r="G5" i="5" s="1"/>
  <c r="G12" i="5" s="1"/>
  <c r="D289" i="1"/>
  <c r="B270" i="1"/>
  <c r="A178" i="1"/>
  <c r="A179" i="1" s="1"/>
  <c r="A180" i="1" s="1"/>
  <c r="A181" i="1" s="1"/>
  <c r="A182" i="1" s="1"/>
  <c r="A183" i="1" s="1"/>
  <c r="A184" i="1" s="1"/>
  <c r="A148" i="1"/>
  <c r="A149" i="1" s="1"/>
  <c r="A150" i="1" s="1"/>
  <c r="A151" i="1" s="1"/>
  <c r="A152" i="1" s="1"/>
  <c r="A153" i="1" s="1"/>
  <c r="A154" i="1" s="1"/>
  <c r="A155" i="1" s="1"/>
  <c r="A156" i="1" s="1"/>
  <c r="A157" i="1" s="1"/>
  <c r="A158" i="1" s="1"/>
  <c r="A159" i="1" s="1"/>
  <c r="A160" i="1" s="1"/>
  <c r="A161" i="1" s="1"/>
  <c r="A162" i="1" s="1"/>
  <c r="F129" i="1"/>
  <c r="C103" i="1"/>
  <c r="C89" i="1"/>
  <c r="C75" i="1"/>
  <c r="D69" i="1"/>
  <c r="D62" i="1"/>
  <c r="G51" i="1"/>
  <c r="G52" i="1" s="1"/>
  <c r="C51" i="1"/>
  <c r="E44" i="1"/>
  <c r="E45" i="1" s="1"/>
  <c r="E31" i="1"/>
  <c r="E28" i="1"/>
  <c r="E26" i="1"/>
  <c r="C16" i="1"/>
  <c r="I15" i="1"/>
  <c r="Z13" i="1"/>
  <c r="E8" i="1"/>
  <c r="E3" i="1"/>
  <c r="H104" i="1"/>
  <c r="H90" i="1"/>
  <c r="H76" i="1"/>
  <c r="J75" i="1" l="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G93" i="1" l="1"/>
  <c r="J76" i="1"/>
  <c r="J101" i="1"/>
  <c r="J102" i="1" s="1"/>
  <c r="J90" i="1" s="1"/>
  <c r="I89" i="1" s="1"/>
  <c r="C91" i="1" s="1"/>
  <c r="D108" i="1"/>
  <c r="I104" i="1" s="1"/>
  <c r="J104" i="1"/>
  <c r="G107" i="1"/>
  <c r="E79" i="1"/>
  <c r="D80" i="1"/>
  <c r="I76" i="1" s="1"/>
  <c r="G79" i="1"/>
  <c r="D73" i="1" s="1"/>
  <c r="F74" i="1" l="1"/>
  <c r="D74" i="1"/>
  <c r="I105" i="1"/>
  <c r="I103" i="1" s="1"/>
  <c r="C105" i="1" s="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<sst xmlns="http://schemas.openxmlformats.org/spreadsheetml/2006/main" count="707" uniqueCount="362">
  <si>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</si>
  <si>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</si>
  <si>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</si>
  <si>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</si>
  <si>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</si>
  <si>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</si>
  <si>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</si>
  <si>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</si>
  <si>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</si>
  <si>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</si>
  <si>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</si>
  <si>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</si>
  <si>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</si>
  <si>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</si>
  <si>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</si>
  <si>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</si>
  <si>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</si>
  <si>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</si>
  <si>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</si>
  <si>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</si>
  <si>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</si>
  <si>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</si>
  <si>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</si>
  <si>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</si>
  <si>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</si>
  <si>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</si>
  <si>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</si>
  <si>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</si>
  <si>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</si>
  <si>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</si>
  <si>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</si>
  <si>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</si>
  <si>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</si>
  <si>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</si>
  <si>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</si>
  <si>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</si>
  <si>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</si>
  <si>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</si>
  <si>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</si>
  <si>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</si>
  <si>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</si>
  <si>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</si>
  <si>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</si>
  <si>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</si>
  <si>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</si>
  <si>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</si>
  <si>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</si>
  <si>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</si>
  <si>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</si>
  <si>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</si>
  <si>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</si>
  <si>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</si>
  <si>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</si>
  <si>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</si>
  <si>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</si>
  <si>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</si>
  <si>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</si>
  <si>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</si>
  <si>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</si>
  <si>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</si>
  <si>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</si>
  <si>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</si>
  <si>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</si>
  <si>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</si>
  <si>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</si>
  <si>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</si>
  <si>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</si>
  <si>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</si>
  <si>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</si>
  <si>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</si>
  <si>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</si>
  <si>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</si>
  <si>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</si>
  <si>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</si>
  <si>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</si>
  <si>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</si>
  <si>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</si>
  <si>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</si>
  <si>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</si>
  <si>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</si>
  <si>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</si>
  <si>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</si>
  <si>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</si>
  <si>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</si>
  <si>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</si>
  <si>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</si>
  <si>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</si>
  <si>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</si>
  <si>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</si>
  <si>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</si>
  <si>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</si>
  <si>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</si>
  <si>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</si>
  <si>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</si>
  <si>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</si>
  <si>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</si>
  <si>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</si>
  <si>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</si>
  <si>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</si>
  <si>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</si>
  <si>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</si>
  <si>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</si>
  <si>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</si>
  <si>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</si>
  <si>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</si>
  <si>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</si>
  <si>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</si>
  <si>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</si>
  <si>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</si>
  <si>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</si>
  <si>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</si>
  <si>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</si>
  <si>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</si>
  <si>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</si>
  <si>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</si>
  <si>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</si>
  <si>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</si>
  <si>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</si>
  <si>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</si>
  <si>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</si>
  <si>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</si>
  <si>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</si>
  <si>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</si>
  <si>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</si>
  <si>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</si>
  <si>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</si>
  <si>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</si>
  <si>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</si>
  <si>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</si>
  <si>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</si>
  <si>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</si>
  <si>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</si>
  <si>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</si>
  <si>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</si>
  <si>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</si>
  <si>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</si>
  <si>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</si>
  <si>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</si>
  <si>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</si>
  <si>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</si>
  <si>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</si>
  <si>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</si>
  <si>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</si>
  <si>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</si>
  <si>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</si>
  <si>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</si>
  <si>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</si>
  <si>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</si>
  <si>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</si>
  <si>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</si>
  <si>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</si>
  <si>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</si>
  <si>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</si>
  <si>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</si>
  <si>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</si>
  <si>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</si>
  <si>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</si>
  <si>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</si>
  <si>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</si>
  <si>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</si>
  <si>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</si>
  <si>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</si>
  <si>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</si>
  <si>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</si>
  <si>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</si>
  <si>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</si>
  <si>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</si>
  <si>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</si>
  <si>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</si>
  <si>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</si>
  <si>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</si>
  <si>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</si>
  <si>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</si>
  <si>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</si>
  <si>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</si>
  <si>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</si>
  <si>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</si>
  <si>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</si>
  <si>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</si>
  <si>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</si>
  <si>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</si>
  <si>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</si>
  <si>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</si>
  <si>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</si>
  <si>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</si>
  <si>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</si>
  <si>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</si>
  <si>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</si>
  <si>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</si>
  <si>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</si>
  <si>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</si>
  <si>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</si>
  <si>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</si>
  <si>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</si>
  <si>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</si>
  <si>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</si>
  <si>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</si>
  <si>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</si>
  <si>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</si>
  <si>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</si>
  <si>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</si>
  <si>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</si>
  <si>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</si>
  <si>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</si>
  <si>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</si>
  <si>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</si>
  <si>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</si>
  <si>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</si>
  <si>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</si>
  <si>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</si>
  <si>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</si>
  <si>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</si>
  <si>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</si>
  <si>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</si>
  <si>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</si>
  <si>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</si>
  <si>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</si>
  <si>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</si>
  <si>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</si>
  <si>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</si>
  <si>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</si>
  <si>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</si>
  <si>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</si>
  <si>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</si>
  <si>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</si>
  <si>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</si>
  <si>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</si>
  <si>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</si>
  <si>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</si>
  <si>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</si>
  <si>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</si>
  <si>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</si>
  <si>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</si>
  <si>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</si>
  <si>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</si>
  <si>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</si>
  <si>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</si>
  <si>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</si>
  <si>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</si>
  <si>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</si>
  <si>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</si>
  <si>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</si>
  <si>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</si>
  <si>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</si>
  <si>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</si>
  <si>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</si>
  <si>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</si>
  <si>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</si>
  <si>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</si>
  <si>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</si>
  <si>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</si>
  <si>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</si>
  <si>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</si>
  <si>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</si>
  <si>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</si>
  <si>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</si>
  <si>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</si>
  <si>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</si>
  <si>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</si>
  <si>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</si>
  <si>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</si>
  <si>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</si>
  <si>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</si>
  <si>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</si>
  <si>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</si>
  <si>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</si>
  <si>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</si>
  <si>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</si>
  <si>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</si>
  <si>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</si>
  <si>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</si>
  <si>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</si>
  <si>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</si>
  <si>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</si>
  <si>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</si>
  <si>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</si>
  <si>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</si>
  <si>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</si>
  <si>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</si>
  <si>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</si>
  <si>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</si>
  <si>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</si>
  <si>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</si>
  <si>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</si>
  <si>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</si>
  <si>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</si>
  <si>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</si>
  <si>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</si>
  <si>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</si>
  <si>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</si>
  <si>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</si>
  <si>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</si>
  <si>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</si>
  <si>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</si>
  <si>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</si>
  <si>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</si>
  <si>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</si>
  <si>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</si>
  <si>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</si>
  <si>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</si>
  <si>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</si>
  <si>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</si>
  <si>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Samrin Infrastructure</t>
  </si>
  <si>
    <t>Changuna Aangan</t>
  </si>
  <si>
    <t>P51700051386</t>
  </si>
  <si>
    <t>19.170178,73.046397</t>
  </si>
  <si>
    <t>https://maps.app.goo.gl/QkarxgWcYPKNEAt19</t>
  </si>
  <si>
    <t>Diva Shil Road</t>
  </si>
  <si>
    <t>Dawale</t>
  </si>
  <si>
    <t>Survey No</t>
  </si>
  <si>
    <t>2.00KM from Diva Railway Station</t>
  </si>
  <si>
    <t>45.00 M. Wide Road</t>
  </si>
  <si>
    <t>Other Plot</t>
  </si>
  <si>
    <t>Open Plot</t>
  </si>
  <si>
    <t>Building 1</t>
  </si>
  <si>
    <t>S11/0240/21/TMC/TD-DP/TPS/4374/23</t>
  </si>
  <si>
    <t>Sudama Regency</t>
  </si>
  <si>
    <t>Other Plot/Sudama Greens</t>
  </si>
  <si>
    <t>Building 1 = Gr + 1st to 19th Floor</t>
  </si>
  <si>
    <t>As per RERA - 31/12/2025</t>
  </si>
  <si>
    <t>Ground Floor For Commercial, Entrance Lobby, Meter Room, Driver Room &amp; Parking</t>
  </si>
  <si>
    <t>Shop</t>
  </si>
  <si>
    <t>Buidling 1</t>
  </si>
  <si>
    <t>Creche</t>
  </si>
  <si>
    <t>Void</t>
  </si>
  <si>
    <t>-</t>
  </si>
  <si>
    <t>1BHK</t>
  </si>
  <si>
    <t>1.5BHK</t>
  </si>
  <si>
    <t>2nd to 7th, 9th to 12th &amp; 14th to 17th Floor</t>
  </si>
  <si>
    <t>8th &amp; 13th Floor (Part Refuge Area)</t>
  </si>
  <si>
    <t>Refuge Area</t>
  </si>
  <si>
    <t>https://www.squareyards.com/thane-residential-property/samrin-changuna-aangan/225289/project</t>
  </si>
  <si>
    <t>Society Office 2</t>
  </si>
  <si>
    <t>Fitness Centre</t>
  </si>
  <si>
    <t>Society Office 1</t>
  </si>
  <si>
    <t>19th Floor (Part Terrace Area)</t>
  </si>
  <si>
    <t>Terrace Area</t>
  </si>
  <si>
    <t>We considered Gross carpet area = Net carpet.</t>
  </si>
  <si>
    <t>RERA Carpet area</t>
  </si>
  <si>
    <t>Flats</t>
  </si>
  <si>
    <t>1st Floor For Residential, Creche &amp; Void</t>
  </si>
  <si>
    <t>18th Floor (Part Society Office 1, 2, Fitness Centre &amp; Refuge Area)</t>
  </si>
  <si>
    <t>Flats - 337, Shops - 16</t>
  </si>
  <si>
    <t>S11/0240/21/TMC/TDD/4374/23</t>
  </si>
  <si>
    <t>Gr(PT) + Stilt(PT)  + 1st Floor + 2nd to 18th Floor + 19th (PT) Floor</t>
  </si>
  <si>
    <t>Diva East</t>
  </si>
  <si>
    <t>Approved Plans, CC, &amp; Cost Sheet.</t>
  </si>
  <si>
    <t>Lokgram, Khardipada</t>
  </si>
  <si>
    <t>162 &amp; 167 H. No. 04</t>
  </si>
  <si>
    <t>Diva Shil Road/Sudama Regency</t>
  </si>
  <si>
    <t>Open Plot/Divine Heights</t>
  </si>
  <si>
    <t>Vitrified tiles flooring, Granite Kitchen Platform, Decorative Entrance, etc.</t>
  </si>
  <si>
    <r>
      <t xml:space="preserve">Proposed Amenities :                                                                                                                                                                                                                         </t>
    </r>
    <r>
      <rPr>
        <b/>
        <sz val="12"/>
        <color theme="1"/>
        <rFont val="Times New Roman"/>
        <family val="1"/>
      </rPr>
      <t xml:space="preserve">                                               </t>
    </r>
  </si>
  <si>
    <t>Building 01</t>
  </si>
  <si>
    <t>Builder Saleable Area</t>
  </si>
  <si>
    <t>Builder salable area loading and our loading is same 1.50</t>
  </si>
  <si>
    <t>TMC/CFO/M/HR/04/05</t>
  </si>
  <si>
    <t>Gr + 1st to 19th Floor (Height 60.05 Mtrs)</t>
  </si>
  <si>
    <t>Gangaram Lambore</t>
  </si>
  <si>
    <t>Mr. Vishal : 8850096949</t>
  </si>
  <si>
    <t>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</si>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</sst>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5" fillId="0" borderId="1" xfId="1" applyFont="1" applyBorder="1" applyAlignment="1" applyProtection="1">
      <alignment horizontal="center" vertical="top"/>
      <protection locked="0"/>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64" fontId="7" fillId="0" borderId="0" xfId="1" applyNumberFormat="1" applyFont="1"/>
    <xf numFmtId="0" fontId="12" fillId="0" borderId="1" xfId="1" applyFont="1" applyBorder="1" applyAlignment="1" applyProtection="1">
      <alignment horizontal="center" vertical="top" wrapText="1"/>
      <protection locked="0"/>
    </xf>
    <xf numFmtId="0" fontId="7" fillId="0" borderId="0" xfId="1" applyFont="1" applyAlignment="1">
      <alignment vertical="center"/>
    </xf>
    <xf numFmtId="0" fontId="26" fillId="0" borderId="0" xfId="10"/>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1" fontId="7" fillId="2" borderId="0" xfId="1" applyNumberFormat="1" applyFont="1" applyFill="1" applyAlignment="1">
      <alignment horizontal="center" vertical="center"/>
    </xf>
    <xf numFmtId="0" fontId="25" fillId="0" borderId="9" xfId="0" applyFont="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34"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0" fontId="24" fillId="2" borderId="15" xfId="0" applyFont="1" applyFill="1" applyBorder="1"/>
    <xf numFmtId="0" fontId="8" fillId="0" borderId="1" xfId="1" applyFont="1" applyBorder="1" applyAlignment="1" applyProtection="1">
      <alignment horizontal="lef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47</xdr:row>
      <xdr:rowOff>1</xdr:rowOff>
    </xdr:from>
    <xdr:to>
      <xdr:col>14</xdr:col>
      <xdr:colOff>327300</xdr:colOff>
      <xdr:row>59</xdr:row>
      <xdr:rowOff>125984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943975" y="10620376"/>
          <a:ext cx="2880000" cy="1954783"/>
        </a:xfrm>
        <a:prstGeom prst="rect">
          <a:avLst/>
        </a:prstGeom>
        <a:ln>
          <a:solidFill>
            <a:sysClr val="windowText" lastClr="000000"/>
          </a:solidFill>
        </a:ln>
      </xdr:spPr>
    </xdr:pic>
    <xdr:clientData/>
  </xdr:twoCellAnchor>
  <xdr:twoCellAnchor editAs="oneCell">
    <xdr:from>
      <xdr:col>12</xdr:col>
      <xdr:colOff>142875</xdr:colOff>
      <xdr:row>191</xdr:row>
      <xdr:rowOff>95250</xdr:rowOff>
    </xdr:from>
    <xdr:to>
      <xdr:col>15</xdr:col>
      <xdr:colOff>584475</xdr:colOff>
      <xdr:row>199</xdr:row>
      <xdr:rowOff>81287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10775" y="27870150"/>
          <a:ext cx="2880000" cy="1586237"/>
        </a:xfrm>
        <a:prstGeom prst="rect">
          <a:avLst/>
        </a:prstGeom>
        <a:ln>
          <a:solidFill>
            <a:sysClr val="windowText" lastClr="000000"/>
          </a:solidFill>
        </a:ln>
      </xdr:spPr>
    </xdr:pic>
    <xdr:clientData/>
  </xdr:twoCellAnchor>
  <xdr:twoCellAnchor editAs="oneCell">
    <xdr:from>
      <xdr:col>11</xdr:col>
      <xdr:colOff>752475</xdr:colOff>
      <xdr:row>188</xdr:row>
      <xdr:rowOff>171450</xdr:rowOff>
    </xdr:from>
    <xdr:to>
      <xdr:col>15</xdr:col>
      <xdr:colOff>270150</xdr:colOff>
      <xdr:row>197</xdr:row>
      <xdr:rowOff>181039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696450" y="27346275"/>
          <a:ext cx="2880000" cy="1809814"/>
        </a:xfrm>
        <a:prstGeom prst="rect">
          <a:avLst/>
        </a:prstGeom>
        <a:ln>
          <a:solidFill>
            <a:sysClr val="windowText" lastClr="000000"/>
          </a:solidFill>
        </a:ln>
      </xdr:spPr>
    </xdr:pic>
    <xdr:clientData/>
  </xdr:twoCellAnchor>
  <xdr:oneCellAnchor>
    <xdr:from>
      <xdr:col>11</xdr:col>
      <xdr:colOff>104775</xdr:colOff>
      <xdr:row>226</xdr:row>
      <xdr:rowOff>190500</xdr:rowOff>
    </xdr:from>
    <xdr:ext cx="2880000" cy="1809814"/>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048750" y="31156275"/>
          <a:ext cx="2880000" cy="1809814"/>
        </a:xfrm>
        <a:prstGeom prst="rect">
          <a:avLst/>
        </a:prstGeom>
        <a:ln>
          <a:solidFill>
            <a:sysClr val="windowText" lastClr="000000"/>
          </a:solidFill>
        </a:ln>
      </xdr:spPr>
    </xdr:pic>
    <xdr:clientData/>
  </xdr:oneCellAnchor>
  <xdr:oneCellAnchor>
    <xdr:from>
      <xdr:col>11</xdr:col>
      <xdr:colOff>104775</xdr:colOff>
      <xdr:row>246</xdr:row>
      <xdr:rowOff>190500</xdr:rowOff>
    </xdr:from>
    <xdr:ext cx="2880000" cy="1809814"/>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048750" y="31156275"/>
          <a:ext cx="2880000" cy="1809814"/>
        </a:xfrm>
        <a:prstGeom prst="rect">
          <a:avLst/>
        </a:prstGeom>
        <a:ln>
          <a:solidFill>
            <a:sysClr val="windowText" lastClr="000000"/>
          </a:solidFill>
        </a:ln>
      </xdr:spPr>
    </xdr:pic>
    <xdr:clientData/>
  </xdr:oneCellAnchor>
  <xdr:twoCellAnchor>
    <xdr:from>
      <xdr:col>1</xdr:col>
      <xdr:colOff>276225</xdr:colOff>
      <xdr:row>332</xdr:row>
      <xdr:rowOff>66675</xdr:rowOff>
    </xdr:from>
    <xdr:to>
      <xdr:col>6</xdr:col>
      <xdr:colOff>510000</xdr:colOff>
      <xdr:row>369</xdr:row>
      <xdr:rowOff>192433</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076325" y="58518425"/>
          <a:ext cx="4539075" cy="7409208"/>
          <a:chOff x="1254692" y="439587"/>
          <a:chExt cx="4320000" cy="7526683"/>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1602217" y="439587"/>
            <a:ext cx="3624950" cy="432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a:stretch>
            <a:fillRect/>
          </a:stretch>
        </xdr:blipFill>
        <xdr:spPr>
          <a:xfrm>
            <a:off x="1254692" y="4953807"/>
            <a:ext cx="4320000" cy="3012463"/>
          </a:xfrm>
          <a:prstGeom prst="rect">
            <a:avLst/>
          </a:prstGeom>
          <a:ln>
            <a:solidFill>
              <a:schemeClr val="tx1"/>
            </a:solidFill>
          </a:ln>
        </xdr:spPr>
      </xdr:pic>
    </xdr:grpSp>
    <xdr:clientData/>
  </xdr:twoCellAnchor>
  <xdr:twoCellAnchor editAs="oneCell">
    <xdr:from>
      <xdr:col>0</xdr:col>
      <xdr:colOff>709703</xdr:colOff>
      <xdr:row>374</xdr:row>
      <xdr:rowOff>38100</xdr:rowOff>
    </xdr:from>
    <xdr:to>
      <xdr:col>6</xdr:col>
      <xdr:colOff>709523</xdr:colOff>
      <xdr:row>395</xdr:row>
      <xdr:rowOff>150782</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09703" y="68475225"/>
          <a:ext cx="4848045" cy="4313207"/>
        </a:xfrm>
        <a:prstGeom prst="rect">
          <a:avLst/>
        </a:prstGeom>
        <a:ln>
          <a:solidFill>
            <a:schemeClr val="tx1"/>
          </a:solidFill>
        </a:ln>
      </xdr:spPr>
    </xdr:pic>
    <xdr:clientData/>
  </xdr:twoCellAnchor>
  <xdr:twoCellAnchor>
    <xdr:from>
      <xdr:col>0</xdr:col>
      <xdr:colOff>628650</xdr:colOff>
      <xdr:row>396</xdr:row>
      <xdr:rowOff>81232</xdr:rowOff>
    </xdr:from>
    <xdr:to>
      <xdr:col>7</xdr:col>
      <xdr:colOff>57150</xdr:colOff>
      <xdr:row>411</xdr:row>
      <xdr:rowOff>166957</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628650" y="71131382"/>
          <a:ext cx="5302250" cy="3038475"/>
          <a:chOff x="842872" y="4702475"/>
          <a:chExt cx="5010150" cy="308610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a:stretch>
            <a:fillRect/>
          </a:stretch>
        </xdr:blipFill>
        <xdr:spPr>
          <a:xfrm>
            <a:off x="842872" y="4702475"/>
            <a:ext cx="5010150" cy="3086100"/>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id="{00000000-0008-0000-0000-000015000000}"/>
              </a:ext>
            </a:extLst>
          </xdr:cNvPr>
          <xdr:cNvSpPr/>
        </xdr:nvSpPr>
        <xdr:spPr>
          <a:xfrm rot="21135815">
            <a:off x="2621487" y="5248173"/>
            <a:ext cx="1380295" cy="150099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1095375</xdr:colOff>
      <xdr:row>59</xdr:row>
      <xdr:rowOff>142875</xdr:rowOff>
    </xdr:from>
    <xdr:to>
      <xdr:col>12</xdr:col>
      <xdr:colOff>37788</xdr:colOff>
      <xdr:row>64</xdr:row>
      <xdr:rowOff>104655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8"/>
        <a:stretch>
          <a:fillRect/>
        </a:stretch>
      </xdr:blipFill>
      <xdr:spPr>
        <a:xfrm>
          <a:off x="7410450" y="12220575"/>
          <a:ext cx="2495238" cy="961905"/>
        </a:xfrm>
        <a:prstGeom prst="rect">
          <a:avLst/>
        </a:prstGeom>
      </xdr:spPr>
    </xdr:pic>
    <xdr:clientData/>
  </xdr:twoCellAnchor>
  <xdr:twoCellAnchor>
    <xdr:from>
      <xdr:col>0</xdr:col>
      <xdr:colOff>127000</xdr:colOff>
      <xdr:row>290</xdr:row>
      <xdr:rowOff>57150</xdr:rowOff>
    </xdr:from>
    <xdr:to>
      <xdr:col>7</xdr:col>
      <xdr:colOff>640802</xdr:colOff>
      <xdr:row>323</xdr:row>
      <xdr:rowOff>173905</xdr:rowOff>
    </xdr:to>
    <xdr:grpSp>
      <xdr:nvGrpSpPr>
        <xdr:cNvPr id="8" name="Group 7"/>
        <xdr:cNvGrpSpPr/>
      </xdr:nvGrpSpPr>
      <xdr:grpSpPr>
        <a:xfrm>
          <a:off x="127000" y="50247550"/>
          <a:ext cx="6387552" cy="6606455"/>
          <a:chOff x="127000" y="50158650"/>
          <a:chExt cx="6387552" cy="6606455"/>
        </a:xfrm>
      </xdr:grpSpPr>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896239" y="54605105"/>
            <a:ext cx="1618313"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0"/>
          <a:stretch>
            <a:fillRect/>
          </a:stretch>
        </xdr:blipFill>
        <xdr:spPr>
          <a:xfrm>
            <a:off x="438064" y="50158650"/>
            <a:ext cx="5755428" cy="432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137945" y="54605105"/>
            <a:ext cx="1625063"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27000" y="54605105"/>
            <a:ext cx="2877714"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squareyards.com/thane-residential-property/samrin-changuna-aangan/225289/project" TargetMode="External"/><Relationship Id="rId1" Type="http://schemas.openxmlformats.org/officeDocument/2006/relationships/hyperlink" Target="https://maps.app.goo.gl/QkarxgWcYPKNEAt1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7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81640625" style="40" customWidth="1"/>
    <col min="4" max="4" width="13.81640625" style="40" customWidth="1"/>
    <col min="5" max="5" width="11.81640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81640625" style="21" customWidth="1"/>
    <col min="17" max="18" width="9.1796875" style="21"/>
    <col min="19" max="19" width="10.81640625" style="21" bestFit="1" customWidth="1"/>
    <col min="20" max="20" width="10.81640625" style="21" customWidth="1"/>
    <col min="21" max="247" width="9.1796875" style="21"/>
    <col min="248" max="248" width="8.81640625" style="21" customWidth="1"/>
    <col min="249" max="249" width="9.81640625" style="21" customWidth="1"/>
    <col min="250" max="250" width="14.453125" style="21" customWidth="1"/>
    <col min="251" max="251" width="7.179687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81640625" style="21" customWidth="1"/>
    <col min="505" max="505" width="9.81640625" style="21" customWidth="1"/>
    <col min="506" max="506" width="14.453125" style="21" customWidth="1"/>
    <col min="507" max="507" width="7.179687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81640625" style="21" customWidth="1"/>
    <col min="761" max="761" width="9.81640625" style="21" customWidth="1"/>
    <col min="762" max="762" width="14.453125" style="21" customWidth="1"/>
    <col min="763" max="763" width="7.179687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81640625" style="21" customWidth="1"/>
    <col min="1017" max="1017" width="9.81640625" style="21" customWidth="1"/>
    <col min="1018" max="1018" width="14.453125" style="21" customWidth="1"/>
    <col min="1019" max="1019" width="7.179687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81640625" style="21" customWidth="1"/>
    <col min="1273" max="1273" width="9.81640625" style="21" customWidth="1"/>
    <col min="1274" max="1274" width="14.453125" style="21" customWidth="1"/>
    <col min="1275" max="1275" width="7.179687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81640625" style="21" customWidth="1"/>
    <col min="1529" max="1529" width="9.81640625" style="21" customWidth="1"/>
    <col min="1530" max="1530" width="14.453125" style="21" customWidth="1"/>
    <col min="1531" max="1531" width="7.179687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81640625" style="21" customWidth="1"/>
    <col min="1785" max="1785" width="9.81640625" style="21" customWidth="1"/>
    <col min="1786" max="1786" width="14.453125" style="21" customWidth="1"/>
    <col min="1787" max="1787" width="7.179687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81640625" style="21" customWidth="1"/>
    <col min="2041" max="2041" width="9.81640625" style="21" customWidth="1"/>
    <col min="2042" max="2042" width="14.453125" style="21" customWidth="1"/>
    <col min="2043" max="2043" width="7.179687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81640625" style="21" customWidth="1"/>
    <col min="2297" max="2297" width="9.81640625" style="21" customWidth="1"/>
    <col min="2298" max="2298" width="14.453125" style="21" customWidth="1"/>
    <col min="2299" max="2299" width="7.179687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81640625" style="21" customWidth="1"/>
    <col min="2553" max="2553" width="9.81640625" style="21" customWidth="1"/>
    <col min="2554" max="2554" width="14.453125" style="21" customWidth="1"/>
    <col min="2555" max="2555" width="7.179687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81640625" style="21" customWidth="1"/>
    <col min="2809" max="2809" width="9.81640625" style="21" customWidth="1"/>
    <col min="2810" max="2810" width="14.453125" style="21" customWidth="1"/>
    <col min="2811" max="2811" width="7.179687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81640625" style="21" customWidth="1"/>
    <col min="3065" max="3065" width="9.81640625" style="21" customWidth="1"/>
    <col min="3066" max="3066" width="14.453125" style="21" customWidth="1"/>
    <col min="3067" max="3067" width="7.179687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81640625" style="21" customWidth="1"/>
    <col min="3321" max="3321" width="9.81640625" style="21" customWidth="1"/>
    <col min="3322" max="3322" width="14.453125" style="21" customWidth="1"/>
    <col min="3323" max="3323" width="7.179687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81640625" style="21" customWidth="1"/>
    <col min="3577" max="3577" width="9.81640625" style="21" customWidth="1"/>
    <col min="3578" max="3578" width="14.453125" style="21" customWidth="1"/>
    <col min="3579" max="3579" width="7.179687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81640625" style="21" customWidth="1"/>
    <col min="3833" max="3833" width="9.81640625" style="21" customWidth="1"/>
    <col min="3834" max="3834" width="14.453125" style="21" customWidth="1"/>
    <col min="3835" max="3835" width="7.179687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81640625" style="21" customWidth="1"/>
    <col min="4089" max="4089" width="9.81640625" style="21" customWidth="1"/>
    <col min="4090" max="4090" width="14.453125" style="21" customWidth="1"/>
    <col min="4091" max="4091" width="7.179687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81640625" style="21" customWidth="1"/>
    <col min="4345" max="4345" width="9.81640625" style="21" customWidth="1"/>
    <col min="4346" max="4346" width="14.453125" style="21" customWidth="1"/>
    <col min="4347" max="4347" width="7.179687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81640625" style="21" customWidth="1"/>
    <col min="4601" max="4601" width="9.81640625" style="21" customWidth="1"/>
    <col min="4602" max="4602" width="14.453125" style="21" customWidth="1"/>
    <col min="4603" max="4603" width="7.179687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81640625" style="21" customWidth="1"/>
    <col min="4857" max="4857" width="9.81640625" style="21" customWidth="1"/>
    <col min="4858" max="4858" width="14.453125" style="21" customWidth="1"/>
    <col min="4859" max="4859" width="7.179687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81640625" style="21" customWidth="1"/>
    <col min="5113" max="5113" width="9.81640625" style="21" customWidth="1"/>
    <col min="5114" max="5114" width="14.453125" style="21" customWidth="1"/>
    <col min="5115" max="5115" width="7.179687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81640625" style="21" customWidth="1"/>
    <col min="5369" max="5369" width="9.81640625" style="21" customWidth="1"/>
    <col min="5370" max="5370" width="14.453125" style="21" customWidth="1"/>
    <col min="5371" max="5371" width="7.179687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81640625" style="21" customWidth="1"/>
    <col min="5625" max="5625" width="9.81640625" style="21" customWidth="1"/>
    <col min="5626" max="5626" width="14.453125" style="21" customWidth="1"/>
    <col min="5627" max="5627" width="7.179687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81640625" style="21" customWidth="1"/>
    <col min="5881" max="5881" width="9.81640625" style="21" customWidth="1"/>
    <col min="5882" max="5882" width="14.453125" style="21" customWidth="1"/>
    <col min="5883" max="5883" width="7.179687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81640625" style="21" customWidth="1"/>
    <col min="6137" max="6137" width="9.81640625" style="21" customWidth="1"/>
    <col min="6138" max="6138" width="14.453125" style="21" customWidth="1"/>
    <col min="6139" max="6139" width="7.179687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81640625" style="21" customWidth="1"/>
    <col min="6393" max="6393" width="9.81640625" style="21" customWidth="1"/>
    <col min="6394" max="6394" width="14.453125" style="21" customWidth="1"/>
    <col min="6395" max="6395" width="7.179687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81640625" style="21" customWidth="1"/>
    <col min="6649" max="6649" width="9.81640625" style="21" customWidth="1"/>
    <col min="6650" max="6650" width="14.453125" style="21" customWidth="1"/>
    <col min="6651" max="6651" width="7.179687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81640625" style="21" customWidth="1"/>
    <col min="6905" max="6905" width="9.81640625" style="21" customWidth="1"/>
    <col min="6906" max="6906" width="14.453125" style="21" customWidth="1"/>
    <col min="6907" max="6907" width="7.179687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81640625" style="21" customWidth="1"/>
    <col min="7161" max="7161" width="9.81640625" style="21" customWidth="1"/>
    <col min="7162" max="7162" width="14.453125" style="21" customWidth="1"/>
    <col min="7163" max="7163" width="7.179687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81640625" style="21" customWidth="1"/>
    <col min="7417" max="7417" width="9.81640625" style="21" customWidth="1"/>
    <col min="7418" max="7418" width="14.453125" style="21" customWidth="1"/>
    <col min="7419" max="7419" width="7.179687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81640625" style="21" customWidth="1"/>
    <col min="7673" max="7673" width="9.81640625" style="21" customWidth="1"/>
    <col min="7674" max="7674" width="14.453125" style="21" customWidth="1"/>
    <col min="7675" max="7675" width="7.179687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81640625" style="21" customWidth="1"/>
    <col min="7929" max="7929" width="9.81640625" style="21" customWidth="1"/>
    <col min="7930" max="7930" width="14.453125" style="21" customWidth="1"/>
    <col min="7931" max="7931" width="7.179687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81640625" style="21" customWidth="1"/>
    <col min="8185" max="8185" width="9.81640625" style="21" customWidth="1"/>
    <col min="8186" max="8186" width="14.453125" style="21" customWidth="1"/>
    <col min="8187" max="8187" width="7.179687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81640625" style="21" customWidth="1"/>
    <col min="8441" max="8441" width="9.81640625" style="21" customWidth="1"/>
    <col min="8442" max="8442" width="14.453125" style="21" customWidth="1"/>
    <col min="8443" max="8443" width="7.179687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81640625" style="21" customWidth="1"/>
    <col min="8697" max="8697" width="9.81640625" style="21" customWidth="1"/>
    <col min="8698" max="8698" width="14.453125" style="21" customWidth="1"/>
    <col min="8699" max="8699" width="7.179687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81640625" style="21" customWidth="1"/>
    <col min="8953" max="8953" width="9.81640625" style="21" customWidth="1"/>
    <col min="8954" max="8954" width="14.453125" style="21" customWidth="1"/>
    <col min="8955" max="8955" width="7.179687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81640625" style="21" customWidth="1"/>
    <col min="9209" max="9209" width="9.81640625" style="21" customWidth="1"/>
    <col min="9210" max="9210" width="14.453125" style="21" customWidth="1"/>
    <col min="9211" max="9211" width="7.179687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81640625" style="21" customWidth="1"/>
    <col min="9465" max="9465" width="9.81640625" style="21" customWidth="1"/>
    <col min="9466" max="9466" width="14.453125" style="21" customWidth="1"/>
    <col min="9467" max="9467" width="7.179687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81640625" style="21" customWidth="1"/>
    <col min="9721" max="9721" width="9.81640625" style="21" customWidth="1"/>
    <col min="9722" max="9722" width="14.453125" style="21" customWidth="1"/>
    <col min="9723" max="9723" width="7.179687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81640625" style="21" customWidth="1"/>
    <col min="9977" max="9977" width="9.81640625" style="21" customWidth="1"/>
    <col min="9978" max="9978" width="14.453125" style="21" customWidth="1"/>
    <col min="9979" max="9979" width="7.179687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81640625" style="21" customWidth="1"/>
    <col min="10233" max="10233" width="9.81640625" style="21" customWidth="1"/>
    <col min="10234" max="10234" width="14.453125" style="21" customWidth="1"/>
    <col min="10235" max="10235" width="7.179687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81640625" style="21" customWidth="1"/>
    <col min="10489" max="10489" width="9.81640625" style="21" customWidth="1"/>
    <col min="10490" max="10490" width="14.453125" style="21" customWidth="1"/>
    <col min="10491" max="10491" width="7.179687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81640625" style="21" customWidth="1"/>
    <col min="10745" max="10745" width="9.81640625" style="21" customWidth="1"/>
    <col min="10746" max="10746" width="14.453125" style="21" customWidth="1"/>
    <col min="10747" max="10747" width="7.179687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81640625" style="21" customWidth="1"/>
    <col min="11001" max="11001" width="9.81640625" style="21" customWidth="1"/>
    <col min="11002" max="11002" width="14.453125" style="21" customWidth="1"/>
    <col min="11003" max="11003" width="7.179687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81640625" style="21" customWidth="1"/>
    <col min="11257" max="11257" width="9.81640625" style="21" customWidth="1"/>
    <col min="11258" max="11258" width="14.453125" style="21" customWidth="1"/>
    <col min="11259" max="11259" width="7.179687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81640625" style="21" customWidth="1"/>
    <col min="11513" max="11513" width="9.81640625" style="21" customWidth="1"/>
    <col min="11514" max="11514" width="14.453125" style="21" customWidth="1"/>
    <col min="11515" max="11515" width="7.179687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81640625" style="21" customWidth="1"/>
    <col min="11769" max="11769" width="9.81640625" style="21" customWidth="1"/>
    <col min="11770" max="11770" width="14.453125" style="21" customWidth="1"/>
    <col min="11771" max="11771" width="7.179687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81640625" style="21" customWidth="1"/>
    <col min="12025" max="12025" width="9.81640625" style="21" customWidth="1"/>
    <col min="12026" max="12026" width="14.453125" style="21" customWidth="1"/>
    <col min="12027" max="12027" width="7.179687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81640625" style="21" customWidth="1"/>
    <col min="12281" max="12281" width="9.81640625" style="21" customWidth="1"/>
    <col min="12282" max="12282" width="14.453125" style="21" customWidth="1"/>
    <col min="12283" max="12283" width="7.179687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81640625" style="21" customWidth="1"/>
    <col min="12537" max="12537" width="9.81640625" style="21" customWidth="1"/>
    <col min="12538" max="12538" width="14.453125" style="21" customWidth="1"/>
    <col min="12539" max="12539" width="7.179687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81640625" style="21" customWidth="1"/>
    <col min="12793" max="12793" width="9.81640625" style="21" customWidth="1"/>
    <col min="12794" max="12794" width="14.453125" style="21" customWidth="1"/>
    <col min="12795" max="12795" width="7.179687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81640625" style="21" customWidth="1"/>
    <col min="13049" max="13049" width="9.81640625" style="21" customWidth="1"/>
    <col min="13050" max="13050" width="14.453125" style="21" customWidth="1"/>
    <col min="13051" max="13051" width="7.179687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81640625" style="21" customWidth="1"/>
    <col min="13305" max="13305" width="9.81640625" style="21" customWidth="1"/>
    <col min="13306" max="13306" width="14.453125" style="21" customWidth="1"/>
    <col min="13307" max="13307" width="7.179687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81640625" style="21" customWidth="1"/>
    <col min="13561" max="13561" width="9.81640625" style="21" customWidth="1"/>
    <col min="13562" max="13562" width="14.453125" style="21" customWidth="1"/>
    <col min="13563" max="13563" width="7.179687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81640625" style="21" customWidth="1"/>
    <col min="13817" max="13817" width="9.81640625" style="21" customWidth="1"/>
    <col min="13818" max="13818" width="14.453125" style="21" customWidth="1"/>
    <col min="13819" max="13819" width="7.179687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81640625" style="21" customWidth="1"/>
    <col min="14073" max="14073" width="9.81640625" style="21" customWidth="1"/>
    <col min="14074" max="14074" width="14.453125" style="21" customWidth="1"/>
    <col min="14075" max="14075" width="7.179687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81640625" style="21" customWidth="1"/>
    <col min="14329" max="14329" width="9.81640625" style="21" customWidth="1"/>
    <col min="14330" max="14330" width="14.453125" style="21" customWidth="1"/>
    <col min="14331" max="14331" width="7.179687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81640625" style="21" customWidth="1"/>
    <col min="14585" max="14585" width="9.81640625" style="21" customWidth="1"/>
    <col min="14586" max="14586" width="14.453125" style="21" customWidth="1"/>
    <col min="14587" max="14587" width="7.179687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81640625" style="21" customWidth="1"/>
    <col min="14841" max="14841" width="9.81640625" style="21" customWidth="1"/>
    <col min="14842" max="14842" width="14.453125" style="21" customWidth="1"/>
    <col min="14843" max="14843" width="7.179687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81640625" style="21" customWidth="1"/>
    <col min="15097" max="15097" width="9.81640625" style="21" customWidth="1"/>
    <col min="15098" max="15098" width="14.453125" style="21" customWidth="1"/>
    <col min="15099" max="15099" width="7.179687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81640625" style="21" customWidth="1"/>
    <col min="15353" max="15353" width="9.81640625" style="21" customWidth="1"/>
    <col min="15354" max="15354" width="14.453125" style="21" customWidth="1"/>
    <col min="15355" max="15355" width="7.179687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81640625" style="21" customWidth="1"/>
    <col min="15609" max="15609" width="9.81640625" style="21" customWidth="1"/>
    <col min="15610" max="15610" width="14.453125" style="21" customWidth="1"/>
    <col min="15611" max="15611" width="7.179687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81640625" style="21" customWidth="1"/>
    <col min="15865" max="15865" width="9.81640625" style="21" customWidth="1"/>
    <col min="15866" max="15866" width="14.453125" style="21" customWidth="1"/>
    <col min="15867" max="15867" width="7.179687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81640625" style="21" customWidth="1"/>
    <col min="16121" max="16121" width="9.81640625" style="21" customWidth="1"/>
    <col min="16122" max="16122" width="14.453125" style="21" customWidth="1"/>
    <col min="16123" max="16123" width="7.179687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7" t="s">
        <v>163</v>
      </c>
      <c r="B1" s="177"/>
      <c r="C1" s="177"/>
      <c r="D1" s="177"/>
      <c r="E1" s="177"/>
      <c r="F1" s="177"/>
      <c r="G1" s="177"/>
      <c r="H1" s="177"/>
    </row>
    <row r="2" spans="1:26" ht="16.5" customHeight="1" x14ac:dyDescent="0.35">
      <c r="A2" s="178" t="s">
        <v>0</v>
      </c>
      <c r="B2" s="178"/>
      <c r="C2" s="178"/>
      <c r="D2" s="178"/>
      <c r="E2" s="178"/>
      <c r="F2" s="178"/>
      <c r="G2" s="178"/>
      <c r="H2" s="178"/>
    </row>
    <row r="3" spans="1:26" x14ac:dyDescent="0.35">
      <c r="A3" s="159" t="s">
        <v>1</v>
      </c>
      <c r="B3" s="159"/>
      <c r="C3" s="159"/>
      <c r="D3" s="159"/>
      <c r="E3" s="159" t="str">
        <f ca="1">TEXT(TODAY(),"DD/MM/YYYY")</f>
        <v>09/09/2025</v>
      </c>
      <c r="F3" s="159"/>
      <c r="G3" s="159"/>
      <c r="H3" s="159"/>
      <c r="K3" s="54" t="s">
        <v>235</v>
      </c>
      <c r="L3" s="53" t="s">
        <v>233</v>
      </c>
      <c r="M3" s="53" t="s">
        <v>238</v>
      </c>
      <c r="N3" s="53" t="s">
        <v>236</v>
      </c>
      <c r="O3" s="53" t="s">
        <v>237</v>
      </c>
      <c r="P3" s="53" t="s">
        <v>239</v>
      </c>
    </row>
    <row r="4" spans="1:26" ht="15" customHeight="1" x14ac:dyDescent="0.35">
      <c r="A4" s="159" t="s">
        <v>232</v>
      </c>
      <c r="B4" s="159"/>
      <c r="C4" s="159"/>
      <c r="D4" s="159"/>
      <c r="E4" s="159" t="s">
        <v>233</v>
      </c>
      <c r="F4" s="159"/>
      <c r="G4" s="159"/>
      <c r="H4" s="159"/>
      <c r="K4" s="52" t="s">
        <v>234</v>
      </c>
      <c r="L4" s="53" t="s">
        <v>170</v>
      </c>
      <c r="M4" s="53" t="s">
        <v>243</v>
      </c>
      <c r="N4" s="53" t="s">
        <v>245</v>
      </c>
      <c r="O4" s="53" t="s">
        <v>247</v>
      </c>
      <c r="P4" s="53"/>
    </row>
    <row r="5" spans="1:26" ht="15" customHeight="1" x14ac:dyDescent="0.35">
      <c r="A5" s="159" t="s">
        <v>2</v>
      </c>
      <c r="B5" s="159"/>
      <c r="C5" s="159"/>
      <c r="D5" s="159"/>
      <c r="E5" s="159" t="s">
        <v>240</v>
      </c>
      <c r="F5" s="159"/>
      <c r="G5" s="159"/>
      <c r="H5" s="159"/>
      <c r="K5" s="52"/>
      <c r="L5" s="53" t="s">
        <v>240</v>
      </c>
      <c r="M5" s="53" t="s">
        <v>244</v>
      </c>
      <c r="N5" s="53" t="s">
        <v>246</v>
      </c>
      <c r="O5" s="53" t="s">
        <v>248</v>
      </c>
      <c r="P5" s="53"/>
    </row>
    <row r="6" spans="1:26" x14ac:dyDescent="0.35">
      <c r="A6" s="159" t="s">
        <v>3</v>
      </c>
      <c r="B6" s="159"/>
      <c r="C6" s="159"/>
      <c r="D6" s="159"/>
      <c r="E6" s="179">
        <v>45906</v>
      </c>
      <c r="F6" s="159"/>
      <c r="G6" s="159"/>
      <c r="H6" s="159"/>
      <c r="K6" s="52"/>
      <c r="L6" s="53" t="s">
        <v>241</v>
      </c>
      <c r="M6" s="53"/>
      <c r="N6" s="53"/>
      <c r="O6" s="53" t="s">
        <v>249</v>
      </c>
      <c r="P6" s="53"/>
    </row>
    <row r="7" spans="1:26" ht="16.5" customHeight="1" x14ac:dyDescent="0.35">
      <c r="A7" s="159" t="s">
        <v>4</v>
      </c>
      <c r="B7" s="159"/>
      <c r="C7" s="159"/>
      <c r="D7" s="159"/>
      <c r="E7" s="159" t="s">
        <v>302</v>
      </c>
      <c r="F7" s="159"/>
      <c r="G7" s="159"/>
      <c r="H7" s="159"/>
      <c r="K7" s="52"/>
      <c r="L7" s="53" t="s">
        <v>242</v>
      </c>
      <c r="M7" s="53"/>
      <c r="N7" s="53"/>
      <c r="O7" s="53" t="s">
        <v>249</v>
      </c>
      <c r="P7" s="53"/>
    </row>
    <row r="8" spans="1:26" ht="15" customHeight="1" x14ac:dyDescent="0.35">
      <c r="A8" s="159" t="s">
        <v>5</v>
      </c>
      <c r="B8" s="159"/>
      <c r="C8" s="159"/>
      <c r="D8" s="159"/>
      <c r="E8" s="159" t="str">
        <f>E7</f>
        <v>Samrin Infrastructure</v>
      </c>
      <c r="F8" s="159"/>
      <c r="G8" s="159"/>
      <c r="H8" s="159"/>
      <c r="K8" s="52"/>
      <c r="L8" s="53"/>
      <c r="M8" s="53"/>
      <c r="N8" s="53"/>
      <c r="O8" s="53" t="s">
        <v>250</v>
      </c>
      <c r="P8" s="53"/>
    </row>
    <row r="9" spans="1:26" x14ac:dyDescent="0.35">
      <c r="A9" s="159" t="s">
        <v>6</v>
      </c>
      <c r="B9" s="159"/>
      <c r="C9" s="159"/>
      <c r="D9" s="159"/>
      <c r="E9" s="120" t="s">
        <v>303</v>
      </c>
      <c r="F9" s="120"/>
      <c r="G9" s="120"/>
      <c r="H9" s="120"/>
      <c r="K9" s="52"/>
      <c r="L9" s="53"/>
      <c r="M9" s="53"/>
      <c r="N9" s="53"/>
      <c r="O9" s="53" t="s">
        <v>251</v>
      </c>
      <c r="P9" s="53"/>
    </row>
    <row r="10" spans="1:26" x14ac:dyDescent="0.35">
      <c r="A10" s="159" t="s">
        <v>166</v>
      </c>
      <c r="B10" s="159"/>
      <c r="C10" s="159"/>
      <c r="D10" s="159"/>
      <c r="E10" s="159">
        <v>9372735016</v>
      </c>
      <c r="F10" s="159"/>
      <c r="G10" s="159"/>
      <c r="H10" s="159"/>
      <c r="K10" s="52"/>
      <c r="L10" s="53"/>
      <c r="M10" s="53"/>
      <c r="N10" s="53"/>
      <c r="O10" s="53"/>
      <c r="P10" s="53"/>
    </row>
    <row r="11" spans="1:26" x14ac:dyDescent="0.35">
      <c r="A11" s="159" t="s">
        <v>167</v>
      </c>
      <c r="B11" s="159"/>
      <c r="C11" s="159"/>
      <c r="D11" s="159"/>
      <c r="E11" s="159" t="s">
        <v>359</v>
      </c>
      <c r="F11" s="159"/>
      <c r="G11" s="159"/>
      <c r="H11" s="159"/>
    </row>
    <row r="12" spans="1:26" x14ac:dyDescent="0.35">
      <c r="A12" s="159" t="s">
        <v>7</v>
      </c>
      <c r="B12" s="159"/>
      <c r="C12" s="159"/>
      <c r="D12" s="159"/>
      <c r="E12" s="159" t="s">
        <v>353</v>
      </c>
      <c r="F12" s="159"/>
      <c r="G12" s="159"/>
      <c r="H12" s="159"/>
    </row>
    <row r="13" spans="1:26" x14ac:dyDescent="0.35">
      <c r="A13" s="159" t="s">
        <v>171</v>
      </c>
      <c r="B13" s="159"/>
      <c r="C13" s="159"/>
      <c r="D13" s="159"/>
      <c r="E13" s="159" t="s">
        <v>28</v>
      </c>
      <c r="F13" s="159"/>
      <c r="G13" s="159"/>
      <c r="H13" s="159"/>
      <c r="S13" s="53" t="s">
        <v>178</v>
      </c>
      <c r="T13" s="53" t="s">
        <v>188</v>
      </c>
      <c r="U13" s="53" t="s">
        <v>172</v>
      </c>
      <c r="V13" s="53" t="s">
        <v>193</v>
      </c>
      <c r="W13" s="53" t="s">
        <v>211</v>
      </c>
      <c r="X13"/>
      <c r="Y13" t="s">
        <v>193</v>
      </c>
      <c r="Z13" t="e">
        <f ca="1">OFFSET($S$13,1,MATCH($G20,$S$13:$W$13,0)-1,15,1)</f>
        <v>#VALUE!</v>
      </c>
    </row>
    <row r="14" spans="1:26" x14ac:dyDescent="0.35">
      <c r="A14" s="85" t="s">
        <v>278</v>
      </c>
      <c r="B14" s="85"/>
      <c r="C14" s="85"/>
      <c r="D14" s="85"/>
      <c r="E14" s="164" t="s">
        <v>346</v>
      </c>
      <c r="F14" s="164"/>
      <c r="G14" s="164"/>
      <c r="H14" s="164"/>
      <c r="S14" s="53" t="s">
        <v>179</v>
      </c>
      <c r="T14" s="53" t="s">
        <v>186</v>
      </c>
      <c r="U14" s="53" t="s">
        <v>208</v>
      </c>
      <c r="V14" s="53" t="s">
        <v>194</v>
      </c>
      <c r="W14" s="53" t="s">
        <v>212</v>
      </c>
      <c r="X14"/>
      <c r="Y14"/>
      <c r="Z14"/>
    </row>
    <row r="15" spans="1:26" x14ac:dyDescent="0.35">
      <c r="A15" s="85" t="s">
        <v>8</v>
      </c>
      <c r="B15" s="85"/>
      <c r="C15" s="85"/>
      <c r="D15" s="85"/>
      <c r="E15" s="125" t="s">
        <v>304</v>
      </c>
      <c r="F15" s="159"/>
      <c r="G15" s="159"/>
      <c r="H15" s="159"/>
      <c r="I15" s="207" t="e">
        <f ca="1">OFFSET($D$5,1,MATCH($J13,$D$5:$H$5,0)-1,15,1)</f>
        <v>#N/A</v>
      </c>
      <c r="J15" s="208"/>
      <c r="K15" s="208"/>
      <c r="L15" s="208"/>
      <c r="M15" s="208"/>
      <c r="N15" s="208"/>
      <c r="O15" s="208"/>
      <c r="P15" s="208"/>
      <c r="S15" s="53" t="s">
        <v>180</v>
      </c>
      <c r="T15" s="53" t="s">
        <v>187</v>
      </c>
      <c r="U15" s="53" t="s">
        <v>209</v>
      </c>
      <c r="V15" s="53" t="s">
        <v>195</v>
      </c>
      <c r="W15" s="53" t="s">
        <v>225</v>
      </c>
      <c r="X15"/>
      <c r="Y15"/>
      <c r="Z15"/>
    </row>
    <row r="16" spans="1:26" ht="33" customHeight="1" x14ac:dyDescent="0.35">
      <c r="A16" s="162" t="s">
        <v>9</v>
      </c>
      <c r="B16" s="162"/>
      <c r="C16" s="162" t="str">
        <f>CONCATENATE((IF(OR(E9="",E9="NA"),"",E9)),", ",(IF(OR(A17="",A17="NA"),"",A17)),".",(IF(OR(C17="",C17="NA"),"",C17)),", near ",(IF(OR(C22="",C22="NA"),"",C22)),", ",(IF(OR(C19="",C19="NA"),"",C19)),", ",(IF(OR(C18="",C18="NA"),"",C18)),", ",(IF(OR(G19="",G19="NA"),"",G19)),", ",(IF(OR(C20="",C20="NA"),"",C20)),", ",(IF(OR(C21="",C21="NA"),"",C21)),", ",(IF(OR(G20="",G20="NA"),"",G20))," - ",(IF(OR(G21="",G21="NA"),"",G21)),".")</f>
        <v>Changuna Aangan, Survey No.162 &amp; 167 H. No. 04, near Sudama Regency, Diva Shil Road, Lokgram, Khardipada, Dawale, Diva East, Thane, Thane  - 400612.</v>
      </c>
      <c r="D16" s="162"/>
      <c r="E16" s="162"/>
      <c r="F16" s="162"/>
      <c r="G16" s="162"/>
      <c r="H16" s="162"/>
      <c r="S16" s="53" t="s">
        <v>181</v>
      </c>
      <c r="T16" s="53" t="s">
        <v>189</v>
      </c>
      <c r="U16" s="53" t="s">
        <v>210</v>
      </c>
      <c r="V16" s="53" t="s">
        <v>196</v>
      </c>
      <c r="W16" s="53" t="s">
        <v>213</v>
      </c>
      <c r="X16"/>
      <c r="Y16"/>
      <c r="Z16"/>
    </row>
    <row r="17" spans="1:26" x14ac:dyDescent="0.35">
      <c r="A17" s="125" t="s">
        <v>309</v>
      </c>
      <c r="B17" s="125"/>
      <c r="C17" s="125" t="s">
        <v>348</v>
      </c>
      <c r="D17" s="125"/>
      <c r="E17" s="125"/>
      <c r="F17" s="125"/>
      <c r="G17" s="125"/>
      <c r="H17" s="125"/>
      <c r="S17" s="53" t="s">
        <v>182</v>
      </c>
      <c r="T17" s="53" t="s">
        <v>190</v>
      </c>
      <c r="U17" s="53" t="s">
        <v>172</v>
      </c>
      <c r="V17" s="53" t="s">
        <v>197</v>
      </c>
      <c r="W17" s="53" t="s">
        <v>214</v>
      </c>
      <c r="X17"/>
      <c r="Y17"/>
      <c r="Z17"/>
    </row>
    <row r="18" spans="1:26" ht="15.75" customHeight="1" x14ac:dyDescent="0.35">
      <c r="A18" s="125" t="s">
        <v>161</v>
      </c>
      <c r="B18" s="125"/>
      <c r="C18" s="125" t="s">
        <v>347</v>
      </c>
      <c r="D18" s="125"/>
      <c r="E18" s="125"/>
      <c r="F18" s="125"/>
      <c r="G18" s="125"/>
      <c r="H18" s="125"/>
      <c r="S18" s="53" t="s">
        <v>183</v>
      </c>
      <c r="T18" s="53" t="s">
        <v>188</v>
      </c>
      <c r="U18" s="53"/>
      <c r="V18" s="53" t="s">
        <v>198</v>
      </c>
      <c r="W18" s="53" t="s">
        <v>215</v>
      </c>
      <c r="X18"/>
      <c r="Y18"/>
      <c r="Z18"/>
    </row>
    <row r="19" spans="1:26" ht="15.75" customHeight="1" x14ac:dyDescent="0.35">
      <c r="A19" s="162" t="s">
        <v>10</v>
      </c>
      <c r="B19" s="162"/>
      <c r="C19" s="159" t="s">
        <v>307</v>
      </c>
      <c r="D19" s="159"/>
      <c r="E19" s="125" t="s">
        <v>70</v>
      </c>
      <c r="F19" s="125"/>
      <c r="G19" s="125" t="s">
        <v>308</v>
      </c>
      <c r="H19" s="125"/>
      <c r="S19" s="53" t="s">
        <v>184</v>
      </c>
      <c r="T19" s="53" t="s">
        <v>191</v>
      </c>
      <c r="U19" s="53"/>
      <c r="V19" s="53" t="s">
        <v>199</v>
      </c>
      <c r="W19" s="53" t="s">
        <v>216</v>
      </c>
      <c r="X19"/>
      <c r="Y19"/>
      <c r="Z19"/>
    </row>
    <row r="20" spans="1:26" x14ac:dyDescent="0.35">
      <c r="A20" s="85" t="s">
        <v>12</v>
      </c>
      <c r="B20" s="85"/>
      <c r="C20" s="125" t="s">
        <v>345</v>
      </c>
      <c r="D20" s="125"/>
      <c r="E20" s="125" t="s">
        <v>11</v>
      </c>
      <c r="F20" s="125"/>
      <c r="G20" s="176" t="s">
        <v>178</v>
      </c>
      <c r="H20" s="176"/>
      <c r="S20" s="53" t="s">
        <v>185</v>
      </c>
      <c r="T20" s="53" t="s">
        <v>192</v>
      </c>
      <c r="U20" s="53"/>
      <c r="V20" s="53" t="s">
        <v>200</v>
      </c>
      <c r="W20" s="53" t="s">
        <v>217</v>
      </c>
      <c r="X20"/>
      <c r="Y20"/>
      <c r="Z20"/>
    </row>
    <row r="21" spans="1:26" x14ac:dyDescent="0.35">
      <c r="A21" s="85" t="s">
        <v>71</v>
      </c>
      <c r="B21" s="85"/>
      <c r="C21" s="125" t="s">
        <v>179</v>
      </c>
      <c r="D21" s="125"/>
      <c r="E21" s="125" t="s">
        <v>13</v>
      </c>
      <c r="F21" s="125"/>
      <c r="G21" s="125">
        <v>400612</v>
      </c>
      <c r="H21" s="125"/>
      <c r="S21" s="53"/>
      <c r="T21" s="53"/>
      <c r="U21" s="53"/>
      <c r="V21" s="53" t="s">
        <v>201</v>
      </c>
      <c r="W21" s="53" t="s">
        <v>218</v>
      </c>
      <c r="X21"/>
      <c r="Y21"/>
      <c r="Z21"/>
    </row>
    <row r="22" spans="1:26" ht="32.25" customHeight="1" x14ac:dyDescent="0.35">
      <c r="A22" s="85" t="s">
        <v>120</v>
      </c>
      <c r="B22" s="85"/>
      <c r="C22" s="125" t="s">
        <v>316</v>
      </c>
      <c r="D22" s="125"/>
      <c r="E22" s="162" t="s">
        <v>14</v>
      </c>
      <c r="F22" s="162"/>
      <c r="G22" s="125" t="s">
        <v>310</v>
      </c>
      <c r="H22" s="125"/>
      <c r="S22" s="53"/>
      <c r="T22" s="53"/>
      <c r="U22" s="53"/>
      <c r="V22" s="53" t="s">
        <v>202</v>
      </c>
      <c r="W22" s="53" t="s">
        <v>219</v>
      </c>
      <c r="X22"/>
      <c r="Y22"/>
      <c r="Z22"/>
    </row>
    <row r="23" spans="1:26" ht="15" customHeight="1" x14ac:dyDescent="0.35">
      <c r="A23" s="162" t="s">
        <v>73</v>
      </c>
      <c r="B23" s="162"/>
      <c r="C23" s="162"/>
      <c r="D23" s="162"/>
      <c r="E23" s="159" t="s">
        <v>15</v>
      </c>
      <c r="F23" s="159"/>
      <c r="G23" s="159"/>
      <c r="H23" s="159"/>
      <c r="S23" s="53"/>
      <c r="T23" s="53"/>
      <c r="U23" s="53"/>
      <c r="V23" s="53" t="s">
        <v>203</v>
      </c>
      <c r="W23" s="53" t="s">
        <v>220</v>
      </c>
      <c r="X23"/>
      <c r="Y23"/>
      <c r="Z23"/>
    </row>
    <row r="24" spans="1:26" ht="18.75" customHeight="1" x14ac:dyDescent="0.35">
      <c r="A24" s="162"/>
      <c r="B24" s="162"/>
      <c r="C24" s="162"/>
      <c r="D24" s="162"/>
      <c r="E24" s="159"/>
      <c r="F24" s="159"/>
      <c r="G24" s="159"/>
      <c r="H24" s="159"/>
      <c r="S24" s="53"/>
      <c r="T24" s="53"/>
      <c r="U24" s="53"/>
      <c r="V24" s="53" t="s">
        <v>204</v>
      </c>
      <c r="W24" s="53" t="s">
        <v>221</v>
      </c>
      <c r="X24"/>
      <c r="Y24"/>
      <c r="Z24"/>
    </row>
    <row r="25" spans="1:26" ht="15" customHeight="1" x14ac:dyDescent="0.35">
      <c r="A25" s="162" t="s">
        <v>16</v>
      </c>
      <c r="B25" s="162"/>
      <c r="C25" s="162"/>
      <c r="D25" s="162"/>
      <c r="E25" s="125" t="s">
        <v>17</v>
      </c>
      <c r="F25" s="125"/>
      <c r="G25" s="125"/>
      <c r="H25" s="125"/>
      <c r="S25" s="53"/>
      <c r="T25" s="53"/>
      <c r="U25" s="53"/>
      <c r="V25" s="53" t="s">
        <v>205</v>
      </c>
      <c r="W25" s="53" t="s">
        <v>222</v>
      </c>
      <c r="X25"/>
      <c r="Y25"/>
      <c r="Z25"/>
    </row>
    <row r="26" spans="1:26" ht="15" customHeight="1" x14ac:dyDescent="0.35">
      <c r="A26" s="85" t="s">
        <v>18</v>
      </c>
      <c r="B26" s="85"/>
      <c r="C26" s="85"/>
      <c r="D26" s="85"/>
      <c r="E26" s="125" t="str">
        <f>IF(AND(G20="Mumbai"),"Upper Class","Middle Class")</f>
        <v>Middle Class</v>
      </c>
      <c r="F26" s="125"/>
      <c r="G26" s="125"/>
      <c r="H26" s="125"/>
      <c r="S26" s="53"/>
      <c r="T26" s="53"/>
      <c r="U26" s="53"/>
      <c r="V26" s="53" t="s">
        <v>206</v>
      </c>
      <c r="W26" s="53" t="s">
        <v>223</v>
      </c>
      <c r="X26"/>
      <c r="Y26"/>
      <c r="Z26"/>
    </row>
    <row r="27" spans="1:26" x14ac:dyDescent="0.35">
      <c r="A27" s="85" t="s">
        <v>19</v>
      </c>
      <c r="B27" s="85"/>
      <c r="C27" s="85"/>
      <c r="D27" s="85"/>
      <c r="E27" s="125" t="s">
        <v>20</v>
      </c>
      <c r="F27" s="125"/>
      <c r="G27" s="125"/>
      <c r="H27" s="125"/>
      <c r="S27" s="53"/>
      <c r="T27" s="53"/>
      <c r="U27" s="53"/>
      <c r="V27" s="53" t="s">
        <v>207</v>
      </c>
      <c r="W27" s="53" t="s">
        <v>224</v>
      </c>
      <c r="X27"/>
      <c r="Y27"/>
      <c r="Z27"/>
    </row>
    <row r="28" spans="1:26" ht="15.75" customHeight="1" x14ac:dyDescent="0.35">
      <c r="A28" s="85" t="s">
        <v>21</v>
      </c>
      <c r="B28" s="85"/>
      <c r="C28" s="85"/>
      <c r="D28" s="85"/>
      <c r="E28" s="125" t="str">
        <f>IF(AND(G20="Mumbai"),"Developed","Developing")</f>
        <v>Developing</v>
      </c>
      <c r="F28" s="125"/>
      <c r="G28" s="125"/>
      <c r="H28" s="125"/>
    </row>
    <row r="29" spans="1:26" x14ac:dyDescent="0.35">
      <c r="A29" s="85" t="s">
        <v>22</v>
      </c>
      <c r="B29" s="85"/>
      <c r="C29" s="85"/>
      <c r="D29" s="85"/>
      <c r="E29" s="125" t="s">
        <v>23</v>
      </c>
      <c r="F29" s="125"/>
      <c r="G29" s="125"/>
      <c r="H29" s="125"/>
    </row>
    <row r="30" spans="1:26" ht="15.75" customHeight="1" x14ac:dyDescent="0.35">
      <c r="A30" s="85" t="s">
        <v>78</v>
      </c>
      <c r="B30" s="85"/>
      <c r="C30" s="85"/>
      <c r="D30" s="85"/>
      <c r="E30" s="125" t="s">
        <v>79</v>
      </c>
      <c r="F30" s="125"/>
      <c r="G30" s="125"/>
      <c r="H30" s="125"/>
    </row>
    <row r="31" spans="1:26" ht="15" customHeight="1" x14ac:dyDescent="0.35">
      <c r="A31" s="85" t="s">
        <v>30</v>
      </c>
      <c r="B31" s="85"/>
      <c r="C31" s="85"/>
      <c r="D31" s="85"/>
      <c r="E31" s="12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5"/>
      <c r="G31" s="125"/>
      <c r="H31" s="125"/>
    </row>
    <row r="32" spans="1:26" ht="15.75" customHeight="1" x14ac:dyDescent="0.35">
      <c r="A32" s="85" t="s">
        <v>90</v>
      </c>
      <c r="B32" s="85"/>
      <c r="C32" s="85"/>
      <c r="D32" s="85"/>
      <c r="E32" s="125" t="s">
        <v>31</v>
      </c>
      <c r="F32" s="125"/>
      <c r="G32" s="125"/>
      <c r="H32" s="125"/>
    </row>
    <row r="33" spans="1:19" s="22" customFormat="1" x14ac:dyDescent="0.35">
      <c r="A33" s="175" t="s">
        <v>91</v>
      </c>
      <c r="B33" s="175"/>
      <c r="C33" s="209" t="s">
        <v>173</v>
      </c>
      <c r="D33" s="209"/>
      <c r="E33" s="209"/>
      <c r="F33" s="209" t="s">
        <v>29</v>
      </c>
      <c r="G33" s="209"/>
      <c r="H33" s="209"/>
      <c r="S33" s="22" t="e">
        <f ca="1">OFFSET($S$13,1,MATCH($G20,$S$13:$W$13,0)-1,15,1)</f>
        <v>#VALUE!</v>
      </c>
    </row>
    <row r="34" spans="1:19" s="22" customFormat="1" x14ac:dyDescent="0.35">
      <c r="A34" s="167" t="s">
        <v>24</v>
      </c>
      <c r="B34" s="167" t="s">
        <v>28</v>
      </c>
      <c r="C34" s="219" t="s">
        <v>312</v>
      </c>
      <c r="D34" s="219"/>
      <c r="E34" s="219"/>
      <c r="F34" s="219" t="s">
        <v>313</v>
      </c>
      <c r="G34" s="219"/>
      <c r="H34" s="219"/>
    </row>
    <row r="35" spans="1:19" x14ac:dyDescent="0.35">
      <c r="A35" s="167" t="s">
        <v>25</v>
      </c>
      <c r="B35" s="167" t="s">
        <v>28</v>
      </c>
      <c r="C35" s="219" t="s">
        <v>311</v>
      </c>
      <c r="D35" s="219"/>
      <c r="E35" s="219"/>
      <c r="F35" s="219" t="s">
        <v>349</v>
      </c>
      <c r="G35" s="219"/>
      <c r="H35" s="219"/>
    </row>
    <row r="36" spans="1:19" s="22" customFormat="1" x14ac:dyDescent="0.35">
      <c r="A36" s="167" t="s">
        <v>27</v>
      </c>
      <c r="B36" s="167" t="s">
        <v>28</v>
      </c>
      <c r="C36" s="219" t="s">
        <v>312</v>
      </c>
      <c r="D36" s="219"/>
      <c r="E36" s="219"/>
      <c r="F36" s="219" t="s">
        <v>313</v>
      </c>
      <c r="G36" s="219"/>
      <c r="H36" s="219"/>
    </row>
    <row r="37" spans="1:19" x14ac:dyDescent="0.35">
      <c r="A37" s="167" t="s">
        <v>26</v>
      </c>
      <c r="B37" s="167" t="s">
        <v>28</v>
      </c>
      <c r="C37" s="219" t="s">
        <v>317</v>
      </c>
      <c r="D37" s="219"/>
      <c r="E37" s="219"/>
      <c r="F37" s="219" t="s">
        <v>350</v>
      </c>
      <c r="G37" s="219"/>
      <c r="H37" s="219"/>
    </row>
    <row r="38" spans="1:19" x14ac:dyDescent="0.35">
      <c r="A38" s="85" t="s">
        <v>279</v>
      </c>
      <c r="B38" s="85"/>
      <c r="C38" s="85"/>
      <c r="D38" s="85"/>
      <c r="E38" s="85"/>
      <c r="F38" s="85"/>
      <c r="G38" s="85"/>
      <c r="H38" s="85"/>
    </row>
    <row r="39" spans="1:19" ht="15.75" customHeight="1" x14ac:dyDescent="0.35">
      <c r="A39" s="85" t="s">
        <v>164</v>
      </c>
      <c r="B39" s="85"/>
      <c r="C39" s="104" t="s">
        <v>305</v>
      </c>
      <c r="D39" s="104"/>
      <c r="E39" s="104"/>
      <c r="F39" s="104"/>
      <c r="G39" s="104"/>
      <c r="H39" s="104"/>
    </row>
    <row r="40" spans="1:19" x14ac:dyDescent="0.35">
      <c r="A40" s="85" t="s">
        <v>160</v>
      </c>
      <c r="B40" s="85"/>
      <c r="C40" s="124" t="s">
        <v>306</v>
      </c>
      <c r="D40" s="125"/>
      <c r="E40" s="125"/>
      <c r="F40" s="125"/>
      <c r="G40" s="125"/>
      <c r="H40" s="125"/>
    </row>
    <row r="41" spans="1:19" x14ac:dyDescent="0.35">
      <c r="A41" s="104" t="s">
        <v>32</v>
      </c>
      <c r="B41" s="104"/>
      <c r="C41" s="104"/>
      <c r="D41" s="104"/>
      <c r="E41" s="104"/>
      <c r="F41" s="104"/>
      <c r="G41" s="104"/>
      <c r="H41" s="104"/>
    </row>
    <row r="42" spans="1:19" x14ac:dyDescent="0.35">
      <c r="A42" s="85" t="s">
        <v>33</v>
      </c>
      <c r="B42" s="85"/>
      <c r="C42" s="85"/>
      <c r="D42" s="85"/>
      <c r="E42" s="168">
        <v>3995.06</v>
      </c>
      <c r="F42" s="168"/>
      <c r="G42" s="168"/>
      <c r="H42" s="168"/>
    </row>
    <row r="43" spans="1:19" x14ac:dyDescent="0.35">
      <c r="A43" s="85" t="s">
        <v>34</v>
      </c>
      <c r="B43" s="85"/>
      <c r="C43" s="85"/>
      <c r="D43" s="85"/>
      <c r="E43" s="172">
        <f>4394.57/E42</f>
        <v>1.1000010012365271</v>
      </c>
      <c r="F43" s="172"/>
      <c r="G43" s="172"/>
      <c r="H43" s="172"/>
    </row>
    <row r="44" spans="1:19" x14ac:dyDescent="0.35">
      <c r="A44" s="85" t="s">
        <v>35</v>
      </c>
      <c r="B44" s="85"/>
      <c r="C44" s="85"/>
      <c r="D44" s="85"/>
      <c r="E44" s="172">
        <f>E46/E42-E43</f>
        <v>3.6269643009116255</v>
      </c>
      <c r="F44" s="172"/>
      <c r="G44" s="172"/>
      <c r="H44" s="172"/>
    </row>
    <row r="45" spans="1:19" x14ac:dyDescent="0.35">
      <c r="A45" s="85" t="s">
        <v>36</v>
      </c>
      <c r="B45" s="85"/>
      <c r="C45" s="85"/>
      <c r="D45" s="85"/>
      <c r="E45" s="172">
        <f>E43+E44</f>
        <v>4.7269653021481526</v>
      </c>
      <c r="F45" s="172"/>
      <c r="G45" s="172"/>
      <c r="H45" s="172"/>
      <c r="I45" s="63">
        <f>E46/E42</f>
        <v>4.7269653021481526</v>
      </c>
    </row>
    <row r="46" spans="1:19" x14ac:dyDescent="0.35">
      <c r="A46" s="85" t="s">
        <v>89</v>
      </c>
      <c r="B46" s="85"/>
      <c r="C46" s="85"/>
      <c r="D46" s="85"/>
      <c r="E46" s="173">
        <v>18884.509999999998</v>
      </c>
      <c r="F46" s="173"/>
      <c r="G46" s="173"/>
      <c r="H46" s="173"/>
    </row>
    <row r="47" spans="1:19" x14ac:dyDescent="0.35">
      <c r="A47" s="159" t="s">
        <v>37</v>
      </c>
      <c r="B47" s="159"/>
      <c r="C47" s="159"/>
      <c r="D47" s="159"/>
      <c r="E47" s="159" t="s">
        <v>119</v>
      </c>
      <c r="F47" s="159"/>
      <c r="G47" s="159"/>
      <c r="H47" s="159"/>
    </row>
    <row r="48" spans="1:19" x14ac:dyDescent="0.35">
      <c r="A48" s="104" t="s">
        <v>38</v>
      </c>
      <c r="B48" s="104"/>
      <c r="C48" s="104"/>
      <c r="D48" s="104"/>
      <c r="E48" s="104"/>
      <c r="F48" s="104"/>
      <c r="G48" s="104"/>
      <c r="H48" s="104"/>
    </row>
    <row r="49" spans="1:24" ht="33.75" customHeight="1" x14ac:dyDescent="0.35">
      <c r="A49" s="165" t="s">
        <v>149</v>
      </c>
      <c r="B49" s="166"/>
      <c r="C49" s="106" t="s">
        <v>259</v>
      </c>
      <c r="D49" s="107"/>
      <c r="E49" s="107"/>
      <c r="F49" s="107"/>
      <c r="G49" s="107"/>
      <c r="H49" s="108"/>
      <c r="R49" t="s">
        <v>252</v>
      </c>
      <c r="S49" t="s">
        <v>172</v>
      </c>
      <c r="T49" t="s">
        <v>178</v>
      </c>
      <c r="U49" t="s">
        <v>193</v>
      </c>
      <c r="V49" t="s">
        <v>188</v>
      </c>
    </row>
    <row r="50" spans="1:24" ht="15.75" customHeight="1" x14ac:dyDescent="0.35">
      <c r="A50" s="165" t="s">
        <v>39</v>
      </c>
      <c r="B50" s="166"/>
      <c r="C50" s="165" t="s">
        <v>315</v>
      </c>
      <c r="D50" s="174"/>
      <c r="E50" s="166"/>
      <c r="F50" s="18" t="s">
        <v>40</v>
      </c>
      <c r="G50" s="194">
        <v>45034</v>
      </c>
      <c r="H50" s="166"/>
      <c r="R50"/>
      <c r="S50" t="s">
        <v>253</v>
      </c>
      <c r="T50" t="s">
        <v>258</v>
      </c>
      <c r="U50" t="s">
        <v>269</v>
      </c>
      <c r="V50" t="s">
        <v>274</v>
      </c>
    </row>
    <row r="51" spans="1:24" x14ac:dyDescent="0.35">
      <c r="A51" s="165" t="s">
        <v>41</v>
      </c>
      <c r="B51" s="166"/>
      <c r="C51" s="165" t="str">
        <f>C50</f>
        <v>S11/0240/21/TMC/TD-DP/TPS/4374/23</v>
      </c>
      <c r="D51" s="174"/>
      <c r="E51" s="166"/>
      <c r="F51" s="18" t="s">
        <v>40</v>
      </c>
      <c r="G51" s="194">
        <f>G50</f>
        <v>45034</v>
      </c>
      <c r="H51" s="166"/>
      <c r="R51"/>
      <c r="S51" t="s">
        <v>254</v>
      </c>
      <c r="T51" t="s">
        <v>259</v>
      </c>
      <c r="U51" t="s">
        <v>267</v>
      </c>
      <c r="V51" t="s">
        <v>275</v>
      </c>
    </row>
    <row r="52" spans="1:24" s="23" customFormat="1" x14ac:dyDescent="0.35">
      <c r="A52" s="203" t="s">
        <v>153</v>
      </c>
      <c r="B52" s="204"/>
      <c r="C52" s="141" t="s">
        <v>343</v>
      </c>
      <c r="D52" s="142"/>
      <c r="E52" s="143"/>
      <c r="F52" s="69" t="s">
        <v>40</v>
      </c>
      <c r="G52" s="195">
        <f>G51</f>
        <v>45034</v>
      </c>
      <c r="H52" s="143"/>
      <c r="R52"/>
      <c r="S52" t="s">
        <v>255</v>
      </c>
      <c r="T52" t="s">
        <v>260</v>
      </c>
      <c r="U52" t="s">
        <v>257</v>
      </c>
      <c r="V52" t="s">
        <v>276</v>
      </c>
    </row>
    <row r="53" spans="1:24" s="23" customFormat="1" x14ac:dyDescent="0.35">
      <c r="A53" s="205"/>
      <c r="B53" s="206"/>
      <c r="C53" s="141" t="s">
        <v>344</v>
      </c>
      <c r="D53" s="142"/>
      <c r="E53" s="142"/>
      <c r="F53" s="142"/>
      <c r="G53" s="142"/>
      <c r="H53" s="143"/>
      <c r="R53"/>
      <c r="S53" t="s">
        <v>256</v>
      </c>
      <c r="T53" t="s">
        <v>263</v>
      </c>
      <c r="U53" t="s">
        <v>270</v>
      </c>
    </row>
    <row r="54" spans="1:24" s="23" customFormat="1" x14ac:dyDescent="0.35">
      <c r="A54" s="144" t="s">
        <v>280</v>
      </c>
      <c r="B54" s="161"/>
      <c r="C54" s="165" t="s">
        <v>356</v>
      </c>
      <c r="D54" s="174"/>
      <c r="E54" s="166"/>
      <c r="F54" s="18" t="s">
        <v>40</v>
      </c>
      <c r="G54" s="194">
        <v>45029</v>
      </c>
      <c r="H54" s="166"/>
      <c r="R54"/>
      <c r="S54" t="s">
        <v>255</v>
      </c>
      <c r="T54" t="s">
        <v>260</v>
      </c>
      <c r="U54" t="s">
        <v>257</v>
      </c>
      <c r="V54" t="s">
        <v>276</v>
      </c>
    </row>
    <row r="55" spans="1:24" s="23" customFormat="1" x14ac:dyDescent="0.35">
      <c r="A55" s="148"/>
      <c r="B55" s="198"/>
      <c r="C55" s="131" t="s">
        <v>357</v>
      </c>
      <c r="D55" s="132"/>
      <c r="E55" s="132"/>
      <c r="F55" s="132"/>
      <c r="G55" s="132"/>
      <c r="H55" s="133"/>
      <c r="R55"/>
      <c r="S55" t="s">
        <v>257</v>
      </c>
      <c r="T55" t="s">
        <v>261</v>
      </c>
      <c r="U55" t="s">
        <v>271</v>
      </c>
      <c r="V55" s="21"/>
      <c r="W55" s="21"/>
      <c r="X55" s="21"/>
    </row>
    <row r="56" spans="1:24" s="23" customFormat="1" ht="34.5" hidden="1" customHeight="1" x14ac:dyDescent="0.35">
      <c r="A56" s="199" t="s">
        <v>281</v>
      </c>
      <c r="B56" s="200"/>
      <c r="C56" s="165" t="str">
        <f>C55</f>
        <v>Gr + 1st to 19th Floor (Height 60.05 Mtrs)</v>
      </c>
      <c r="D56" s="174"/>
      <c r="E56" s="166"/>
      <c r="F56" s="18" t="s">
        <v>40</v>
      </c>
      <c r="G56" s="165">
        <f>G55</f>
        <v>0</v>
      </c>
      <c r="H56" s="166"/>
      <c r="R56"/>
      <c r="S56" s="21"/>
      <c r="T56" t="s">
        <v>262</v>
      </c>
      <c r="U56" t="s">
        <v>272</v>
      </c>
      <c r="V56" s="21"/>
      <c r="W56" s="21"/>
      <c r="X56" s="21"/>
    </row>
    <row r="57" spans="1:24" s="23" customFormat="1" ht="41.25" hidden="1" customHeight="1" x14ac:dyDescent="0.35">
      <c r="A57" s="201"/>
      <c r="B57" s="202"/>
      <c r="C57" s="165"/>
      <c r="D57" s="174"/>
      <c r="E57" s="174"/>
      <c r="F57" s="174"/>
      <c r="G57" s="174"/>
      <c r="H57" s="166"/>
      <c r="R57"/>
      <c r="S57" s="21"/>
      <c r="T57" t="s">
        <v>264</v>
      </c>
      <c r="U57" t="s">
        <v>273</v>
      </c>
      <c r="V57" s="21"/>
      <c r="W57" s="21"/>
      <c r="X57" s="21"/>
    </row>
    <row r="58" spans="1:24" s="23" customFormat="1" ht="15.75" hidden="1" customHeight="1" x14ac:dyDescent="0.35">
      <c r="A58" s="199" t="s">
        <v>282</v>
      </c>
      <c r="B58" s="200"/>
      <c r="C58" s="165">
        <f>C57</f>
        <v>0</v>
      </c>
      <c r="D58" s="174"/>
      <c r="E58" s="166"/>
      <c r="F58" s="18" t="s">
        <v>40</v>
      </c>
      <c r="G58" s="165">
        <f>G57</f>
        <v>0</v>
      </c>
      <c r="H58" s="166"/>
      <c r="R58"/>
      <c r="S58" s="21"/>
      <c r="T58" t="s">
        <v>265</v>
      </c>
      <c r="U58" s="21" t="s">
        <v>296</v>
      </c>
      <c r="V58" s="21"/>
      <c r="W58" s="21"/>
      <c r="X58" s="21"/>
    </row>
    <row r="59" spans="1:24" s="23" customFormat="1" ht="33.75" hidden="1" customHeight="1" x14ac:dyDescent="0.35">
      <c r="A59" s="201"/>
      <c r="B59" s="202"/>
      <c r="C59" s="165"/>
      <c r="D59" s="174"/>
      <c r="E59" s="174"/>
      <c r="F59" s="174"/>
      <c r="G59" s="174"/>
      <c r="H59" s="166"/>
      <c r="R59"/>
      <c r="S59" s="21"/>
      <c r="T59" t="s">
        <v>266</v>
      </c>
      <c r="U59" s="21"/>
      <c r="V59" s="21"/>
      <c r="W59" s="21"/>
      <c r="X59" s="21"/>
    </row>
    <row r="60" spans="1:24" x14ac:dyDescent="0.35">
      <c r="A60" s="210" t="s">
        <v>42</v>
      </c>
      <c r="B60" s="211"/>
      <c r="C60" s="210" t="s">
        <v>103</v>
      </c>
      <c r="D60" s="212"/>
      <c r="E60" s="211"/>
      <c r="F60" s="45" t="s">
        <v>40</v>
      </c>
      <c r="G60" s="196" t="s">
        <v>28</v>
      </c>
      <c r="H60" s="197"/>
      <c r="R60"/>
      <c r="T60" t="s">
        <v>268</v>
      </c>
    </row>
    <row r="61" spans="1:24" x14ac:dyDescent="0.35">
      <c r="A61" s="183" t="s">
        <v>44</v>
      </c>
      <c r="B61" s="183"/>
      <c r="C61" s="183"/>
      <c r="D61" s="183"/>
      <c r="E61" s="183"/>
      <c r="F61" s="183"/>
      <c r="G61" s="183"/>
      <c r="H61" s="183"/>
      <c r="T61" t="s">
        <v>277</v>
      </c>
    </row>
    <row r="62" spans="1:24" x14ac:dyDescent="0.35">
      <c r="A62" s="162" t="s">
        <v>88</v>
      </c>
      <c r="B62" s="162"/>
      <c r="C62" s="162"/>
      <c r="D62" s="85">
        <f>E46</f>
        <v>18884.509999999998</v>
      </c>
      <c r="E62" s="85"/>
      <c r="F62" s="85"/>
      <c r="G62" s="85"/>
      <c r="H62" s="85"/>
      <c r="R62"/>
    </row>
    <row r="63" spans="1:24" x14ac:dyDescent="0.35">
      <c r="A63" s="125" t="s">
        <v>45</v>
      </c>
      <c r="B63" s="159"/>
      <c r="C63" s="159"/>
      <c r="D63" s="163" t="s">
        <v>342</v>
      </c>
      <c r="E63" s="163"/>
      <c r="F63" s="163"/>
      <c r="G63" s="163"/>
      <c r="H63" s="163"/>
      <c r="I63" s="24"/>
      <c r="R63"/>
    </row>
    <row r="64" spans="1:24" x14ac:dyDescent="0.35">
      <c r="A64" s="144" t="s">
        <v>46</v>
      </c>
      <c r="B64" s="145"/>
      <c r="C64" s="161"/>
      <c r="D64" s="158" t="s">
        <v>318</v>
      </c>
      <c r="E64" s="160"/>
      <c r="F64" s="160"/>
      <c r="G64" s="160"/>
      <c r="H64" s="160"/>
      <c r="R64"/>
    </row>
    <row r="65" spans="1:19" ht="15.75" customHeight="1" x14ac:dyDescent="0.35">
      <c r="A65" s="144" t="s">
        <v>86</v>
      </c>
      <c r="B65" s="145"/>
      <c r="C65" s="145"/>
      <c r="D65" s="150" t="s">
        <v>318</v>
      </c>
      <c r="E65" s="151"/>
      <c r="F65" s="151"/>
      <c r="G65" s="151"/>
      <c r="H65" s="152"/>
      <c r="R65"/>
    </row>
    <row r="66" spans="1:19" ht="15.75" hidden="1" customHeight="1" x14ac:dyDescent="0.35">
      <c r="A66" s="146"/>
      <c r="B66" s="147"/>
      <c r="C66" s="147"/>
      <c r="D66" s="186" t="s">
        <v>297</v>
      </c>
      <c r="E66" s="187"/>
      <c r="F66" s="187"/>
      <c r="G66" s="187"/>
      <c r="H66" s="188"/>
      <c r="R66"/>
    </row>
    <row r="67" spans="1:19" ht="15.75" hidden="1" customHeight="1" x14ac:dyDescent="0.35">
      <c r="A67" s="148"/>
      <c r="B67" s="149"/>
      <c r="C67" s="149"/>
      <c r="D67" s="138" t="s">
        <v>168</v>
      </c>
      <c r="E67" s="139"/>
      <c r="F67" s="139"/>
      <c r="G67" s="139"/>
      <c r="H67" s="140"/>
      <c r="S67"/>
    </row>
    <row r="68" spans="1:19" ht="15.75" customHeight="1" x14ac:dyDescent="0.35">
      <c r="A68" s="85" t="s">
        <v>43</v>
      </c>
      <c r="B68" s="85"/>
      <c r="C68" s="85"/>
      <c r="D68" s="169" t="s">
        <v>319</v>
      </c>
      <c r="E68" s="169"/>
      <c r="F68" s="169"/>
      <c r="G68" s="169"/>
      <c r="H68" s="169"/>
      <c r="J68" s="25"/>
      <c r="K68" s="24"/>
      <c r="N68" s="24"/>
      <c r="S68"/>
    </row>
    <row r="69" spans="1:19" ht="15.75" customHeight="1" x14ac:dyDescent="0.35">
      <c r="A69" s="85" t="s">
        <v>84</v>
      </c>
      <c r="B69" s="85"/>
      <c r="C69" s="85"/>
      <c r="D69" s="171" t="str">
        <f>(IF(G60="NA","60 Years After Completion",IF(G60&lt;&gt;"NA",""&amp;60-ROUNDDOWN((E3-G60)/360,0)&amp;" Years"," ")))</f>
        <v>60 Years After Completion</v>
      </c>
      <c r="E69" s="171"/>
      <c r="F69" s="171"/>
      <c r="G69" s="171"/>
      <c r="H69" s="171"/>
      <c r="N69" s="24"/>
      <c r="S69"/>
    </row>
    <row r="70" spans="1:19" ht="15.75" customHeight="1" x14ac:dyDescent="0.35">
      <c r="A70" s="85" t="s">
        <v>85</v>
      </c>
      <c r="B70" s="85"/>
      <c r="C70" s="85"/>
      <c r="D70" s="162" t="s">
        <v>23</v>
      </c>
      <c r="E70" s="162"/>
      <c r="F70" s="162"/>
      <c r="G70" s="162"/>
      <c r="H70" s="162"/>
      <c r="J70" s="26"/>
      <c r="K70" s="26"/>
      <c r="S70"/>
    </row>
    <row r="71" spans="1:19" ht="32.25" customHeight="1" x14ac:dyDescent="0.35">
      <c r="A71" s="163" t="s">
        <v>352</v>
      </c>
      <c r="B71" s="163"/>
      <c r="C71" s="163"/>
      <c r="D71" s="164" t="s">
        <v>351</v>
      </c>
      <c r="E71" s="164"/>
      <c r="F71" s="164"/>
      <c r="G71" s="164"/>
      <c r="H71" s="164"/>
      <c r="I71" s="66" t="s">
        <v>331</v>
      </c>
      <c r="S71"/>
    </row>
    <row r="72" spans="1:19" x14ac:dyDescent="0.35">
      <c r="A72" s="125" t="s">
        <v>146</v>
      </c>
      <c r="B72" s="125"/>
      <c r="C72" s="125"/>
      <c r="D72" s="125" t="s">
        <v>28</v>
      </c>
      <c r="E72" s="125"/>
      <c r="F72" s="125"/>
      <c r="G72" s="125"/>
      <c r="H72" s="125"/>
      <c r="I72" s="27"/>
      <c r="J72" s="27"/>
      <c r="K72" s="27"/>
      <c r="L72" s="27"/>
      <c r="M72" s="27"/>
      <c r="N72" s="27"/>
    </row>
    <row r="73" spans="1:19" ht="15.75" customHeight="1" x14ac:dyDescent="0.35">
      <c r="A73" s="85" t="s">
        <v>83</v>
      </c>
      <c r="B73" s="85"/>
      <c r="C73" s="85"/>
      <c r="D73" s="125" t="str">
        <f ca="1">(IF(G79&gt;95%,"Nothing",IF(G79&gt;0%,"Cement, Aggregate, Steel, etc",IF(G79=0%,"Work not yet Started"))))</f>
        <v>Cement, Aggregate, Steel, etc</v>
      </c>
      <c r="E73" s="125"/>
      <c r="F73" s="125"/>
      <c r="G73" s="125"/>
      <c r="H73" s="125"/>
      <c r="J73" s="26"/>
      <c r="S73"/>
    </row>
    <row r="74" spans="1:19" ht="33.75" customHeight="1" thickBot="1" x14ac:dyDescent="0.4">
      <c r="A74" s="162" t="s">
        <v>116</v>
      </c>
      <c r="B74" s="162"/>
      <c r="C74" s="162"/>
      <c r="D74" s="125" t="str">
        <f ca="1">(IF(D73="Nothing","Yes",IF(D73="Cement, Aggregate, Steel, etc","Under Construction",IF(D73="Work not yet Started","Work not yet Started"))))</f>
        <v>Under Construction</v>
      </c>
      <c r="E74" s="125"/>
      <c r="F74" s="125" t="str">
        <f ca="1">(IF(D73="Nothing","Yes",IF(D73="Cement, Aggregate, Steel, etc","Under Construction",IF(D73="Work not yet Started","Work not yet Started"))))</f>
        <v>Under Construction</v>
      </c>
      <c r="G74" s="125"/>
      <c r="H74" s="125"/>
      <c r="S74"/>
    </row>
    <row r="75" spans="1:19" ht="15.75" customHeight="1" x14ac:dyDescent="0.35">
      <c r="A75" s="221" t="s">
        <v>138</v>
      </c>
      <c r="B75" s="221"/>
      <c r="C75" s="221" t="str">
        <f>D65</f>
        <v>Building 1 = Gr + 1st to 19th Floor</v>
      </c>
      <c r="D75" s="221"/>
      <c r="E75" s="221"/>
      <c r="F75" s="221"/>
      <c r="G75" s="221"/>
      <c r="H75" s="221"/>
      <c r="I75" s="220" t="str">
        <f ca="1">IF(D88=100%,"All work Completed. Possession granted to the Building.",IF(D87=100%,"All work Completed, Waiting for OC",I76&amp;""&amp;I77&amp;""&amp;J76&amp;""&amp;J75&amp;" "&amp;J77))</f>
        <v>Excavation, Plinth Completed, RCC upto 6 Slab, Brickwork upto 2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6 Slab, Brickwork upto 2 Floor</v>
      </c>
      <c r="S75"/>
    </row>
    <row r="76" spans="1:19" x14ac:dyDescent="0.35">
      <c r="A76" s="46" t="s">
        <v>140</v>
      </c>
      <c r="B76" s="46">
        <f>IF(AND(ISNUMBER(SEARCH("1B",C75))),1,IF(AND(ISNUMBER(SEARCH("2B",C75))),2,IF(AND(ISNUMBER(SEARCH("3B",C75))),3,IF(AND(ISNUMBER(SEARCH("4B",C75))),4,IF(ISNUMBER(SEARCH("5B",C75)),5,0)))))</f>
        <v>0</v>
      </c>
      <c r="C76" s="46" t="s">
        <v>69</v>
      </c>
      <c r="D76" s="46">
        <v>1</v>
      </c>
      <c r="E76" s="46" t="s">
        <v>68</v>
      </c>
      <c r="F76" s="46">
        <v>0</v>
      </c>
      <c r="G76" s="47" t="s">
        <v>77</v>
      </c>
      <c r="H76" s="46">
        <f ca="1">--TRIM(RIGHT(SUBSTITUTE(LEFT(C75,_xlfn.AGGREGATE(16,6,FIND({0,1,2,3,4,5,6,7,8,9},C75,ROW(INDIRECT("1:"&amp;LEN(C75)))),1))," ",REPT(" ",LEN(C75))),LEN(C75)))</f>
        <v>19</v>
      </c>
      <c r="I76" s="71"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0" customHeight="1" x14ac:dyDescent="0.35">
      <c r="A77" s="120" t="s">
        <v>87</v>
      </c>
      <c r="B77" s="120"/>
      <c r="C77" s="92" t="str">
        <f ca="1">I75</f>
        <v>Excavation, Plinth Completed, RCC upto 6 Slab, Brickwork upto 2 Floor Completed</v>
      </c>
      <c r="D77" s="92"/>
      <c r="E77" s="92"/>
      <c r="F77" s="92"/>
      <c r="G77" s="92"/>
      <c r="H77" s="92"/>
      <c r="I77" s="71" t="str">
        <f ca="1">IF(I76&lt;&gt;""," Completed","")</f>
        <v xml:space="preserve"> Completed</v>
      </c>
      <c r="J77" s="51" t="str">
        <f ca="1">IF(J75&lt;&gt;"","Completed","")</f>
        <v>Completed</v>
      </c>
      <c r="S77"/>
    </row>
    <row r="78" spans="1:19" ht="15.75" customHeight="1" x14ac:dyDescent="0.35">
      <c r="A78" s="89" t="s">
        <v>47</v>
      </c>
      <c r="B78" s="89"/>
      <c r="C78" s="75" t="s">
        <v>137</v>
      </c>
      <c r="D78" s="75" t="s">
        <v>80</v>
      </c>
      <c r="E78" s="89" t="s">
        <v>82</v>
      </c>
      <c r="F78" s="89"/>
      <c r="G78" s="89" t="s">
        <v>81</v>
      </c>
      <c r="H78" s="89"/>
      <c r="I78" s="13" t="s">
        <v>139</v>
      </c>
      <c r="J78" s="28">
        <f ca="1">H76*25%</f>
        <v>4.75</v>
      </c>
      <c r="S78"/>
    </row>
    <row r="79" spans="1:19" x14ac:dyDescent="0.35">
      <c r="A79" s="89" t="s">
        <v>126</v>
      </c>
      <c r="B79" s="89"/>
      <c r="C79" s="64">
        <f ca="1">J80</f>
        <v>19</v>
      </c>
      <c r="D79" s="19">
        <f ca="1">((100/H76)*C79)/100</f>
        <v>1</v>
      </c>
      <c r="E79" s="170">
        <f ca="1">(((C80/H76*10)+(40/(D76+F76+H76)*C81)+(7.5/(H76)*C82)+(7.5/(H76)*C83)+(10/H76*C84)+(10/H76*C85)+(5/H76*C86)+(5/H76*C87)+(5/H76*C88))/100)</f>
        <v>0.22789473684210526</v>
      </c>
      <c r="F79" s="170"/>
      <c r="G79" s="170">
        <f ca="1">((((C79/H76)*20)+((C80/H76)*25)+(30/(H76+F76+D76)*C81)+(5/H76*C82)+(5/H76*C83)+(5/H76*C84)+(5/H76*C85)+(0/H76*C86)+(0/H76*C87)+(5/H76*C88))/100)</f>
        <v>0.54526315789473689</v>
      </c>
      <c r="H79" s="170"/>
      <c r="I79" s="13" t="s">
        <v>98</v>
      </c>
      <c r="J79" s="29">
        <f ca="1">H76*50%</f>
        <v>9.5</v>
      </c>
    </row>
    <row r="80" spans="1:19" x14ac:dyDescent="0.35">
      <c r="A80" s="89" t="s">
        <v>48</v>
      </c>
      <c r="B80" s="89"/>
      <c r="C80" s="75">
        <f ca="1">J88</f>
        <v>19</v>
      </c>
      <c r="D80" s="19">
        <f ca="1">((100/H76)*C80)/100</f>
        <v>1</v>
      </c>
      <c r="E80" s="170"/>
      <c r="F80" s="170"/>
      <c r="G80" s="170"/>
      <c r="H80" s="170"/>
      <c r="I80" s="13" t="s">
        <v>99</v>
      </c>
      <c r="J80" s="29">
        <f ca="1">H76</f>
        <v>19</v>
      </c>
      <c r="S80"/>
    </row>
    <row r="81" spans="1:19" ht="15.75" customHeight="1" x14ac:dyDescent="0.35">
      <c r="A81" s="89" t="s">
        <v>127</v>
      </c>
      <c r="B81" s="89"/>
      <c r="C81" s="75">
        <v>6</v>
      </c>
      <c r="D81" s="19">
        <f ca="1">((100/(D76+F76+H76))*C81)/100</f>
        <v>0.3</v>
      </c>
      <c r="E81" s="170"/>
      <c r="F81" s="170"/>
      <c r="G81" s="170"/>
      <c r="H81" s="170"/>
      <c r="I81" s="13" t="s">
        <v>100</v>
      </c>
      <c r="J81" s="30">
        <f ca="1">(IF(B76&gt;1,(H76/(B76+2)),H76/4))</f>
        <v>4.75</v>
      </c>
      <c r="S81"/>
    </row>
    <row r="82" spans="1:19" ht="15.75" customHeight="1" x14ac:dyDescent="0.35">
      <c r="A82" s="89" t="s">
        <v>134</v>
      </c>
      <c r="B82" s="89" t="s">
        <v>128</v>
      </c>
      <c r="C82" s="75">
        <v>2</v>
      </c>
      <c r="D82" s="19">
        <f ca="1">((100/H76)*C82)/100</f>
        <v>0.10526315789473685</v>
      </c>
      <c r="E82" s="170"/>
      <c r="F82" s="170"/>
      <c r="G82" s="170"/>
      <c r="H82" s="170"/>
      <c r="I82" s="13" t="s">
        <v>101</v>
      </c>
      <c r="J82" s="30">
        <f ca="1">(IF(B76&gt;1,(H76/(B76+2)+J81),H76/4+J81))</f>
        <v>9.5</v>
      </c>
    </row>
    <row r="83" spans="1:19" ht="15.75" customHeight="1" x14ac:dyDescent="0.35">
      <c r="A83" s="89" t="s">
        <v>135</v>
      </c>
      <c r="B83" s="89" t="s">
        <v>128</v>
      </c>
      <c r="C83" s="75">
        <v>0</v>
      </c>
      <c r="D83" s="19">
        <f ca="1">((100/H76)*C83)/100</f>
        <v>0</v>
      </c>
      <c r="E83" s="170"/>
      <c r="F83" s="170"/>
      <c r="G83" s="170"/>
      <c r="H83" s="170"/>
      <c r="I83" s="13" t="s">
        <v>144</v>
      </c>
      <c r="J83" s="30">
        <f>(IF(B76&gt;1,(H76/(B76+2)+J82),0))</f>
        <v>0</v>
      </c>
    </row>
    <row r="84" spans="1:19" ht="15" customHeight="1" x14ac:dyDescent="0.35">
      <c r="A84" s="89" t="s">
        <v>133</v>
      </c>
      <c r="B84" s="89" t="s">
        <v>130</v>
      </c>
      <c r="C84" s="75">
        <v>0</v>
      </c>
      <c r="D84" s="19">
        <f ca="1">((100/(H76))*C84)/100</f>
        <v>0</v>
      </c>
      <c r="E84" s="170"/>
      <c r="F84" s="170"/>
      <c r="G84" s="170"/>
      <c r="H84" s="170"/>
      <c r="I84" s="13" t="s">
        <v>141</v>
      </c>
      <c r="J84" s="30">
        <f>(IF(B76&gt;2,(H76/(B76+2)+J83),0))</f>
        <v>0</v>
      </c>
    </row>
    <row r="85" spans="1:19" ht="15.75" customHeight="1" x14ac:dyDescent="0.35">
      <c r="A85" s="89" t="s">
        <v>129</v>
      </c>
      <c r="B85" s="89" t="s">
        <v>129</v>
      </c>
      <c r="C85" s="75">
        <v>0</v>
      </c>
      <c r="D85" s="19">
        <f ca="1">((100/H76)*C85)/100</f>
        <v>0</v>
      </c>
      <c r="E85" s="170"/>
      <c r="F85" s="170"/>
      <c r="G85" s="170"/>
      <c r="H85" s="170"/>
      <c r="I85" s="13" t="s">
        <v>142</v>
      </c>
      <c r="J85" s="31">
        <f>(IF(B76&gt;3,(H76/(B76+2)+J84),0))</f>
        <v>0</v>
      </c>
    </row>
    <row r="86" spans="1:19" ht="15.75" customHeight="1" x14ac:dyDescent="0.35">
      <c r="A86" s="89" t="s">
        <v>136</v>
      </c>
      <c r="B86" s="89"/>
      <c r="C86" s="75">
        <v>0</v>
      </c>
      <c r="D86" s="19">
        <f ca="1">((100/H76)*C86)/100</f>
        <v>0</v>
      </c>
      <c r="E86" s="170"/>
      <c r="F86" s="170"/>
      <c r="G86" s="170"/>
      <c r="H86" s="170"/>
      <c r="I86" s="13" t="s">
        <v>143</v>
      </c>
      <c r="J86" s="30">
        <f>(IF(B76&gt;4,(H76/(B76+2)+J85),0))</f>
        <v>0</v>
      </c>
    </row>
    <row r="87" spans="1:19" ht="15.75" customHeight="1" x14ac:dyDescent="0.35">
      <c r="A87" s="89" t="s">
        <v>131</v>
      </c>
      <c r="B87" s="89" t="s">
        <v>131</v>
      </c>
      <c r="C87" s="75">
        <v>0</v>
      </c>
      <c r="D87" s="19">
        <f ca="1">((100/(H76))*C87)/100</f>
        <v>0</v>
      </c>
      <c r="E87" s="170"/>
      <c r="F87" s="170"/>
      <c r="G87" s="170"/>
      <c r="H87" s="170"/>
      <c r="I87" s="13" t="s">
        <v>145</v>
      </c>
      <c r="J87" s="30">
        <f ca="1">(IF(B76=1,(H76/(B76+3)+J82),IF(B76=0,(H76/4+J82),IF(B76&gt;1,0))))</f>
        <v>14.25</v>
      </c>
    </row>
    <row r="88" spans="1:19" ht="16" thickBot="1" x14ac:dyDescent="0.4">
      <c r="A88" s="89" t="s">
        <v>132</v>
      </c>
      <c r="B88" s="89"/>
      <c r="C88" s="75">
        <v>0</v>
      </c>
      <c r="D88" s="19">
        <f ca="1">((100/(H76))*C88)/100</f>
        <v>0</v>
      </c>
      <c r="E88" s="170"/>
      <c r="F88" s="170"/>
      <c r="G88" s="170"/>
      <c r="H88" s="170"/>
      <c r="I88" s="15" t="s">
        <v>102</v>
      </c>
      <c r="J88" s="32">
        <f ca="1">(IF(B76&gt;1.5,(H76/(B76+2)+J82+MAX(0,J83-J82)+MAX(0,J84-J83)+MAX(0,J85-J84)+MAX(0,J86-J85)+MAX(0,J87-J86)),IF(B76=1,(H76/(B76+3)+J87),IF(B76=0,H76/4+J87))))</f>
        <v>19</v>
      </c>
    </row>
    <row r="89" spans="1:19" ht="15.75" hidden="1" customHeight="1" x14ac:dyDescent="0.35">
      <c r="A89" s="213" t="s">
        <v>138</v>
      </c>
      <c r="B89" s="214"/>
      <c r="C89" s="215" t="str">
        <f>D66</f>
        <v>B Wing = 1B + G + 1st to 19th Floor</v>
      </c>
      <c r="D89" s="216"/>
      <c r="E89" s="216"/>
      <c r="F89" s="216"/>
      <c r="G89" s="216"/>
      <c r="H89" s="217"/>
      <c r="I89" s="48" t="str">
        <f ca="1">IF(D102=100%,"All work Completed. Possession granted to the Building.",IF(D101=100%,"All work Completed, Waiting for OC",I90&amp;""&amp;I91&amp;""&amp;J90&amp;""&amp;J89&amp;" "&amp;J91))</f>
        <v xml:space="preserve">Excavation, Plinth Completed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16" t="s">
        <v>140</v>
      </c>
      <c r="B90" s="46">
        <f>IF(AND(ISNUMBER(SEARCH("1B",C89))),1,IF(AND(ISNUMBER(SEARCH("2B",C89))),2,IF(AND(ISNUMBER(SEARCH("3B",C89))),3,IF(AND(ISNUMBER(SEARCH("4B",C89))),4,IF(ISNUMBER(SEARCH("5B",C89)),5,0)))))</f>
        <v>1</v>
      </c>
      <c r="C90" s="46" t="s">
        <v>69</v>
      </c>
      <c r="D90" s="46">
        <v>1</v>
      </c>
      <c r="E90" s="46" t="s">
        <v>68</v>
      </c>
      <c r="F90" s="14">
        <v>0</v>
      </c>
      <c r="G90" s="47" t="s">
        <v>77</v>
      </c>
      <c r="H90" s="17">
        <f ca="1">--TRIM(RIGHT(SUBSTITUTE(LEFT(C89,_xlfn.AGGREGATE(16,6,FIND({0,1,2,3,4,5,6,7,8,9},C89,ROW(INDIRECT("1:"&amp;LEN(C89)))),1))," ",REPT(" ",LEN(C89))),LEN(C89)))</f>
        <v>19</v>
      </c>
      <c r="I90" s="50" t="str">
        <f ca="1">IF(D93=100%,"Excavation","")&amp;IF(D94=100%,", Plinth","")&amp;IF(D95=100%,", RCC Slab","")&amp;IF(D96=100%,", Brickwork","")&amp;IF(D97=100%,", Internal Plaster","")&amp;IF(D98=100%,", External Plaster","")&amp;IF(D99=100%,", Flooring","")&amp;IF(D100=100%,", Painting","")&amp;IF(D101=100%,", Building common Amenities","")</f>
        <v>Excavation, Plinth</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5">
      <c r="A91" s="119" t="s">
        <v>87</v>
      </c>
      <c r="B91" s="120"/>
      <c r="C91" s="92" t="str">
        <f ca="1">(IF($G$60="NA",I89,"All work Completed. OC Received."))</f>
        <v xml:space="preserve">Excavation, Plinth Completed </v>
      </c>
      <c r="D91" s="92"/>
      <c r="E91" s="92"/>
      <c r="F91" s="92"/>
      <c r="G91" s="92"/>
      <c r="H91" s="93"/>
      <c r="I91" s="50" t="str">
        <f ca="1">IF(I90&lt;&gt;""," Completed","")</f>
        <v xml:space="preserve"> Completed</v>
      </c>
      <c r="J91" s="51" t="str">
        <f ca="1">IF(J89&lt;&gt;"","Completed","")</f>
        <v/>
      </c>
    </row>
    <row r="92" spans="1:19" ht="15.75" hidden="1" customHeight="1" x14ac:dyDescent="0.35">
      <c r="A92" s="88" t="s">
        <v>47</v>
      </c>
      <c r="B92" s="89"/>
      <c r="C92" s="43" t="s">
        <v>137</v>
      </c>
      <c r="D92" s="43" t="s">
        <v>80</v>
      </c>
      <c r="E92" s="89" t="s">
        <v>82</v>
      </c>
      <c r="F92" s="89"/>
      <c r="G92" s="89" t="s">
        <v>81</v>
      </c>
      <c r="H92" s="118"/>
      <c r="I92" s="13" t="s">
        <v>139</v>
      </c>
      <c r="J92" s="28">
        <f ca="1">H90*25%</f>
        <v>4.75</v>
      </c>
    </row>
    <row r="93" spans="1:19" hidden="1" x14ac:dyDescent="0.35">
      <c r="A93" s="88" t="s">
        <v>126</v>
      </c>
      <c r="B93" s="89"/>
      <c r="C93" s="58">
        <f ca="1">J94</f>
        <v>19</v>
      </c>
      <c r="D93" s="19">
        <f ca="1">((100/H90)*C93)/100</f>
        <v>1</v>
      </c>
      <c r="E93" s="109">
        <f ca="1">(((C94/H90*10)+(40/(D90+F90+H90)*C95)+(7.5/(H90)*C96)+(7.5/(H90)*C97)+(10/H90*C98)+(10/H90*C99)+(5/H90*C100)+(5/H90*C101)+(5/H90*C102))/100)</f>
        <v>0.1</v>
      </c>
      <c r="F93" s="134"/>
      <c r="G93" s="109">
        <f ca="1">((((C93/H90)*20)+((C94/H90)*25)+(30/(H90+F90+D90)*C95)+(5/H90*C96)+(5/H90*C97)+(5/H90*C98)+(5/H90*C99)+(0/H90*C100)+(0/H90*C101)+(5/H90*C102))/100)</f>
        <v>0.45</v>
      </c>
      <c r="H93" s="110"/>
      <c r="I93" s="13" t="s">
        <v>98</v>
      </c>
      <c r="J93" s="29">
        <f ca="1">H90*50%</f>
        <v>9.5</v>
      </c>
    </row>
    <row r="94" spans="1:19" hidden="1" x14ac:dyDescent="0.35">
      <c r="A94" s="88" t="s">
        <v>48</v>
      </c>
      <c r="B94" s="89"/>
      <c r="C94" s="59">
        <v>19</v>
      </c>
      <c r="D94" s="19">
        <f ca="1">((100/H90)*C94)/100</f>
        <v>1</v>
      </c>
      <c r="E94" s="111"/>
      <c r="F94" s="135"/>
      <c r="G94" s="111"/>
      <c r="H94" s="112"/>
      <c r="I94" s="13" t="s">
        <v>99</v>
      </c>
      <c r="J94" s="29">
        <f ca="1">H90</f>
        <v>19</v>
      </c>
    </row>
    <row r="95" spans="1:19" ht="15.75" hidden="1" customHeight="1" x14ac:dyDescent="0.35">
      <c r="A95" s="88" t="s">
        <v>127</v>
      </c>
      <c r="B95" s="89"/>
      <c r="C95" s="43">
        <v>0</v>
      </c>
      <c r="D95" s="19">
        <f ca="1">((100/(D90+F90+H90))*C95)/100</f>
        <v>0</v>
      </c>
      <c r="E95" s="111"/>
      <c r="F95" s="135"/>
      <c r="G95" s="111"/>
      <c r="H95" s="112"/>
      <c r="I95" s="13" t="s">
        <v>100</v>
      </c>
      <c r="J95" s="30">
        <f ca="1">(IF(B90&gt;1,(H90/(B90+2)),H90/4))</f>
        <v>4.75</v>
      </c>
    </row>
    <row r="96" spans="1:19" ht="15.75" hidden="1" customHeight="1" x14ac:dyDescent="0.35">
      <c r="A96" s="88" t="s">
        <v>134</v>
      </c>
      <c r="B96" s="89" t="s">
        <v>128</v>
      </c>
      <c r="C96" s="43">
        <v>0</v>
      </c>
      <c r="D96" s="19">
        <f ca="1">((100/H90)*C96)/100</f>
        <v>0</v>
      </c>
      <c r="E96" s="111"/>
      <c r="F96" s="135"/>
      <c r="G96" s="111"/>
      <c r="H96" s="112"/>
      <c r="I96" s="13" t="s">
        <v>101</v>
      </c>
      <c r="J96" s="30">
        <f ca="1">(IF(B90&gt;1,(H90/(B90+2)+J95),H90/4+J95))</f>
        <v>9.5</v>
      </c>
    </row>
    <row r="97" spans="1:10" ht="15.75" hidden="1" customHeight="1" x14ac:dyDescent="0.35">
      <c r="A97" s="88" t="s">
        <v>135</v>
      </c>
      <c r="B97" s="89" t="s">
        <v>128</v>
      </c>
      <c r="C97" s="43">
        <v>0</v>
      </c>
      <c r="D97" s="19">
        <f ca="1">((100/H90)*C97)/100</f>
        <v>0</v>
      </c>
      <c r="E97" s="111"/>
      <c r="F97" s="135"/>
      <c r="G97" s="111"/>
      <c r="H97" s="112"/>
      <c r="I97" s="13" t="s">
        <v>144</v>
      </c>
      <c r="J97" s="30">
        <f>(IF(B90&gt;1,(H90/(B90+2)+J96),0))</f>
        <v>0</v>
      </c>
    </row>
    <row r="98" spans="1:10" ht="15" hidden="1" customHeight="1" x14ac:dyDescent="0.35">
      <c r="A98" s="88" t="s">
        <v>133</v>
      </c>
      <c r="B98" s="89" t="s">
        <v>130</v>
      </c>
      <c r="C98" s="43">
        <v>0</v>
      </c>
      <c r="D98" s="19">
        <f ca="1">((100/(H90))*C98)/100</f>
        <v>0</v>
      </c>
      <c r="E98" s="111"/>
      <c r="F98" s="135"/>
      <c r="G98" s="111"/>
      <c r="H98" s="112"/>
      <c r="I98" s="13" t="s">
        <v>141</v>
      </c>
      <c r="J98" s="30">
        <f>(IF(B90&gt;2,(H90/(B90+2)+J97),0))</f>
        <v>0</v>
      </c>
    </row>
    <row r="99" spans="1:10" ht="15.75" hidden="1" customHeight="1" x14ac:dyDescent="0.35">
      <c r="A99" s="88" t="s">
        <v>129</v>
      </c>
      <c r="B99" s="89" t="s">
        <v>129</v>
      </c>
      <c r="C99" s="43">
        <v>0</v>
      </c>
      <c r="D99" s="19">
        <f ca="1">((100/H90)*C99)/100</f>
        <v>0</v>
      </c>
      <c r="E99" s="111"/>
      <c r="F99" s="135"/>
      <c r="G99" s="111"/>
      <c r="H99" s="112"/>
      <c r="I99" s="13" t="s">
        <v>142</v>
      </c>
      <c r="J99" s="31">
        <f>(IF(B90&gt;3,(H90/(B90+2)+J98),0))</f>
        <v>0</v>
      </c>
    </row>
    <row r="100" spans="1:10" ht="15.75" hidden="1" customHeight="1" x14ac:dyDescent="0.35">
      <c r="A100" s="88" t="s">
        <v>136</v>
      </c>
      <c r="B100" s="89"/>
      <c r="C100" s="43">
        <v>0</v>
      </c>
      <c r="D100" s="19">
        <f ca="1">((100/H90)*C100)/100</f>
        <v>0</v>
      </c>
      <c r="E100" s="111"/>
      <c r="F100" s="135"/>
      <c r="G100" s="111"/>
      <c r="H100" s="112"/>
      <c r="I100" s="13" t="s">
        <v>143</v>
      </c>
      <c r="J100" s="30">
        <f>(IF(B90&gt;4,(H90/(B90+2)+J99),0))</f>
        <v>0</v>
      </c>
    </row>
    <row r="101" spans="1:10" ht="15.75" hidden="1" customHeight="1" x14ac:dyDescent="0.35">
      <c r="A101" s="88" t="s">
        <v>131</v>
      </c>
      <c r="B101" s="89" t="s">
        <v>131</v>
      </c>
      <c r="C101" s="43">
        <v>0</v>
      </c>
      <c r="D101" s="19">
        <f ca="1">((100/(H90))*C101)/100</f>
        <v>0</v>
      </c>
      <c r="E101" s="111"/>
      <c r="F101" s="135"/>
      <c r="G101" s="111"/>
      <c r="H101" s="112"/>
      <c r="I101" s="13" t="s">
        <v>145</v>
      </c>
      <c r="J101" s="30">
        <f ca="1">(IF(B90=1,(H90/(B90+3)+J96),IF(B90=0,(H90/4+J96),IF(B90&gt;1,0))))</f>
        <v>14.25</v>
      </c>
    </row>
    <row r="102" spans="1:10" ht="16" hidden="1" thickBot="1" x14ac:dyDescent="0.4">
      <c r="A102" s="86" t="s">
        <v>132</v>
      </c>
      <c r="B102" s="87"/>
      <c r="C102" s="44">
        <v>0</v>
      </c>
      <c r="D102" s="20">
        <f ca="1">((100/(H90))*C102)/100</f>
        <v>0</v>
      </c>
      <c r="E102" s="113"/>
      <c r="F102" s="136"/>
      <c r="G102" s="113"/>
      <c r="H102" s="114"/>
      <c r="I102" s="15" t="s">
        <v>102</v>
      </c>
      <c r="J102" s="32">
        <f ca="1">(IF(B90&gt;1.5,(H90/(B90+2)+J96+MAX(0,J97-J96)+MAX(0,J98-J97)+MAX(0,J99-J98)+MAX(0,J100-J99)+MAX(0,J101-J100)),IF(B90=1,(H90/(B90+3)+J101),IF(B90=0,H90/4+J101))))</f>
        <v>19</v>
      </c>
    </row>
    <row r="103" spans="1:10" ht="15.75" hidden="1" customHeight="1" x14ac:dyDescent="0.35">
      <c r="A103" s="153" t="s">
        <v>138</v>
      </c>
      <c r="B103" s="154"/>
      <c r="C103" s="155" t="str">
        <f>D67</f>
        <v>C Wing = 1B + G + 1st to 20th Floor</v>
      </c>
      <c r="D103" s="156"/>
      <c r="E103" s="156"/>
      <c r="F103" s="156"/>
      <c r="G103" s="156"/>
      <c r="H103" s="157"/>
      <c r="I103" s="48" t="str">
        <f ca="1">IF(D116=100%,"All work Completed. Possession granted to the Building.",IF(D115=100%,"All work Completed, Waiting for OC",I104&amp;""&amp;I105&amp;""&amp;J104&amp;""&amp;J103&amp;" "&amp;J105))</f>
        <v xml:space="preserve">Excavation, Plinth, RCC Slab Completed </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16" t="s">
        <v>140</v>
      </c>
      <c r="B104" s="46">
        <f>IF(AND(ISNUMBER(SEARCH("1B",C103))),1,IF(AND(ISNUMBER(SEARCH("2B",C103))),2,IF(AND(ISNUMBER(SEARCH("3B",C103))),3,IF(AND(ISNUMBER(SEARCH("4B",C103))),4,IF(ISNUMBER(SEARCH("5B",C103)),5,0)))))</f>
        <v>1</v>
      </c>
      <c r="C104" s="46" t="s">
        <v>69</v>
      </c>
      <c r="D104" s="46">
        <v>1</v>
      </c>
      <c r="E104" s="46" t="s">
        <v>68</v>
      </c>
      <c r="F104" s="14">
        <v>0</v>
      </c>
      <c r="G104" s="47" t="s">
        <v>77</v>
      </c>
      <c r="H104" s="17">
        <f ca="1">--TRIM(RIGHT(SUBSTITUTE(LEFT(C103,_xlfn.AGGREGATE(16,6,FIND({0,1,2,3,4,5,6,7,8,9},C103,ROW(INDIRECT("1:"&amp;LEN(C103)))),1))," ",REPT(" ",LEN(C103))),LEN(C103)))</f>
        <v>20</v>
      </c>
      <c r="I104" s="50" t="str">
        <f ca="1">IF(D107=100%,"Excavation","")&amp;IF(D108=100%,", Plinth","")&amp;IF(D109=100%,", RCC Slab","")&amp;IF(D110=100%,", Brickwork","")&amp;IF(D111=100%,", Internal Plaster","")&amp;IF(D112=100%,", External Plaster","")&amp;IF(D113=100%,", Flooring","")&amp;IF(D114=100%,", Painting","")&amp;IF(D115=100%,", Building common Amenities","")</f>
        <v>Excavation, Plinth, RCC Slab</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5">
      <c r="A105" s="119" t="s">
        <v>87</v>
      </c>
      <c r="B105" s="120"/>
      <c r="C105" s="92" t="str">
        <f ca="1">(IF($G$60="NA",I103,"All work Completed. OC Received."))</f>
        <v xml:space="preserve">Excavation, Plinth, RCC Slab Completed </v>
      </c>
      <c r="D105" s="92"/>
      <c r="E105" s="92"/>
      <c r="F105" s="92"/>
      <c r="G105" s="92"/>
      <c r="H105" s="93"/>
      <c r="I105" s="50" t="str">
        <f ca="1">IF(I104&lt;&gt;""," Completed","")</f>
        <v xml:space="preserve"> Completed</v>
      </c>
      <c r="J105" s="51" t="str">
        <f ca="1">IF(J103&lt;&gt;"","Completed","")</f>
        <v/>
      </c>
    </row>
    <row r="106" spans="1:10" ht="15.75" hidden="1" customHeight="1" x14ac:dyDescent="0.35">
      <c r="A106" s="88" t="s">
        <v>47</v>
      </c>
      <c r="B106" s="89"/>
      <c r="C106" s="43" t="s">
        <v>137</v>
      </c>
      <c r="D106" s="43" t="s">
        <v>80</v>
      </c>
      <c r="E106" s="89" t="s">
        <v>82</v>
      </c>
      <c r="F106" s="89"/>
      <c r="G106" s="89" t="s">
        <v>81</v>
      </c>
      <c r="H106" s="118"/>
      <c r="I106" s="13" t="s">
        <v>139</v>
      </c>
      <c r="J106" s="28">
        <f ca="1">H104*25%</f>
        <v>5</v>
      </c>
    </row>
    <row r="107" spans="1:10" hidden="1" x14ac:dyDescent="0.35">
      <c r="A107" s="88" t="s">
        <v>126</v>
      </c>
      <c r="B107" s="89"/>
      <c r="C107" s="43">
        <f ca="1">J108</f>
        <v>20</v>
      </c>
      <c r="D107" s="19">
        <f ca="1">((100/H104)*C107)/100</f>
        <v>1</v>
      </c>
      <c r="E107" s="109">
        <f ca="1">(((C108/H104*10)+(40/(D104+F104+H104)*C109)+(7.5/(H104)*C110)+(7.5/(H104)*C111)+(10/H104*C112)+(10/H104*C113)+(5/H104*C114)+(5/H104*C115)+(5/H104*C116))/100)</f>
        <v>0.5</v>
      </c>
      <c r="F107" s="134"/>
      <c r="G107" s="109">
        <f ca="1">((((C107/H104)*20)+((C108/H104)*25)+(30/(H104+F104+D104)*C109)+(5/H104*C110)+(5/H104*C111)+(5/H104*C112)+(5/H104*C113)+(0/H104*C114)+(0/H104*C115)+(5/H104*C116))/100)</f>
        <v>0.75</v>
      </c>
      <c r="H107" s="110"/>
      <c r="I107" s="13" t="s">
        <v>98</v>
      </c>
      <c r="J107" s="29">
        <f ca="1">H104*50%</f>
        <v>10</v>
      </c>
    </row>
    <row r="108" spans="1:10" hidden="1" x14ac:dyDescent="0.35">
      <c r="A108" s="88" t="s">
        <v>48</v>
      </c>
      <c r="B108" s="89"/>
      <c r="C108" s="43">
        <f ca="1">J116</f>
        <v>20</v>
      </c>
      <c r="D108" s="19">
        <f ca="1">((100/H104)*C108)/100</f>
        <v>1</v>
      </c>
      <c r="E108" s="111"/>
      <c r="F108" s="135"/>
      <c r="G108" s="111"/>
      <c r="H108" s="112"/>
      <c r="I108" s="13" t="s">
        <v>99</v>
      </c>
      <c r="J108" s="29">
        <f ca="1">H104</f>
        <v>20</v>
      </c>
    </row>
    <row r="109" spans="1:10" ht="15.75" hidden="1" customHeight="1" x14ac:dyDescent="0.35">
      <c r="A109" s="88" t="s">
        <v>127</v>
      </c>
      <c r="B109" s="89"/>
      <c r="C109" s="43">
        <f ca="1">D104+H104</f>
        <v>21</v>
      </c>
      <c r="D109" s="19">
        <f ca="1">((100/(D104+F104+H104))*C109)/100</f>
        <v>1</v>
      </c>
      <c r="E109" s="111"/>
      <c r="F109" s="135"/>
      <c r="G109" s="111"/>
      <c r="H109" s="112"/>
      <c r="I109" s="13" t="s">
        <v>100</v>
      </c>
      <c r="J109" s="30">
        <f ca="1">(IF(B104&gt;1,(H104/(B104+2)),H104/4))</f>
        <v>5</v>
      </c>
    </row>
    <row r="110" spans="1:10" ht="15.75" hidden="1" customHeight="1" x14ac:dyDescent="0.35">
      <c r="A110" s="88" t="s">
        <v>134</v>
      </c>
      <c r="B110" s="89" t="s">
        <v>128</v>
      </c>
      <c r="C110" s="43">
        <v>0</v>
      </c>
      <c r="D110" s="19">
        <f ca="1">((100/H104)*C110)/100</f>
        <v>0</v>
      </c>
      <c r="E110" s="111"/>
      <c r="F110" s="135"/>
      <c r="G110" s="111"/>
      <c r="H110" s="112"/>
      <c r="I110" s="13" t="s">
        <v>101</v>
      </c>
      <c r="J110" s="30">
        <f ca="1">(IF(B104&gt;1,(H104/(B104+2)+J109),H104/4+J109))</f>
        <v>10</v>
      </c>
    </row>
    <row r="111" spans="1:10" ht="15.75" hidden="1" customHeight="1" x14ac:dyDescent="0.35">
      <c r="A111" s="88" t="s">
        <v>135</v>
      </c>
      <c r="B111" s="89" t="s">
        <v>128</v>
      </c>
      <c r="C111" s="43">
        <v>0</v>
      </c>
      <c r="D111" s="19">
        <f ca="1">((100/H104)*C111)/100</f>
        <v>0</v>
      </c>
      <c r="E111" s="111"/>
      <c r="F111" s="135"/>
      <c r="G111" s="111"/>
      <c r="H111" s="112"/>
      <c r="I111" s="13" t="s">
        <v>144</v>
      </c>
      <c r="J111" s="30">
        <f>(IF(B104&gt;1,(H104/(B104+2)+J110),0))</f>
        <v>0</v>
      </c>
    </row>
    <row r="112" spans="1:10" ht="15" hidden="1" customHeight="1" x14ac:dyDescent="0.35">
      <c r="A112" s="88" t="s">
        <v>133</v>
      </c>
      <c r="B112" s="89" t="s">
        <v>130</v>
      </c>
      <c r="C112" s="43">
        <v>0</v>
      </c>
      <c r="D112" s="19">
        <f ca="1">((100/(H104))*C112)/100</f>
        <v>0</v>
      </c>
      <c r="E112" s="111"/>
      <c r="F112" s="135"/>
      <c r="G112" s="111"/>
      <c r="H112" s="112"/>
      <c r="I112" s="13" t="s">
        <v>141</v>
      </c>
      <c r="J112" s="30">
        <f>(IF(B104&gt;2,(H104/(B104+2)+J111),0))</f>
        <v>0</v>
      </c>
    </row>
    <row r="113" spans="1:22" ht="15.75" hidden="1" customHeight="1" x14ac:dyDescent="0.35">
      <c r="A113" s="88" t="s">
        <v>129</v>
      </c>
      <c r="B113" s="89" t="s">
        <v>129</v>
      </c>
      <c r="C113" s="43">
        <v>0</v>
      </c>
      <c r="D113" s="19">
        <f ca="1">((100/H104)*C113)/100</f>
        <v>0</v>
      </c>
      <c r="E113" s="111"/>
      <c r="F113" s="135"/>
      <c r="G113" s="111"/>
      <c r="H113" s="112"/>
      <c r="I113" s="13" t="s">
        <v>142</v>
      </c>
      <c r="J113" s="31">
        <f>(IF(B104&gt;3,(H104/(B104+2)+J112),0))</f>
        <v>0</v>
      </c>
    </row>
    <row r="114" spans="1:22" ht="15.75" hidden="1" customHeight="1" x14ac:dyDescent="0.35">
      <c r="A114" s="88" t="s">
        <v>136</v>
      </c>
      <c r="B114" s="89"/>
      <c r="C114" s="43">
        <v>0</v>
      </c>
      <c r="D114" s="19">
        <f ca="1">((100/H104)*C114)/100</f>
        <v>0</v>
      </c>
      <c r="E114" s="111"/>
      <c r="F114" s="135"/>
      <c r="G114" s="111"/>
      <c r="H114" s="112"/>
      <c r="I114" s="13" t="s">
        <v>143</v>
      </c>
      <c r="J114" s="30">
        <f>(IF(B104&gt;4,(H104/(B104+2)+J113),0))</f>
        <v>0</v>
      </c>
    </row>
    <row r="115" spans="1:22" ht="15.75" hidden="1" customHeight="1" x14ac:dyDescent="0.35">
      <c r="A115" s="88" t="s">
        <v>131</v>
      </c>
      <c r="B115" s="89" t="s">
        <v>131</v>
      </c>
      <c r="C115" s="43">
        <v>0</v>
      </c>
      <c r="D115" s="19">
        <f ca="1">((100/(H104))*C115)/100</f>
        <v>0</v>
      </c>
      <c r="E115" s="111"/>
      <c r="F115" s="135"/>
      <c r="G115" s="111"/>
      <c r="H115" s="112"/>
      <c r="I115" s="13" t="s">
        <v>145</v>
      </c>
      <c r="J115" s="30">
        <f ca="1">(IF(B104=1,(H104/(B104+3)+J110),IF(B104=0,(H104/4+J110),IF(B104&gt;1,0))))</f>
        <v>15</v>
      </c>
    </row>
    <row r="116" spans="1:22" ht="16" hidden="1" thickBot="1" x14ac:dyDescent="0.4">
      <c r="A116" s="86" t="s">
        <v>132</v>
      </c>
      <c r="B116" s="87"/>
      <c r="C116" s="44">
        <v>0</v>
      </c>
      <c r="D116" s="20">
        <f ca="1">((100/(H104))*C116)/100</f>
        <v>0</v>
      </c>
      <c r="E116" s="113"/>
      <c r="F116" s="136"/>
      <c r="G116" s="113"/>
      <c r="H116" s="114"/>
      <c r="I116" s="15" t="s">
        <v>102</v>
      </c>
      <c r="J116" s="32">
        <f ca="1">(IF(B104&gt;1.5,(H104/(B104+2)+J110+MAX(0,J111-J110)+MAX(0,J112-J111)+MAX(0,J113-J112)+MAX(0,J114-J113)+MAX(0,J115-J114)),IF(B104=1,(H104/(B104+3)+J115),IF(B104=0,H104/4+J115))))</f>
        <v>20</v>
      </c>
    </row>
    <row r="117" spans="1:22" x14ac:dyDescent="0.35">
      <c r="A117" s="117" t="s">
        <v>155</v>
      </c>
      <c r="B117" s="117"/>
      <c r="C117" s="117"/>
      <c r="D117" s="117"/>
      <c r="E117" s="117"/>
      <c r="F117" s="137" t="s">
        <v>159</v>
      </c>
      <c r="G117" s="137"/>
      <c r="H117" s="137"/>
      <c r="R117" t="s">
        <v>252</v>
      </c>
      <c r="S117" t="s">
        <v>172</v>
      </c>
      <c r="T117" t="s">
        <v>178</v>
      </c>
      <c r="U117" t="s">
        <v>193</v>
      </c>
      <c r="V117" t="s">
        <v>188</v>
      </c>
    </row>
    <row r="118" spans="1:22" x14ac:dyDescent="0.35">
      <c r="A118" s="85" t="s">
        <v>157</v>
      </c>
      <c r="B118" s="85"/>
      <c r="C118" s="85"/>
      <c r="D118" s="85"/>
      <c r="E118" s="85"/>
      <c r="F118" s="105">
        <v>5500</v>
      </c>
      <c r="G118" s="105"/>
      <c r="H118" s="105"/>
      <c r="R118"/>
      <c r="S118">
        <v>800000</v>
      </c>
      <c r="T118">
        <v>150000</v>
      </c>
      <c r="U118">
        <v>100000</v>
      </c>
      <c r="V118">
        <v>100000</v>
      </c>
    </row>
    <row r="119" spans="1:22" x14ac:dyDescent="0.35">
      <c r="A119" s="85" t="s">
        <v>156</v>
      </c>
      <c r="B119" s="85"/>
      <c r="C119" s="85"/>
      <c r="D119" s="85"/>
      <c r="E119" s="85"/>
      <c r="F119" s="105">
        <v>10000</v>
      </c>
      <c r="G119" s="105"/>
      <c r="H119" s="105"/>
      <c r="R119"/>
      <c r="S119">
        <v>900000</v>
      </c>
      <c r="T119">
        <v>200000</v>
      </c>
      <c r="U119">
        <v>150000</v>
      </c>
      <c r="V119">
        <v>150000</v>
      </c>
    </row>
    <row r="120" spans="1:22" hidden="1" x14ac:dyDescent="0.35">
      <c r="A120" s="85" t="s">
        <v>158</v>
      </c>
      <c r="B120" s="85"/>
      <c r="C120" s="85"/>
      <c r="D120" s="85"/>
      <c r="E120" s="85"/>
      <c r="F120" s="105"/>
      <c r="G120" s="105"/>
      <c r="H120" s="105"/>
      <c r="R120"/>
      <c r="S120">
        <v>1000000</v>
      </c>
      <c r="T120">
        <v>250000</v>
      </c>
      <c r="U120">
        <v>200000</v>
      </c>
      <c r="V120">
        <v>200000</v>
      </c>
    </row>
    <row r="121" spans="1:22" s="33" customFormat="1" hidden="1" x14ac:dyDescent="0.35">
      <c r="A121" s="85" t="s">
        <v>175</v>
      </c>
      <c r="B121" s="85"/>
      <c r="C121" s="85"/>
      <c r="D121" s="85"/>
      <c r="E121" s="85"/>
      <c r="F121" s="105"/>
      <c r="G121" s="105"/>
      <c r="H121" s="105"/>
      <c r="R121"/>
      <c r="S121">
        <v>1100000</v>
      </c>
      <c r="T121">
        <v>300000</v>
      </c>
      <c r="U121">
        <v>250000</v>
      </c>
      <c r="V121" s="23">
        <v>250000</v>
      </c>
    </row>
    <row r="122" spans="1:22" s="33" customFormat="1" hidden="1" x14ac:dyDescent="0.35">
      <c r="A122" s="85" t="s">
        <v>92</v>
      </c>
      <c r="B122" s="85"/>
      <c r="C122" s="85"/>
      <c r="D122" s="85"/>
      <c r="E122" s="85"/>
      <c r="F122" s="105"/>
      <c r="G122" s="105"/>
      <c r="H122" s="105"/>
      <c r="R122"/>
      <c r="S122">
        <v>1200000</v>
      </c>
      <c r="T122">
        <v>350000</v>
      </c>
      <c r="U122">
        <v>300000</v>
      </c>
      <c r="V122">
        <v>300000</v>
      </c>
    </row>
    <row r="123" spans="1:22" s="33" customFormat="1" hidden="1" x14ac:dyDescent="0.35">
      <c r="A123" s="85" t="s">
        <v>93</v>
      </c>
      <c r="B123" s="85"/>
      <c r="C123" s="85"/>
      <c r="D123" s="85"/>
      <c r="E123" s="85"/>
      <c r="F123" s="105"/>
      <c r="G123" s="105"/>
      <c r="H123" s="105"/>
      <c r="R123"/>
      <c r="S123">
        <v>1300000</v>
      </c>
      <c r="T123">
        <v>400000</v>
      </c>
      <c r="U123">
        <v>350000</v>
      </c>
      <c r="V123" s="23">
        <v>400000</v>
      </c>
    </row>
    <row r="124" spans="1:22" s="33" customFormat="1" hidden="1" x14ac:dyDescent="0.35">
      <c r="A124" s="85" t="s">
        <v>94</v>
      </c>
      <c r="B124" s="85"/>
      <c r="C124" s="85"/>
      <c r="D124" s="85"/>
      <c r="E124" s="85"/>
      <c r="F124" s="105"/>
      <c r="G124" s="105"/>
      <c r="H124" s="105"/>
      <c r="R124"/>
      <c r="S124">
        <v>1400000</v>
      </c>
      <c r="T124">
        <v>500000</v>
      </c>
      <c r="U124">
        <v>400000</v>
      </c>
      <c r="V124"/>
    </row>
    <row r="125" spans="1:22" s="33" customFormat="1" hidden="1" x14ac:dyDescent="0.35">
      <c r="A125" s="85" t="s">
        <v>95</v>
      </c>
      <c r="B125" s="85"/>
      <c r="C125" s="85"/>
      <c r="D125" s="85"/>
      <c r="E125" s="85"/>
      <c r="F125" s="105"/>
      <c r="G125" s="105"/>
      <c r="H125" s="105"/>
      <c r="R125"/>
      <c r="S125">
        <v>1500000</v>
      </c>
      <c r="T125">
        <v>600000</v>
      </c>
      <c r="U125">
        <v>500000</v>
      </c>
      <c r="V125" s="23"/>
    </row>
    <row r="126" spans="1:22" s="33" customFormat="1" hidden="1" x14ac:dyDescent="0.35">
      <c r="A126" s="85" t="s">
        <v>96</v>
      </c>
      <c r="B126" s="85"/>
      <c r="C126" s="85"/>
      <c r="D126" s="85"/>
      <c r="E126" s="85"/>
      <c r="F126" s="105"/>
      <c r="G126" s="105"/>
      <c r="H126" s="105"/>
      <c r="R126"/>
      <c r="S126">
        <v>1600000</v>
      </c>
      <c r="T126">
        <v>700000</v>
      </c>
      <c r="U126">
        <v>600000</v>
      </c>
      <c r="V126"/>
    </row>
    <row r="127" spans="1:22" s="33" customFormat="1" hidden="1" x14ac:dyDescent="0.35">
      <c r="A127" s="85" t="s">
        <v>97</v>
      </c>
      <c r="B127" s="85"/>
      <c r="C127" s="85"/>
      <c r="D127" s="85"/>
      <c r="E127" s="85"/>
      <c r="F127" s="105"/>
      <c r="G127" s="105"/>
      <c r="H127" s="105"/>
      <c r="R127"/>
      <c r="S127">
        <v>1700000</v>
      </c>
      <c r="T127">
        <v>800000</v>
      </c>
      <c r="U127"/>
      <c r="V127" s="23"/>
    </row>
    <row r="128" spans="1:22" x14ac:dyDescent="0.35">
      <c r="A128" s="85" t="s">
        <v>49</v>
      </c>
      <c r="B128" s="85"/>
      <c r="C128" s="85"/>
      <c r="D128" s="85"/>
      <c r="E128" s="85"/>
      <c r="F128" s="103">
        <v>200000</v>
      </c>
      <c r="G128" s="103"/>
      <c r="H128" s="103"/>
      <c r="R128"/>
      <c r="S128">
        <v>1800000</v>
      </c>
      <c r="T128">
        <v>900000</v>
      </c>
      <c r="U128"/>
    </row>
    <row r="129" spans="1:22" s="34" customFormat="1" x14ac:dyDescent="0.35">
      <c r="A129" s="104" t="s">
        <v>50</v>
      </c>
      <c r="B129" s="104"/>
      <c r="C129" s="104"/>
      <c r="D129" s="104"/>
      <c r="E129" s="104"/>
      <c r="F129" s="105">
        <f>F118*0.8</f>
        <v>4400</v>
      </c>
      <c r="G129" s="105"/>
      <c r="H129" s="105"/>
      <c r="R129" s="21"/>
      <c r="S129" s="21"/>
      <c r="T129">
        <v>1000000</v>
      </c>
      <c r="U129"/>
      <c r="V129" s="21"/>
    </row>
    <row r="130" spans="1:22" s="35" customFormat="1" ht="15.75" customHeight="1" x14ac:dyDescent="0.35">
      <c r="A130" s="98" t="s">
        <v>72</v>
      </c>
      <c r="B130" s="98"/>
      <c r="C130" s="98"/>
      <c r="D130" s="98"/>
      <c r="E130" s="98"/>
      <c r="F130" s="98"/>
      <c r="G130" s="98"/>
      <c r="H130" s="98"/>
      <c r="R130"/>
      <c r="S130" s="21"/>
      <c r="T130"/>
      <c r="U130"/>
      <c r="V130" s="21"/>
    </row>
    <row r="131" spans="1:22" s="35" customFormat="1" ht="15.75" customHeight="1" x14ac:dyDescent="0.35">
      <c r="A131" s="101" t="s">
        <v>51</v>
      </c>
      <c r="B131" s="101"/>
      <c r="C131" s="99" t="s">
        <v>75</v>
      </c>
      <c r="D131" s="99"/>
      <c r="E131" s="100" t="s">
        <v>52</v>
      </c>
      <c r="F131" s="100"/>
      <c r="G131" s="101" t="s">
        <v>53</v>
      </c>
      <c r="H131" s="101"/>
      <c r="R131"/>
      <c r="S131" s="21"/>
      <c r="T131"/>
      <c r="U131" s="21"/>
      <c r="V131" s="21"/>
    </row>
    <row r="132" spans="1:22" s="35" customFormat="1" x14ac:dyDescent="0.35">
      <c r="A132" s="102" t="s">
        <v>321</v>
      </c>
      <c r="B132" s="102"/>
      <c r="C132" s="126">
        <f>COUNT(D147:D162)</f>
        <v>16</v>
      </c>
      <c r="D132" s="95"/>
      <c r="E132" s="126">
        <f t="shared" ref="E132" si="0">SUM(F147:F162)</f>
        <v>7052.0225801999986</v>
      </c>
      <c r="F132" s="95"/>
      <c r="G132" s="126">
        <f t="shared" ref="G132" si="1">SUM(H147:H162)</f>
        <v>10930.634999310001</v>
      </c>
      <c r="H132" s="95"/>
      <c r="R132"/>
      <c r="S132" s="21"/>
      <c r="T132"/>
      <c r="U132" s="21"/>
      <c r="V132" s="21"/>
    </row>
    <row r="133" spans="1:22" s="35" customFormat="1" hidden="1" x14ac:dyDescent="0.35">
      <c r="A133" s="102"/>
      <c r="B133" s="102"/>
      <c r="C133" s="95"/>
      <c r="D133" s="95"/>
      <c r="E133" s="96"/>
      <c r="F133" s="96"/>
      <c r="G133" s="97"/>
      <c r="H133" s="97"/>
      <c r="R133"/>
      <c r="S133" s="21"/>
      <c r="T133"/>
      <c r="U133" s="21"/>
      <c r="V133" s="21"/>
    </row>
    <row r="134" spans="1:22" s="35" customFormat="1" hidden="1" x14ac:dyDescent="0.35">
      <c r="A134" s="98" t="s">
        <v>148</v>
      </c>
      <c r="B134" s="98"/>
      <c r="C134" s="99"/>
      <c r="D134" s="99"/>
      <c r="E134" s="100"/>
      <c r="F134" s="100"/>
      <c r="G134" s="101"/>
      <c r="H134" s="101"/>
      <c r="R134"/>
      <c r="S134" s="21"/>
      <c r="T134"/>
      <c r="U134" s="21"/>
      <c r="V134" s="21"/>
    </row>
    <row r="135" spans="1:22" s="35" customFormat="1" x14ac:dyDescent="0.35">
      <c r="A135" s="98" t="s">
        <v>67</v>
      </c>
      <c r="B135" s="98"/>
      <c r="C135" s="98"/>
      <c r="D135" s="98"/>
      <c r="E135" s="98"/>
      <c r="F135" s="98"/>
      <c r="G135" s="98"/>
      <c r="H135" s="98"/>
      <c r="T135"/>
    </row>
    <row r="136" spans="1:22" s="35" customFormat="1" ht="15.75" customHeight="1" x14ac:dyDescent="0.35">
      <c r="A136" s="101" t="s">
        <v>51</v>
      </c>
      <c r="B136" s="101"/>
      <c r="C136" s="99" t="s">
        <v>75</v>
      </c>
      <c r="D136" s="99"/>
      <c r="E136" s="100" t="s">
        <v>52</v>
      </c>
      <c r="F136" s="100"/>
      <c r="G136" s="101" t="s">
        <v>53</v>
      </c>
      <c r="H136" s="101"/>
      <c r="T136"/>
    </row>
    <row r="137" spans="1:22" s="35" customFormat="1" ht="16" thickBot="1" x14ac:dyDescent="0.4">
      <c r="A137" s="102" t="s">
        <v>339</v>
      </c>
      <c r="B137" s="102"/>
      <c r="C137" s="126">
        <f>COUNT(D177:D184)+COUNT(D188:D206)*14+COUNT(D208:D221,D223:D226)*2+COUNT(D228:D236,D239:D241,D243,D245:D246)+COUNT(D255:D266)</f>
        <v>337</v>
      </c>
      <c r="D137" s="126"/>
      <c r="E137" s="126">
        <f>SUM(F177:F184)+SUM(F188:F206)*14+SUM(F208:F221,F223:F226)*2+SUM(F228:F236,F239:F241,F243,F245:F246)+SUM(F255:F266)</f>
        <v>133192.44431999998</v>
      </c>
      <c r="F137" s="126"/>
      <c r="G137" s="126">
        <f>SUM(H177:H184)+SUM(H188:H206)*14+SUM(H208:H221,H223:H226)*2+SUM(H228:H236,H239:H241,H243,H245:H246)+SUM(H255:H266)</f>
        <v>200222.405448</v>
      </c>
      <c r="H137" s="126"/>
      <c r="T137"/>
    </row>
    <row r="138" spans="1:22" s="35" customFormat="1" hidden="1" x14ac:dyDescent="0.35">
      <c r="A138" s="102"/>
      <c r="B138" s="102"/>
      <c r="C138" s="95"/>
      <c r="D138" s="95"/>
      <c r="E138" s="96"/>
      <c r="F138" s="96"/>
      <c r="G138" s="97"/>
      <c r="H138" s="97"/>
      <c r="T138"/>
    </row>
    <row r="139" spans="1:22" s="35" customFormat="1" ht="16" hidden="1" thickBot="1" x14ac:dyDescent="0.4">
      <c r="A139" s="90" t="s">
        <v>148</v>
      </c>
      <c r="B139" s="90"/>
      <c r="C139" s="191"/>
      <c r="D139" s="191"/>
      <c r="E139" s="91"/>
      <c r="F139" s="91"/>
      <c r="G139" s="94"/>
      <c r="H139" s="94"/>
      <c r="T139"/>
    </row>
    <row r="140" spans="1:22" s="35" customFormat="1" ht="16" thickBot="1" x14ac:dyDescent="0.4">
      <c r="A140" s="192" t="s">
        <v>165</v>
      </c>
      <c r="B140" s="193"/>
      <c r="C140" s="129">
        <f>C132+C137</f>
        <v>353</v>
      </c>
      <c r="D140" s="130"/>
      <c r="E140" s="129">
        <f>E132+E137</f>
        <v>140244.46690019997</v>
      </c>
      <c r="F140" s="130"/>
      <c r="G140" s="129">
        <f t="shared" ref="G140" si="2">G132+G137</f>
        <v>211153.04044731002</v>
      </c>
      <c r="H140" s="130"/>
      <c r="T140"/>
    </row>
    <row r="141" spans="1:22" s="34" customFormat="1" x14ac:dyDescent="0.35">
      <c r="A141" s="137" t="s">
        <v>54</v>
      </c>
      <c r="B141" s="137"/>
      <c r="C141" s="137"/>
      <c r="D141" s="137"/>
      <c r="E141" s="137"/>
      <c r="F141" s="137"/>
      <c r="G141" s="137"/>
      <c r="H141" s="137"/>
      <c r="T141" s="35"/>
    </row>
    <row r="142" spans="1:22" x14ac:dyDescent="0.35">
      <c r="A142" s="209" t="s">
        <v>174</v>
      </c>
      <c r="B142" s="209"/>
      <c r="C142" s="209"/>
      <c r="D142" s="209"/>
      <c r="E142" s="209"/>
      <c r="F142" s="209"/>
      <c r="G142" s="209"/>
      <c r="H142" s="209"/>
      <c r="T142" s="35"/>
    </row>
    <row r="143" spans="1:22" ht="47.25" customHeight="1" x14ac:dyDescent="0.35">
      <c r="A143" s="127" t="s">
        <v>117</v>
      </c>
      <c r="B143" s="127" t="s">
        <v>176</v>
      </c>
      <c r="C143" s="127" t="s">
        <v>55</v>
      </c>
      <c r="D143" s="115" t="s">
        <v>338</v>
      </c>
      <c r="E143" s="184" t="s">
        <v>154</v>
      </c>
      <c r="F143" s="115" t="s">
        <v>56</v>
      </c>
      <c r="G143" s="184" t="s">
        <v>57</v>
      </c>
      <c r="H143" s="67" t="s">
        <v>147</v>
      </c>
      <c r="T143" s="35"/>
    </row>
    <row r="144" spans="1:22" s="37" customFormat="1" x14ac:dyDescent="0.35">
      <c r="A144" s="128"/>
      <c r="B144" s="128"/>
      <c r="C144" s="128"/>
      <c r="D144" s="116"/>
      <c r="E144" s="185"/>
      <c r="F144" s="116"/>
      <c r="G144" s="185"/>
      <c r="H144" s="68">
        <v>0.55000000000000004</v>
      </c>
      <c r="T144" s="35"/>
    </row>
    <row r="145" spans="1:20" s="37" customFormat="1" x14ac:dyDescent="0.35">
      <c r="A145" s="121" t="s">
        <v>314</v>
      </c>
      <c r="B145" s="122"/>
      <c r="C145" s="122"/>
      <c r="D145" s="122"/>
      <c r="E145" s="122"/>
      <c r="F145" s="122"/>
      <c r="G145" s="122"/>
      <c r="H145" s="123"/>
      <c r="J145" s="36"/>
      <c r="T145" s="35"/>
    </row>
    <row r="146" spans="1:20" s="37" customFormat="1" x14ac:dyDescent="0.35">
      <c r="A146" s="81" t="s">
        <v>320</v>
      </c>
      <c r="B146" s="81"/>
      <c r="C146" s="81"/>
      <c r="D146" s="81"/>
      <c r="E146" s="81"/>
      <c r="F146" s="81"/>
      <c r="G146" s="81"/>
      <c r="H146" s="81"/>
      <c r="J146" s="36"/>
      <c r="T146" s="35"/>
    </row>
    <row r="147" spans="1:20" s="37" customFormat="1" ht="15.75" customHeight="1" x14ac:dyDescent="0.35">
      <c r="A147" s="80">
        <v>1</v>
      </c>
      <c r="B147" s="80"/>
      <c r="C147" s="76" t="s">
        <v>321</v>
      </c>
      <c r="D147" s="76">
        <f>(44.05)*10.764</f>
        <v>474.15419999999995</v>
      </c>
      <c r="E147" s="76">
        <f>(3.46*3.79+1.25*1.2+0.56*3.35)*10.764</f>
        <v>177.49190159999998</v>
      </c>
      <c r="F147" s="76">
        <f>D147+(IF(E147&lt;201,E147,IF(E147&lt;301,E147/2,E147/3)))</f>
        <v>651.64610159999995</v>
      </c>
      <c r="G147" s="76">
        <v>0</v>
      </c>
      <c r="H147" s="76">
        <f>(F147+(IF(G147&lt;101,G147,IF(G147&lt;201,G147/2,IF(G147&lt;=301,G147/3,G147/4)))))*(($H$144)+1)</f>
        <v>1010.05145748</v>
      </c>
      <c r="I147" s="36">
        <f>2.9*13.98+0.56*3.35+1.25*1.2</f>
        <v>43.917999999999999</v>
      </c>
      <c r="J147" s="37">
        <f>2.9*13.98+0.56*3.35+1.25*1.2</f>
        <v>43.917999999999999</v>
      </c>
      <c r="L147" s="42">
        <v>10.763999999999999</v>
      </c>
      <c r="M147" s="65"/>
      <c r="N147" s="36"/>
      <c r="T147" s="35"/>
    </row>
    <row r="148" spans="1:20" s="37" customFormat="1" ht="15.75" customHeight="1" x14ac:dyDescent="0.35">
      <c r="A148" s="80">
        <f>A147+1</f>
        <v>2</v>
      </c>
      <c r="B148" s="80"/>
      <c r="C148" s="76" t="s">
        <v>321</v>
      </c>
      <c r="D148" s="76">
        <f>(28.83)*10.764</f>
        <v>310.32611999999995</v>
      </c>
      <c r="E148" s="76">
        <f>(2.74*3.45)*10.764</f>
        <v>101.752092</v>
      </c>
      <c r="F148" s="76">
        <f t="shared" ref="F148:F150" si="3">D148+(IF(E148&lt;201,E148,IF(E148&lt;301,E148/2,E148/3)))</f>
        <v>412.07821199999995</v>
      </c>
      <c r="G148" s="76">
        <v>0</v>
      </c>
      <c r="H148" s="76">
        <f t="shared" ref="H148:H150" si="4">(F148+(IF(G148&lt;101,G148,IF(G148&lt;201,G148/2,IF(G148&lt;=301,G148/3,G148/4)))))*(($H$144)+1)</f>
        <v>638.7212285999999</v>
      </c>
      <c r="I148" s="36">
        <f>2.74*10.53</f>
        <v>28.8522</v>
      </c>
      <c r="J148" s="37">
        <f>2.74*10.53</f>
        <v>28.8522</v>
      </c>
      <c r="L148" s="65"/>
      <c r="M148" s="65"/>
      <c r="N148" s="36"/>
      <c r="T148" s="34"/>
    </row>
    <row r="149" spans="1:20" s="37" customFormat="1" ht="15.75" customHeight="1" x14ac:dyDescent="0.35">
      <c r="A149" s="80">
        <f>A148+1</f>
        <v>3</v>
      </c>
      <c r="B149" s="80"/>
      <c r="C149" s="76" t="s">
        <v>321</v>
      </c>
      <c r="D149" s="76">
        <f>(60.51)*10.764</f>
        <v>651.32963999999993</v>
      </c>
      <c r="E149" s="76">
        <f>(4.17*2.72+2.89*2.25+1.54*1.35)*10.764</f>
        <v>214.46085960000002</v>
      </c>
      <c r="F149" s="76">
        <f t="shared" si="3"/>
        <v>758.56006979999995</v>
      </c>
      <c r="G149" s="76">
        <v>0</v>
      </c>
      <c r="H149" s="76">
        <f t="shared" si="4"/>
        <v>1175.76810819</v>
      </c>
      <c r="I149" s="36"/>
      <c r="L149" s="65"/>
      <c r="M149" s="65"/>
      <c r="N149" s="36"/>
      <c r="T149" s="21"/>
    </row>
    <row r="150" spans="1:20" s="37" customFormat="1" ht="15.75" customHeight="1" x14ac:dyDescent="0.35">
      <c r="A150" s="80">
        <f>A149+1</f>
        <v>4</v>
      </c>
      <c r="B150" s="80"/>
      <c r="C150" s="76" t="s">
        <v>321</v>
      </c>
      <c r="D150" s="76">
        <f>(22.99)*10.764</f>
        <v>247.46435999999997</v>
      </c>
      <c r="E150" s="76">
        <f>(2.49*3.04)*10.764</f>
        <v>81.479174400000005</v>
      </c>
      <c r="F150" s="76">
        <f t="shared" si="3"/>
        <v>328.94353439999998</v>
      </c>
      <c r="G150" s="76">
        <v>0</v>
      </c>
      <c r="H150" s="76">
        <f t="shared" si="4"/>
        <v>509.86247831999998</v>
      </c>
      <c r="I150" s="36"/>
      <c r="L150" s="65"/>
      <c r="M150" s="65"/>
      <c r="N150" s="36"/>
      <c r="T150" s="21"/>
    </row>
    <row r="151" spans="1:20" s="37" customFormat="1" ht="15.75" customHeight="1" x14ac:dyDescent="0.35">
      <c r="A151" s="80">
        <f t="shared" ref="A151:A162" si="5">A150+1</f>
        <v>5</v>
      </c>
      <c r="B151" s="80"/>
      <c r="C151" s="76" t="s">
        <v>321</v>
      </c>
      <c r="D151" s="76">
        <f>(18.04)*10.764</f>
        <v>194.18255999999997</v>
      </c>
      <c r="E151" s="76">
        <f>(1.93*3.08)*10.764</f>
        <v>63.985521599999998</v>
      </c>
      <c r="F151" s="76">
        <f t="shared" ref="F151:F162" si="6">D151+(IF(E151&lt;201,E151,IF(E151&lt;301,E151/2,E151/3)))</f>
        <v>258.16808159999994</v>
      </c>
      <c r="G151" s="76">
        <v>0</v>
      </c>
      <c r="H151" s="76">
        <f t="shared" ref="H151:H162" si="7">(F151+(IF(G151&lt;101,G151,IF(G151&lt;201,G151/2,IF(G151&lt;=301,G151/3,G151/4)))))*(($H$144)+1)</f>
        <v>400.16052647999993</v>
      </c>
      <c r="I151" s="36"/>
      <c r="L151" s="65"/>
      <c r="M151" s="65"/>
      <c r="N151" s="36"/>
      <c r="T151" s="21"/>
    </row>
    <row r="152" spans="1:20" s="37" customFormat="1" ht="15.75" customHeight="1" x14ac:dyDescent="0.35">
      <c r="A152" s="80">
        <f t="shared" si="5"/>
        <v>6</v>
      </c>
      <c r="B152" s="80"/>
      <c r="C152" s="76" t="s">
        <v>321</v>
      </c>
      <c r="D152" s="76">
        <f>(12.4)*10.764</f>
        <v>133.4736</v>
      </c>
      <c r="E152" s="76">
        <f>(2.74*1.49)*10.764</f>
        <v>43.9451064</v>
      </c>
      <c r="F152" s="76">
        <f t="shared" si="6"/>
        <v>177.41870640000002</v>
      </c>
      <c r="G152" s="76">
        <v>0</v>
      </c>
      <c r="H152" s="76">
        <f t="shared" si="7"/>
        <v>274.99899492000003</v>
      </c>
      <c r="I152" s="36"/>
      <c r="L152" s="65"/>
      <c r="M152" s="65"/>
      <c r="N152" s="36"/>
      <c r="T152" s="21"/>
    </row>
    <row r="153" spans="1:20" s="37" customFormat="1" ht="15.75" customHeight="1" x14ac:dyDescent="0.35">
      <c r="A153" s="80">
        <f t="shared" si="5"/>
        <v>7</v>
      </c>
      <c r="B153" s="80"/>
      <c r="C153" s="76" t="s">
        <v>321</v>
      </c>
      <c r="D153" s="76">
        <f>(13.03)*10.764</f>
        <v>140.25492</v>
      </c>
      <c r="E153" s="76">
        <f>(2.13*2.05)*10.764</f>
        <v>47.00100599999999</v>
      </c>
      <c r="F153" s="76">
        <f t="shared" si="6"/>
        <v>187.25592599999999</v>
      </c>
      <c r="G153" s="76">
        <v>0</v>
      </c>
      <c r="H153" s="76">
        <f t="shared" si="7"/>
        <v>290.24668529999997</v>
      </c>
      <c r="I153" s="36"/>
      <c r="L153" s="65"/>
      <c r="M153" s="65"/>
      <c r="N153" s="36"/>
      <c r="T153" s="21"/>
    </row>
    <row r="154" spans="1:20" s="37" customFormat="1" ht="15.75" customHeight="1" x14ac:dyDescent="0.35">
      <c r="A154" s="80">
        <f t="shared" si="5"/>
        <v>8</v>
      </c>
      <c r="B154" s="80"/>
      <c r="C154" s="76" t="s">
        <v>321</v>
      </c>
      <c r="D154" s="76">
        <f>(25.02)*10.764</f>
        <v>269.31527999999997</v>
      </c>
      <c r="E154" s="76">
        <f>(3.05*4.1)*10.764</f>
        <v>134.60381999999998</v>
      </c>
      <c r="F154" s="76">
        <f t="shared" si="6"/>
        <v>403.91909999999996</v>
      </c>
      <c r="G154" s="76">
        <v>0</v>
      </c>
      <c r="H154" s="76">
        <f t="shared" si="7"/>
        <v>626.07460499999991</v>
      </c>
      <c r="I154" s="36"/>
      <c r="L154" s="65"/>
      <c r="M154" s="65"/>
      <c r="N154" s="36"/>
      <c r="T154" s="21"/>
    </row>
    <row r="155" spans="1:20" s="37" customFormat="1" ht="15.75" customHeight="1" x14ac:dyDescent="0.35">
      <c r="A155" s="80">
        <f t="shared" si="5"/>
        <v>9</v>
      </c>
      <c r="B155" s="80"/>
      <c r="C155" s="76" t="s">
        <v>321</v>
      </c>
      <c r="D155" s="76">
        <f>(26.02)*10.764</f>
        <v>280.07927999999998</v>
      </c>
      <c r="E155" s="76">
        <f>(3.05*4.26)*10.764</f>
        <v>139.85665199999997</v>
      </c>
      <c r="F155" s="76">
        <f t="shared" si="6"/>
        <v>419.93593199999998</v>
      </c>
      <c r="G155" s="76">
        <v>0</v>
      </c>
      <c r="H155" s="76">
        <f t="shared" si="7"/>
        <v>650.90069459999995</v>
      </c>
      <c r="I155" s="36"/>
      <c r="L155" s="65"/>
      <c r="M155" s="65"/>
      <c r="N155" s="36"/>
      <c r="T155" s="21"/>
    </row>
    <row r="156" spans="1:20" s="37" customFormat="1" ht="15.75" customHeight="1" x14ac:dyDescent="0.35">
      <c r="A156" s="80">
        <f t="shared" si="5"/>
        <v>10</v>
      </c>
      <c r="B156" s="80"/>
      <c r="C156" s="76" t="s">
        <v>321</v>
      </c>
      <c r="D156" s="76">
        <f>(14.93)*10.764</f>
        <v>160.70651999999998</v>
      </c>
      <c r="E156" s="76">
        <f>(2.13*2.35)*10.764</f>
        <v>53.879201999999992</v>
      </c>
      <c r="F156" s="76">
        <f t="shared" si="6"/>
        <v>214.58572199999998</v>
      </c>
      <c r="G156" s="76">
        <v>0</v>
      </c>
      <c r="H156" s="76">
        <f t="shared" si="7"/>
        <v>332.60786909999996</v>
      </c>
      <c r="I156" s="36"/>
      <c r="L156" s="65"/>
      <c r="M156" s="65"/>
      <c r="N156" s="36"/>
      <c r="T156" s="21"/>
    </row>
    <row r="157" spans="1:20" s="37" customFormat="1" ht="15.75" customHeight="1" x14ac:dyDescent="0.35">
      <c r="A157" s="80">
        <f t="shared" si="5"/>
        <v>11</v>
      </c>
      <c r="B157" s="80"/>
      <c r="C157" s="76" t="s">
        <v>321</v>
      </c>
      <c r="D157" s="76">
        <f>(16.23)*10.764</f>
        <v>174.69971999999999</v>
      </c>
      <c r="E157" s="76">
        <f>(2.74*1.95)*10.764</f>
        <v>57.512051999999997</v>
      </c>
      <c r="F157" s="76">
        <f t="shared" si="6"/>
        <v>232.211772</v>
      </c>
      <c r="G157" s="76">
        <v>0</v>
      </c>
      <c r="H157" s="76">
        <f t="shared" si="7"/>
        <v>359.92824660000002</v>
      </c>
      <c r="I157" s="36"/>
      <c r="L157" s="65"/>
      <c r="M157" s="65"/>
      <c r="N157" s="36"/>
      <c r="T157" s="21"/>
    </row>
    <row r="158" spans="1:20" s="37" customFormat="1" ht="15.75" customHeight="1" x14ac:dyDescent="0.35">
      <c r="A158" s="80">
        <f t="shared" si="5"/>
        <v>12</v>
      </c>
      <c r="B158" s="80"/>
      <c r="C158" s="76" t="s">
        <v>321</v>
      </c>
      <c r="D158" s="76">
        <f>(61.7)*10.764</f>
        <v>664.13879999999995</v>
      </c>
      <c r="E158" s="76">
        <f>(4.57*6.88+2.93*2.28+1.22*2.13)*10.764</f>
        <v>438.31653839999996</v>
      </c>
      <c r="F158" s="76">
        <f t="shared" si="6"/>
        <v>810.24431279999999</v>
      </c>
      <c r="G158" s="76">
        <v>0</v>
      </c>
      <c r="H158" s="76">
        <f t="shared" si="7"/>
        <v>1255.87868484</v>
      </c>
      <c r="I158" s="36"/>
      <c r="L158" s="65"/>
      <c r="M158" s="65"/>
      <c r="N158" s="36"/>
      <c r="T158" s="21"/>
    </row>
    <row r="159" spans="1:20" s="37" customFormat="1" ht="15.75" customHeight="1" x14ac:dyDescent="0.35">
      <c r="A159" s="80">
        <f t="shared" si="5"/>
        <v>13</v>
      </c>
      <c r="B159" s="80"/>
      <c r="C159" s="76" t="s">
        <v>321</v>
      </c>
      <c r="D159" s="76">
        <f>(40.57)*10.764</f>
        <v>436.69547999999998</v>
      </c>
      <c r="E159" s="76">
        <f>(2.9*4.62)*10.764</f>
        <v>144.216072</v>
      </c>
      <c r="F159" s="76">
        <f t="shared" si="6"/>
        <v>580.91155200000003</v>
      </c>
      <c r="G159" s="76">
        <v>0</v>
      </c>
      <c r="H159" s="76">
        <f t="shared" si="7"/>
        <v>900.41290560000004</v>
      </c>
      <c r="I159" s="36"/>
      <c r="L159" s="65"/>
      <c r="M159" s="65"/>
      <c r="N159" s="36"/>
      <c r="T159" s="21"/>
    </row>
    <row r="160" spans="1:20" s="37" customFormat="1" ht="15.75" customHeight="1" x14ac:dyDescent="0.35">
      <c r="A160" s="77">
        <f t="shared" si="5"/>
        <v>14</v>
      </c>
      <c r="B160" s="78"/>
      <c r="C160" s="42" t="s">
        <v>321</v>
      </c>
      <c r="D160" s="42">
        <f>(39.09)*10.764</f>
        <v>420.76476000000002</v>
      </c>
      <c r="E160" s="42">
        <f>(2.74*4.7)*10.764</f>
        <v>138.61879200000001</v>
      </c>
      <c r="F160" s="42">
        <f t="shared" si="6"/>
        <v>559.38355200000001</v>
      </c>
      <c r="G160" s="42">
        <v>0</v>
      </c>
      <c r="H160" s="42">
        <f t="shared" si="7"/>
        <v>867.04450560000009</v>
      </c>
      <c r="I160" s="36"/>
      <c r="L160" s="65"/>
      <c r="M160" s="65"/>
      <c r="N160" s="36"/>
      <c r="T160" s="21"/>
    </row>
    <row r="161" spans="1:20" s="37" customFormat="1" ht="15.75" customHeight="1" x14ac:dyDescent="0.35">
      <c r="A161" s="77">
        <f t="shared" si="5"/>
        <v>15</v>
      </c>
      <c r="B161" s="78"/>
      <c r="C161" s="42" t="s">
        <v>321</v>
      </c>
      <c r="D161" s="42">
        <f>(42.17)*10.764</f>
        <v>453.91787999999997</v>
      </c>
      <c r="E161" s="42">
        <f>(2.9*4.79)*10.764</f>
        <v>149.52272399999998</v>
      </c>
      <c r="F161" s="42">
        <f t="shared" si="6"/>
        <v>603.44060399999989</v>
      </c>
      <c r="G161" s="42">
        <v>0</v>
      </c>
      <c r="H161" s="42">
        <f t="shared" si="7"/>
        <v>935.33293619999984</v>
      </c>
      <c r="I161" s="36"/>
      <c r="L161" s="79"/>
      <c r="M161" s="79"/>
      <c r="N161" s="36"/>
      <c r="T161" s="21"/>
    </row>
    <row r="162" spans="1:20" s="37" customFormat="1" ht="15.75" customHeight="1" x14ac:dyDescent="0.35">
      <c r="A162" s="77">
        <f t="shared" si="5"/>
        <v>16</v>
      </c>
      <c r="B162" s="78"/>
      <c r="C162" s="42" t="s">
        <v>321</v>
      </c>
      <c r="D162" s="42">
        <f>(28.09)*10.764</f>
        <v>302.36075999999997</v>
      </c>
      <c r="E162" s="42">
        <f>(3.48*4.03)*10.764</f>
        <v>150.95864159999999</v>
      </c>
      <c r="F162" s="42">
        <f t="shared" si="6"/>
        <v>453.31940159999999</v>
      </c>
      <c r="G162" s="42">
        <v>0</v>
      </c>
      <c r="H162" s="42">
        <f t="shared" si="7"/>
        <v>702.64507247999995</v>
      </c>
      <c r="I162" s="36"/>
      <c r="L162" s="79"/>
      <c r="M162" s="79"/>
      <c r="N162" s="36"/>
      <c r="T162" s="21"/>
    </row>
    <row r="163" spans="1:20" s="37" customFormat="1" x14ac:dyDescent="0.35">
      <c r="A163" s="80"/>
      <c r="B163" s="80"/>
      <c r="C163" s="80"/>
      <c r="D163" s="80"/>
      <c r="E163" s="80"/>
      <c r="F163" s="80"/>
      <c r="G163" s="80"/>
      <c r="H163" s="80"/>
      <c r="I163" s="36"/>
      <c r="N163" s="36"/>
    </row>
    <row r="164" spans="1:20" ht="47.25" customHeight="1" x14ac:dyDescent="0.35">
      <c r="A164" s="83" t="s">
        <v>118</v>
      </c>
      <c r="B164" s="83" t="s">
        <v>177</v>
      </c>
      <c r="C164" s="83" t="s">
        <v>55</v>
      </c>
      <c r="D164" s="190" t="s">
        <v>338</v>
      </c>
      <c r="E164" s="83" t="s">
        <v>231</v>
      </c>
      <c r="F164" s="83" t="s">
        <v>56</v>
      </c>
      <c r="G164" s="84" t="s">
        <v>57</v>
      </c>
      <c r="H164" s="72" t="s">
        <v>354</v>
      </c>
      <c r="I164" s="70" t="s">
        <v>355</v>
      </c>
      <c r="T164" s="37"/>
    </row>
    <row r="165" spans="1:20" s="37" customFormat="1" hidden="1" x14ac:dyDescent="0.35">
      <c r="A165" s="83"/>
      <c r="B165" s="83"/>
      <c r="C165" s="83"/>
      <c r="D165" s="190"/>
      <c r="E165" s="83"/>
      <c r="F165" s="83"/>
      <c r="G165" s="84"/>
      <c r="H165" s="73">
        <v>0.5</v>
      </c>
      <c r="I165" s="36"/>
    </row>
    <row r="166" spans="1:20" s="37" customFormat="1" x14ac:dyDescent="0.35">
      <c r="A166" s="81" t="s">
        <v>322</v>
      </c>
      <c r="B166" s="81"/>
      <c r="C166" s="81"/>
      <c r="D166" s="81"/>
      <c r="E166" s="81"/>
      <c r="F166" s="81"/>
      <c r="G166" s="81"/>
      <c r="H166" s="81"/>
      <c r="J166" s="36"/>
      <c r="M166" s="42">
        <v>10.763999999999999</v>
      </c>
    </row>
    <row r="167" spans="1:20" s="37" customFormat="1" x14ac:dyDescent="0.35">
      <c r="A167" s="81" t="s">
        <v>340</v>
      </c>
      <c r="B167" s="81"/>
      <c r="C167" s="81"/>
      <c r="D167" s="81"/>
      <c r="E167" s="81"/>
      <c r="F167" s="81"/>
      <c r="G167" s="81"/>
      <c r="H167" s="81"/>
      <c r="J167" s="36"/>
    </row>
    <row r="168" spans="1:20" s="37" customFormat="1" ht="15.75" customHeight="1" x14ac:dyDescent="0.35">
      <c r="A168" s="80" t="s">
        <v>325</v>
      </c>
      <c r="B168" s="80"/>
      <c r="C168" s="80" t="s">
        <v>324</v>
      </c>
      <c r="D168" s="80"/>
      <c r="E168" s="80"/>
      <c r="F168" s="80"/>
      <c r="G168" s="80"/>
      <c r="H168" s="80"/>
      <c r="I168" s="36"/>
      <c r="L168" s="79"/>
      <c r="M168" s="79"/>
      <c r="N168" s="36"/>
    </row>
    <row r="169" spans="1:20" s="37" customFormat="1" ht="15.75" customHeight="1" x14ac:dyDescent="0.35">
      <c r="A169" s="80" t="s">
        <v>325</v>
      </c>
      <c r="B169" s="80"/>
      <c r="C169" s="80"/>
      <c r="D169" s="80"/>
      <c r="E169" s="80"/>
      <c r="F169" s="80"/>
      <c r="G169" s="80"/>
      <c r="H169" s="80"/>
      <c r="I169" s="36"/>
      <c r="L169" s="79"/>
      <c r="M169" s="79"/>
      <c r="N169" s="36"/>
    </row>
    <row r="170" spans="1:20" s="37" customFormat="1" ht="15.75" customHeight="1" x14ac:dyDescent="0.35">
      <c r="A170" s="80" t="s">
        <v>325</v>
      </c>
      <c r="B170" s="80"/>
      <c r="C170" s="80"/>
      <c r="D170" s="80"/>
      <c r="E170" s="80"/>
      <c r="F170" s="80"/>
      <c r="G170" s="80"/>
      <c r="H170" s="80"/>
      <c r="I170" s="36"/>
      <c r="L170" s="79"/>
      <c r="M170" s="79"/>
      <c r="N170" s="36"/>
    </row>
    <row r="171" spans="1:20" s="37" customFormat="1" ht="15.75" customHeight="1" x14ac:dyDescent="0.35">
      <c r="A171" s="80" t="s">
        <v>325</v>
      </c>
      <c r="B171" s="80"/>
      <c r="C171" s="80"/>
      <c r="D171" s="80"/>
      <c r="E171" s="80"/>
      <c r="F171" s="80"/>
      <c r="G171" s="80"/>
      <c r="H171" s="80"/>
      <c r="I171" s="36"/>
      <c r="L171" s="79"/>
      <c r="M171" s="79"/>
      <c r="N171" s="36"/>
      <c r="T171" s="21"/>
    </row>
    <row r="172" spans="1:20" s="37" customFormat="1" ht="15.75" customHeight="1" x14ac:dyDescent="0.35">
      <c r="A172" s="80" t="s">
        <v>325</v>
      </c>
      <c r="B172" s="80"/>
      <c r="C172" s="80"/>
      <c r="D172" s="80"/>
      <c r="E172" s="80"/>
      <c r="F172" s="80"/>
      <c r="G172" s="80"/>
      <c r="H172" s="80"/>
      <c r="I172" s="36"/>
      <c r="L172" s="79"/>
      <c r="M172" s="79"/>
      <c r="N172" s="36"/>
      <c r="T172" s="21"/>
    </row>
    <row r="173" spans="1:20" s="37" customFormat="1" ht="15.75" customHeight="1" x14ac:dyDescent="0.35">
      <c r="A173" s="80" t="s">
        <v>325</v>
      </c>
      <c r="B173" s="80"/>
      <c r="C173" s="80"/>
      <c r="D173" s="80"/>
      <c r="E173" s="80"/>
      <c r="F173" s="80"/>
      <c r="G173" s="80"/>
      <c r="H173" s="80"/>
      <c r="I173" s="36"/>
      <c r="L173" s="79"/>
      <c r="M173" s="79"/>
      <c r="N173" s="36"/>
      <c r="T173" s="21"/>
    </row>
    <row r="174" spans="1:20" s="37" customFormat="1" ht="15.75" customHeight="1" x14ac:dyDescent="0.35">
      <c r="A174" s="80" t="s">
        <v>325</v>
      </c>
      <c r="B174" s="80"/>
      <c r="C174" s="80"/>
      <c r="D174" s="80"/>
      <c r="E174" s="80"/>
      <c r="F174" s="80"/>
      <c r="G174" s="80"/>
      <c r="H174" s="80"/>
      <c r="I174" s="36"/>
      <c r="L174" s="79"/>
      <c r="M174" s="79"/>
      <c r="N174" s="36"/>
      <c r="T174" s="21"/>
    </row>
    <row r="175" spans="1:20" s="37" customFormat="1" ht="15.75" customHeight="1" x14ac:dyDescent="0.35">
      <c r="A175" s="80" t="s">
        <v>325</v>
      </c>
      <c r="B175" s="80"/>
      <c r="C175" s="80"/>
      <c r="D175" s="80"/>
      <c r="E175" s="80"/>
      <c r="F175" s="80"/>
      <c r="G175" s="80"/>
      <c r="H175" s="80"/>
      <c r="I175" s="36"/>
      <c r="L175" s="79"/>
      <c r="M175" s="79"/>
      <c r="N175" s="36"/>
      <c r="T175" s="21"/>
    </row>
    <row r="176" spans="1:20" s="37" customFormat="1" ht="15.75" customHeight="1" x14ac:dyDescent="0.35">
      <c r="A176" s="80" t="s">
        <v>325</v>
      </c>
      <c r="B176" s="80"/>
      <c r="C176" s="80"/>
      <c r="D176" s="80"/>
      <c r="E176" s="80"/>
      <c r="F176" s="80"/>
      <c r="G176" s="80"/>
      <c r="H176" s="80"/>
      <c r="I176" s="36"/>
      <c r="L176" s="79"/>
      <c r="M176" s="79"/>
      <c r="N176" s="36"/>
      <c r="T176" s="21"/>
    </row>
    <row r="177" spans="1:20" s="37" customFormat="1" ht="15.75" customHeight="1" x14ac:dyDescent="0.35">
      <c r="A177" s="77">
        <v>1</v>
      </c>
      <c r="B177" s="78"/>
      <c r="C177" s="42" t="s">
        <v>326</v>
      </c>
      <c r="D177" s="42">
        <f>(34.34)*10.764</f>
        <v>369.63576</v>
      </c>
      <c r="E177" s="42">
        <v>0</v>
      </c>
      <c r="F177" s="42">
        <f t="shared" ref="F177:F184" si="8">D177+E177</f>
        <v>369.63576</v>
      </c>
      <c r="G177" s="42">
        <v>0</v>
      </c>
      <c r="H177" s="42">
        <f t="shared" ref="H177:H184" si="9">F177*(($H$165)+1)+(IF(G177&lt;101,G177,IF(G177&lt;201,G177/2,IF(G177&lt;=301,G177/3,G177/4))))</f>
        <v>554.45363999999995</v>
      </c>
      <c r="I177" s="36">
        <f>2.74*4.88+2*2.14+2.74*3.05+2.15*0.91+1.22*2.13</f>
        <v>30.563299999999998</v>
      </c>
      <c r="L177" s="79"/>
      <c r="M177" s="79"/>
      <c r="N177" s="36"/>
      <c r="T177" s="21"/>
    </row>
    <row r="178" spans="1:20" s="37" customFormat="1" ht="15.75" customHeight="1" x14ac:dyDescent="0.35">
      <c r="A178" s="77">
        <f t="shared" ref="A178:A184" si="10">A177+1</f>
        <v>2</v>
      </c>
      <c r="B178" s="78"/>
      <c r="C178" s="42" t="s">
        <v>326</v>
      </c>
      <c r="D178" s="42">
        <f>(34.43)*10.764</f>
        <v>370.60451999999998</v>
      </c>
      <c r="E178" s="42">
        <v>0</v>
      </c>
      <c r="F178" s="42">
        <f t="shared" si="8"/>
        <v>370.60451999999998</v>
      </c>
      <c r="G178" s="42">
        <v>0</v>
      </c>
      <c r="H178" s="42">
        <f t="shared" si="9"/>
        <v>555.90678000000003</v>
      </c>
      <c r="I178" s="36"/>
      <c r="L178" s="79"/>
      <c r="M178" s="79"/>
      <c r="N178" s="36"/>
      <c r="T178" s="21"/>
    </row>
    <row r="179" spans="1:20" s="37" customFormat="1" ht="15.75" customHeight="1" x14ac:dyDescent="0.35">
      <c r="A179" s="77">
        <f t="shared" si="10"/>
        <v>3</v>
      </c>
      <c r="B179" s="78"/>
      <c r="C179" s="42" t="s">
        <v>327</v>
      </c>
      <c r="D179" s="42">
        <f>(45.75)*10.764</f>
        <v>492.45299999999997</v>
      </c>
      <c r="E179" s="42">
        <v>0</v>
      </c>
      <c r="F179" s="42">
        <f t="shared" si="8"/>
        <v>492.45299999999997</v>
      </c>
      <c r="G179" s="42">
        <f>((1/2*(2.1+2.3)*2.9)+(1/2*5*0.6))*10.764</f>
        <v>84.820319999999995</v>
      </c>
      <c r="H179" s="42">
        <f>F179*(($H$165)+1)+(IF(G179&lt;101,G179,IF(G179&lt;201,G179/2,IF(G179&lt;=301,G179/3,G179/4))))</f>
        <v>823.49982</v>
      </c>
      <c r="I179" s="36">
        <f>2.9*4.42+2.59*2.28+2.74*2.44+2.9*3.5+1.6*1.12+1.22*2.28+2.43*0.91+0.61*0.91</f>
        <v>42.898800000000001</v>
      </c>
      <c r="L179" s="79"/>
      <c r="M179" s="79"/>
      <c r="N179" s="36"/>
      <c r="T179" s="21"/>
    </row>
    <row r="180" spans="1:20" s="37" customFormat="1" ht="15.75" customHeight="1" x14ac:dyDescent="0.35">
      <c r="A180" s="77">
        <f t="shared" si="10"/>
        <v>4</v>
      </c>
      <c r="B180" s="78"/>
      <c r="C180" s="42" t="s">
        <v>327</v>
      </c>
      <c r="D180" s="42">
        <f>(49.3)*10.764</f>
        <v>530.66519999999991</v>
      </c>
      <c r="E180" s="42">
        <v>0</v>
      </c>
      <c r="F180" s="42">
        <f t="shared" si="8"/>
        <v>530.66519999999991</v>
      </c>
      <c r="G180" s="42">
        <f>((1/2*(3.2+3.6)*3.05)+(1/2*8.52*0.9)+0.75*3.05+2.5*1.37)*10.764</f>
        <v>214.38120600000002</v>
      </c>
      <c r="H180" s="42">
        <f>F180*(($H$165)+1)+(IF(G180&lt;101,G180,IF(G180&lt;201,G180/2,IF(G180&lt;=301,G180/3,G180/4))))</f>
        <v>867.45820199999991</v>
      </c>
      <c r="I180" s="36"/>
      <c r="L180" s="79"/>
      <c r="M180" s="79"/>
      <c r="N180" s="36"/>
      <c r="T180" s="21"/>
    </row>
    <row r="181" spans="1:20" s="37" customFormat="1" ht="15.75" customHeight="1" x14ac:dyDescent="0.35">
      <c r="A181" s="77">
        <f t="shared" si="10"/>
        <v>5</v>
      </c>
      <c r="B181" s="78"/>
      <c r="C181" s="42" t="s">
        <v>327</v>
      </c>
      <c r="D181" s="42">
        <f>(49.3)*10.764</f>
        <v>530.66519999999991</v>
      </c>
      <c r="E181" s="42">
        <v>0</v>
      </c>
      <c r="F181" s="42">
        <f t="shared" si="8"/>
        <v>530.66519999999991</v>
      </c>
      <c r="G181" s="42">
        <f>((1/2*(3.4+3.8)*3.05)+(1/2*(1.5+2.1)*5.32)+(1/2*(2.8+3.2)*3.2)+1.37*5.1)*10.764</f>
        <v>399.80725200000001</v>
      </c>
      <c r="H181" s="42">
        <f>F181*(($H$165)+1)+(IF(G181&lt;101,G181,IF(G181&lt;201,G181/2,IF(G181&lt;=301,G181/3,G181/4))))</f>
        <v>895.94961299999989</v>
      </c>
      <c r="I181" s="36"/>
      <c r="L181" s="79"/>
      <c r="M181" s="79"/>
      <c r="N181" s="36"/>
      <c r="T181" s="21"/>
    </row>
    <row r="182" spans="1:20" s="37" customFormat="1" ht="15.75" customHeight="1" x14ac:dyDescent="0.35">
      <c r="A182" s="77">
        <f t="shared" si="10"/>
        <v>6</v>
      </c>
      <c r="B182" s="78"/>
      <c r="C182" s="42" t="s">
        <v>327</v>
      </c>
      <c r="D182" s="42">
        <f>(45.75)*10.764</f>
        <v>492.45299999999997</v>
      </c>
      <c r="E182" s="42">
        <v>0</v>
      </c>
      <c r="F182" s="42">
        <f t="shared" si="8"/>
        <v>492.45299999999997</v>
      </c>
      <c r="G182" s="42">
        <f>((1/2*(5+5.4)*2.9)+(1/2*(3.5+3.9)*6.09)+3.5*8.1)*10.764</f>
        <v>710.02573199999983</v>
      </c>
      <c r="H182" s="42">
        <f>F182*(($H$165)+1)+(IF(G182&lt;101,G182,IF(G182&lt;201,G182/2,IF(G182&lt;=301,G182/3,G182/4))))</f>
        <v>916.18593299999998</v>
      </c>
      <c r="I182" s="36"/>
      <c r="L182" s="79"/>
      <c r="M182" s="79"/>
      <c r="N182" s="36"/>
      <c r="T182" s="21"/>
    </row>
    <row r="183" spans="1:20" s="37" customFormat="1" ht="15.75" customHeight="1" x14ac:dyDescent="0.35">
      <c r="A183" s="77">
        <f t="shared" si="10"/>
        <v>7</v>
      </c>
      <c r="B183" s="78"/>
      <c r="C183" s="42" t="s">
        <v>326</v>
      </c>
      <c r="D183" s="42">
        <f>(34.43)*10.764</f>
        <v>370.60451999999998</v>
      </c>
      <c r="E183" s="42">
        <v>0</v>
      </c>
      <c r="F183" s="42">
        <f t="shared" si="8"/>
        <v>370.60451999999998</v>
      </c>
      <c r="G183" s="42">
        <v>0</v>
      </c>
      <c r="H183" s="42">
        <f t="shared" si="9"/>
        <v>555.90678000000003</v>
      </c>
      <c r="I183" s="36"/>
      <c r="L183" s="79"/>
      <c r="M183" s="79"/>
      <c r="N183" s="36"/>
      <c r="T183" s="21"/>
    </row>
    <row r="184" spans="1:20" s="37" customFormat="1" ht="15.75" customHeight="1" x14ac:dyDescent="0.35">
      <c r="A184" s="77">
        <f t="shared" si="10"/>
        <v>8</v>
      </c>
      <c r="B184" s="78"/>
      <c r="C184" s="42" t="s">
        <v>326</v>
      </c>
      <c r="D184" s="42">
        <f>(34.34)*10.764</f>
        <v>369.63576</v>
      </c>
      <c r="E184" s="42">
        <v>0</v>
      </c>
      <c r="F184" s="42">
        <f t="shared" si="8"/>
        <v>369.63576</v>
      </c>
      <c r="G184" s="42">
        <v>0</v>
      </c>
      <c r="H184" s="42">
        <f t="shared" si="9"/>
        <v>554.45363999999995</v>
      </c>
      <c r="I184" s="36"/>
      <c r="L184" s="79"/>
      <c r="M184" s="79"/>
      <c r="N184" s="36"/>
      <c r="T184" s="21"/>
    </row>
    <row r="185" spans="1:20" s="37" customFormat="1" ht="15.75" customHeight="1" x14ac:dyDescent="0.35">
      <c r="A185" s="77" t="s">
        <v>325</v>
      </c>
      <c r="B185" s="78"/>
      <c r="C185" s="77" t="s">
        <v>323</v>
      </c>
      <c r="D185" s="82"/>
      <c r="E185" s="82"/>
      <c r="F185" s="82"/>
      <c r="G185" s="82"/>
      <c r="H185" s="78"/>
      <c r="I185" s="36"/>
      <c r="L185" s="79"/>
      <c r="M185" s="79"/>
      <c r="N185" s="36"/>
      <c r="T185" s="21"/>
    </row>
    <row r="186" spans="1:20" s="37" customFormat="1" ht="15.75" customHeight="1" x14ac:dyDescent="0.35">
      <c r="A186" s="77" t="s">
        <v>325</v>
      </c>
      <c r="B186" s="78"/>
      <c r="C186" s="77" t="s">
        <v>324</v>
      </c>
      <c r="D186" s="82"/>
      <c r="E186" s="82"/>
      <c r="F186" s="82"/>
      <c r="G186" s="82"/>
      <c r="H186" s="78"/>
      <c r="I186" s="36"/>
      <c r="L186" s="79"/>
      <c r="M186" s="79"/>
      <c r="N186" s="36"/>
      <c r="T186" s="21"/>
    </row>
    <row r="187" spans="1:20" s="37" customFormat="1" ht="15.75" customHeight="1" x14ac:dyDescent="0.35">
      <c r="A187" s="81" t="s">
        <v>328</v>
      </c>
      <c r="B187" s="81"/>
      <c r="C187" s="81"/>
      <c r="D187" s="81"/>
      <c r="E187" s="81"/>
      <c r="F187" s="81"/>
      <c r="G187" s="81"/>
      <c r="H187" s="81"/>
      <c r="I187" s="37">
        <f>6+4+4</f>
        <v>14</v>
      </c>
      <c r="J187" s="36"/>
    </row>
    <row r="188" spans="1:20" s="37" customFormat="1" ht="15.75" customHeight="1" x14ac:dyDescent="0.35">
      <c r="A188" s="80">
        <v>1</v>
      </c>
      <c r="B188" s="80"/>
      <c r="C188" s="76" t="s">
        <v>327</v>
      </c>
      <c r="D188" s="76">
        <f>(45.1)*10.764</f>
        <v>485.45639999999997</v>
      </c>
      <c r="E188" s="76">
        <v>0</v>
      </c>
      <c r="F188" s="76">
        <f>D188+E188</f>
        <v>485.45639999999997</v>
      </c>
      <c r="G188" s="76">
        <v>0</v>
      </c>
      <c r="H188" s="76">
        <f>F188*(($H$165)+1)+(IF(G188&lt;101,G188,IF(G188&lt;201,G188/2,IF(G188&lt;=301,G188/3,G188/4))))</f>
        <v>728.18459999999993</v>
      </c>
      <c r="I188" s="36"/>
      <c r="J188" s="37">
        <f>4300000/H188</f>
        <v>5905.0960429539437</v>
      </c>
      <c r="K188" s="37">
        <f>727/F188</f>
        <v>1.4975598220561106</v>
      </c>
      <c r="L188" s="79"/>
      <c r="M188" s="79"/>
      <c r="N188" s="36"/>
    </row>
    <row r="189" spans="1:20" s="37" customFormat="1" ht="15.75" customHeight="1" x14ac:dyDescent="0.35">
      <c r="A189" s="80">
        <f>A188+1</f>
        <v>2</v>
      </c>
      <c r="B189" s="80"/>
      <c r="C189" s="76" t="s">
        <v>326</v>
      </c>
      <c r="D189" s="76">
        <f>(29.67)*10.764</f>
        <v>319.36788000000001</v>
      </c>
      <c r="E189" s="76">
        <v>0</v>
      </c>
      <c r="F189" s="76">
        <f>D189+E189</f>
        <v>319.36788000000001</v>
      </c>
      <c r="G189" s="76">
        <v>0</v>
      </c>
      <c r="H189" s="76">
        <f>F189*(($H$165)+1)+(IF(G189&lt;101,G189,IF(G189&lt;201,G189/2,IF(G189&lt;=301,G189/3,G189/4))))</f>
        <v>479.05182000000002</v>
      </c>
      <c r="I189" s="36"/>
      <c r="J189" s="37">
        <f>3200000/H189</f>
        <v>6679.8618988651369</v>
      </c>
      <c r="K189" s="37">
        <f>480/F189</f>
        <v>1.5029689272446558</v>
      </c>
      <c r="L189" s="79"/>
      <c r="M189" s="79"/>
      <c r="N189" s="36"/>
    </row>
    <row r="190" spans="1:20" s="37" customFormat="1" ht="15.75" customHeight="1" x14ac:dyDescent="0.35">
      <c r="A190" s="80">
        <f>A189+1</f>
        <v>3</v>
      </c>
      <c r="B190" s="80"/>
      <c r="C190" s="76" t="s">
        <v>326</v>
      </c>
      <c r="D190" s="76">
        <f>(29.68)*10.764</f>
        <v>319.47551999999996</v>
      </c>
      <c r="E190" s="76">
        <v>0</v>
      </c>
      <c r="F190" s="76">
        <f>D190+E190</f>
        <v>319.47551999999996</v>
      </c>
      <c r="G190" s="76">
        <v>0</v>
      </c>
      <c r="H190" s="76">
        <f>F190*(($H$165)+1)+(IF(G190&lt;101,G190,IF(G190&lt;201,G190/2,IF(G190&lt;=301,G190/3,G190/4))))</f>
        <v>479.21327999999994</v>
      </c>
      <c r="I190" s="36"/>
      <c r="J190" s="37">
        <f t="shared" ref="J190:J206" si="11">3200000/H190</f>
        <v>6677.6112715407226</v>
      </c>
      <c r="L190" s="79"/>
      <c r="M190" s="79"/>
      <c r="N190" s="36"/>
    </row>
    <row r="191" spans="1:20" s="37" customFormat="1" ht="15.75" customHeight="1" x14ac:dyDescent="0.35">
      <c r="A191" s="80">
        <f>A190+1</f>
        <v>4</v>
      </c>
      <c r="B191" s="80"/>
      <c r="C191" s="76" t="s">
        <v>326</v>
      </c>
      <c r="D191" s="76">
        <f>(29.68)*10.764</f>
        <v>319.47551999999996</v>
      </c>
      <c r="E191" s="76">
        <v>0</v>
      </c>
      <c r="F191" s="76">
        <f>D191+E191</f>
        <v>319.47551999999996</v>
      </c>
      <c r="G191" s="76">
        <v>0</v>
      </c>
      <c r="H191" s="76">
        <f>F191*(($H$165)+1)+(IF(G191&lt;101,G191,IF(G191&lt;201,G191/2,IF(G191&lt;=301,G191/3,G191/4))))</f>
        <v>479.21327999999994</v>
      </c>
      <c r="I191" s="36"/>
      <c r="J191" s="37">
        <f t="shared" si="11"/>
        <v>6677.6112715407226</v>
      </c>
      <c r="L191" s="79"/>
      <c r="M191" s="79"/>
      <c r="N191" s="36"/>
      <c r="T191" s="21"/>
    </row>
    <row r="192" spans="1:20" s="37" customFormat="1" ht="15.75" customHeight="1" x14ac:dyDescent="0.35">
      <c r="A192" s="80">
        <f t="shared" ref="A192:A206" si="12">A191+1</f>
        <v>5</v>
      </c>
      <c r="B192" s="80"/>
      <c r="C192" s="76" t="s">
        <v>326</v>
      </c>
      <c r="D192" s="76">
        <f>(29.98)*10.764</f>
        <v>322.70472000000001</v>
      </c>
      <c r="E192" s="76">
        <v>0</v>
      </c>
      <c r="F192" s="76">
        <f t="shared" ref="F192:F206" si="13">D192+E192</f>
        <v>322.70472000000001</v>
      </c>
      <c r="G192" s="76">
        <v>0</v>
      </c>
      <c r="H192" s="76">
        <f t="shared" ref="H192:H206" si="14">F192*(($H$165)+1)+(IF(G192&lt;101,G192,IF(G192&lt;201,G192/2,IF(G192&lt;=301,G192/3,G192/4))))</f>
        <v>484.05708000000004</v>
      </c>
      <c r="I192" s="36"/>
      <c r="J192" s="37">
        <f t="shared" si="11"/>
        <v>6610.7906117187658</v>
      </c>
      <c r="K192" s="37">
        <f>484/F192</f>
        <v>1.4998231200336951</v>
      </c>
      <c r="L192" s="79"/>
      <c r="M192" s="79"/>
      <c r="N192" s="36"/>
      <c r="T192" s="21"/>
    </row>
    <row r="193" spans="1:20" s="37" customFormat="1" ht="15.75" customHeight="1" x14ac:dyDescent="0.35">
      <c r="A193" s="80">
        <f t="shared" si="12"/>
        <v>6</v>
      </c>
      <c r="B193" s="80"/>
      <c r="C193" s="76" t="s">
        <v>327</v>
      </c>
      <c r="D193" s="76">
        <f>(45.77)*10.764</f>
        <v>492.66827999999998</v>
      </c>
      <c r="E193" s="76">
        <v>0</v>
      </c>
      <c r="F193" s="76">
        <f t="shared" si="13"/>
        <v>492.66827999999998</v>
      </c>
      <c r="G193" s="76">
        <v>0</v>
      </c>
      <c r="H193" s="76">
        <f t="shared" si="14"/>
        <v>739.00242000000003</v>
      </c>
      <c r="I193" s="36"/>
      <c r="J193" s="37">
        <f>4300000/H193</f>
        <v>5818.6548293035357</v>
      </c>
      <c r="K193" s="37">
        <f>739/F193</f>
        <v>1.4999950879727837</v>
      </c>
      <c r="L193" s="79"/>
      <c r="M193" s="79"/>
      <c r="N193" s="36"/>
      <c r="T193" s="21"/>
    </row>
    <row r="194" spans="1:20" s="37" customFormat="1" ht="15.75" customHeight="1" x14ac:dyDescent="0.35">
      <c r="A194" s="80">
        <f t="shared" si="12"/>
        <v>7</v>
      </c>
      <c r="B194" s="80"/>
      <c r="C194" s="76" t="s">
        <v>326</v>
      </c>
      <c r="D194" s="76">
        <f>(35.87)*10.764</f>
        <v>386.10467999999997</v>
      </c>
      <c r="E194" s="76">
        <v>0</v>
      </c>
      <c r="F194" s="76">
        <f t="shared" si="13"/>
        <v>386.10467999999997</v>
      </c>
      <c r="G194" s="76">
        <v>0</v>
      </c>
      <c r="H194" s="76">
        <f t="shared" si="14"/>
        <v>579.15701999999999</v>
      </c>
      <c r="I194" s="36"/>
      <c r="J194" s="37">
        <f t="shared" si="11"/>
        <v>5525.2718856796382</v>
      </c>
      <c r="L194" s="79"/>
      <c r="M194" s="79"/>
      <c r="N194" s="36"/>
      <c r="T194" s="21"/>
    </row>
    <row r="195" spans="1:20" s="37" customFormat="1" ht="15.75" customHeight="1" x14ac:dyDescent="0.35">
      <c r="A195" s="80">
        <f t="shared" si="12"/>
        <v>8</v>
      </c>
      <c r="B195" s="80"/>
      <c r="C195" s="76" t="s">
        <v>326</v>
      </c>
      <c r="D195" s="76">
        <f>(35.02)*10.764</f>
        <v>376.95528000000002</v>
      </c>
      <c r="E195" s="76">
        <v>0</v>
      </c>
      <c r="F195" s="76">
        <f t="shared" si="13"/>
        <v>376.95528000000002</v>
      </c>
      <c r="G195" s="76">
        <v>0</v>
      </c>
      <c r="H195" s="76">
        <f t="shared" si="14"/>
        <v>565.43291999999997</v>
      </c>
      <c r="I195" s="36"/>
      <c r="J195" s="37">
        <f t="shared" si="11"/>
        <v>5659.3804265941926</v>
      </c>
      <c r="K195" s="37">
        <f>565/F195</f>
        <v>1.4988515348558056</v>
      </c>
      <c r="L195" s="79"/>
      <c r="M195" s="79"/>
      <c r="N195" s="36"/>
      <c r="T195" s="21"/>
    </row>
    <row r="196" spans="1:20" s="37" customFormat="1" ht="15.75" customHeight="1" x14ac:dyDescent="0.35">
      <c r="A196" s="80">
        <f t="shared" si="12"/>
        <v>9</v>
      </c>
      <c r="B196" s="80"/>
      <c r="C196" s="76" t="s">
        <v>326</v>
      </c>
      <c r="D196" s="76">
        <f>(35.03)*10.764</f>
        <v>377.06291999999996</v>
      </c>
      <c r="E196" s="76">
        <v>0</v>
      </c>
      <c r="F196" s="76">
        <f t="shared" si="13"/>
        <v>377.06291999999996</v>
      </c>
      <c r="G196" s="76">
        <v>0</v>
      </c>
      <c r="H196" s="76">
        <f t="shared" si="14"/>
        <v>565.59438</v>
      </c>
      <c r="I196" s="36"/>
      <c r="J196" s="37">
        <f t="shared" si="11"/>
        <v>5657.7648455417821</v>
      </c>
      <c r="L196" s="79"/>
      <c r="M196" s="79"/>
      <c r="N196" s="36"/>
      <c r="T196" s="21"/>
    </row>
    <row r="197" spans="1:20" s="37" customFormat="1" ht="15.75" customHeight="1" x14ac:dyDescent="0.35">
      <c r="A197" s="80">
        <f t="shared" si="12"/>
        <v>10</v>
      </c>
      <c r="B197" s="80"/>
      <c r="C197" s="76" t="s">
        <v>326</v>
      </c>
      <c r="D197" s="76">
        <f>(29.81)*10.764</f>
        <v>320.87483999999995</v>
      </c>
      <c r="E197" s="76">
        <v>0</v>
      </c>
      <c r="F197" s="76">
        <f t="shared" si="13"/>
        <v>320.87483999999995</v>
      </c>
      <c r="G197" s="76">
        <v>0</v>
      </c>
      <c r="H197" s="76">
        <f t="shared" si="14"/>
        <v>481.31225999999992</v>
      </c>
      <c r="I197" s="36"/>
      <c r="J197" s="37">
        <f t="shared" si="11"/>
        <v>6648.4905246336348</v>
      </c>
      <c r="L197" s="79"/>
      <c r="M197" s="79"/>
      <c r="N197" s="36"/>
      <c r="T197" s="21"/>
    </row>
    <row r="198" spans="1:20" s="37" customFormat="1" ht="15.75" customHeight="1" x14ac:dyDescent="0.35">
      <c r="A198" s="80">
        <f t="shared" si="12"/>
        <v>11</v>
      </c>
      <c r="B198" s="80"/>
      <c r="C198" s="76" t="s">
        <v>326</v>
      </c>
      <c r="D198" s="76">
        <f>(29.96)*10.764</f>
        <v>322.48944</v>
      </c>
      <c r="E198" s="76">
        <v>0</v>
      </c>
      <c r="F198" s="76">
        <f t="shared" si="13"/>
        <v>322.48944</v>
      </c>
      <c r="G198" s="76">
        <v>0</v>
      </c>
      <c r="H198" s="76">
        <f t="shared" si="14"/>
        <v>483.73415999999997</v>
      </c>
      <c r="I198" s="36"/>
      <c r="J198" s="37">
        <f t="shared" si="11"/>
        <v>6615.2036895637066</v>
      </c>
      <c r="L198" s="79"/>
      <c r="M198" s="79"/>
      <c r="N198" s="36"/>
      <c r="T198" s="21"/>
    </row>
    <row r="199" spans="1:20" s="37" customFormat="1" ht="15.75" customHeight="1" x14ac:dyDescent="0.35">
      <c r="A199" s="80">
        <f t="shared" si="12"/>
        <v>12</v>
      </c>
      <c r="B199" s="80"/>
      <c r="C199" s="76" t="s">
        <v>327</v>
      </c>
      <c r="D199" s="76">
        <f>(45.75)*10.764</f>
        <v>492.45299999999997</v>
      </c>
      <c r="E199" s="76">
        <v>0</v>
      </c>
      <c r="F199" s="76">
        <f t="shared" si="13"/>
        <v>492.45299999999997</v>
      </c>
      <c r="G199" s="76">
        <v>0</v>
      </c>
      <c r="H199" s="76">
        <f t="shared" si="14"/>
        <v>738.67949999999996</v>
      </c>
      <c r="I199" s="36"/>
      <c r="J199" s="37">
        <f>4300000/H199</f>
        <v>5821.1985035458547</v>
      </c>
      <c r="L199" s="79"/>
      <c r="M199" s="79"/>
      <c r="N199" s="36"/>
      <c r="T199" s="21"/>
    </row>
    <row r="200" spans="1:20" s="37" customFormat="1" ht="15.75" customHeight="1" x14ac:dyDescent="0.35">
      <c r="A200" s="80">
        <f t="shared" si="12"/>
        <v>13</v>
      </c>
      <c r="B200" s="80"/>
      <c r="C200" s="76" t="s">
        <v>327</v>
      </c>
      <c r="D200" s="76">
        <f>(49.3)*10.764</f>
        <v>530.66519999999991</v>
      </c>
      <c r="E200" s="76">
        <v>0</v>
      </c>
      <c r="F200" s="76">
        <f t="shared" si="13"/>
        <v>530.66519999999991</v>
      </c>
      <c r="G200" s="76">
        <v>0</v>
      </c>
      <c r="H200" s="76">
        <f t="shared" si="14"/>
        <v>795.99779999999987</v>
      </c>
      <c r="I200" s="36"/>
      <c r="J200" s="37">
        <f t="shared" ref="J200:J201" si="15">4300000/H200</f>
        <v>5402.024980471052</v>
      </c>
      <c r="K200" s="37">
        <f>795/F200</f>
        <v>1.4981197184213326</v>
      </c>
      <c r="L200" s="79"/>
      <c r="M200" s="79"/>
      <c r="N200" s="36"/>
      <c r="T200" s="21"/>
    </row>
    <row r="201" spans="1:20" s="37" customFormat="1" ht="15.75" customHeight="1" x14ac:dyDescent="0.35">
      <c r="A201" s="80">
        <f t="shared" si="12"/>
        <v>14</v>
      </c>
      <c r="B201" s="80"/>
      <c r="C201" s="76" t="s">
        <v>327</v>
      </c>
      <c r="D201" s="76">
        <f>(49.3)*10.764</f>
        <v>530.66519999999991</v>
      </c>
      <c r="E201" s="76">
        <v>0</v>
      </c>
      <c r="F201" s="76">
        <f t="shared" si="13"/>
        <v>530.66519999999991</v>
      </c>
      <c r="G201" s="76">
        <v>0</v>
      </c>
      <c r="H201" s="76">
        <f t="shared" si="14"/>
        <v>795.99779999999987</v>
      </c>
      <c r="I201" s="36"/>
      <c r="J201" s="37">
        <f t="shared" si="15"/>
        <v>5402.024980471052</v>
      </c>
      <c r="L201" s="79"/>
      <c r="M201" s="79"/>
      <c r="N201" s="36"/>
      <c r="T201" s="21"/>
    </row>
    <row r="202" spans="1:20" s="37" customFormat="1" ht="15.75" customHeight="1" x14ac:dyDescent="0.35">
      <c r="A202" s="77">
        <f t="shared" si="12"/>
        <v>15</v>
      </c>
      <c r="B202" s="78"/>
      <c r="C202" s="42" t="s">
        <v>327</v>
      </c>
      <c r="D202" s="42">
        <f>(45.75)*10.764</f>
        <v>492.45299999999997</v>
      </c>
      <c r="E202" s="42">
        <v>0</v>
      </c>
      <c r="F202" s="42">
        <f t="shared" si="13"/>
        <v>492.45299999999997</v>
      </c>
      <c r="G202" s="42">
        <v>0</v>
      </c>
      <c r="H202" s="42">
        <f t="shared" si="14"/>
        <v>738.67949999999996</v>
      </c>
      <c r="I202" s="36"/>
      <c r="J202" s="37">
        <f t="shared" si="11"/>
        <v>4332.0547003131942</v>
      </c>
      <c r="L202" s="79"/>
      <c r="M202" s="79"/>
      <c r="N202" s="36"/>
      <c r="T202" s="21"/>
    </row>
    <row r="203" spans="1:20" s="37" customFormat="1" ht="15.75" customHeight="1" x14ac:dyDescent="0.35">
      <c r="A203" s="77">
        <f t="shared" si="12"/>
        <v>16</v>
      </c>
      <c r="B203" s="78"/>
      <c r="C203" s="42" t="s">
        <v>326</v>
      </c>
      <c r="D203" s="42">
        <f>(29.96)*10.764</f>
        <v>322.48944</v>
      </c>
      <c r="E203" s="42">
        <v>0</v>
      </c>
      <c r="F203" s="42">
        <f t="shared" si="13"/>
        <v>322.48944</v>
      </c>
      <c r="G203" s="42">
        <v>0</v>
      </c>
      <c r="H203" s="42">
        <f t="shared" si="14"/>
        <v>483.73415999999997</v>
      </c>
      <c r="I203" s="36"/>
      <c r="J203" s="37">
        <f t="shared" si="11"/>
        <v>6615.2036895637066</v>
      </c>
      <c r="L203" s="79"/>
      <c r="M203" s="79"/>
      <c r="N203" s="36"/>
      <c r="T203" s="21"/>
    </row>
    <row r="204" spans="1:20" s="37" customFormat="1" ht="15.75" customHeight="1" x14ac:dyDescent="0.35">
      <c r="A204" s="77">
        <f t="shared" si="12"/>
        <v>17</v>
      </c>
      <c r="B204" s="78"/>
      <c r="C204" s="42" t="s">
        <v>326</v>
      </c>
      <c r="D204" s="42">
        <f>(29.81)*10.764</f>
        <v>320.87483999999995</v>
      </c>
      <c r="E204" s="42">
        <v>0</v>
      </c>
      <c r="F204" s="42">
        <f t="shared" si="13"/>
        <v>320.87483999999995</v>
      </c>
      <c r="G204" s="42">
        <v>0</v>
      </c>
      <c r="H204" s="42">
        <f t="shared" si="14"/>
        <v>481.31225999999992</v>
      </c>
      <c r="I204" s="36"/>
      <c r="J204" s="37">
        <f t="shared" si="11"/>
        <v>6648.4905246336348</v>
      </c>
      <c r="L204" s="79"/>
      <c r="M204" s="79"/>
      <c r="N204" s="36"/>
      <c r="T204" s="21"/>
    </row>
    <row r="205" spans="1:20" s="37" customFormat="1" ht="15.75" customHeight="1" x14ac:dyDescent="0.35">
      <c r="A205" s="77">
        <f t="shared" si="12"/>
        <v>18</v>
      </c>
      <c r="B205" s="78"/>
      <c r="C205" s="42" t="s">
        <v>326</v>
      </c>
      <c r="D205" s="42">
        <f>(35.03)*10.764</f>
        <v>377.06291999999996</v>
      </c>
      <c r="E205" s="42">
        <v>0</v>
      </c>
      <c r="F205" s="42">
        <f t="shared" si="13"/>
        <v>377.06291999999996</v>
      </c>
      <c r="G205" s="42">
        <v>0</v>
      </c>
      <c r="H205" s="42">
        <f t="shared" si="14"/>
        <v>565.59438</v>
      </c>
      <c r="I205" s="36"/>
      <c r="J205" s="37">
        <f t="shared" si="11"/>
        <v>5657.7648455417821</v>
      </c>
      <c r="L205" s="79"/>
      <c r="M205" s="79"/>
      <c r="N205" s="36"/>
      <c r="T205" s="21"/>
    </row>
    <row r="206" spans="1:20" s="37" customFormat="1" ht="15.75" customHeight="1" x14ac:dyDescent="0.35">
      <c r="A206" s="77">
        <f t="shared" si="12"/>
        <v>19</v>
      </c>
      <c r="B206" s="78"/>
      <c r="C206" s="42" t="s">
        <v>326</v>
      </c>
      <c r="D206" s="42">
        <f>(35.02)*10.764</f>
        <v>376.95528000000002</v>
      </c>
      <c r="E206" s="42">
        <v>0</v>
      </c>
      <c r="F206" s="42">
        <f t="shared" si="13"/>
        <v>376.95528000000002</v>
      </c>
      <c r="G206" s="42">
        <v>0</v>
      </c>
      <c r="H206" s="42">
        <f t="shared" si="14"/>
        <v>565.43291999999997</v>
      </c>
      <c r="I206" s="36"/>
      <c r="J206" s="37">
        <f t="shared" si="11"/>
        <v>5659.3804265941926</v>
      </c>
      <c r="L206" s="79"/>
      <c r="M206" s="79"/>
      <c r="N206" s="36"/>
      <c r="T206" s="21"/>
    </row>
    <row r="207" spans="1:20" s="37" customFormat="1" ht="15.75" customHeight="1" x14ac:dyDescent="0.35">
      <c r="A207" s="81" t="s">
        <v>329</v>
      </c>
      <c r="B207" s="81"/>
      <c r="C207" s="81"/>
      <c r="D207" s="81"/>
      <c r="E207" s="81"/>
      <c r="F207" s="81"/>
      <c r="G207" s="81"/>
      <c r="H207" s="81"/>
      <c r="J207" s="36">
        <v>5500</v>
      </c>
    </row>
    <row r="208" spans="1:20" s="37" customFormat="1" ht="15.75" customHeight="1" x14ac:dyDescent="0.35">
      <c r="A208" s="80">
        <v>1</v>
      </c>
      <c r="B208" s="80"/>
      <c r="C208" s="42" t="s">
        <v>327</v>
      </c>
      <c r="D208" s="42">
        <f>(45.1)*10.764</f>
        <v>485.45639999999997</v>
      </c>
      <c r="E208" s="42">
        <v>0</v>
      </c>
      <c r="F208" s="42">
        <f>D208+E208</f>
        <v>485.45639999999997</v>
      </c>
      <c r="G208" s="42">
        <v>0</v>
      </c>
      <c r="H208" s="42">
        <f>F208*(($H$165)+1)+(IF(G208&lt;101,G208,IF(G208&lt;201,G208/2,IF(G208&lt;=301,G208/3,G208/4))))</f>
        <v>728.18459999999993</v>
      </c>
      <c r="I208" s="36"/>
      <c r="J208" s="37">
        <f>J$207*H208</f>
        <v>4005015.3</v>
      </c>
      <c r="L208" s="79"/>
      <c r="M208" s="79"/>
      <c r="N208" s="36"/>
    </row>
    <row r="209" spans="1:20" s="37" customFormat="1" ht="15.75" customHeight="1" x14ac:dyDescent="0.35">
      <c r="A209" s="80">
        <f>A208+1</f>
        <v>2</v>
      </c>
      <c r="B209" s="80"/>
      <c r="C209" s="42" t="s">
        <v>326</v>
      </c>
      <c r="D209" s="42">
        <f>(29.67)*10.764</f>
        <v>319.36788000000001</v>
      </c>
      <c r="E209" s="42">
        <v>0</v>
      </c>
      <c r="F209" s="42">
        <f>D209+E209</f>
        <v>319.36788000000001</v>
      </c>
      <c r="G209" s="42">
        <v>0</v>
      </c>
      <c r="H209" s="42">
        <f>F209*(($H$165)+1)+(IF(G209&lt;101,G209,IF(G209&lt;201,G209/2,IF(G209&lt;=301,G209/3,G209/4))))</f>
        <v>479.05182000000002</v>
      </c>
      <c r="I209" s="36"/>
      <c r="J209" s="37">
        <f t="shared" ref="J209:J220" si="16">J$207*H209</f>
        <v>2634785.0100000002</v>
      </c>
      <c r="L209" s="79"/>
      <c r="M209" s="79"/>
      <c r="N209" s="36"/>
    </row>
    <row r="210" spans="1:20" s="37" customFormat="1" ht="15.75" customHeight="1" x14ac:dyDescent="0.35">
      <c r="A210" s="80">
        <f>A209+1</f>
        <v>3</v>
      </c>
      <c r="B210" s="80"/>
      <c r="C210" s="42" t="s">
        <v>326</v>
      </c>
      <c r="D210" s="42">
        <f>(29.68)*10.764</f>
        <v>319.47551999999996</v>
      </c>
      <c r="E210" s="42">
        <v>0</v>
      </c>
      <c r="F210" s="42">
        <f>D210+E210</f>
        <v>319.47551999999996</v>
      </c>
      <c r="G210" s="42">
        <v>0</v>
      </c>
      <c r="H210" s="42">
        <f>F210*(($H$165)+1)+(IF(G210&lt;101,G210,IF(G210&lt;201,G210/2,IF(G210&lt;=301,G210/3,G210/4))))</f>
        <v>479.21327999999994</v>
      </c>
      <c r="I210" s="36"/>
      <c r="J210" s="37">
        <f t="shared" si="16"/>
        <v>2635673.0399999996</v>
      </c>
      <c r="L210" s="79"/>
      <c r="M210" s="79"/>
      <c r="N210" s="36"/>
    </row>
    <row r="211" spans="1:20" s="37" customFormat="1" ht="15.75" customHeight="1" x14ac:dyDescent="0.35">
      <c r="A211" s="77">
        <f>A210+1</f>
        <v>4</v>
      </c>
      <c r="B211" s="78"/>
      <c r="C211" s="42" t="s">
        <v>326</v>
      </c>
      <c r="D211" s="42">
        <f>(29.68)*10.764</f>
        <v>319.47551999999996</v>
      </c>
      <c r="E211" s="42">
        <v>0</v>
      </c>
      <c r="F211" s="42">
        <f>D211+E211</f>
        <v>319.47551999999996</v>
      </c>
      <c r="G211" s="42">
        <v>0</v>
      </c>
      <c r="H211" s="42">
        <f>F211*(($H$165)+1)+(IF(G211&lt;101,G211,IF(G211&lt;201,G211/2,IF(G211&lt;=301,G211/3,G211/4))))</f>
        <v>479.21327999999994</v>
      </c>
      <c r="I211" s="36"/>
      <c r="J211" s="37">
        <f t="shared" si="16"/>
        <v>2635673.0399999996</v>
      </c>
      <c r="L211" s="79"/>
      <c r="M211" s="79"/>
      <c r="N211" s="36"/>
      <c r="T211" s="21"/>
    </row>
    <row r="212" spans="1:20" s="37" customFormat="1" ht="15.75" customHeight="1" x14ac:dyDescent="0.35">
      <c r="A212" s="77">
        <f t="shared" ref="A212:A226" si="17">A211+1</f>
        <v>5</v>
      </c>
      <c r="B212" s="78"/>
      <c r="C212" s="42" t="s">
        <v>326</v>
      </c>
      <c r="D212" s="42">
        <f>(29.98)*10.764</f>
        <v>322.70472000000001</v>
      </c>
      <c r="E212" s="42">
        <v>0</v>
      </c>
      <c r="F212" s="42">
        <f t="shared" ref="F212:F226" si="18">D212+E212</f>
        <v>322.70472000000001</v>
      </c>
      <c r="G212" s="42">
        <v>0</v>
      </c>
      <c r="H212" s="42">
        <f t="shared" ref="H212:H226" si="19">F212*(($H$165)+1)+(IF(G212&lt;101,G212,IF(G212&lt;201,G212/2,IF(G212&lt;=301,G212/3,G212/4))))</f>
        <v>484.05708000000004</v>
      </c>
      <c r="I212" s="36"/>
      <c r="J212" s="37">
        <f t="shared" si="16"/>
        <v>2662313.9400000004</v>
      </c>
      <c r="L212" s="79"/>
      <c r="M212" s="79"/>
      <c r="N212" s="36"/>
      <c r="T212" s="21"/>
    </row>
    <row r="213" spans="1:20" s="37" customFormat="1" ht="15.75" customHeight="1" x14ac:dyDescent="0.35">
      <c r="A213" s="77">
        <f t="shared" si="17"/>
        <v>6</v>
      </c>
      <c r="B213" s="78"/>
      <c r="C213" s="42" t="s">
        <v>327</v>
      </c>
      <c r="D213" s="42">
        <f>(45.77)*10.764</f>
        <v>492.66827999999998</v>
      </c>
      <c r="E213" s="42">
        <v>0</v>
      </c>
      <c r="F213" s="42">
        <f t="shared" si="18"/>
        <v>492.66827999999998</v>
      </c>
      <c r="G213" s="42">
        <v>0</v>
      </c>
      <c r="H213" s="42">
        <f t="shared" si="19"/>
        <v>739.00242000000003</v>
      </c>
      <c r="I213" s="36"/>
      <c r="J213" s="37">
        <f t="shared" si="16"/>
        <v>4064513.31</v>
      </c>
      <c r="L213" s="79"/>
      <c r="M213" s="79"/>
      <c r="N213" s="36"/>
      <c r="T213" s="21"/>
    </row>
    <row r="214" spans="1:20" s="37" customFormat="1" ht="15.75" customHeight="1" x14ac:dyDescent="0.35">
      <c r="A214" s="77">
        <f t="shared" si="17"/>
        <v>7</v>
      </c>
      <c r="B214" s="78"/>
      <c r="C214" s="42" t="s">
        <v>326</v>
      </c>
      <c r="D214" s="42">
        <f>(35.87)*10.764</f>
        <v>386.10467999999997</v>
      </c>
      <c r="E214" s="42">
        <v>0</v>
      </c>
      <c r="F214" s="42">
        <f t="shared" si="18"/>
        <v>386.10467999999997</v>
      </c>
      <c r="G214" s="42">
        <v>0</v>
      </c>
      <c r="H214" s="42">
        <f t="shared" si="19"/>
        <v>579.15701999999999</v>
      </c>
      <c r="I214" s="36"/>
      <c r="J214" s="37">
        <f t="shared" si="16"/>
        <v>3185363.61</v>
      </c>
      <c r="L214" s="79"/>
      <c r="M214" s="79"/>
      <c r="N214" s="36"/>
      <c r="T214" s="21"/>
    </row>
    <row r="215" spans="1:20" s="37" customFormat="1" ht="15.75" customHeight="1" x14ac:dyDescent="0.35">
      <c r="A215" s="77">
        <f t="shared" si="17"/>
        <v>8</v>
      </c>
      <c r="B215" s="78"/>
      <c r="C215" s="42" t="s">
        <v>326</v>
      </c>
      <c r="D215" s="42">
        <f>(35.02)*10.764</f>
        <v>376.95528000000002</v>
      </c>
      <c r="E215" s="42">
        <v>0</v>
      </c>
      <c r="F215" s="42">
        <f t="shared" si="18"/>
        <v>376.95528000000002</v>
      </c>
      <c r="G215" s="42">
        <v>0</v>
      </c>
      <c r="H215" s="42">
        <f t="shared" si="19"/>
        <v>565.43291999999997</v>
      </c>
      <c r="I215" s="36"/>
      <c r="J215" s="37">
        <f t="shared" si="16"/>
        <v>3109881.0599999996</v>
      </c>
      <c r="L215" s="79"/>
      <c r="M215" s="79"/>
      <c r="N215" s="36"/>
      <c r="T215" s="21"/>
    </row>
    <row r="216" spans="1:20" s="37" customFormat="1" ht="15.75" customHeight="1" x14ac:dyDescent="0.35">
      <c r="A216" s="77">
        <f t="shared" si="17"/>
        <v>9</v>
      </c>
      <c r="B216" s="78"/>
      <c r="C216" s="42" t="s">
        <v>326</v>
      </c>
      <c r="D216" s="42">
        <f>(35.03)*10.764</f>
        <v>377.06291999999996</v>
      </c>
      <c r="E216" s="42">
        <v>0</v>
      </c>
      <c r="F216" s="42">
        <f t="shared" si="18"/>
        <v>377.06291999999996</v>
      </c>
      <c r="G216" s="42">
        <v>0</v>
      </c>
      <c r="H216" s="42">
        <f t="shared" si="19"/>
        <v>565.59438</v>
      </c>
      <c r="I216" s="36"/>
      <c r="J216" s="37">
        <f t="shared" si="16"/>
        <v>3110769.09</v>
      </c>
      <c r="L216" s="79"/>
      <c r="M216" s="79"/>
      <c r="N216" s="36"/>
      <c r="T216" s="21"/>
    </row>
    <row r="217" spans="1:20" s="37" customFormat="1" ht="15.75" customHeight="1" x14ac:dyDescent="0.35">
      <c r="A217" s="77">
        <f t="shared" si="17"/>
        <v>10</v>
      </c>
      <c r="B217" s="78"/>
      <c r="C217" s="42" t="s">
        <v>326</v>
      </c>
      <c r="D217" s="42">
        <f>(29.81)*10.764</f>
        <v>320.87483999999995</v>
      </c>
      <c r="E217" s="42">
        <v>0</v>
      </c>
      <c r="F217" s="42">
        <f t="shared" si="18"/>
        <v>320.87483999999995</v>
      </c>
      <c r="G217" s="42">
        <v>0</v>
      </c>
      <c r="H217" s="42">
        <f t="shared" si="19"/>
        <v>481.31225999999992</v>
      </c>
      <c r="I217" s="36"/>
      <c r="J217" s="37">
        <f t="shared" si="16"/>
        <v>2647217.4299999997</v>
      </c>
      <c r="L217" s="79"/>
      <c r="M217" s="79"/>
      <c r="N217" s="36"/>
      <c r="T217" s="21"/>
    </row>
    <row r="218" spans="1:20" s="37" customFormat="1" ht="15.75" customHeight="1" x14ac:dyDescent="0.35">
      <c r="A218" s="77">
        <f t="shared" si="17"/>
        <v>11</v>
      </c>
      <c r="B218" s="78"/>
      <c r="C218" s="42" t="s">
        <v>326</v>
      </c>
      <c r="D218" s="42">
        <f>(29.96)*10.764</f>
        <v>322.48944</v>
      </c>
      <c r="E218" s="42">
        <v>0</v>
      </c>
      <c r="F218" s="42">
        <f t="shared" si="18"/>
        <v>322.48944</v>
      </c>
      <c r="G218" s="42">
        <v>0</v>
      </c>
      <c r="H218" s="42">
        <f t="shared" si="19"/>
        <v>483.73415999999997</v>
      </c>
      <c r="I218" s="36"/>
      <c r="J218" s="37">
        <f t="shared" si="16"/>
        <v>2660537.88</v>
      </c>
      <c r="L218" s="79"/>
      <c r="M218" s="79"/>
      <c r="N218" s="36"/>
      <c r="T218" s="21"/>
    </row>
    <row r="219" spans="1:20" s="37" customFormat="1" ht="15.75" customHeight="1" x14ac:dyDescent="0.35">
      <c r="A219" s="77">
        <f t="shared" si="17"/>
        <v>12</v>
      </c>
      <c r="B219" s="78"/>
      <c r="C219" s="42" t="s">
        <v>327</v>
      </c>
      <c r="D219" s="42">
        <f>(45.75)*10.764</f>
        <v>492.45299999999997</v>
      </c>
      <c r="E219" s="42">
        <v>0</v>
      </c>
      <c r="F219" s="42">
        <f t="shared" si="18"/>
        <v>492.45299999999997</v>
      </c>
      <c r="G219" s="42">
        <v>0</v>
      </c>
      <c r="H219" s="42">
        <f t="shared" si="19"/>
        <v>738.67949999999996</v>
      </c>
      <c r="I219" s="36"/>
      <c r="J219" s="37">
        <f t="shared" si="16"/>
        <v>4062737.25</v>
      </c>
      <c r="L219" s="79"/>
      <c r="M219" s="79"/>
      <c r="N219" s="36"/>
      <c r="T219" s="21"/>
    </row>
    <row r="220" spans="1:20" s="37" customFormat="1" ht="15.75" customHeight="1" x14ac:dyDescent="0.35">
      <c r="A220" s="77">
        <f t="shared" si="17"/>
        <v>13</v>
      </c>
      <c r="B220" s="78"/>
      <c r="C220" s="42" t="s">
        <v>327</v>
      </c>
      <c r="D220" s="42">
        <f>(49.3)*10.764</f>
        <v>530.66519999999991</v>
      </c>
      <c r="E220" s="42">
        <v>0</v>
      </c>
      <c r="F220" s="42">
        <f t="shared" si="18"/>
        <v>530.66519999999991</v>
      </c>
      <c r="G220" s="42">
        <v>0</v>
      </c>
      <c r="H220" s="42">
        <f t="shared" si="19"/>
        <v>795.99779999999987</v>
      </c>
      <c r="I220" s="36"/>
      <c r="J220" s="37">
        <f t="shared" si="16"/>
        <v>4377987.8999999994</v>
      </c>
      <c r="L220" s="79"/>
      <c r="M220" s="79"/>
      <c r="N220" s="36"/>
      <c r="T220" s="21"/>
    </row>
    <row r="221" spans="1:20" s="37" customFormat="1" ht="15.75" customHeight="1" x14ac:dyDescent="0.35">
      <c r="A221" s="77">
        <f t="shared" si="17"/>
        <v>14</v>
      </c>
      <c r="B221" s="78"/>
      <c r="C221" s="42" t="s">
        <v>327</v>
      </c>
      <c r="D221" s="42">
        <f>(49.3)*10.764</f>
        <v>530.66519999999991</v>
      </c>
      <c r="E221" s="42">
        <v>0</v>
      </c>
      <c r="F221" s="42">
        <f t="shared" si="18"/>
        <v>530.66519999999991</v>
      </c>
      <c r="G221" s="42">
        <v>0</v>
      </c>
      <c r="H221" s="42">
        <f t="shared" si="19"/>
        <v>795.99779999999987</v>
      </c>
      <c r="I221" s="36"/>
      <c r="L221" s="79"/>
      <c r="M221" s="79"/>
      <c r="N221" s="36"/>
      <c r="T221" s="21"/>
    </row>
    <row r="222" spans="1:20" s="37" customFormat="1" ht="15.75" customHeight="1" x14ac:dyDescent="0.35">
      <c r="A222" s="77">
        <f t="shared" si="17"/>
        <v>15</v>
      </c>
      <c r="B222" s="78"/>
      <c r="C222" s="77" t="s">
        <v>330</v>
      </c>
      <c r="D222" s="82"/>
      <c r="E222" s="82"/>
      <c r="F222" s="82"/>
      <c r="G222" s="82"/>
      <c r="H222" s="78"/>
      <c r="I222" s="36"/>
      <c r="L222" s="79"/>
      <c r="M222" s="79"/>
      <c r="N222" s="36"/>
      <c r="T222" s="21"/>
    </row>
    <row r="223" spans="1:20" s="37" customFormat="1" ht="15.75" customHeight="1" x14ac:dyDescent="0.35">
      <c r="A223" s="77">
        <f t="shared" si="17"/>
        <v>16</v>
      </c>
      <c r="B223" s="78"/>
      <c r="C223" s="42" t="s">
        <v>326</v>
      </c>
      <c r="D223" s="42">
        <f>(29.96)*10.764</f>
        <v>322.48944</v>
      </c>
      <c r="E223" s="42">
        <v>0</v>
      </c>
      <c r="F223" s="42">
        <f t="shared" si="18"/>
        <v>322.48944</v>
      </c>
      <c r="G223" s="42">
        <v>0</v>
      </c>
      <c r="H223" s="42">
        <f t="shared" si="19"/>
        <v>483.73415999999997</v>
      </c>
      <c r="I223" s="36"/>
      <c r="L223" s="79"/>
      <c r="M223" s="79"/>
      <c r="N223" s="36"/>
      <c r="T223" s="21"/>
    </row>
    <row r="224" spans="1:20" s="37" customFormat="1" ht="15.75" customHeight="1" x14ac:dyDescent="0.35">
      <c r="A224" s="77">
        <f t="shared" si="17"/>
        <v>17</v>
      </c>
      <c r="B224" s="78"/>
      <c r="C224" s="42" t="s">
        <v>326</v>
      </c>
      <c r="D224" s="42">
        <f>(29.81)*10.764</f>
        <v>320.87483999999995</v>
      </c>
      <c r="E224" s="42">
        <v>0</v>
      </c>
      <c r="F224" s="42">
        <f t="shared" si="18"/>
        <v>320.87483999999995</v>
      </c>
      <c r="G224" s="42">
        <v>0</v>
      </c>
      <c r="H224" s="42">
        <f t="shared" si="19"/>
        <v>481.31225999999992</v>
      </c>
      <c r="I224" s="36"/>
      <c r="L224" s="79"/>
      <c r="M224" s="79"/>
      <c r="N224" s="36"/>
      <c r="T224" s="21"/>
    </row>
    <row r="225" spans="1:20" s="37" customFormat="1" ht="15.75" customHeight="1" x14ac:dyDescent="0.35">
      <c r="A225" s="77">
        <f t="shared" si="17"/>
        <v>18</v>
      </c>
      <c r="B225" s="78"/>
      <c r="C225" s="42" t="s">
        <v>326</v>
      </c>
      <c r="D225" s="42">
        <f>(35.03)*10.764</f>
        <v>377.06291999999996</v>
      </c>
      <c r="E225" s="42">
        <v>0</v>
      </c>
      <c r="F225" s="42">
        <f t="shared" si="18"/>
        <v>377.06291999999996</v>
      </c>
      <c r="G225" s="42">
        <v>0</v>
      </c>
      <c r="H225" s="42">
        <f t="shared" si="19"/>
        <v>565.59438</v>
      </c>
      <c r="I225" s="36"/>
      <c r="L225" s="79"/>
      <c r="M225" s="79"/>
      <c r="N225" s="36"/>
      <c r="T225" s="21"/>
    </row>
    <row r="226" spans="1:20" s="37" customFormat="1" ht="15.75" customHeight="1" x14ac:dyDescent="0.35">
      <c r="A226" s="77">
        <f t="shared" si="17"/>
        <v>19</v>
      </c>
      <c r="B226" s="78"/>
      <c r="C226" s="42" t="s">
        <v>326</v>
      </c>
      <c r="D226" s="42">
        <f>(35.02)*10.764</f>
        <v>376.95528000000002</v>
      </c>
      <c r="E226" s="42">
        <v>0</v>
      </c>
      <c r="F226" s="42">
        <f t="shared" si="18"/>
        <v>376.95528000000002</v>
      </c>
      <c r="G226" s="42">
        <v>0</v>
      </c>
      <c r="H226" s="42">
        <f t="shared" si="19"/>
        <v>565.43291999999997</v>
      </c>
      <c r="I226" s="36"/>
      <c r="L226" s="79"/>
      <c r="M226" s="79"/>
      <c r="N226" s="36"/>
      <c r="T226" s="21"/>
    </row>
    <row r="227" spans="1:20" s="37" customFormat="1" ht="15.75" customHeight="1" x14ac:dyDescent="0.35">
      <c r="A227" s="81" t="s">
        <v>341</v>
      </c>
      <c r="B227" s="81"/>
      <c r="C227" s="81"/>
      <c r="D227" s="81"/>
      <c r="E227" s="81"/>
      <c r="F227" s="81"/>
      <c r="G227" s="81"/>
      <c r="H227" s="81"/>
      <c r="J227" s="36"/>
    </row>
    <row r="228" spans="1:20" s="37" customFormat="1" ht="15.75" customHeight="1" x14ac:dyDescent="0.35">
      <c r="A228" s="80">
        <v>1</v>
      </c>
      <c r="B228" s="80"/>
      <c r="C228" s="76" t="s">
        <v>327</v>
      </c>
      <c r="D228" s="76">
        <f>(45.1)*10.764</f>
        <v>485.45639999999997</v>
      </c>
      <c r="E228" s="76">
        <v>0</v>
      </c>
      <c r="F228" s="76">
        <f>D228+E228</f>
        <v>485.45639999999997</v>
      </c>
      <c r="G228" s="76">
        <v>0</v>
      </c>
      <c r="H228" s="76">
        <f>F228*(($H$165)+1)+(IF(G228&lt;101,G228,IF(G228&lt;201,G228/2,IF(G228&lt;=301,G228/3,G228/4))))</f>
        <v>728.18459999999993</v>
      </c>
      <c r="I228" s="36"/>
      <c r="L228" s="79"/>
      <c r="M228" s="79"/>
      <c r="N228" s="36"/>
    </row>
    <row r="229" spans="1:20" s="37" customFormat="1" ht="15.75" customHeight="1" x14ac:dyDescent="0.35">
      <c r="A229" s="80">
        <f>A228+1</f>
        <v>2</v>
      </c>
      <c r="B229" s="80"/>
      <c r="C229" s="76" t="s">
        <v>326</v>
      </c>
      <c r="D229" s="76">
        <f>(29.67)*10.764</f>
        <v>319.36788000000001</v>
      </c>
      <c r="E229" s="76">
        <v>0</v>
      </c>
      <c r="F229" s="76">
        <f>D229+E229</f>
        <v>319.36788000000001</v>
      </c>
      <c r="G229" s="76">
        <v>0</v>
      </c>
      <c r="H229" s="76">
        <f>F229*(($H$165)+1)+(IF(G229&lt;101,G229,IF(G229&lt;201,G229/2,IF(G229&lt;=301,G229/3,G229/4))))</f>
        <v>479.05182000000002</v>
      </c>
      <c r="I229" s="36"/>
      <c r="L229" s="79"/>
      <c r="M229" s="79"/>
      <c r="N229" s="36"/>
    </row>
    <row r="230" spans="1:20" s="37" customFormat="1" ht="15.75" customHeight="1" x14ac:dyDescent="0.35">
      <c r="A230" s="80">
        <f>A229+1</f>
        <v>3</v>
      </c>
      <c r="B230" s="80"/>
      <c r="C230" s="76" t="s">
        <v>326</v>
      </c>
      <c r="D230" s="76">
        <f>(29.68)*10.764</f>
        <v>319.47551999999996</v>
      </c>
      <c r="E230" s="76">
        <v>0</v>
      </c>
      <c r="F230" s="76">
        <f>D230+E230</f>
        <v>319.47551999999996</v>
      </c>
      <c r="G230" s="76">
        <v>0</v>
      </c>
      <c r="H230" s="76">
        <f>F230*(($H$165)+1)+(IF(G230&lt;101,G230,IF(G230&lt;201,G230/2,IF(G230&lt;=301,G230/3,G230/4))))</f>
        <v>479.21327999999994</v>
      </c>
      <c r="I230" s="36"/>
      <c r="L230" s="79"/>
      <c r="M230" s="79"/>
      <c r="N230" s="36"/>
    </row>
    <row r="231" spans="1:20" s="37" customFormat="1" ht="15.75" customHeight="1" x14ac:dyDescent="0.35">
      <c r="A231" s="80">
        <f>A230+1</f>
        <v>4</v>
      </c>
      <c r="B231" s="80"/>
      <c r="C231" s="76" t="s">
        <v>326</v>
      </c>
      <c r="D231" s="76">
        <f>(29.68)*10.764</f>
        <v>319.47551999999996</v>
      </c>
      <c r="E231" s="76">
        <v>0</v>
      </c>
      <c r="F231" s="76">
        <f>D231+E231</f>
        <v>319.47551999999996</v>
      </c>
      <c r="G231" s="76">
        <v>0</v>
      </c>
      <c r="H231" s="76">
        <f>F231*(($H$165)+1)+(IF(G231&lt;101,G231,IF(G231&lt;201,G231/2,IF(G231&lt;=301,G231/3,G231/4))))</f>
        <v>479.21327999999994</v>
      </c>
      <c r="I231" s="36"/>
      <c r="L231" s="79"/>
      <c r="M231" s="79"/>
      <c r="N231" s="36"/>
      <c r="T231" s="21"/>
    </row>
    <row r="232" spans="1:20" s="37" customFormat="1" ht="15.75" customHeight="1" x14ac:dyDescent="0.35">
      <c r="A232" s="80">
        <f t="shared" ref="A232:A246" si="20">A231+1</f>
        <v>5</v>
      </c>
      <c r="B232" s="80"/>
      <c r="C232" s="76" t="s">
        <v>326</v>
      </c>
      <c r="D232" s="76">
        <f>(29.98)*10.764</f>
        <v>322.70472000000001</v>
      </c>
      <c r="E232" s="76">
        <v>0</v>
      </c>
      <c r="F232" s="76">
        <f t="shared" ref="F232:F246" si="21">D232+E232</f>
        <v>322.70472000000001</v>
      </c>
      <c r="G232" s="76">
        <v>0</v>
      </c>
      <c r="H232" s="76">
        <f t="shared" ref="H232:H246" si="22">F232*(($H$165)+1)+(IF(G232&lt;101,G232,IF(G232&lt;201,G232/2,IF(G232&lt;=301,G232/3,G232/4))))</f>
        <v>484.05708000000004</v>
      </c>
      <c r="I232" s="36"/>
      <c r="L232" s="79"/>
      <c r="M232" s="79"/>
      <c r="N232" s="36"/>
      <c r="T232" s="21"/>
    </row>
    <row r="233" spans="1:20" s="37" customFormat="1" ht="15.75" customHeight="1" x14ac:dyDescent="0.35">
      <c r="A233" s="80">
        <f t="shared" si="20"/>
        <v>6</v>
      </c>
      <c r="B233" s="80"/>
      <c r="C233" s="76" t="s">
        <v>327</v>
      </c>
      <c r="D233" s="76">
        <f>(45.77)*10.764</f>
        <v>492.66827999999998</v>
      </c>
      <c r="E233" s="76">
        <v>0</v>
      </c>
      <c r="F233" s="76">
        <f t="shared" si="21"/>
        <v>492.66827999999998</v>
      </c>
      <c r="G233" s="76">
        <v>0</v>
      </c>
      <c r="H233" s="76">
        <f t="shared" si="22"/>
        <v>739.00242000000003</v>
      </c>
      <c r="I233" s="36"/>
      <c r="L233" s="79"/>
      <c r="M233" s="79"/>
      <c r="N233" s="36"/>
      <c r="T233" s="21"/>
    </row>
    <row r="234" spans="1:20" s="37" customFormat="1" ht="15.75" customHeight="1" x14ac:dyDescent="0.35">
      <c r="A234" s="80">
        <f t="shared" si="20"/>
        <v>7</v>
      </c>
      <c r="B234" s="80"/>
      <c r="C234" s="76" t="s">
        <v>326</v>
      </c>
      <c r="D234" s="76">
        <f>(35.87)*10.764</f>
        <v>386.10467999999997</v>
      </c>
      <c r="E234" s="76">
        <v>0</v>
      </c>
      <c r="F234" s="76">
        <f t="shared" si="21"/>
        <v>386.10467999999997</v>
      </c>
      <c r="G234" s="76">
        <v>0</v>
      </c>
      <c r="H234" s="76">
        <f t="shared" si="22"/>
        <v>579.15701999999999</v>
      </c>
      <c r="I234" s="36"/>
      <c r="L234" s="79"/>
      <c r="M234" s="79"/>
      <c r="N234" s="36"/>
      <c r="T234" s="21"/>
    </row>
    <row r="235" spans="1:20" s="37" customFormat="1" ht="15.75" customHeight="1" x14ac:dyDescent="0.35">
      <c r="A235" s="80">
        <f t="shared" si="20"/>
        <v>8</v>
      </c>
      <c r="B235" s="80"/>
      <c r="C235" s="76" t="s">
        <v>326</v>
      </c>
      <c r="D235" s="76">
        <f>(35.02)*10.764</f>
        <v>376.95528000000002</v>
      </c>
      <c r="E235" s="76">
        <v>0</v>
      </c>
      <c r="F235" s="76">
        <f t="shared" si="21"/>
        <v>376.95528000000002</v>
      </c>
      <c r="G235" s="76">
        <v>0</v>
      </c>
      <c r="H235" s="76">
        <f t="shared" si="22"/>
        <v>565.43291999999997</v>
      </c>
      <c r="I235" s="36"/>
      <c r="L235" s="79"/>
      <c r="M235" s="79"/>
      <c r="N235" s="36"/>
      <c r="T235" s="21"/>
    </row>
    <row r="236" spans="1:20" s="37" customFormat="1" ht="15.75" customHeight="1" x14ac:dyDescent="0.35">
      <c r="A236" s="80">
        <f t="shared" si="20"/>
        <v>9</v>
      </c>
      <c r="B236" s="80"/>
      <c r="C236" s="76" t="s">
        <v>326</v>
      </c>
      <c r="D236" s="76">
        <f>(35.03)*10.764</f>
        <v>377.06291999999996</v>
      </c>
      <c r="E236" s="76">
        <v>0</v>
      </c>
      <c r="F236" s="76">
        <f t="shared" si="21"/>
        <v>377.06291999999996</v>
      </c>
      <c r="G236" s="76">
        <v>0</v>
      </c>
      <c r="H236" s="76">
        <f t="shared" si="22"/>
        <v>565.59438</v>
      </c>
      <c r="I236" s="36"/>
      <c r="L236" s="79"/>
      <c r="M236" s="79"/>
      <c r="N236" s="36"/>
      <c r="T236" s="21"/>
    </row>
    <row r="237" spans="1:20" s="37" customFormat="1" ht="15.75" customHeight="1" x14ac:dyDescent="0.35">
      <c r="A237" s="80">
        <f t="shared" si="20"/>
        <v>10</v>
      </c>
      <c r="B237" s="80"/>
      <c r="C237" s="80" t="s">
        <v>332</v>
      </c>
      <c r="D237" s="80"/>
      <c r="E237" s="80"/>
      <c r="F237" s="80"/>
      <c r="G237" s="80"/>
      <c r="H237" s="80"/>
      <c r="I237" s="36"/>
      <c r="L237" s="79"/>
      <c r="M237" s="79"/>
      <c r="N237" s="36"/>
      <c r="T237" s="21"/>
    </row>
    <row r="238" spans="1:20" s="37" customFormat="1" ht="15.75" customHeight="1" x14ac:dyDescent="0.35">
      <c r="A238" s="80">
        <f t="shared" si="20"/>
        <v>11</v>
      </c>
      <c r="B238" s="80"/>
      <c r="C238" s="80" t="s">
        <v>333</v>
      </c>
      <c r="D238" s="80"/>
      <c r="E238" s="80"/>
      <c r="F238" s="80"/>
      <c r="G238" s="80"/>
      <c r="H238" s="80"/>
      <c r="I238" s="36"/>
      <c r="L238" s="79"/>
      <c r="M238" s="79"/>
      <c r="N238" s="36"/>
      <c r="T238" s="21"/>
    </row>
    <row r="239" spans="1:20" s="37" customFormat="1" ht="15.75" customHeight="1" x14ac:dyDescent="0.35">
      <c r="A239" s="80">
        <f t="shared" si="20"/>
        <v>12</v>
      </c>
      <c r="B239" s="80"/>
      <c r="C239" s="76" t="s">
        <v>327</v>
      </c>
      <c r="D239" s="76">
        <f>(45.75)*10.764</f>
        <v>492.45299999999997</v>
      </c>
      <c r="E239" s="76">
        <v>0</v>
      </c>
      <c r="F239" s="76">
        <f t="shared" si="21"/>
        <v>492.45299999999997</v>
      </c>
      <c r="G239" s="76">
        <v>0</v>
      </c>
      <c r="H239" s="76">
        <f t="shared" si="22"/>
        <v>738.67949999999996</v>
      </c>
      <c r="I239" s="36"/>
      <c r="L239" s="79"/>
      <c r="M239" s="79"/>
      <c r="N239" s="36"/>
      <c r="T239" s="21"/>
    </row>
    <row r="240" spans="1:20" s="37" customFormat="1" ht="15.75" customHeight="1" x14ac:dyDescent="0.35">
      <c r="A240" s="80">
        <f t="shared" si="20"/>
        <v>13</v>
      </c>
      <c r="B240" s="80"/>
      <c r="C240" s="76" t="s">
        <v>327</v>
      </c>
      <c r="D240" s="76">
        <f>(49.3)*10.764</f>
        <v>530.66519999999991</v>
      </c>
      <c r="E240" s="76">
        <v>0</v>
      </c>
      <c r="F240" s="76">
        <f t="shared" si="21"/>
        <v>530.66519999999991</v>
      </c>
      <c r="G240" s="76">
        <v>0</v>
      </c>
      <c r="H240" s="76">
        <f t="shared" si="22"/>
        <v>795.99779999999987</v>
      </c>
      <c r="I240" s="36"/>
      <c r="L240" s="79"/>
      <c r="M240" s="79"/>
      <c r="N240" s="36"/>
      <c r="T240" s="21"/>
    </row>
    <row r="241" spans="1:20" s="37" customFormat="1" ht="15.75" customHeight="1" x14ac:dyDescent="0.35">
      <c r="A241" s="80">
        <f t="shared" si="20"/>
        <v>14</v>
      </c>
      <c r="B241" s="80"/>
      <c r="C241" s="76" t="s">
        <v>327</v>
      </c>
      <c r="D241" s="76">
        <f>(49.3)*10.764</f>
        <v>530.66519999999991</v>
      </c>
      <c r="E241" s="76">
        <v>0</v>
      </c>
      <c r="F241" s="76">
        <f t="shared" si="21"/>
        <v>530.66519999999991</v>
      </c>
      <c r="G241" s="76">
        <v>0</v>
      </c>
      <c r="H241" s="76">
        <f t="shared" si="22"/>
        <v>795.99779999999987</v>
      </c>
      <c r="I241" s="36"/>
      <c r="L241" s="79"/>
      <c r="M241" s="79"/>
      <c r="N241" s="36"/>
      <c r="T241" s="21"/>
    </row>
    <row r="242" spans="1:20" s="37" customFormat="1" ht="15.75" customHeight="1" x14ac:dyDescent="0.35">
      <c r="A242" s="77">
        <f t="shared" si="20"/>
        <v>15</v>
      </c>
      <c r="B242" s="78"/>
      <c r="C242" s="77" t="s">
        <v>330</v>
      </c>
      <c r="D242" s="82"/>
      <c r="E242" s="82"/>
      <c r="F242" s="82"/>
      <c r="G242" s="82"/>
      <c r="H242" s="78"/>
      <c r="I242" s="36"/>
      <c r="L242" s="79"/>
      <c r="M242" s="79"/>
      <c r="N242" s="36"/>
      <c r="T242" s="21"/>
    </row>
    <row r="243" spans="1:20" s="37" customFormat="1" ht="15.75" customHeight="1" x14ac:dyDescent="0.35">
      <c r="A243" s="77">
        <f t="shared" si="20"/>
        <v>16</v>
      </c>
      <c r="B243" s="78"/>
      <c r="C243" s="42" t="s">
        <v>326</v>
      </c>
      <c r="D243" s="42">
        <f>(29.96)*10.764</f>
        <v>322.48944</v>
      </c>
      <c r="E243" s="42">
        <v>0</v>
      </c>
      <c r="F243" s="42">
        <f t="shared" si="21"/>
        <v>322.48944</v>
      </c>
      <c r="G243" s="42">
        <v>0</v>
      </c>
      <c r="H243" s="42">
        <f t="shared" si="22"/>
        <v>483.73415999999997</v>
      </c>
      <c r="I243" s="36"/>
      <c r="L243" s="79"/>
      <c r="M243" s="79"/>
      <c r="N243" s="36"/>
      <c r="T243" s="21"/>
    </row>
    <row r="244" spans="1:20" s="37" customFormat="1" ht="15.75" customHeight="1" x14ac:dyDescent="0.35">
      <c r="A244" s="77">
        <f t="shared" si="20"/>
        <v>17</v>
      </c>
      <c r="B244" s="78"/>
      <c r="C244" s="77" t="s">
        <v>334</v>
      </c>
      <c r="D244" s="82"/>
      <c r="E244" s="82"/>
      <c r="F244" s="82"/>
      <c r="G244" s="82"/>
      <c r="H244" s="78"/>
      <c r="I244" s="36"/>
      <c r="L244" s="79"/>
      <c r="M244" s="79"/>
      <c r="N244" s="36"/>
      <c r="T244" s="21"/>
    </row>
    <row r="245" spans="1:20" s="37" customFormat="1" ht="15.75" customHeight="1" x14ac:dyDescent="0.35">
      <c r="A245" s="77">
        <f t="shared" si="20"/>
        <v>18</v>
      </c>
      <c r="B245" s="78"/>
      <c r="C245" s="42" t="s">
        <v>326</v>
      </c>
      <c r="D245" s="42">
        <f>(35.03)*10.764</f>
        <v>377.06291999999996</v>
      </c>
      <c r="E245" s="42">
        <v>0</v>
      </c>
      <c r="F245" s="42">
        <f t="shared" si="21"/>
        <v>377.06291999999996</v>
      </c>
      <c r="G245" s="42">
        <v>0</v>
      </c>
      <c r="H245" s="42">
        <f t="shared" si="22"/>
        <v>565.59438</v>
      </c>
      <c r="I245" s="36"/>
      <c r="L245" s="79"/>
      <c r="M245" s="79"/>
      <c r="N245" s="36"/>
      <c r="T245" s="21"/>
    </row>
    <row r="246" spans="1:20" s="37" customFormat="1" ht="15.75" customHeight="1" x14ac:dyDescent="0.35">
      <c r="A246" s="77">
        <f t="shared" si="20"/>
        <v>19</v>
      </c>
      <c r="B246" s="78"/>
      <c r="C246" s="42" t="s">
        <v>326</v>
      </c>
      <c r="D246" s="42">
        <f>(35.02)*10.764</f>
        <v>376.95528000000002</v>
      </c>
      <c r="E246" s="42">
        <v>0</v>
      </c>
      <c r="F246" s="42">
        <f t="shared" si="21"/>
        <v>376.95528000000002</v>
      </c>
      <c r="G246" s="42">
        <v>0</v>
      </c>
      <c r="H246" s="42">
        <f t="shared" si="22"/>
        <v>565.43291999999997</v>
      </c>
      <c r="I246" s="36"/>
      <c r="L246" s="79"/>
      <c r="M246" s="79"/>
      <c r="N246" s="36"/>
      <c r="T246" s="21"/>
    </row>
    <row r="247" spans="1:20" s="37" customFormat="1" ht="15.75" customHeight="1" x14ac:dyDescent="0.35">
      <c r="A247" s="81" t="s">
        <v>335</v>
      </c>
      <c r="B247" s="81"/>
      <c r="C247" s="81"/>
      <c r="D247" s="81"/>
      <c r="E247" s="81"/>
      <c r="F247" s="81"/>
      <c r="G247" s="81"/>
      <c r="H247" s="81"/>
      <c r="J247" s="36"/>
    </row>
    <row r="248" spans="1:20" s="37" customFormat="1" ht="15.75" customHeight="1" x14ac:dyDescent="0.35">
      <c r="A248" s="80">
        <v>1</v>
      </c>
      <c r="B248" s="80"/>
      <c r="C248" s="80" t="s">
        <v>336</v>
      </c>
      <c r="D248" s="80"/>
      <c r="E248" s="80"/>
      <c r="F248" s="80"/>
      <c r="G248" s="80"/>
      <c r="H248" s="80"/>
      <c r="I248" s="36"/>
      <c r="L248" s="79"/>
      <c r="M248" s="79"/>
      <c r="N248" s="36"/>
    </row>
    <row r="249" spans="1:20" s="37" customFormat="1" ht="15.75" customHeight="1" x14ac:dyDescent="0.35">
      <c r="A249" s="80">
        <f>A248+1</f>
        <v>2</v>
      </c>
      <c r="B249" s="80"/>
      <c r="C249" s="80"/>
      <c r="D249" s="80"/>
      <c r="E249" s="80"/>
      <c r="F249" s="80"/>
      <c r="G249" s="80"/>
      <c r="H249" s="80"/>
      <c r="I249" s="36"/>
      <c r="L249" s="79"/>
      <c r="M249" s="79"/>
      <c r="N249" s="36"/>
    </row>
    <row r="250" spans="1:20" s="37" customFormat="1" ht="15.75" customHeight="1" x14ac:dyDescent="0.35">
      <c r="A250" s="80">
        <f>A249+1</f>
        <v>3</v>
      </c>
      <c r="B250" s="80"/>
      <c r="C250" s="80"/>
      <c r="D250" s="80"/>
      <c r="E250" s="80"/>
      <c r="F250" s="80"/>
      <c r="G250" s="80"/>
      <c r="H250" s="80"/>
      <c r="I250" s="36"/>
      <c r="L250" s="79"/>
      <c r="M250" s="79"/>
      <c r="N250" s="36"/>
    </row>
    <row r="251" spans="1:20" s="37" customFormat="1" ht="15.75" customHeight="1" x14ac:dyDescent="0.35">
      <c r="A251" s="80">
        <f>A250+1</f>
        <v>4</v>
      </c>
      <c r="B251" s="80"/>
      <c r="C251" s="80"/>
      <c r="D251" s="80"/>
      <c r="E251" s="80"/>
      <c r="F251" s="80"/>
      <c r="G251" s="80"/>
      <c r="H251" s="80"/>
      <c r="I251" s="36"/>
      <c r="L251" s="79"/>
      <c r="M251" s="79"/>
      <c r="N251" s="36"/>
      <c r="T251" s="21"/>
    </row>
    <row r="252" spans="1:20" s="37" customFormat="1" ht="15.75" customHeight="1" x14ac:dyDescent="0.35">
      <c r="A252" s="80">
        <f t="shared" ref="A252:A266" si="23">A251+1</f>
        <v>5</v>
      </c>
      <c r="B252" s="80"/>
      <c r="C252" s="80"/>
      <c r="D252" s="80"/>
      <c r="E252" s="80"/>
      <c r="F252" s="80"/>
      <c r="G252" s="80"/>
      <c r="H252" s="80"/>
      <c r="I252" s="36"/>
      <c r="L252" s="79"/>
      <c r="M252" s="79"/>
      <c r="N252" s="36"/>
      <c r="T252" s="21"/>
    </row>
    <row r="253" spans="1:20" s="37" customFormat="1" ht="15.75" customHeight="1" x14ac:dyDescent="0.35">
      <c r="A253" s="80">
        <f t="shared" si="23"/>
        <v>6</v>
      </c>
      <c r="B253" s="80"/>
      <c r="C253" s="80"/>
      <c r="D253" s="80"/>
      <c r="E253" s="80"/>
      <c r="F253" s="80"/>
      <c r="G253" s="80"/>
      <c r="H253" s="80"/>
      <c r="I253" s="36"/>
      <c r="L253" s="79"/>
      <c r="M253" s="79"/>
      <c r="N253" s="36"/>
      <c r="T253" s="21"/>
    </row>
    <row r="254" spans="1:20" s="37" customFormat="1" ht="15.75" customHeight="1" x14ac:dyDescent="0.35">
      <c r="A254" s="80">
        <f t="shared" si="23"/>
        <v>7</v>
      </c>
      <c r="B254" s="80"/>
      <c r="C254" s="80"/>
      <c r="D254" s="80"/>
      <c r="E254" s="80"/>
      <c r="F254" s="80"/>
      <c r="G254" s="80"/>
      <c r="H254" s="80"/>
      <c r="I254" s="36"/>
      <c r="L254" s="79"/>
      <c r="M254" s="79"/>
      <c r="N254" s="36"/>
      <c r="T254" s="21"/>
    </row>
    <row r="255" spans="1:20" s="37" customFormat="1" ht="15.75" customHeight="1" x14ac:dyDescent="0.35">
      <c r="A255" s="77">
        <f t="shared" si="23"/>
        <v>8</v>
      </c>
      <c r="B255" s="78"/>
      <c r="C255" s="42" t="s">
        <v>326</v>
      </c>
      <c r="D255" s="42">
        <f>(35.02)*10.764</f>
        <v>376.95528000000002</v>
      </c>
      <c r="E255" s="42">
        <v>0</v>
      </c>
      <c r="F255" s="42">
        <f t="shared" ref="F255:F266" si="24">D255+E255</f>
        <v>376.95528000000002</v>
      </c>
      <c r="G255" s="42">
        <v>0</v>
      </c>
      <c r="H255" s="42">
        <f t="shared" ref="H255:H266" si="25">F255*(($H$165)+1)+(IF(G255&lt;101,G255,IF(G255&lt;201,G255/2,IF(G255&lt;=301,G255/3,G255/4))))</f>
        <v>565.43291999999997</v>
      </c>
      <c r="I255" s="36"/>
      <c r="L255" s="79"/>
      <c r="M255" s="79"/>
      <c r="N255" s="36"/>
      <c r="T255" s="21"/>
    </row>
    <row r="256" spans="1:20" s="37" customFormat="1" ht="15.75" customHeight="1" x14ac:dyDescent="0.35">
      <c r="A256" s="77">
        <f t="shared" si="23"/>
        <v>9</v>
      </c>
      <c r="B256" s="78"/>
      <c r="C256" s="42" t="s">
        <v>326</v>
      </c>
      <c r="D256" s="42">
        <f>(35.03)*10.764</f>
        <v>377.06291999999996</v>
      </c>
      <c r="E256" s="42">
        <v>0</v>
      </c>
      <c r="F256" s="42">
        <f t="shared" si="24"/>
        <v>377.06291999999996</v>
      </c>
      <c r="G256" s="42">
        <v>0</v>
      </c>
      <c r="H256" s="42">
        <f t="shared" si="25"/>
        <v>565.59438</v>
      </c>
      <c r="I256" s="36"/>
      <c r="L256" s="79"/>
      <c r="M256" s="79"/>
      <c r="N256" s="36"/>
      <c r="T256" s="21"/>
    </row>
    <row r="257" spans="1:20" s="37" customFormat="1" ht="15.75" customHeight="1" x14ac:dyDescent="0.35">
      <c r="A257" s="77">
        <f t="shared" si="23"/>
        <v>10</v>
      </c>
      <c r="B257" s="78"/>
      <c r="C257" s="42" t="s">
        <v>326</v>
      </c>
      <c r="D257" s="42">
        <f>(29.81)*10.764</f>
        <v>320.87483999999995</v>
      </c>
      <c r="E257" s="42">
        <v>0</v>
      </c>
      <c r="F257" s="42">
        <f t="shared" si="24"/>
        <v>320.87483999999995</v>
      </c>
      <c r="G257" s="42">
        <v>0</v>
      </c>
      <c r="H257" s="42">
        <f t="shared" si="25"/>
        <v>481.31225999999992</v>
      </c>
      <c r="I257" s="36"/>
      <c r="L257" s="79"/>
      <c r="M257" s="79"/>
      <c r="N257" s="36"/>
      <c r="T257" s="21"/>
    </row>
    <row r="258" spans="1:20" s="37" customFormat="1" ht="15.75" customHeight="1" x14ac:dyDescent="0.35">
      <c r="A258" s="77">
        <f t="shared" si="23"/>
        <v>11</v>
      </c>
      <c r="B258" s="78"/>
      <c r="C258" s="42" t="s">
        <v>326</v>
      </c>
      <c r="D258" s="42">
        <f>(29.96)*10.764</f>
        <v>322.48944</v>
      </c>
      <c r="E258" s="42">
        <v>0</v>
      </c>
      <c r="F258" s="42">
        <f t="shared" si="24"/>
        <v>322.48944</v>
      </c>
      <c r="G258" s="42">
        <v>0</v>
      </c>
      <c r="H258" s="42">
        <f t="shared" si="25"/>
        <v>483.73415999999997</v>
      </c>
      <c r="I258" s="36"/>
      <c r="L258" s="79"/>
      <c r="M258" s="79"/>
      <c r="N258" s="36"/>
      <c r="T258" s="21"/>
    </row>
    <row r="259" spans="1:20" s="37" customFormat="1" ht="15.75" customHeight="1" x14ac:dyDescent="0.35">
      <c r="A259" s="77">
        <f t="shared" si="23"/>
        <v>12</v>
      </c>
      <c r="B259" s="78"/>
      <c r="C259" s="42" t="s">
        <v>327</v>
      </c>
      <c r="D259" s="42">
        <f>(45.75)*10.764</f>
        <v>492.45299999999997</v>
      </c>
      <c r="E259" s="42">
        <v>0</v>
      </c>
      <c r="F259" s="42">
        <f t="shared" si="24"/>
        <v>492.45299999999997</v>
      </c>
      <c r="G259" s="42">
        <v>0</v>
      </c>
      <c r="H259" s="42">
        <f t="shared" si="25"/>
        <v>738.67949999999996</v>
      </c>
      <c r="I259" s="36"/>
      <c r="L259" s="79"/>
      <c r="M259" s="79"/>
      <c r="N259" s="36"/>
      <c r="T259" s="21"/>
    </row>
    <row r="260" spans="1:20" s="37" customFormat="1" ht="15.75" customHeight="1" x14ac:dyDescent="0.35">
      <c r="A260" s="77">
        <f t="shared" si="23"/>
        <v>13</v>
      </c>
      <c r="B260" s="78"/>
      <c r="C260" s="42" t="s">
        <v>327</v>
      </c>
      <c r="D260" s="42">
        <f>(49.3)*10.764</f>
        <v>530.66519999999991</v>
      </c>
      <c r="E260" s="42">
        <v>0</v>
      </c>
      <c r="F260" s="42">
        <f t="shared" si="24"/>
        <v>530.66519999999991</v>
      </c>
      <c r="G260" s="42">
        <v>0</v>
      </c>
      <c r="H260" s="42">
        <f t="shared" si="25"/>
        <v>795.99779999999987</v>
      </c>
      <c r="I260" s="36"/>
      <c r="L260" s="79"/>
      <c r="M260" s="79"/>
      <c r="N260" s="36"/>
      <c r="T260" s="21"/>
    </row>
    <row r="261" spans="1:20" s="37" customFormat="1" ht="15.75" customHeight="1" x14ac:dyDescent="0.35">
      <c r="A261" s="77">
        <f t="shared" si="23"/>
        <v>14</v>
      </c>
      <c r="B261" s="78"/>
      <c r="C261" s="42" t="s">
        <v>327</v>
      </c>
      <c r="D261" s="42">
        <f>(49.3)*10.764</f>
        <v>530.66519999999991</v>
      </c>
      <c r="E261" s="42">
        <v>0</v>
      </c>
      <c r="F261" s="42">
        <f t="shared" si="24"/>
        <v>530.66519999999991</v>
      </c>
      <c r="G261" s="42">
        <v>0</v>
      </c>
      <c r="H261" s="42">
        <f t="shared" si="25"/>
        <v>795.99779999999987</v>
      </c>
      <c r="I261" s="36"/>
      <c r="L261" s="79"/>
      <c r="M261" s="79"/>
      <c r="N261" s="36"/>
      <c r="T261" s="21"/>
    </row>
    <row r="262" spans="1:20" s="37" customFormat="1" ht="15.75" customHeight="1" x14ac:dyDescent="0.35">
      <c r="A262" s="77">
        <f t="shared" si="23"/>
        <v>15</v>
      </c>
      <c r="B262" s="78"/>
      <c r="C262" s="42" t="s">
        <v>327</v>
      </c>
      <c r="D262" s="42">
        <f>(45.75)*10.764</f>
        <v>492.45299999999997</v>
      </c>
      <c r="E262" s="42">
        <v>0</v>
      </c>
      <c r="F262" s="42">
        <f t="shared" si="24"/>
        <v>492.45299999999997</v>
      </c>
      <c r="G262" s="42">
        <v>0</v>
      </c>
      <c r="H262" s="42">
        <f t="shared" si="25"/>
        <v>738.67949999999996</v>
      </c>
      <c r="I262" s="36"/>
      <c r="L262" s="79"/>
      <c r="M262" s="79"/>
      <c r="N262" s="36"/>
      <c r="T262" s="21"/>
    </row>
    <row r="263" spans="1:20" s="37" customFormat="1" ht="15.75" customHeight="1" x14ac:dyDescent="0.35">
      <c r="A263" s="77">
        <f t="shared" si="23"/>
        <v>16</v>
      </c>
      <c r="B263" s="78"/>
      <c r="C263" s="42" t="s">
        <v>326</v>
      </c>
      <c r="D263" s="42">
        <f>(29.96)*10.764</f>
        <v>322.48944</v>
      </c>
      <c r="E263" s="42">
        <v>0</v>
      </c>
      <c r="F263" s="42">
        <f t="shared" si="24"/>
        <v>322.48944</v>
      </c>
      <c r="G263" s="42">
        <v>0</v>
      </c>
      <c r="H263" s="42">
        <f t="shared" si="25"/>
        <v>483.73415999999997</v>
      </c>
      <c r="I263" s="36"/>
      <c r="L263" s="79"/>
      <c r="M263" s="79"/>
      <c r="N263" s="36"/>
      <c r="T263" s="21"/>
    </row>
    <row r="264" spans="1:20" s="37" customFormat="1" ht="15.75" customHeight="1" x14ac:dyDescent="0.35">
      <c r="A264" s="77">
        <f t="shared" si="23"/>
        <v>17</v>
      </c>
      <c r="B264" s="78"/>
      <c r="C264" s="42" t="s">
        <v>326</v>
      </c>
      <c r="D264" s="42">
        <f>(29.81)*10.764</f>
        <v>320.87483999999995</v>
      </c>
      <c r="E264" s="42">
        <v>0</v>
      </c>
      <c r="F264" s="42">
        <f t="shared" si="24"/>
        <v>320.87483999999995</v>
      </c>
      <c r="G264" s="42">
        <v>0</v>
      </c>
      <c r="H264" s="42">
        <f t="shared" si="25"/>
        <v>481.31225999999992</v>
      </c>
      <c r="I264" s="36"/>
      <c r="L264" s="79"/>
      <c r="M264" s="79"/>
      <c r="N264" s="36"/>
      <c r="T264" s="21"/>
    </row>
    <row r="265" spans="1:20" s="37" customFormat="1" ht="15.75" customHeight="1" x14ac:dyDescent="0.35">
      <c r="A265" s="77">
        <f t="shared" si="23"/>
        <v>18</v>
      </c>
      <c r="B265" s="78"/>
      <c r="C265" s="42" t="s">
        <v>326</v>
      </c>
      <c r="D265" s="42">
        <f>(35.03)*10.764</f>
        <v>377.06291999999996</v>
      </c>
      <c r="E265" s="42">
        <v>0</v>
      </c>
      <c r="F265" s="42">
        <f t="shared" si="24"/>
        <v>377.06291999999996</v>
      </c>
      <c r="G265" s="42">
        <v>0</v>
      </c>
      <c r="H265" s="42">
        <f t="shared" si="25"/>
        <v>565.59438</v>
      </c>
      <c r="I265" s="36"/>
      <c r="L265" s="79"/>
      <c r="M265" s="79"/>
      <c r="N265" s="36"/>
      <c r="T265" s="21"/>
    </row>
    <row r="266" spans="1:20" s="37" customFormat="1" ht="15.75" customHeight="1" x14ac:dyDescent="0.35">
      <c r="A266" s="77">
        <f t="shared" si="23"/>
        <v>19</v>
      </c>
      <c r="B266" s="78"/>
      <c r="C266" s="42" t="s">
        <v>326</v>
      </c>
      <c r="D266" s="42">
        <f>(35.02)*10.764</f>
        <v>376.95528000000002</v>
      </c>
      <c r="E266" s="42">
        <v>0</v>
      </c>
      <c r="F266" s="42">
        <f t="shared" si="24"/>
        <v>376.95528000000002</v>
      </c>
      <c r="G266" s="42">
        <v>0</v>
      </c>
      <c r="H266" s="42">
        <f t="shared" si="25"/>
        <v>565.43291999999997</v>
      </c>
      <c r="I266" s="36"/>
      <c r="L266" s="79"/>
      <c r="M266" s="79"/>
      <c r="N266" s="36"/>
      <c r="T266" s="21"/>
    </row>
    <row r="267" spans="1:20" s="35" customFormat="1" x14ac:dyDescent="0.35">
      <c r="A267" s="180" t="s">
        <v>65</v>
      </c>
      <c r="B267" s="180"/>
      <c r="C267" s="180"/>
      <c r="D267" s="180"/>
      <c r="E267" s="180"/>
      <c r="F267" s="180"/>
      <c r="G267" s="180"/>
      <c r="H267" s="180"/>
      <c r="T267" s="37"/>
    </row>
    <row r="268" spans="1:20" s="35" customFormat="1" x14ac:dyDescent="0.35">
      <c r="A268" s="74" t="s">
        <v>151</v>
      </c>
      <c r="B268" s="222" t="s">
        <v>360</v>
      </c>
      <c r="C268" s="222"/>
      <c r="D268" s="222"/>
      <c r="E268" s="222"/>
      <c r="F268" s="222"/>
      <c r="G268" s="222"/>
      <c r="H268" s="222"/>
      <c r="T268" s="37"/>
    </row>
    <row r="269" spans="1:20" s="35" customFormat="1" x14ac:dyDescent="0.35">
      <c r="A269" s="74" t="s">
        <v>151</v>
      </c>
      <c r="B269" s="222" t="str">
        <f>(IF(H164="Saleable area Loading :","We have considered Saleable area of Flats as per our Calculation.","We considered Saleable area of Flat as per Builder area Sheet."))</f>
        <v>We considered Saleable area of Flat as per Builder area Sheet.</v>
      </c>
      <c r="C269" s="222"/>
      <c r="D269" s="222"/>
      <c r="E269" s="222"/>
      <c r="F269" s="222"/>
      <c r="G269" s="222"/>
      <c r="H269" s="222"/>
      <c r="T269" s="37"/>
    </row>
    <row r="270" spans="1:20" s="35" customFormat="1" x14ac:dyDescent="0.35">
      <c r="A270" s="74" t="s">
        <v>151</v>
      </c>
      <c r="B270" s="222" t="str">
        <f>(IF(H143="Saleable area Loading :","We have considered Saleable area of Commercial as per our Calculation.","We considered Saleable area of Commercial as per Builder area Sheet."))</f>
        <v>We have considered Saleable area of Commercial as per our Calculation.</v>
      </c>
      <c r="C270" s="222"/>
      <c r="D270" s="222"/>
      <c r="E270" s="222"/>
      <c r="F270" s="222"/>
      <c r="G270" s="222"/>
      <c r="H270" s="222"/>
      <c r="T270" s="37"/>
    </row>
    <row r="271" spans="1:20" s="35" customFormat="1" x14ac:dyDescent="0.35">
      <c r="A271" s="74" t="s">
        <v>151</v>
      </c>
      <c r="B271" s="223" t="s">
        <v>121</v>
      </c>
      <c r="C271" s="223"/>
      <c r="D271" s="223"/>
      <c r="E271" s="223"/>
      <c r="F271" s="223"/>
      <c r="G271" s="223"/>
      <c r="H271" s="223"/>
      <c r="T271" s="37"/>
    </row>
    <row r="272" spans="1:20" s="35" customFormat="1" x14ac:dyDescent="0.35">
      <c r="A272" s="74" t="s">
        <v>151</v>
      </c>
      <c r="B272" s="223" t="s">
        <v>337</v>
      </c>
      <c r="C272" s="223"/>
      <c r="D272" s="223"/>
      <c r="E272" s="223"/>
      <c r="F272" s="223"/>
      <c r="G272" s="223"/>
      <c r="H272" s="223"/>
      <c r="T272" s="37"/>
    </row>
    <row r="273" spans="1:20" s="35" customFormat="1" x14ac:dyDescent="0.35">
      <c r="A273" s="74" t="s">
        <v>151</v>
      </c>
      <c r="B273" s="223" t="s">
        <v>150</v>
      </c>
      <c r="C273" s="223"/>
      <c r="D273" s="223"/>
      <c r="E273" s="223"/>
      <c r="F273" s="223"/>
      <c r="G273" s="223"/>
      <c r="H273" s="223"/>
    </row>
    <row r="274" spans="1:20" s="35" customFormat="1" x14ac:dyDescent="0.35">
      <c r="A274" s="74" t="s">
        <v>151</v>
      </c>
      <c r="B274" s="223" t="s">
        <v>122</v>
      </c>
      <c r="C274" s="223"/>
      <c r="D274" s="223"/>
      <c r="E274" s="223"/>
      <c r="F274" s="223"/>
      <c r="G274" s="223"/>
      <c r="H274" s="223"/>
    </row>
    <row r="275" spans="1:20" s="35" customFormat="1" ht="34.5" customHeight="1" x14ac:dyDescent="0.35">
      <c r="A275" s="74" t="s">
        <v>151</v>
      </c>
      <c r="B275" s="223" t="s">
        <v>152</v>
      </c>
      <c r="C275" s="223"/>
      <c r="D275" s="223"/>
      <c r="E275" s="223"/>
      <c r="F275" s="223"/>
      <c r="G275" s="223"/>
      <c r="H275" s="223"/>
    </row>
    <row r="276" spans="1:20" s="35" customFormat="1" x14ac:dyDescent="0.35">
      <c r="A276" s="74" t="s">
        <v>151</v>
      </c>
      <c r="B276" s="223" t="s">
        <v>123</v>
      </c>
      <c r="C276" s="223"/>
      <c r="D276" s="223"/>
      <c r="E276" s="223"/>
      <c r="F276" s="223"/>
      <c r="G276" s="223"/>
      <c r="H276" s="223"/>
    </row>
    <row r="277" spans="1:20" x14ac:dyDescent="0.35">
      <c r="A277" s="183" t="s">
        <v>58</v>
      </c>
      <c r="B277" s="183"/>
      <c r="C277" s="183"/>
      <c r="D277" s="183"/>
      <c r="E277" s="183"/>
      <c r="F277" s="183"/>
      <c r="G277" s="183"/>
      <c r="H277" s="183"/>
      <c r="T277" s="35"/>
    </row>
    <row r="278" spans="1:20" x14ac:dyDescent="0.35">
      <c r="A278" s="85" t="s">
        <v>59</v>
      </c>
      <c r="B278" s="85"/>
      <c r="C278" s="85"/>
      <c r="D278" s="85"/>
      <c r="E278" s="85"/>
      <c r="F278" s="85"/>
      <c r="G278" s="85"/>
      <c r="H278" s="85"/>
      <c r="T278" s="35"/>
    </row>
    <row r="279" spans="1:20" ht="15.75" customHeight="1" x14ac:dyDescent="0.35">
      <c r="A279" s="189" t="s">
        <v>60</v>
      </c>
      <c r="B279" s="189"/>
      <c r="C279" s="189"/>
      <c r="D279" s="189"/>
      <c r="E279" s="189"/>
      <c r="F279" s="189"/>
      <c r="G279" s="189"/>
      <c r="H279" s="189"/>
      <c r="T279" s="35"/>
    </row>
    <row r="280" spans="1:20" x14ac:dyDescent="0.35">
      <c r="A280" s="85" t="s">
        <v>61</v>
      </c>
      <c r="B280" s="85"/>
      <c r="C280" s="85"/>
      <c r="D280" s="85"/>
      <c r="E280" s="85"/>
      <c r="F280" s="85"/>
      <c r="G280" s="85"/>
      <c r="H280" s="85"/>
      <c r="T280" s="35"/>
    </row>
    <row r="281" spans="1:20" x14ac:dyDescent="0.35">
      <c r="A281" s="85" t="s">
        <v>62</v>
      </c>
      <c r="B281" s="85"/>
      <c r="C281" s="85"/>
      <c r="D281" s="85"/>
      <c r="E281" s="85"/>
      <c r="F281" s="85"/>
      <c r="G281" s="85"/>
      <c r="H281" s="85"/>
      <c r="T281" s="35"/>
    </row>
    <row r="282" spans="1:20" hidden="1" x14ac:dyDescent="0.35">
      <c r="A282" s="85" t="s">
        <v>124</v>
      </c>
      <c r="B282" s="85"/>
      <c r="C282" s="85"/>
      <c r="D282" s="85"/>
      <c r="E282" s="85"/>
      <c r="F282" s="85"/>
      <c r="G282" s="85"/>
      <c r="H282" s="85"/>
      <c r="T282" s="35"/>
    </row>
    <row r="283" spans="1:20" ht="34" hidden="1" customHeight="1" x14ac:dyDescent="0.35">
      <c r="A283" s="162" t="s">
        <v>125</v>
      </c>
      <c r="B283" s="162"/>
      <c r="C283" s="162"/>
      <c r="D283" s="162"/>
      <c r="E283" s="162"/>
      <c r="F283" s="162"/>
      <c r="G283" s="162"/>
      <c r="H283" s="162"/>
    </row>
    <row r="284" spans="1:20" x14ac:dyDescent="0.35">
      <c r="A284" s="182" t="s">
        <v>74</v>
      </c>
      <c r="B284" s="182"/>
      <c r="C284" s="182" t="s">
        <v>358</v>
      </c>
      <c r="D284" s="182"/>
      <c r="E284" s="182" t="s">
        <v>104</v>
      </c>
      <c r="F284" s="182"/>
      <c r="G284" s="182" t="s">
        <v>361</v>
      </c>
      <c r="H284" s="182"/>
    </row>
    <row r="285" spans="1:20" x14ac:dyDescent="0.35">
      <c r="A285" s="181" t="s">
        <v>76</v>
      </c>
      <c r="B285" s="181"/>
      <c r="C285" s="181"/>
      <c r="D285" s="181"/>
      <c r="E285" s="181"/>
      <c r="F285" s="181"/>
      <c r="G285" s="181"/>
      <c r="H285" s="181"/>
    </row>
    <row r="286" spans="1:20" x14ac:dyDescent="0.35">
      <c r="A286" s="181"/>
      <c r="B286" s="181"/>
      <c r="C286" s="181"/>
      <c r="D286" s="181"/>
      <c r="E286" s="181"/>
      <c r="F286" s="181"/>
      <c r="G286" s="181"/>
      <c r="H286" s="181"/>
    </row>
    <row r="287" spans="1:20" x14ac:dyDescent="0.35">
      <c r="A287" s="181"/>
      <c r="B287" s="181"/>
      <c r="C287" s="181"/>
      <c r="D287" s="181"/>
      <c r="E287" s="181"/>
      <c r="F287" s="181"/>
      <c r="G287" s="181"/>
      <c r="H287" s="181"/>
    </row>
    <row r="288" spans="1:20" x14ac:dyDescent="0.35">
      <c r="A288" s="181"/>
      <c r="B288" s="181"/>
      <c r="C288" s="181"/>
      <c r="D288" s="181"/>
      <c r="E288" s="181"/>
      <c r="F288" s="181"/>
      <c r="G288" s="181"/>
      <c r="H288" s="181"/>
    </row>
    <row r="289" spans="1:8" x14ac:dyDescent="0.35">
      <c r="A289" s="38" t="s">
        <v>63</v>
      </c>
      <c r="B289" s="39"/>
      <c r="C289" s="39"/>
      <c r="D289" s="38" t="str">
        <f>E9</f>
        <v>Changuna Aangan</v>
      </c>
      <c r="F289" s="39"/>
      <c r="G289" s="39"/>
      <c r="H289" s="39"/>
    </row>
    <row r="290" spans="1:8" x14ac:dyDescent="0.35">
      <c r="A290" s="39"/>
      <c r="B290" s="39"/>
      <c r="C290" s="39"/>
      <c r="D290" s="39"/>
      <c r="E290" s="39"/>
      <c r="F290" s="39"/>
      <c r="G290" s="39"/>
      <c r="H290" s="39"/>
    </row>
    <row r="291" spans="1:8" x14ac:dyDescent="0.35">
      <c r="A291" s="39"/>
      <c r="B291" s="39"/>
      <c r="C291" s="39"/>
      <c r="D291" s="39"/>
      <c r="E291" s="39"/>
      <c r="F291" s="39"/>
      <c r="G291" s="39"/>
      <c r="H291" s="39"/>
    </row>
    <row r="292" spans="1:8" ht="15" customHeight="1" x14ac:dyDescent="0.35"/>
    <row r="331" spans="1:1" x14ac:dyDescent="0.35">
      <c r="A331" s="41" t="s">
        <v>162</v>
      </c>
    </row>
    <row r="373" spans="1:1" x14ac:dyDescent="0.35">
      <c r="A373" s="41" t="s">
        <v>64</v>
      </c>
    </row>
  </sheetData>
  <mergeCells count="540">
    <mergeCell ref="I15:P15"/>
    <mergeCell ref="F127:H127"/>
    <mergeCell ref="F125:H125"/>
    <mergeCell ref="A142:H142"/>
    <mergeCell ref="G131:H131"/>
    <mergeCell ref="A126:E126"/>
    <mergeCell ref="A148:B148"/>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6:H66"/>
    <mergeCell ref="C51:E51"/>
    <mergeCell ref="A282:H282"/>
    <mergeCell ref="A279:H279"/>
    <mergeCell ref="A136:B136"/>
    <mergeCell ref="D164:D165"/>
    <mergeCell ref="E164:E165"/>
    <mergeCell ref="A97:B97"/>
    <mergeCell ref="A98:B98"/>
    <mergeCell ref="A99:B99"/>
    <mergeCell ref="A113:B113"/>
    <mergeCell ref="F118:H118"/>
    <mergeCell ref="G132:H132"/>
    <mergeCell ref="A116:B116"/>
    <mergeCell ref="F124:H124"/>
    <mergeCell ref="C131:D131"/>
    <mergeCell ref="C139:D139"/>
    <mergeCell ref="A167:H167"/>
    <mergeCell ref="F164:F165"/>
    <mergeCell ref="A147:B147"/>
    <mergeCell ref="A140:B140"/>
    <mergeCell ref="C140:D140"/>
    <mergeCell ref="E140:F140"/>
    <mergeCell ref="B272:H272"/>
    <mergeCell ref="A285:H288"/>
    <mergeCell ref="A284:B284"/>
    <mergeCell ref="E284:F284"/>
    <mergeCell ref="C284:D284"/>
    <mergeCell ref="G284:H284"/>
    <mergeCell ref="A283:H283"/>
    <mergeCell ref="A281:H281"/>
    <mergeCell ref="A132:B132"/>
    <mergeCell ref="A280:H280"/>
    <mergeCell ref="A135:H135"/>
    <mergeCell ref="A277:H277"/>
    <mergeCell ref="G136:H136"/>
    <mergeCell ref="C143:C144"/>
    <mergeCell ref="B164:B165"/>
    <mergeCell ref="A278:H278"/>
    <mergeCell ref="A168:B168"/>
    <mergeCell ref="A150:B150"/>
    <mergeCell ref="A149:B149"/>
    <mergeCell ref="A146:H146"/>
    <mergeCell ref="E143:E144"/>
    <mergeCell ref="G143:G144"/>
    <mergeCell ref="B275:H275"/>
    <mergeCell ref="A154:B154"/>
    <mergeCell ref="B276:H276"/>
    <mergeCell ref="B274:H274"/>
    <mergeCell ref="B270:H270"/>
    <mergeCell ref="B268:H268"/>
    <mergeCell ref="B269:H269"/>
    <mergeCell ref="B271:H27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A267:H267"/>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93:B93"/>
    <mergeCell ref="A47:D47"/>
    <mergeCell ref="A48:H48"/>
    <mergeCell ref="D64:H64"/>
    <mergeCell ref="A64:C64"/>
    <mergeCell ref="A85:B85"/>
    <mergeCell ref="C91:H91"/>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A81:B81"/>
    <mergeCell ref="A49:B49"/>
    <mergeCell ref="A39:B39"/>
    <mergeCell ref="C39:H39"/>
    <mergeCell ref="A46:D46"/>
    <mergeCell ref="A86:B86"/>
    <mergeCell ref="C137:D137"/>
    <mergeCell ref="E137:F137"/>
    <mergeCell ref="G137:H137"/>
    <mergeCell ref="A118:E118"/>
    <mergeCell ref="A103:B103"/>
    <mergeCell ref="C103:H103"/>
    <mergeCell ref="A45:D45"/>
    <mergeCell ref="D73:H73"/>
    <mergeCell ref="A79:B79"/>
    <mergeCell ref="G78:H78"/>
    <mergeCell ref="F117:H117"/>
    <mergeCell ref="F122:H122"/>
    <mergeCell ref="E92:F92"/>
    <mergeCell ref="G92:H92"/>
    <mergeCell ref="A123:E123"/>
    <mergeCell ref="F123:H123"/>
    <mergeCell ref="A125:E125"/>
    <mergeCell ref="F120:H120"/>
    <mergeCell ref="A124:E124"/>
    <mergeCell ref="A110:B110"/>
    <mergeCell ref="A40:B40"/>
    <mergeCell ref="C40:H40"/>
    <mergeCell ref="F143:F144"/>
    <mergeCell ref="C132:D132"/>
    <mergeCell ref="E132:F132"/>
    <mergeCell ref="B143:B144"/>
    <mergeCell ref="A143:A144"/>
    <mergeCell ref="G140:H140"/>
    <mergeCell ref="C55:H55"/>
    <mergeCell ref="A78:B78"/>
    <mergeCell ref="A111:B111"/>
    <mergeCell ref="E93:F102"/>
    <mergeCell ref="A100:B100"/>
    <mergeCell ref="A101:B101"/>
    <mergeCell ref="E106:F106"/>
    <mergeCell ref="E107:F116"/>
    <mergeCell ref="E136:F136"/>
    <mergeCell ref="A141:H141"/>
    <mergeCell ref="D67:H67"/>
    <mergeCell ref="C52:E52"/>
    <mergeCell ref="A65:C67"/>
    <mergeCell ref="D65:H65"/>
    <mergeCell ref="E138:F138"/>
    <mergeCell ref="G138:H138"/>
    <mergeCell ref="C49:H49"/>
    <mergeCell ref="B273:H273"/>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A145:H145"/>
    <mergeCell ref="A151:B151"/>
    <mergeCell ref="A152:B152"/>
    <mergeCell ref="A153:B153"/>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A130:H130"/>
    <mergeCell ref="A128:E128"/>
    <mergeCell ref="F128:H128"/>
    <mergeCell ref="A129:E129"/>
    <mergeCell ref="F129:H129"/>
    <mergeCell ref="A137:B137"/>
    <mergeCell ref="A161:B161"/>
    <mergeCell ref="L161:M161"/>
    <mergeCell ref="A162:B162"/>
    <mergeCell ref="L162:M162"/>
    <mergeCell ref="A166:H166"/>
    <mergeCell ref="A172:B172"/>
    <mergeCell ref="L172:M172"/>
    <mergeCell ref="A155:B155"/>
    <mergeCell ref="A156:B156"/>
    <mergeCell ref="A157:B157"/>
    <mergeCell ref="A158:B158"/>
    <mergeCell ref="A159:B159"/>
    <mergeCell ref="C164:C165"/>
    <mergeCell ref="G164:G165"/>
    <mergeCell ref="L171:M171"/>
    <mergeCell ref="L168:M168"/>
    <mergeCell ref="A169:B169"/>
    <mergeCell ref="L169:M169"/>
    <mergeCell ref="A170:B170"/>
    <mergeCell ref="L170:M170"/>
    <mergeCell ref="A171:B171"/>
    <mergeCell ref="A163:H163"/>
    <mergeCell ref="A164:A165"/>
    <mergeCell ref="A160:B160"/>
    <mergeCell ref="A173:B173"/>
    <mergeCell ref="L173:M173"/>
    <mergeCell ref="A174:B174"/>
    <mergeCell ref="L174:M174"/>
    <mergeCell ref="A175:B175"/>
    <mergeCell ref="L175:M175"/>
    <mergeCell ref="A176:B176"/>
    <mergeCell ref="L176:M176"/>
    <mergeCell ref="A177:B177"/>
    <mergeCell ref="L177:M177"/>
    <mergeCell ref="C168:H176"/>
    <mergeCell ref="A178:B178"/>
    <mergeCell ref="L178:M178"/>
    <mergeCell ref="A179:B179"/>
    <mergeCell ref="L179:M179"/>
    <mergeCell ref="A180:B180"/>
    <mergeCell ref="L180:M180"/>
    <mergeCell ref="A181:B181"/>
    <mergeCell ref="L181:M181"/>
    <mergeCell ref="A182:B182"/>
    <mergeCell ref="L182:M182"/>
    <mergeCell ref="A183:B183"/>
    <mergeCell ref="L183:M183"/>
    <mergeCell ref="A184:B184"/>
    <mergeCell ref="L184:M184"/>
    <mergeCell ref="A185:B185"/>
    <mergeCell ref="L185:M185"/>
    <mergeCell ref="A186:B186"/>
    <mergeCell ref="L186:M186"/>
    <mergeCell ref="A187:H187"/>
    <mergeCell ref="A195:B195"/>
    <mergeCell ref="L195:M195"/>
    <mergeCell ref="A196:B196"/>
    <mergeCell ref="L196:M196"/>
    <mergeCell ref="A197:B197"/>
    <mergeCell ref="L197:M197"/>
    <mergeCell ref="A188:B188"/>
    <mergeCell ref="L188:M188"/>
    <mergeCell ref="A189:B189"/>
    <mergeCell ref="L189:M189"/>
    <mergeCell ref="A190:B190"/>
    <mergeCell ref="L190:M190"/>
    <mergeCell ref="A191:B191"/>
    <mergeCell ref="L191:M191"/>
    <mergeCell ref="A192:B192"/>
    <mergeCell ref="L192:M192"/>
    <mergeCell ref="A203:B203"/>
    <mergeCell ref="L203:M203"/>
    <mergeCell ref="A204:B204"/>
    <mergeCell ref="L204:M204"/>
    <mergeCell ref="A205:B205"/>
    <mergeCell ref="L205:M205"/>
    <mergeCell ref="A206:B206"/>
    <mergeCell ref="L206:M206"/>
    <mergeCell ref="C185:H185"/>
    <mergeCell ref="C186:H186"/>
    <mergeCell ref="A198:B198"/>
    <mergeCell ref="L198:M198"/>
    <mergeCell ref="A199:B199"/>
    <mergeCell ref="L199:M199"/>
    <mergeCell ref="A200:B200"/>
    <mergeCell ref="L200:M200"/>
    <mergeCell ref="A201:B201"/>
    <mergeCell ref="L201:M201"/>
    <mergeCell ref="A202:B202"/>
    <mergeCell ref="L202:M202"/>
    <mergeCell ref="A193:B193"/>
    <mergeCell ref="L193:M193"/>
    <mergeCell ref="A194:B194"/>
    <mergeCell ref="L194:M194"/>
    <mergeCell ref="A207:H207"/>
    <mergeCell ref="A208:B208"/>
    <mergeCell ref="L208:M208"/>
    <mergeCell ref="A209:B209"/>
    <mergeCell ref="L209:M209"/>
    <mergeCell ref="A210:B210"/>
    <mergeCell ref="L210:M210"/>
    <mergeCell ref="A211:B211"/>
    <mergeCell ref="L211:M211"/>
    <mergeCell ref="A212:B212"/>
    <mergeCell ref="L212:M212"/>
    <mergeCell ref="A213:B213"/>
    <mergeCell ref="L213:M213"/>
    <mergeCell ref="A214:B214"/>
    <mergeCell ref="L214:M214"/>
    <mergeCell ref="A215:B215"/>
    <mergeCell ref="L215:M215"/>
    <mergeCell ref="A216:B216"/>
    <mergeCell ref="L216:M216"/>
    <mergeCell ref="A217:B217"/>
    <mergeCell ref="L217:M217"/>
    <mergeCell ref="A218:B218"/>
    <mergeCell ref="L218:M218"/>
    <mergeCell ref="A219:B219"/>
    <mergeCell ref="L219:M219"/>
    <mergeCell ref="A220:B220"/>
    <mergeCell ref="L220:M220"/>
    <mergeCell ref="A221:B221"/>
    <mergeCell ref="L221:M221"/>
    <mergeCell ref="A222:B222"/>
    <mergeCell ref="L222:M222"/>
    <mergeCell ref="A223:B223"/>
    <mergeCell ref="L223:M223"/>
    <mergeCell ref="A224:B224"/>
    <mergeCell ref="L224:M224"/>
    <mergeCell ref="A225:B225"/>
    <mergeCell ref="L225:M225"/>
    <mergeCell ref="A226:B226"/>
    <mergeCell ref="L226:M226"/>
    <mergeCell ref="C222:H222"/>
    <mergeCell ref="A227:H227"/>
    <mergeCell ref="A228:B228"/>
    <mergeCell ref="L228:M228"/>
    <mergeCell ref="A229:B229"/>
    <mergeCell ref="L229:M229"/>
    <mergeCell ref="A230:B230"/>
    <mergeCell ref="L230:M230"/>
    <mergeCell ref="A231:B231"/>
    <mergeCell ref="L231:M231"/>
    <mergeCell ref="A232:B232"/>
    <mergeCell ref="L232:M232"/>
    <mergeCell ref="A233:B233"/>
    <mergeCell ref="L233:M233"/>
    <mergeCell ref="A234:B234"/>
    <mergeCell ref="L234:M234"/>
    <mergeCell ref="A235:B235"/>
    <mergeCell ref="L235:M235"/>
    <mergeCell ref="A236:B236"/>
    <mergeCell ref="L236:M236"/>
    <mergeCell ref="A237:B237"/>
    <mergeCell ref="L237:M237"/>
    <mergeCell ref="A238:B238"/>
    <mergeCell ref="L238:M238"/>
    <mergeCell ref="A239:B239"/>
    <mergeCell ref="L239:M239"/>
    <mergeCell ref="A240:B240"/>
    <mergeCell ref="L240:M240"/>
    <mergeCell ref="A241:B241"/>
    <mergeCell ref="L241:M241"/>
    <mergeCell ref="C237:H237"/>
    <mergeCell ref="C238:H238"/>
    <mergeCell ref="A242:B242"/>
    <mergeCell ref="L242:M242"/>
    <mergeCell ref="A243:B243"/>
    <mergeCell ref="L243:M243"/>
    <mergeCell ref="A244:B244"/>
    <mergeCell ref="L244:M244"/>
    <mergeCell ref="A245:B245"/>
    <mergeCell ref="L245:M245"/>
    <mergeCell ref="A246:B246"/>
    <mergeCell ref="L246:M246"/>
    <mergeCell ref="C242:H242"/>
    <mergeCell ref="C244:H244"/>
    <mergeCell ref="A247:H247"/>
    <mergeCell ref="A248:B248"/>
    <mergeCell ref="L248:M248"/>
    <mergeCell ref="A249:B249"/>
    <mergeCell ref="L249:M249"/>
    <mergeCell ref="A250:B250"/>
    <mergeCell ref="L250:M250"/>
    <mergeCell ref="A251:B251"/>
    <mergeCell ref="L251:M251"/>
    <mergeCell ref="A252:B252"/>
    <mergeCell ref="L252:M252"/>
    <mergeCell ref="A253:B253"/>
    <mergeCell ref="L253:M253"/>
    <mergeCell ref="A254:B254"/>
    <mergeCell ref="L254:M254"/>
    <mergeCell ref="A255:B255"/>
    <mergeCell ref="L255:M255"/>
    <mergeCell ref="A256:B256"/>
    <mergeCell ref="L256:M256"/>
    <mergeCell ref="C248:H254"/>
    <mergeCell ref="A257:B257"/>
    <mergeCell ref="L257:M257"/>
    <mergeCell ref="A258:B258"/>
    <mergeCell ref="L258:M258"/>
    <mergeCell ref="A259:B259"/>
    <mergeCell ref="L259:M259"/>
    <mergeCell ref="A260:B260"/>
    <mergeCell ref="L260:M260"/>
    <mergeCell ref="A261:B261"/>
    <mergeCell ref="L261:M261"/>
    <mergeCell ref="A262:B262"/>
    <mergeCell ref="L262:M262"/>
    <mergeCell ref="A263:B263"/>
    <mergeCell ref="L263:M263"/>
    <mergeCell ref="A264:B264"/>
    <mergeCell ref="L264:M264"/>
    <mergeCell ref="A265:B265"/>
    <mergeCell ref="L265:M265"/>
    <mergeCell ref="A266:B266"/>
    <mergeCell ref="L266:M26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84:H284">
      <formula1>"Kunal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64:B16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4:E165">
      <formula1>"Fungible area,Balcony Area,Chajja Area,Cornice Area,AP Area,WS Area"</formula1>
    </dataValidation>
    <dataValidation type="list" allowBlank="1" showInputMessage="1" showErrorMessage="1" sqref="H144 H16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3 H164">
      <formula1>"Saleable area Loading :,Builder Saleable Area"</formula1>
    </dataValidation>
    <dataValidation type="list" allowBlank="1" showInputMessage="1" showErrorMessage="1" sqref="D143:D144 D164:D165">
      <formula1>"Carpet area,RERA Carpet area"</formula1>
    </dataValidation>
  </dataValidations>
  <hyperlinks>
    <hyperlink ref="C40" r:id="rId1"/>
    <hyperlink ref="I71" r:id="rId2"/>
  </hyperlinks>
  <printOptions horizontalCentered="1"/>
  <pageMargins left="0.39370078740157483" right="0.39370078740157483" top="0.82677165354330717" bottom="0.78740157480314965" header="0.15748031496062992" footer="0.19685039370078741"/>
  <pageSetup fitToHeight="0" orientation="portrait" r:id="rId3"/>
  <headerFooter>
    <oddHeader>&amp;C&amp;G</oddHeader>
    <oddFooter>&amp;L&amp;"Times New Roman,Bold"&amp;12Ref No: &amp;F&amp;C&amp;G&amp;R&amp;"Times New Roman,Bold"&amp;12&amp;P</oddFooter>
  </headerFooter>
  <rowBreaks count="4" manualBreakCount="4">
    <brk id="74" max="7" man="1"/>
    <brk id="288" max="16383" man="1"/>
    <brk id="330" max="16383" man="1"/>
    <brk id="372"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218" t="s">
        <v>105</v>
      </c>
      <c r="C3" s="218"/>
      <c r="D3" s="218"/>
      <c r="E3" s="218"/>
      <c r="F3" s="218"/>
      <c r="G3" s="218"/>
      <c r="H3" s="218"/>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178</v>
      </c>
      <c r="E4" s="53" t="s">
        <v>188</v>
      </c>
      <c r="F4" s="53" t="s">
        <v>172</v>
      </c>
      <c r="G4" s="53" t="s">
        <v>193</v>
      </c>
      <c r="H4" s="53" t="s">
        <v>211</v>
      </c>
      <c r="J4" t="s">
        <v>193</v>
      </c>
      <c r="K4" t="s">
        <v>209</v>
      </c>
    </row>
    <row r="5" spans="2:11" x14ac:dyDescent="0.35">
      <c r="B5" s="52"/>
      <c r="C5" s="52"/>
      <c r="D5" s="53" t="s">
        <v>179</v>
      </c>
      <c r="E5" s="53" t="s">
        <v>186</v>
      </c>
      <c r="F5" s="53" t="s">
        <v>208</v>
      </c>
      <c r="G5" s="53" t="s">
        <v>194</v>
      </c>
      <c r="H5" s="53" t="s">
        <v>212</v>
      </c>
    </row>
    <row r="6" spans="2:11" x14ac:dyDescent="0.35">
      <c r="B6" s="52"/>
      <c r="C6" s="52"/>
      <c r="D6" s="53" t="s">
        <v>180</v>
      </c>
      <c r="E6" s="53" t="s">
        <v>187</v>
      </c>
      <c r="F6" s="53" t="s">
        <v>209</v>
      </c>
      <c r="G6" s="53" t="s">
        <v>195</v>
      </c>
      <c r="H6" s="53" t="s">
        <v>225</v>
      </c>
    </row>
    <row r="7" spans="2:11" x14ac:dyDescent="0.35">
      <c r="B7" s="52"/>
      <c r="C7" s="52"/>
      <c r="D7" s="53" t="s">
        <v>181</v>
      </c>
      <c r="E7" s="53" t="s">
        <v>189</v>
      </c>
      <c r="F7" s="53" t="s">
        <v>210</v>
      </c>
      <c r="G7" s="53" t="s">
        <v>196</v>
      </c>
      <c r="H7" s="53" t="s">
        <v>213</v>
      </c>
    </row>
    <row r="8" spans="2:11" x14ac:dyDescent="0.35">
      <c r="B8" s="52"/>
      <c r="C8" s="52"/>
      <c r="D8" s="53" t="s">
        <v>182</v>
      </c>
      <c r="E8" s="53" t="s">
        <v>190</v>
      </c>
      <c r="F8" s="53"/>
      <c r="G8" s="53" t="s">
        <v>197</v>
      </c>
      <c r="H8" s="53" t="s">
        <v>214</v>
      </c>
    </row>
    <row r="9" spans="2:11" x14ac:dyDescent="0.35">
      <c r="B9" s="52"/>
      <c r="C9" s="52"/>
      <c r="D9" s="53" t="s">
        <v>183</v>
      </c>
      <c r="E9" s="53" t="s">
        <v>188</v>
      </c>
      <c r="F9" s="53"/>
      <c r="G9" s="53" t="s">
        <v>198</v>
      </c>
      <c r="H9" s="53" t="s">
        <v>215</v>
      </c>
    </row>
    <row r="10" spans="2:11" x14ac:dyDescent="0.35">
      <c r="B10" s="52"/>
      <c r="C10" s="52"/>
      <c r="D10" s="53" t="s">
        <v>184</v>
      </c>
      <c r="E10" s="53" t="s">
        <v>191</v>
      </c>
      <c r="F10" s="53"/>
      <c r="G10" s="53" t="s">
        <v>199</v>
      </c>
      <c r="H10" s="53" t="s">
        <v>216</v>
      </c>
    </row>
    <row r="11" spans="2:11" x14ac:dyDescent="0.35">
      <c r="B11" s="52"/>
      <c r="C11" s="52"/>
      <c r="D11" s="53" t="s">
        <v>185</v>
      </c>
      <c r="E11" s="53" t="s">
        <v>192</v>
      </c>
      <c r="F11" s="53"/>
      <c r="G11" s="53" t="s">
        <v>200</v>
      </c>
      <c r="H11" s="53" t="s">
        <v>217</v>
      </c>
    </row>
    <row r="12" spans="2:11" x14ac:dyDescent="0.35">
      <c r="B12" s="52"/>
      <c r="C12" s="52"/>
      <c r="D12" s="53"/>
      <c r="E12" s="53"/>
      <c r="F12" s="53"/>
      <c r="G12" s="53" t="s">
        <v>201</v>
      </c>
      <c r="H12" s="53" t="s">
        <v>218</v>
      </c>
    </row>
    <row r="13" spans="2:11" x14ac:dyDescent="0.35">
      <c r="B13" s="52"/>
      <c r="C13" s="52"/>
      <c r="D13" s="53"/>
      <c r="E13" s="53"/>
      <c r="F13" s="53"/>
      <c r="G13" s="53" t="s">
        <v>202</v>
      </c>
      <c r="H13" s="53" t="s">
        <v>219</v>
      </c>
    </row>
    <row r="14" spans="2:11" x14ac:dyDescent="0.35">
      <c r="B14" s="52"/>
      <c r="C14" s="52"/>
      <c r="D14" s="53"/>
      <c r="E14" s="53"/>
      <c r="F14" s="53"/>
      <c r="G14" s="53" t="s">
        <v>203</v>
      </c>
      <c r="H14" s="53" t="s">
        <v>220</v>
      </c>
    </row>
    <row r="15" spans="2:11" x14ac:dyDescent="0.35">
      <c r="B15" s="52"/>
      <c r="C15" s="52"/>
      <c r="D15" s="53"/>
      <c r="E15" s="53"/>
      <c r="F15" s="53"/>
      <c r="G15" s="53" t="s">
        <v>204</v>
      </c>
      <c r="H15" s="53" t="s">
        <v>221</v>
      </c>
    </row>
    <row r="16" spans="2:11" x14ac:dyDescent="0.35">
      <c r="B16" s="52"/>
      <c r="C16" s="52"/>
      <c r="D16" s="53"/>
      <c r="E16" s="53"/>
      <c r="F16" s="53"/>
      <c r="G16" s="53" t="s">
        <v>205</v>
      </c>
      <c r="H16" s="53" t="s">
        <v>222</v>
      </c>
    </row>
    <row r="17" spans="2:8" x14ac:dyDescent="0.35">
      <c r="B17" s="52"/>
      <c r="C17" s="52"/>
      <c r="D17" s="53"/>
      <c r="E17" s="53"/>
      <c r="F17" s="53"/>
      <c r="G17" s="53" t="s">
        <v>206</v>
      </c>
      <c r="H17" s="53" t="s">
        <v>223</v>
      </c>
    </row>
    <row r="18" spans="2:8" x14ac:dyDescent="0.35">
      <c r="B18" s="52"/>
      <c r="C18" s="52"/>
      <c r="D18" s="53"/>
      <c r="E18" s="53"/>
      <c r="F18" s="53"/>
      <c r="G18" s="53" t="s">
        <v>207</v>
      </c>
      <c r="H18" s="53"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4" t="s">
        <v>235</v>
      </c>
      <c r="D34" s="53" t="s">
        <v>233</v>
      </c>
      <c r="E34" s="53" t="s">
        <v>238</v>
      </c>
      <c r="F34" s="53" t="s">
        <v>236</v>
      </c>
      <c r="G34" s="53" t="s">
        <v>237</v>
      </c>
      <c r="H34" s="53" t="s">
        <v>239</v>
      </c>
      <c r="J34" t="s">
        <v>193</v>
      </c>
      <c r="K34" t="s">
        <v>209</v>
      </c>
    </row>
    <row r="35" spans="3:11" x14ac:dyDescent="0.35">
      <c r="C35" s="52" t="s">
        <v>234</v>
      </c>
      <c r="D35" s="53" t="s">
        <v>170</v>
      </c>
      <c r="E35" s="53" t="s">
        <v>243</v>
      </c>
      <c r="F35" s="53" t="s">
        <v>245</v>
      </c>
      <c r="G35" s="53" t="s">
        <v>247</v>
      </c>
      <c r="H35" s="53"/>
    </row>
    <row r="36" spans="3:11" x14ac:dyDescent="0.35">
      <c r="C36" s="52"/>
      <c r="D36" s="53" t="s">
        <v>240</v>
      </c>
      <c r="E36" s="53" t="s">
        <v>244</v>
      </c>
      <c r="F36" s="53" t="s">
        <v>246</v>
      </c>
      <c r="G36" s="53" t="s">
        <v>248</v>
      </c>
      <c r="H36" s="53"/>
    </row>
    <row r="37" spans="3:11" x14ac:dyDescent="0.35">
      <c r="C37" s="52"/>
      <c r="D37" s="53" t="s">
        <v>241</v>
      </c>
      <c r="E37" s="53"/>
      <c r="F37" s="53"/>
      <c r="G37" s="53" t="s">
        <v>249</v>
      </c>
      <c r="H37" s="53"/>
    </row>
    <row r="38" spans="3:11" x14ac:dyDescent="0.35">
      <c r="C38" s="52"/>
      <c r="D38" s="53" t="s">
        <v>242</v>
      </c>
      <c r="E38" s="53"/>
      <c r="F38" s="53"/>
      <c r="G38" s="53" t="s">
        <v>249</v>
      </c>
      <c r="H38" s="53"/>
    </row>
    <row r="39" spans="3:11" x14ac:dyDescent="0.35">
      <c r="C39" s="52"/>
      <c r="D39" s="53"/>
      <c r="E39" s="53"/>
      <c r="F39" s="53"/>
      <c r="G39" s="53" t="s">
        <v>250</v>
      </c>
      <c r="H39" s="53"/>
    </row>
    <row r="40" spans="3:11" x14ac:dyDescent="0.35">
      <c r="C40" s="52"/>
      <c r="D40" s="53"/>
      <c r="E40" s="53"/>
      <c r="F40" s="53"/>
      <c r="G40" s="53" t="s">
        <v>251</v>
      </c>
      <c r="H40" s="53"/>
    </row>
    <row r="41" spans="3:11" x14ac:dyDescent="0.35">
      <c r="C41" s="52"/>
      <c r="D41" s="53"/>
      <c r="E41" s="53"/>
      <c r="F41" s="53"/>
      <c r="G41" s="53"/>
      <c r="H41" s="53"/>
    </row>
    <row r="43" spans="3:11" x14ac:dyDescent="0.35">
      <c r="C43" t="s">
        <v>252</v>
      </c>
    </row>
    <row r="44" spans="3:11" x14ac:dyDescent="0.35">
      <c r="C44" t="s">
        <v>172</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178</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193</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188</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4.5" x14ac:dyDescent="0.35"/>
  <cols>
    <col min="2" max="2" width="3" bestFit="1" customWidth="1"/>
    <col min="3" max="3" width="130" customWidth="1"/>
  </cols>
  <sheetData>
    <row r="2" spans="2:3" ht="15" customHeight="1" x14ac:dyDescent="0.35">
      <c r="B2" s="55">
        <v>1</v>
      </c>
      <c r="C2" s="57" t="s">
        <v>283</v>
      </c>
    </row>
    <row r="3" spans="2:3" x14ac:dyDescent="0.35">
      <c r="B3" s="55">
        <v>2</v>
      </c>
      <c r="C3" s="56" t="s">
        <v>284</v>
      </c>
    </row>
    <row r="4" spans="2:3" x14ac:dyDescent="0.35">
      <c r="B4" s="55">
        <v>3</v>
      </c>
      <c r="C4" s="55" t="s">
        <v>285</v>
      </c>
    </row>
    <row r="5" spans="2:3" x14ac:dyDescent="0.35">
      <c r="B5" s="55">
        <v>4</v>
      </c>
      <c r="C5" s="56" t="s">
        <v>286</v>
      </c>
    </row>
    <row r="6" spans="2:3" x14ac:dyDescent="0.35">
      <c r="B6" s="55">
        <v>5</v>
      </c>
      <c r="C6" s="55" t="s">
        <v>287</v>
      </c>
    </row>
    <row r="7" spans="2:3" ht="29" x14ac:dyDescent="0.35">
      <c r="B7" s="55">
        <v>6</v>
      </c>
      <c r="C7" s="56" t="s">
        <v>288</v>
      </c>
    </row>
    <row r="8" spans="2:3" ht="72.5" x14ac:dyDescent="0.35">
      <c r="B8" s="55">
        <v>7</v>
      </c>
      <c r="C8" s="56" t="s">
        <v>289</v>
      </c>
    </row>
    <row r="9" spans="2:3" x14ac:dyDescent="0.35">
      <c r="B9" s="55">
        <v>8</v>
      </c>
      <c r="C9" s="55" t="s">
        <v>290</v>
      </c>
    </row>
    <row r="10" spans="2:3" x14ac:dyDescent="0.35">
      <c r="B10" s="55">
        <v>9</v>
      </c>
      <c r="C10" s="55" t="s">
        <v>291</v>
      </c>
    </row>
    <row r="11" spans="2:3" x14ac:dyDescent="0.35">
      <c r="B11" s="55">
        <v>10</v>
      </c>
      <c r="C11" s="55" t="s">
        <v>292</v>
      </c>
    </row>
    <row r="12" spans="2:3" x14ac:dyDescent="0.35">
      <c r="B12" s="55">
        <v>11</v>
      </c>
      <c r="C12" s="55" t="s">
        <v>293</v>
      </c>
    </row>
    <row r="13" spans="2:3" x14ac:dyDescent="0.35">
      <c r="B13" s="55">
        <v>12</v>
      </c>
      <c r="C13" s="55" t="s">
        <v>294</v>
      </c>
    </row>
    <row r="14" spans="2:3" x14ac:dyDescent="0.35">
      <c r="B14" s="55">
        <v>13</v>
      </c>
      <c r="C14" s="55" t="s">
        <v>295</v>
      </c>
    </row>
    <row r="15" spans="2:3" x14ac:dyDescent="0.35">
      <c r="B15" s="55">
        <v>14</v>
      </c>
      <c r="C15" s="55" t="s">
        <v>285</v>
      </c>
    </row>
    <row r="16" spans="2:3" x14ac:dyDescent="0.35">
      <c r="B16" s="55">
        <v>15</v>
      </c>
      <c r="C16" s="55" t="s">
        <v>298</v>
      </c>
    </row>
    <row r="17" spans="2:3" ht="31.5" customHeight="1" x14ac:dyDescent="0.35">
      <c r="B17" s="60">
        <v>16</v>
      </c>
      <c r="C17" s="62" t="s">
        <v>299</v>
      </c>
    </row>
    <row r="18" spans="2:3" x14ac:dyDescent="0.35">
      <c r="B18" s="61">
        <v>17</v>
      </c>
      <c r="C18" s="62" t="s">
        <v>300</v>
      </c>
    </row>
    <row r="19" spans="2:3" x14ac:dyDescent="0.35">
      <c r="B19" s="60">
        <v>18</v>
      </c>
      <c r="C19" s="55" t="s">
        <v>301</v>
      </c>
    </row>
    <row r="20" spans="2:3" x14ac:dyDescent="0.35">
      <c r="B20" s="61">
        <v>19</v>
      </c>
      <c r="C20" s="55"/>
    </row>
    <row r="21" spans="2:3" x14ac:dyDescent="0.35">
      <c r="B21" s="55">
        <v>20</v>
      </c>
      <c r="C21" s="55"/>
    </row>
    <row r="22" spans="2:3" x14ac:dyDescent="0.35">
      <c r="B22" s="55"/>
      <c r="C22" s="55"/>
    </row>
    <row r="23" spans="2:3" x14ac:dyDescent="0.35">
      <c r="B23" s="55"/>
      <c r="C23" s="55"/>
    </row>
    <row r="24" spans="2:3" x14ac:dyDescent="0.35">
      <c r="B24" s="55"/>
      <c r="C24" s="55"/>
    </row>
    <row r="25" spans="2:3" x14ac:dyDescent="0.35">
      <c r="B25" s="55"/>
      <c r="C25" s="55"/>
    </row>
    <row r="26" spans="2:3" x14ac:dyDescent="0.35">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2025-06-07T05:43:39Z</cp:lastPrinted>
  <dcterms:created xsi:type="dcterms:W3CDTF">2019-07-16T09:29:46Z</dcterms:created>
  <dcterms:modified xsi:type="dcterms:W3CDTF">2025-09-09T07:18:53Z</dcterms:modified>
</cp:coreProperties>
</file>