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Report!$A$1:$H$956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9" i="1" l="1"/>
  <c r="J128" i="1"/>
  <c r="H118" i="1"/>
  <c r="D130" i="1" l="1"/>
  <c r="D126" i="1"/>
  <c r="J123" i="1"/>
  <c r="J124" i="1" s="1"/>
  <c r="D123" i="1"/>
  <c r="J117" i="1"/>
  <c r="J119" i="1" s="1"/>
  <c r="J120" i="1"/>
  <c r="D128" i="1"/>
  <c r="D127" i="1"/>
  <c r="J122" i="1"/>
  <c r="C121" i="1" s="1"/>
  <c r="D129" i="1"/>
  <c r="D125" i="1"/>
  <c r="J121" i="1"/>
  <c r="D124" i="1"/>
  <c r="C89" i="1"/>
  <c r="H76" i="1"/>
  <c r="J125" i="1" l="1"/>
  <c r="J126" i="1" s="1"/>
  <c r="J127" i="1" s="1"/>
  <c r="D121" i="1"/>
  <c r="C131" i="1"/>
  <c r="J143" i="1"/>
  <c r="J142" i="1"/>
  <c r="J87" i="1"/>
  <c r="J86" i="1"/>
  <c r="J101" i="1"/>
  <c r="J100" i="1"/>
  <c r="J115" i="1"/>
  <c r="J114" i="1"/>
  <c r="H104" i="1"/>
  <c r="H90" i="1"/>
  <c r="J130" i="1" l="1"/>
  <c r="C122" i="1" s="1"/>
  <c r="D122" i="1" s="1"/>
  <c r="I118" i="1" s="1"/>
  <c r="J80" i="1"/>
  <c r="C79" i="1" s="1"/>
  <c r="J78" i="1"/>
  <c r="D82" i="1"/>
  <c r="D87" i="1"/>
  <c r="D85" i="1"/>
  <c r="D83" i="1"/>
  <c r="D81" i="1"/>
  <c r="J79" i="1"/>
  <c r="J75" i="1"/>
  <c r="J77" i="1" s="1"/>
  <c r="D88" i="1"/>
  <c r="D86" i="1"/>
  <c r="D84" i="1"/>
  <c r="J81" i="1"/>
  <c r="J82" i="1" s="1"/>
  <c r="J94" i="1"/>
  <c r="C93" i="1" s="1"/>
  <c r="J92" i="1"/>
  <c r="D101" i="1"/>
  <c r="D99" i="1"/>
  <c r="D97" i="1"/>
  <c r="D95" i="1"/>
  <c r="J93" i="1"/>
  <c r="J89" i="1"/>
  <c r="J91" i="1" s="1"/>
  <c r="D102" i="1"/>
  <c r="D100" i="1"/>
  <c r="D98" i="1"/>
  <c r="D96" i="1"/>
  <c r="J95" i="1"/>
  <c r="J96" i="1" s="1"/>
  <c r="J109" i="1"/>
  <c r="J110" i="1" s="1"/>
  <c r="J111" i="1" s="1"/>
  <c r="J112" i="1" s="1"/>
  <c r="D115" i="1"/>
  <c r="D113" i="1"/>
  <c r="D111" i="1"/>
  <c r="D109" i="1"/>
  <c r="J107" i="1"/>
  <c r="J103" i="1"/>
  <c r="J105" i="1" s="1"/>
  <c r="J108" i="1"/>
  <c r="C107" i="1" s="1"/>
  <c r="D107" i="1" s="1"/>
  <c r="J106" i="1"/>
  <c r="D116" i="1"/>
  <c r="D114" i="1"/>
  <c r="D112" i="1"/>
  <c r="D110" i="1"/>
  <c r="D673" i="1"/>
  <c r="D672" i="1"/>
  <c r="D671" i="1"/>
  <c r="D662" i="1"/>
  <c r="D661" i="1"/>
  <c r="D663" i="1"/>
  <c r="D660" i="1"/>
  <c r="D638" i="1"/>
  <c r="F638" i="1" s="1"/>
  <c r="F637" i="1"/>
  <c r="D637" i="1"/>
  <c r="D636" i="1"/>
  <c r="F636" i="1" s="1"/>
  <c r="A636" i="1"/>
  <c r="A637" i="1" s="1"/>
  <c r="A638" i="1" s="1"/>
  <c r="G635" i="1"/>
  <c r="D635" i="1"/>
  <c r="F635" i="1" s="1"/>
  <c r="D623" i="1"/>
  <c r="F623" i="1" s="1"/>
  <c r="D622" i="1"/>
  <c r="F622" i="1" s="1"/>
  <c r="D621" i="1"/>
  <c r="F621" i="1" s="1"/>
  <c r="A621" i="1"/>
  <c r="A622" i="1" s="1"/>
  <c r="A623" i="1" s="1"/>
  <c r="G620" i="1"/>
  <c r="D620" i="1"/>
  <c r="F620" i="1" s="1"/>
  <c r="D618" i="1"/>
  <c r="D617" i="1"/>
  <c r="D616" i="1"/>
  <c r="D615" i="1"/>
  <c r="D613" i="1"/>
  <c r="D612" i="1"/>
  <c r="D611" i="1"/>
  <c r="D610" i="1"/>
  <c r="D608" i="1"/>
  <c r="D607" i="1"/>
  <c r="D606" i="1"/>
  <c r="D605" i="1"/>
  <c r="D603" i="1"/>
  <c r="D602" i="1"/>
  <c r="D601" i="1"/>
  <c r="D600" i="1"/>
  <c r="D597" i="1"/>
  <c r="D596" i="1"/>
  <c r="D598" i="1"/>
  <c r="D595" i="1"/>
  <c r="I595" i="1"/>
  <c r="D744" i="1"/>
  <c r="D741" i="1"/>
  <c r="D740" i="1"/>
  <c r="D742" i="1"/>
  <c r="D739" i="1"/>
  <c r="D727" i="1"/>
  <c r="D726" i="1"/>
  <c r="D725" i="1"/>
  <c r="D724" i="1"/>
  <c r="D721" i="1"/>
  <c r="D720" i="1"/>
  <c r="F720" i="1" s="1"/>
  <c r="D719" i="1"/>
  <c r="F719" i="1" s="1"/>
  <c r="I719" i="1"/>
  <c r="D714" i="1"/>
  <c r="F714" i="1" s="1"/>
  <c r="D737" i="1"/>
  <c r="F737" i="1" s="1"/>
  <c r="A736" i="1"/>
  <c r="A737" i="1" s="1"/>
  <c r="A735" i="1"/>
  <c r="G734" i="1"/>
  <c r="D734" i="1"/>
  <c r="F734" i="1" s="1"/>
  <c r="D732" i="1"/>
  <c r="F732" i="1" s="1"/>
  <c r="A730" i="1"/>
  <c r="A731" i="1" s="1"/>
  <c r="A732" i="1" s="1"/>
  <c r="G729" i="1"/>
  <c r="D729" i="1"/>
  <c r="F729" i="1" s="1"/>
  <c r="F721" i="1"/>
  <c r="A720" i="1"/>
  <c r="A721" i="1" s="1"/>
  <c r="A722" i="1" s="1"/>
  <c r="G719" i="1"/>
  <c r="D707" i="1"/>
  <c r="F707" i="1" s="1"/>
  <c r="D706" i="1"/>
  <c r="F706" i="1" s="1"/>
  <c r="D705" i="1"/>
  <c r="F705" i="1" s="1"/>
  <c r="A705" i="1"/>
  <c r="A706" i="1" s="1"/>
  <c r="A707" i="1" s="1"/>
  <c r="G704" i="1"/>
  <c r="D704" i="1"/>
  <c r="F704" i="1" s="1"/>
  <c r="D702" i="1"/>
  <c r="D701" i="1"/>
  <c r="D700" i="1"/>
  <c r="D699" i="1"/>
  <c r="D697" i="1"/>
  <c r="D696" i="1"/>
  <c r="D695" i="1"/>
  <c r="D694" i="1"/>
  <c r="D692" i="1"/>
  <c r="D691" i="1"/>
  <c r="D690" i="1"/>
  <c r="D689" i="1"/>
  <c r="D687" i="1"/>
  <c r="D686" i="1"/>
  <c r="D685" i="1"/>
  <c r="D684" i="1"/>
  <c r="D682" i="1"/>
  <c r="D681" i="1"/>
  <c r="D680" i="1"/>
  <c r="D679" i="1"/>
  <c r="D591" i="1"/>
  <c r="D590" i="1"/>
  <c r="D589" i="1"/>
  <c r="D588" i="1"/>
  <c r="D586" i="1"/>
  <c r="I586" i="1"/>
  <c r="D584" i="1"/>
  <c r="D583" i="1"/>
  <c r="D582" i="1"/>
  <c r="D565" i="1"/>
  <c r="D562" i="1"/>
  <c r="D560" i="1"/>
  <c r="D557" i="1"/>
  <c r="D570" i="1"/>
  <c r="F570" i="1" s="1"/>
  <c r="D569" i="1"/>
  <c r="F569" i="1" s="1"/>
  <c r="D568" i="1"/>
  <c r="F568" i="1" s="1"/>
  <c r="A568" i="1"/>
  <c r="A569" i="1" s="1"/>
  <c r="A570" i="1" s="1"/>
  <c r="G567" i="1"/>
  <c r="D567" i="1"/>
  <c r="F567" i="1" s="1"/>
  <c r="D555" i="1"/>
  <c r="D554" i="1"/>
  <c r="D553" i="1"/>
  <c r="D552" i="1"/>
  <c r="D550" i="1"/>
  <c r="F550" i="1" s="1"/>
  <c r="D549" i="1"/>
  <c r="F549" i="1" s="1"/>
  <c r="D548" i="1"/>
  <c r="F548" i="1" s="1"/>
  <c r="A548" i="1"/>
  <c r="A549" i="1" s="1"/>
  <c r="A550" i="1" s="1"/>
  <c r="G547" i="1"/>
  <c r="I545" i="1"/>
  <c r="I543" i="1"/>
  <c r="D543" i="1"/>
  <c r="D545" i="1"/>
  <c r="D540" i="1"/>
  <c r="D539" i="1"/>
  <c r="D538" i="1"/>
  <c r="D537" i="1"/>
  <c r="F537" i="1" s="1"/>
  <c r="D535" i="1"/>
  <c r="D534" i="1"/>
  <c r="D533" i="1"/>
  <c r="D532" i="1"/>
  <c r="D530" i="1"/>
  <c r="D529" i="1"/>
  <c r="D528" i="1"/>
  <c r="D527" i="1"/>
  <c r="D525" i="1"/>
  <c r="D524" i="1"/>
  <c r="D523" i="1"/>
  <c r="D522" i="1"/>
  <c r="D520" i="1"/>
  <c r="D519" i="1"/>
  <c r="D518" i="1"/>
  <c r="D517" i="1"/>
  <c r="D514" i="1"/>
  <c r="D513" i="1"/>
  <c r="D515" i="1"/>
  <c r="D512" i="1"/>
  <c r="D459" i="1"/>
  <c r="F459" i="1" s="1"/>
  <c r="D458" i="1"/>
  <c r="F458" i="1" s="1"/>
  <c r="D457" i="1"/>
  <c r="F457" i="1" s="1"/>
  <c r="D456" i="1"/>
  <c r="F456" i="1" s="1"/>
  <c r="D455" i="1"/>
  <c r="F455" i="1" s="1"/>
  <c r="A455" i="1"/>
  <c r="A456" i="1" s="1"/>
  <c r="A457" i="1" s="1"/>
  <c r="A458" i="1" s="1"/>
  <c r="A459" i="1" s="1"/>
  <c r="G454" i="1"/>
  <c r="D454" i="1"/>
  <c r="F454" i="1" s="1"/>
  <c r="D438" i="1"/>
  <c r="D437" i="1"/>
  <c r="D436" i="1"/>
  <c r="F436" i="1" s="1"/>
  <c r="D435" i="1"/>
  <c r="F435" i="1" s="1"/>
  <c r="D434" i="1"/>
  <c r="D433" i="1"/>
  <c r="D501" i="1"/>
  <c r="D500" i="1"/>
  <c r="D499" i="1"/>
  <c r="D498" i="1"/>
  <c r="D497" i="1"/>
  <c r="D496" i="1"/>
  <c r="D480" i="1"/>
  <c r="F480" i="1" s="1"/>
  <c r="D479" i="1"/>
  <c r="F479" i="1" s="1"/>
  <c r="D478" i="1"/>
  <c r="F478" i="1" s="1"/>
  <c r="D477" i="1"/>
  <c r="F477" i="1" s="1"/>
  <c r="D476" i="1"/>
  <c r="F476" i="1" s="1"/>
  <c r="A476" i="1"/>
  <c r="A477" i="1" s="1"/>
  <c r="A478" i="1" s="1"/>
  <c r="A479" i="1" s="1"/>
  <c r="A480" i="1" s="1"/>
  <c r="G475" i="1"/>
  <c r="D475" i="1"/>
  <c r="F475" i="1" s="1"/>
  <c r="D472" i="1"/>
  <c r="D469" i="1"/>
  <c r="D473" i="1"/>
  <c r="D468" i="1"/>
  <c r="D494" i="1"/>
  <c r="D493" i="1"/>
  <c r="D491" i="1"/>
  <c r="D490" i="1"/>
  <c r="D489" i="1"/>
  <c r="D487" i="1"/>
  <c r="D486" i="1"/>
  <c r="D485" i="1"/>
  <c r="D484" i="1"/>
  <c r="D483" i="1"/>
  <c r="D482" i="1"/>
  <c r="D445" i="1"/>
  <c r="D444" i="1"/>
  <c r="D441" i="1"/>
  <c r="D440" i="1"/>
  <c r="D431" i="1"/>
  <c r="D430" i="1"/>
  <c r="D429" i="1"/>
  <c r="D428" i="1"/>
  <c r="D427" i="1"/>
  <c r="D426" i="1"/>
  <c r="D424" i="1"/>
  <c r="D423" i="1"/>
  <c r="D422" i="1"/>
  <c r="D421" i="1"/>
  <c r="D420" i="1"/>
  <c r="D419" i="1"/>
  <c r="D417" i="1"/>
  <c r="D416" i="1"/>
  <c r="D415" i="1"/>
  <c r="D414" i="1"/>
  <c r="D413" i="1"/>
  <c r="D412" i="1"/>
  <c r="D410" i="1"/>
  <c r="D409" i="1"/>
  <c r="D408" i="1"/>
  <c r="D407" i="1"/>
  <c r="D406" i="1"/>
  <c r="D405" i="1"/>
  <c r="D403" i="1"/>
  <c r="D402" i="1"/>
  <c r="D401" i="1"/>
  <c r="D400" i="1"/>
  <c r="D399" i="1"/>
  <c r="D398" i="1"/>
  <c r="J403" i="1"/>
  <c r="J402" i="1"/>
  <c r="J401" i="1"/>
  <c r="J400" i="1"/>
  <c r="J399" i="1"/>
  <c r="J398" i="1"/>
  <c r="D377" i="1"/>
  <c r="D376" i="1"/>
  <c r="D393" i="1"/>
  <c r="D375" i="1"/>
  <c r="D374" i="1"/>
  <c r="D382" i="1"/>
  <c r="F382" i="1" s="1"/>
  <c r="D381" i="1"/>
  <c r="F381" i="1" s="1"/>
  <c r="D380" i="1"/>
  <c r="F380" i="1" s="1"/>
  <c r="A380" i="1"/>
  <c r="A381" i="1" s="1"/>
  <c r="A382" i="1" s="1"/>
  <c r="G379" i="1"/>
  <c r="D379" i="1"/>
  <c r="F379" i="1" s="1"/>
  <c r="D367" i="1"/>
  <c r="D364" i="1"/>
  <c r="D362" i="1"/>
  <c r="D359" i="1"/>
  <c r="I359" i="1"/>
  <c r="D308" i="1"/>
  <c r="F308" i="1" s="1"/>
  <c r="D307" i="1"/>
  <c r="F307" i="1" s="1"/>
  <c r="D306" i="1"/>
  <c r="F306" i="1" s="1"/>
  <c r="A306" i="1"/>
  <c r="A307" i="1" s="1"/>
  <c r="A308" i="1" s="1"/>
  <c r="G305" i="1"/>
  <c r="D305" i="1"/>
  <c r="F305" i="1" s="1"/>
  <c r="D352" i="1"/>
  <c r="F352" i="1" s="1"/>
  <c r="I352" i="1"/>
  <c r="D351" i="1"/>
  <c r="F351" i="1" s="1"/>
  <c r="D350" i="1"/>
  <c r="F350" i="1" s="1"/>
  <c r="D345" i="1"/>
  <c r="D347" i="1"/>
  <c r="L347" i="1"/>
  <c r="A350" i="1"/>
  <c r="A351" i="1" s="1"/>
  <c r="A352" i="1" s="1"/>
  <c r="G349" i="1"/>
  <c r="D342" i="1"/>
  <c r="D341" i="1"/>
  <c r="D340" i="1"/>
  <c r="D339" i="1"/>
  <c r="F339" i="1" s="1"/>
  <c r="I268" i="1"/>
  <c r="D293" i="1"/>
  <c r="D291" i="1"/>
  <c r="I291" i="1"/>
  <c r="D290" i="1"/>
  <c r="D289" i="1"/>
  <c r="D282" i="1"/>
  <c r="D279" i="1"/>
  <c r="D277" i="1"/>
  <c r="D274" i="1"/>
  <c r="I274" i="1"/>
  <c r="D266" i="1"/>
  <c r="D265" i="1"/>
  <c r="D261" i="1"/>
  <c r="D260" i="1"/>
  <c r="F266" i="1"/>
  <c r="F265" i="1"/>
  <c r="A265" i="1"/>
  <c r="A266" i="1" s="1"/>
  <c r="A267" i="1" s="1"/>
  <c r="G264" i="1"/>
  <c r="D257" i="1"/>
  <c r="F257" i="1" s="1"/>
  <c r="D256" i="1"/>
  <c r="D255" i="1"/>
  <c r="D254" i="1"/>
  <c r="F254" i="1" s="1"/>
  <c r="D230" i="1"/>
  <c r="D231" i="1"/>
  <c r="J184" i="1"/>
  <c r="I184" i="1"/>
  <c r="J118" i="1" l="1"/>
  <c r="E121" i="1"/>
  <c r="G121" i="1"/>
  <c r="I119" i="1"/>
  <c r="J83" i="1"/>
  <c r="J84" i="1" s="1"/>
  <c r="D79" i="1"/>
  <c r="J97" i="1"/>
  <c r="D93" i="1"/>
  <c r="J113" i="1"/>
  <c r="I62" i="1"/>
  <c r="I61" i="1"/>
  <c r="E41" i="1"/>
  <c r="I117" i="1" l="1"/>
  <c r="C119" i="1" s="1"/>
  <c r="J116" i="1"/>
  <c r="C108" i="1" s="1"/>
  <c r="G107" i="1" s="1"/>
  <c r="J98" i="1"/>
  <c r="J99" i="1" s="1"/>
  <c r="J102" i="1" s="1"/>
  <c r="C94" i="1" s="1"/>
  <c r="J85" i="1"/>
  <c r="J88" i="1" s="1"/>
  <c r="C80" i="1" s="1"/>
  <c r="I148" i="1"/>
  <c r="J104" i="1" l="1"/>
  <c r="D108" i="1"/>
  <c r="I104" i="1" s="1"/>
  <c r="I105" i="1" s="1"/>
  <c r="E107" i="1"/>
  <c r="E79" i="1"/>
  <c r="D80" i="1"/>
  <c r="G79" i="1"/>
  <c r="D73" i="1" s="1"/>
  <c r="J76" i="1"/>
  <c r="E93" i="1"/>
  <c r="D94" i="1"/>
  <c r="I90" i="1" s="1"/>
  <c r="G93" i="1"/>
  <c r="J90" i="1"/>
  <c r="J157" i="1"/>
  <c r="I103" i="1" l="1"/>
  <c r="C105" i="1" s="1"/>
  <c r="I91" i="1"/>
  <c r="I89" i="1" s="1"/>
  <c r="C91" i="1" s="1"/>
  <c r="I76" i="1"/>
  <c r="D222" i="1"/>
  <c r="F222" i="1" s="1"/>
  <c r="D221" i="1"/>
  <c r="C166" i="1" s="1"/>
  <c r="G221" i="1"/>
  <c r="A222" i="1"/>
  <c r="D184" i="1"/>
  <c r="C163" i="1" s="1"/>
  <c r="G184" i="1"/>
  <c r="H132" i="1"/>
  <c r="I77" i="1" l="1"/>
  <c r="I75" i="1" s="1"/>
  <c r="C77" i="1" s="1"/>
  <c r="J137" i="1"/>
  <c r="J138" i="1" s="1"/>
  <c r="J139" i="1" s="1"/>
  <c r="J140" i="1" s="1"/>
  <c r="D143" i="1"/>
  <c r="D141" i="1"/>
  <c r="D139" i="1"/>
  <c r="D137" i="1"/>
  <c r="J135" i="1"/>
  <c r="J131" i="1"/>
  <c r="J133" i="1" s="1"/>
  <c r="J136" i="1"/>
  <c r="C135" i="1" s="1"/>
  <c r="J134" i="1"/>
  <c r="D144" i="1"/>
  <c r="D142" i="1"/>
  <c r="D140" i="1"/>
  <c r="D138" i="1"/>
  <c r="F184" i="1"/>
  <c r="G163" i="1" s="1"/>
  <c r="E166" i="1"/>
  <c r="F221" i="1"/>
  <c r="G166" i="1" s="1"/>
  <c r="E163" i="1"/>
  <c r="D752" i="1"/>
  <c r="D751" i="1"/>
  <c r="D750" i="1"/>
  <c r="D749" i="1"/>
  <c r="D747" i="1"/>
  <c r="D746" i="1"/>
  <c r="D745" i="1"/>
  <c r="D798" i="1"/>
  <c r="D795" i="1"/>
  <c r="D793" i="1"/>
  <c r="D790" i="1"/>
  <c r="D788" i="1"/>
  <c r="D787" i="1"/>
  <c r="D786" i="1"/>
  <c r="D785" i="1"/>
  <c r="D716" i="1"/>
  <c r="D715" i="1"/>
  <c r="D712" i="1"/>
  <c r="D711" i="1"/>
  <c r="D710" i="1"/>
  <c r="D675" i="1"/>
  <c r="D669" i="1"/>
  <c r="D667" i="1"/>
  <c r="D666" i="1"/>
  <c r="D665" i="1"/>
  <c r="D658" i="1"/>
  <c r="D655" i="1"/>
  <c r="D653" i="1"/>
  <c r="D650" i="1"/>
  <c r="D648" i="1"/>
  <c r="D647" i="1"/>
  <c r="D646" i="1"/>
  <c r="D645" i="1"/>
  <c r="D643" i="1"/>
  <c r="D642" i="1"/>
  <c r="D641" i="1"/>
  <c r="D640" i="1"/>
  <c r="D632" i="1"/>
  <c r="D631" i="1"/>
  <c r="D627" i="1"/>
  <c r="D626" i="1"/>
  <c r="D580" i="1"/>
  <c r="D579" i="1"/>
  <c r="D578" i="1"/>
  <c r="D577" i="1"/>
  <c r="D575" i="1"/>
  <c r="D574" i="1"/>
  <c r="D573" i="1"/>
  <c r="D572" i="1"/>
  <c r="D544" i="1"/>
  <c r="D509" i="1"/>
  <c r="D508" i="1"/>
  <c r="D506" i="1"/>
  <c r="D505" i="1"/>
  <c r="D504" i="1"/>
  <c r="D466" i="1"/>
  <c r="D465" i="1"/>
  <c r="D464" i="1"/>
  <c r="D463" i="1"/>
  <c r="D462" i="1"/>
  <c r="D461" i="1"/>
  <c r="D452" i="1"/>
  <c r="D451" i="1"/>
  <c r="D450" i="1"/>
  <c r="D449" i="1"/>
  <c r="D448" i="1"/>
  <c r="D447" i="1"/>
  <c r="D372" i="1"/>
  <c r="D371" i="1"/>
  <c r="D370" i="1"/>
  <c r="D369" i="1"/>
  <c r="D392" i="1"/>
  <c r="D391" i="1"/>
  <c r="D390" i="1"/>
  <c r="D366" i="1"/>
  <c r="D365" i="1"/>
  <c r="D357" i="1"/>
  <c r="D356" i="1"/>
  <c r="D355" i="1"/>
  <c r="D354" i="1"/>
  <c r="D388" i="1"/>
  <c r="D387" i="1"/>
  <c r="D386" i="1"/>
  <c r="D385" i="1"/>
  <c r="D346" i="1"/>
  <c r="D337" i="1"/>
  <c r="D336" i="1"/>
  <c r="D335" i="1"/>
  <c r="D334" i="1"/>
  <c r="D332" i="1"/>
  <c r="D331" i="1"/>
  <c r="D330" i="1"/>
  <c r="D329" i="1"/>
  <c r="D327" i="1"/>
  <c r="D326" i="1"/>
  <c r="D325" i="1"/>
  <c r="D324" i="1"/>
  <c r="D322" i="1"/>
  <c r="D321" i="1"/>
  <c r="D320" i="1"/>
  <c r="D319" i="1"/>
  <c r="D317" i="1"/>
  <c r="D316" i="1"/>
  <c r="D315" i="1"/>
  <c r="D314" i="1"/>
  <c r="D287" i="1"/>
  <c r="D286" i="1"/>
  <c r="D285" i="1"/>
  <c r="D284" i="1"/>
  <c r="D303" i="1"/>
  <c r="D302" i="1"/>
  <c r="D301" i="1"/>
  <c r="D300" i="1"/>
  <c r="D281" i="1"/>
  <c r="D280" i="1"/>
  <c r="D272" i="1"/>
  <c r="D271" i="1"/>
  <c r="D270" i="1"/>
  <c r="D269" i="1"/>
  <c r="D298" i="1"/>
  <c r="D297" i="1"/>
  <c r="D296" i="1"/>
  <c r="D295" i="1"/>
  <c r="D252" i="1"/>
  <c r="D251" i="1"/>
  <c r="D250" i="1"/>
  <c r="D249" i="1"/>
  <c r="D247" i="1"/>
  <c r="D246" i="1"/>
  <c r="D245" i="1"/>
  <c r="D244" i="1"/>
  <c r="D242" i="1"/>
  <c r="D241" i="1"/>
  <c r="D240" i="1"/>
  <c r="D239" i="1"/>
  <c r="D237" i="1"/>
  <c r="D236" i="1"/>
  <c r="D235" i="1"/>
  <c r="D234" i="1"/>
  <c r="D232" i="1"/>
  <c r="D229" i="1"/>
  <c r="K227" i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D210" i="1"/>
  <c r="D209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J187" i="1"/>
  <c r="F211" i="1"/>
  <c r="F210" i="1"/>
  <c r="G209" i="1"/>
  <c r="A210" i="1"/>
  <c r="A211" i="1" s="1"/>
  <c r="A212" i="1" s="1"/>
  <c r="A213" i="1" s="1"/>
  <c r="A214" i="1" s="1"/>
  <c r="A215" i="1" s="1"/>
  <c r="A216" i="1" s="1"/>
  <c r="A217" i="1" s="1"/>
  <c r="A218" i="1" s="1"/>
  <c r="L175" i="1" l="1"/>
  <c r="J141" i="1"/>
  <c r="J144" i="1" s="1"/>
  <c r="C136" i="1" s="1"/>
  <c r="D135" i="1"/>
  <c r="C174" i="1"/>
  <c r="E174" i="1"/>
  <c r="C175" i="1"/>
  <c r="E175" i="1"/>
  <c r="C173" i="1"/>
  <c r="E173" i="1"/>
  <c r="L173" i="1"/>
  <c r="L174" i="1"/>
  <c r="C172" i="1"/>
  <c r="E172" i="1"/>
  <c r="E170" i="1"/>
  <c r="L170" i="1"/>
  <c r="C170" i="1"/>
  <c r="C171" i="1"/>
  <c r="L171" i="1"/>
  <c r="E171" i="1"/>
  <c r="L172" i="1"/>
  <c r="F209" i="1"/>
  <c r="G165" i="1" s="1"/>
  <c r="C165" i="1"/>
  <c r="E165" i="1"/>
  <c r="E164" i="1"/>
  <c r="C164" i="1"/>
  <c r="F203" i="1"/>
  <c r="F196" i="1"/>
  <c r="F192" i="1"/>
  <c r="F206" i="1"/>
  <c r="F205" i="1"/>
  <c r="F204" i="1"/>
  <c r="F202" i="1"/>
  <c r="F201" i="1"/>
  <c r="F200" i="1"/>
  <c r="F199" i="1"/>
  <c r="F198" i="1"/>
  <c r="F197" i="1"/>
  <c r="F195" i="1"/>
  <c r="F194" i="1"/>
  <c r="F193" i="1"/>
  <c r="F747" i="1"/>
  <c r="F746" i="1"/>
  <c r="F745" i="1"/>
  <c r="A745" i="1"/>
  <c r="A746" i="1" s="1"/>
  <c r="A747" i="1" s="1"/>
  <c r="G744" i="1"/>
  <c r="F744" i="1"/>
  <c r="F742" i="1"/>
  <c r="F741" i="1"/>
  <c r="F740" i="1"/>
  <c r="A740" i="1"/>
  <c r="A741" i="1" s="1"/>
  <c r="A742" i="1" s="1"/>
  <c r="G739" i="1"/>
  <c r="F739" i="1"/>
  <c r="F752" i="1"/>
  <c r="F751" i="1"/>
  <c r="F750" i="1"/>
  <c r="A750" i="1"/>
  <c r="A751" i="1" s="1"/>
  <c r="A752" i="1" s="1"/>
  <c r="G749" i="1"/>
  <c r="F749" i="1"/>
  <c r="F798" i="1"/>
  <c r="A796" i="1"/>
  <c r="A797" i="1" s="1"/>
  <c r="A798" i="1" s="1"/>
  <c r="G795" i="1"/>
  <c r="F795" i="1"/>
  <c r="F793" i="1"/>
  <c r="A791" i="1"/>
  <c r="A792" i="1" s="1"/>
  <c r="A793" i="1" s="1"/>
  <c r="G790" i="1"/>
  <c r="F790" i="1"/>
  <c r="F716" i="1"/>
  <c r="F715" i="1"/>
  <c r="A715" i="1"/>
  <c r="A716" i="1" s="1"/>
  <c r="A717" i="1" s="1"/>
  <c r="G714" i="1"/>
  <c r="F712" i="1"/>
  <c r="F711" i="1"/>
  <c r="F710" i="1"/>
  <c r="A710" i="1"/>
  <c r="A711" i="1" s="1"/>
  <c r="A712" i="1" s="1"/>
  <c r="G709" i="1"/>
  <c r="F675" i="1"/>
  <c r="F673" i="1"/>
  <c r="F672" i="1"/>
  <c r="A672" i="1"/>
  <c r="G671" i="1"/>
  <c r="F671" i="1"/>
  <c r="F669" i="1"/>
  <c r="F667" i="1"/>
  <c r="F666" i="1"/>
  <c r="A666" i="1"/>
  <c r="G665" i="1"/>
  <c r="F665" i="1"/>
  <c r="F661" i="1"/>
  <c r="F663" i="1"/>
  <c r="F662" i="1"/>
  <c r="A661" i="1"/>
  <c r="A662" i="1" s="1"/>
  <c r="A663" i="1" s="1"/>
  <c r="G660" i="1"/>
  <c r="F660" i="1"/>
  <c r="F658" i="1"/>
  <c r="A656" i="1"/>
  <c r="A657" i="1" s="1"/>
  <c r="A658" i="1" s="1"/>
  <c r="G655" i="1"/>
  <c r="F655" i="1"/>
  <c r="F653" i="1"/>
  <c r="A651" i="1"/>
  <c r="A652" i="1" s="1"/>
  <c r="A653" i="1" s="1"/>
  <c r="G650" i="1"/>
  <c r="F650" i="1"/>
  <c r="F632" i="1"/>
  <c r="F631" i="1"/>
  <c r="A631" i="1"/>
  <c r="A632" i="1" s="1"/>
  <c r="A633" i="1" s="1"/>
  <c r="G630" i="1"/>
  <c r="F627" i="1"/>
  <c r="F626" i="1"/>
  <c r="A626" i="1"/>
  <c r="A627" i="1" s="1"/>
  <c r="A628" i="1" s="1"/>
  <c r="G625" i="1"/>
  <c r="F589" i="1"/>
  <c r="F591" i="1"/>
  <c r="F588" i="1"/>
  <c r="F590" i="1"/>
  <c r="A589" i="1"/>
  <c r="A590" i="1" s="1"/>
  <c r="A591" i="1" s="1"/>
  <c r="G588" i="1"/>
  <c r="F586" i="1"/>
  <c r="F584" i="1"/>
  <c r="F583" i="1"/>
  <c r="A583" i="1"/>
  <c r="G582" i="1"/>
  <c r="F582" i="1"/>
  <c r="F577" i="1"/>
  <c r="F580" i="1"/>
  <c r="F579" i="1"/>
  <c r="F578" i="1"/>
  <c r="A578" i="1"/>
  <c r="A579" i="1" s="1"/>
  <c r="A580" i="1" s="1"/>
  <c r="G577" i="1"/>
  <c r="F565" i="1"/>
  <c r="A563" i="1"/>
  <c r="A564" i="1" s="1"/>
  <c r="A565" i="1" s="1"/>
  <c r="G562" i="1"/>
  <c r="F562" i="1"/>
  <c r="F560" i="1"/>
  <c r="A558" i="1"/>
  <c r="A559" i="1" s="1"/>
  <c r="A560" i="1" s="1"/>
  <c r="G557" i="1"/>
  <c r="F557" i="1"/>
  <c r="F545" i="1"/>
  <c r="F544" i="1"/>
  <c r="F543" i="1"/>
  <c r="A543" i="1"/>
  <c r="A544" i="1" s="1"/>
  <c r="A545" i="1" s="1"/>
  <c r="G542" i="1"/>
  <c r="F540" i="1"/>
  <c r="F539" i="1"/>
  <c r="F538" i="1"/>
  <c r="A538" i="1"/>
  <c r="A539" i="1" s="1"/>
  <c r="A540" i="1" s="1"/>
  <c r="G537" i="1"/>
  <c r="F727" i="1"/>
  <c r="F726" i="1"/>
  <c r="F725" i="1"/>
  <c r="A725" i="1"/>
  <c r="A726" i="1" s="1"/>
  <c r="A727" i="1" s="1"/>
  <c r="G724" i="1"/>
  <c r="F724" i="1"/>
  <c r="F788" i="1"/>
  <c r="F787" i="1"/>
  <c r="F786" i="1"/>
  <c r="A786" i="1"/>
  <c r="A787" i="1" s="1"/>
  <c r="A788" i="1" s="1"/>
  <c r="G785" i="1"/>
  <c r="F785" i="1"/>
  <c r="F702" i="1"/>
  <c r="F701" i="1"/>
  <c r="F700" i="1"/>
  <c r="A700" i="1"/>
  <c r="A701" i="1" s="1"/>
  <c r="A702" i="1" s="1"/>
  <c r="G699" i="1"/>
  <c r="F699" i="1"/>
  <c r="F697" i="1"/>
  <c r="F696" i="1"/>
  <c r="F695" i="1"/>
  <c r="A695" i="1"/>
  <c r="A696" i="1" s="1"/>
  <c r="A697" i="1" s="1"/>
  <c r="G694" i="1"/>
  <c r="F694" i="1"/>
  <c r="F692" i="1"/>
  <c r="F691" i="1"/>
  <c r="F690" i="1"/>
  <c r="A690" i="1"/>
  <c r="A691" i="1" s="1"/>
  <c r="A692" i="1" s="1"/>
  <c r="G689" i="1"/>
  <c r="F689" i="1"/>
  <c r="F687" i="1"/>
  <c r="F686" i="1"/>
  <c r="F685" i="1"/>
  <c r="A685" i="1"/>
  <c r="A686" i="1" s="1"/>
  <c r="A687" i="1" s="1"/>
  <c r="G684" i="1"/>
  <c r="F684" i="1"/>
  <c r="F682" i="1"/>
  <c r="F681" i="1"/>
  <c r="F680" i="1"/>
  <c r="A680" i="1"/>
  <c r="A681" i="1" s="1"/>
  <c r="A682" i="1" s="1"/>
  <c r="G679" i="1"/>
  <c r="F679" i="1"/>
  <c r="F648" i="1"/>
  <c r="F647" i="1"/>
  <c r="F646" i="1"/>
  <c r="A646" i="1"/>
  <c r="A647" i="1" s="1"/>
  <c r="A648" i="1" s="1"/>
  <c r="G645" i="1"/>
  <c r="F645" i="1"/>
  <c r="F643" i="1"/>
  <c r="F642" i="1"/>
  <c r="F641" i="1"/>
  <c r="A641" i="1"/>
  <c r="A642" i="1" s="1"/>
  <c r="A643" i="1" s="1"/>
  <c r="G640" i="1"/>
  <c r="F640" i="1"/>
  <c r="F618" i="1"/>
  <c r="F617" i="1"/>
  <c r="F616" i="1"/>
  <c r="A616" i="1"/>
  <c r="A617" i="1" s="1"/>
  <c r="A618" i="1" s="1"/>
  <c r="G615" i="1"/>
  <c r="F615" i="1"/>
  <c r="F613" i="1"/>
  <c r="F612" i="1"/>
  <c r="F611" i="1"/>
  <c r="A611" i="1"/>
  <c r="A612" i="1" s="1"/>
  <c r="A613" i="1" s="1"/>
  <c r="G610" i="1"/>
  <c r="F610" i="1"/>
  <c r="F608" i="1"/>
  <c r="F607" i="1"/>
  <c r="F606" i="1"/>
  <c r="A606" i="1"/>
  <c r="A607" i="1" s="1"/>
  <c r="A608" i="1" s="1"/>
  <c r="G605" i="1"/>
  <c r="F605" i="1"/>
  <c r="F603" i="1"/>
  <c r="F602" i="1"/>
  <c r="F601" i="1"/>
  <c r="A601" i="1"/>
  <c r="A602" i="1" s="1"/>
  <c r="A603" i="1" s="1"/>
  <c r="G600" i="1"/>
  <c r="F600" i="1"/>
  <c r="F598" i="1"/>
  <c r="F597" i="1"/>
  <c r="F596" i="1"/>
  <c r="A596" i="1"/>
  <c r="A597" i="1" s="1"/>
  <c r="A598" i="1" s="1"/>
  <c r="G595" i="1"/>
  <c r="F595" i="1"/>
  <c r="F555" i="1"/>
  <c r="F554" i="1"/>
  <c r="F553" i="1"/>
  <c r="A553" i="1"/>
  <c r="A554" i="1" s="1"/>
  <c r="A555" i="1" s="1"/>
  <c r="G552" i="1"/>
  <c r="F552" i="1"/>
  <c r="F575" i="1"/>
  <c r="F574" i="1"/>
  <c r="F573" i="1"/>
  <c r="A573" i="1"/>
  <c r="A574" i="1" s="1"/>
  <c r="A575" i="1" s="1"/>
  <c r="G572" i="1"/>
  <c r="F572" i="1"/>
  <c r="F535" i="1"/>
  <c r="F534" i="1"/>
  <c r="F533" i="1"/>
  <c r="A533" i="1"/>
  <c r="A534" i="1" s="1"/>
  <c r="A535" i="1" s="1"/>
  <c r="G532" i="1"/>
  <c r="F532" i="1"/>
  <c r="F530" i="1"/>
  <c r="F529" i="1"/>
  <c r="F528" i="1"/>
  <c r="A528" i="1"/>
  <c r="A529" i="1" s="1"/>
  <c r="A530" i="1" s="1"/>
  <c r="G527" i="1"/>
  <c r="F527" i="1"/>
  <c r="F525" i="1"/>
  <c r="F524" i="1"/>
  <c r="F523" i="1"/>
  <c r="A523" i="1"/>
  <c r="A524" i="1" s="1"/>
  <c r="A525" i="1" s="1"/>
  <c r="G522" i="1"/>
  <c r="F522" i="1"/>
  <c r="F520" i="1"/>
  <c r="F519" i="1"/>
  <c r="F518" i="1"/>
  <c r="A518" i="1"/>
  <c r="A519" i="1" s="1"/>
  <c r="A520" i="1" s="1"/>
  <c r="G517" i="1"/>
  <c r="F517" i="1"/>
  <c r="F515" i="1"/>
  <c r="F514" i="1"/>
  <c r="F513" i="1"/>
  <c r="A513" i="1"/>
  <c r="A514" i="1" s="1"/>
  <c r="A515" i="1" s="1"/>
  <c r="G512" i="1"/>
  <c r="F512" i="1"/>
  <c r="F501" i="1"/>
  <c r="F500" i="1"/>
  <c r="F499" i="1"/>
  <c r="F498" i="1"/>
  <c r="F497" i="1"/>
  <c r="A497" i="1"/>
  <c r="A498" i="1" s="1"/>
  <c r="A499" i="1" s="1"/>
  <c r="A500" i="1" s="1"/>
  <c r="A501" i="1" s="1"/>
  <c r="G496" i="1"/>
  <c r="F496" i="1"/>
  <c r="F494" i="1"/>
  <c r="F493" i="1"/>
  <c r="F491" i="1"/>
  <c r="F490" i="1"/>
  <c r="A490" i="1"/>
  <c r="A491" i="1" s="1"/>
  <c r="A492" i="1" s="1"/>
  <c r="A493" i="1" s="1"/>
  <c r="A494" i="1" s="1"/>
  <c r="G489" i="1"/>
  <c r="F489" i="1"/>
  <c r="F509" i="1"/>
  <c r="F508" i="1"/>
  <c r="F506" i="1"/>
  <c r="F505" i="1"/>
  <c r="A505" i="1"/>
  <c r="A506" i="1" s="1"/>
  <c r="A507" i="1" s="1"/>
  <c r="A508" i="1" s="1"/>
  <c r="A509" i="1" s="1"/>
  <c r="G504" i="1"/>
  <c r="F504" i="1"/>
  <c r="F487" i="1"/>
  <c r="F486" i="1"/>
  <c r="F485" i="1"/>
  <c r="F484" i="1"/>
  <c r="F483" i="1"/>
  <c r="A483" i="1"/>
  <c r="A484" i="1" s="1"/>
  <c r="A485" i="1" s="1"/>
  <c r="A486" i="1" s="1"/>
  <c r="A487" i="1" s="1"/>
  <c r="G482" i="1"/>
  <c r="F482" i="1"/>
  <c r="F473" i="1"/>
  <c r="F472" i="1"/>
  <c r="F469" i="1"/>
  <c r="A469" i="1"/>
  <c r="A470" i="1" s="1"/>
  <c r="A471" i="1" s="1"/>
  <c r="A472" i="1" s="1"/>
  <c r="A473" i="1" s="1"/>
  <c r="G468" i="1"/>
  <c r="F468" i="1"/>
  <c r="F466" i="1"/>
  <c r="F465" i="1"/>
  <c r="F464" i="1"/>
  <c r="F463" i="1"/>
  <c r="F462" i="1"/>
  <c r="A462" i="1"/>
  <c r="A463" i="1" s="1"/>
  <c r="A464" i="1" s="1"/>
  <c r="A465" i="1" s="1"/>
  <c r="A466" i="1" s="1"/>
  <c r="G461" i="1"/>
  <c r="F461" i="1"/>
  <c r="F452" i="1"/>
  <c r="F451" i="1"/>
  <c r="F450" i="1"/>
  <c r="F449" i="1"/>
  <c r="F448" i="1"/>
  <c r="A448" i="1"/>
  <c r="A449" i="1" s="1"/>
  <c r="A450" i="1" s="1"/>
  <c r="A451" i="1" s="1"/>
  <c r="A452" i="1" s="1"/>
  <c r="G447" i="1"/>
  <c r="F447" i="1"/>
  <c r="F445" i="1"/>
  <c r="F444" i="1"/>
  <c r="F441" i="1"/>
  <c r="A441" i="1"/>
  <c r="A442" i="1" s="1"/>
  <c r="A443" i="1" s="1"/>
  <c r="A444" i="1" s="1"/>
  <c r="A445" i="1" s="1"/>
  <c r="G440" i="1"/>
  <c r="F440" i="1"/>
  <c r="F438" i="1"/>
  <c r="F437" i="1"/>
  <c r="F434" i="1"/>
  <c r="A434" i="1"/>
  <c r="A435" i="1" s="1"/>
  <c r="A436" i="1" s="1"/>
  <c r="A437" i="1" s="1"/>
  <c r="A438" i="1" s="1"/>
  <c r="G433" i="1"/>
  <c r="F433" i="1"/>
  <c r="F431" i="1"/>
  <c r="F430" i="1"/>
  <c r="F429" i="1"/>
  <c r="F428" i="1"/>
  <c r="F427" i="1"/>
  <c r="A427" i="1"/>
  <c r="A428" i="1" s="1"/>
  <c r="A429" i="1" s="1"/>
  <c r="A430" i="1" s="1"/>
  <c r="A431" i="1" s="1"/>
  <c r="G426" i="1"/>
  <c r="F426" i="1"/>
  <c r="F424" i="1"/>
  <c r="F423" i="1"/>
  <c r="F422" i="1"/>
  <c r="F421" i="1"/>
  <c r="F420" i="1"/>
  <c r="A420" i="1"/>
  <c r="A421" i="1" s="1"/>
  <c r="A422" i="1" s="1"/>
  <c r="A423" i="1" s="1"/>
  <c r="A424" i="1" s="1"/>
  <c r="G419" i="1"/>
  <c r="F419" i="1"/>
  <c r="F417" i="1"/>
  <c r="F416" i="1"/>
  <c r="F415" i="1"/>
  <c r="F414" i="1"/>
  <c r="F413" i="1"/>
  <c r="A413" i="1"/>
  <c r="A414" i="1" s="1"/>
  <c r="A415" i="1" s="1"/>
  <c r="A416" i="1" s="1"/>
  <c r="A417" i="1" s="1"/>
  <c r="G412" i="1"/>
  <c r="F412" i="1"/>
  <c r="F410" i="1"/>
  <c r="F409" i="1"/>
  <c r="F408" i="1"/>
  <c r="F407" i="1"/>
  <c r="F406" i="1"/>
  <c r="A406" i="1"/>
  <c r="A407" i="1" s="1"/>
  <c r="A408" i="1" s="1"/>
  <c r="A409" i="1" s="1"/>
  <c r="A410" i="1" s="1"/>
  <c r="G405" i="1"/>
  <c r="F405" i="1"/>
  <c r="F403" i="1"/>
  <c r="F398" i="1"/>
  <c r="F401" i="1"/>
  <c r="F399" i="1"/>
  <c r="F402" i="1"/>
  <c r="F400" i="1"/>
  <c r="A399" i="1"/>
  <c r="A400" i="1" s="1"/>
  <c r="A401" i="1" s="1"/>
  <c r="A402" i="1" s="1"/>
  <c r="A403" i="1" s="1"/>
  <c r="G398" i="1"/>
  <c r="F372" i="1"/>
  <c r="F371" i="1"/>
  <c r="F370" i="1"/>
  <c r="A370" i="1"/>
  <c r="A371" i="1" s="1"/>
  <c r="A372" i="1" s="1"/>
  <c r="G369" i="1"/>
  <c r="F369" i="1"/>
  <c r="F377" i="1"/>
  <c r="F376" i="1"/>
  <c r="F375" i="1"/>
  <c r="A375" i="1"/>
  <c r="A376" i="1" s="1"/>
  <c r="A377" i="1" s="1"/>
  <c r="G374" i="1"/>
  <c r="F374" i="1"/>
  <c r="F393" i="1"/>
  <c r="F392" i="1"/>
  <c r="F391" i="1"/>
  <c r="A391" i="1"/>
  <c r="A392" i="1" s="1"/>
  <c r="A393" i="1" s="1"/>
  <c r="G390" i="1"/>
  <c r="F390" i="1"/>
  <c r="F367" i="1"/>
  <c r="F366" i="1"/>
  <c r="F365" i="1"/>
  <c r="A365" i="1"/>
  <c r="A366" i="1" s="1"/>
  <c r="A367" i="1" s="1"/>
  <c r="G364" i="1"/>
  <c r="F364" i="1"/>
  <c r="F362" i="1"/>
  <c r="A360" i="1"/>
  <c r="A361" i="1" s="1"/>
  <c r="A362" i="1" s="1"/>
  <c r="G359" i="1"/>
  <c r="F359" i="1"/>
  <c r="F357" i="1"/>
  <c r="F356" i="1"/>
  <c r="F355" i="1"/>
  <c r="A355" i="1"/>
  <c r="A356" i="1" s="1"/>
  <c r="A357" i="1" s="1"/>
  <c r="G354" i="1"/>
  <c r="F354" i="1"/>
  <c r="F388" i="1"/>
  <c r="F387" i="1"/>
  <c r="F386" i="1"/>
  <c r="A386" i="1"/>
  <c r="A387" i="1" s="1"/>
  <c r="A388" i="1" s="1"/>
  <c r="G385" i="1"/>
  <c r="F385" i="1"/>
  <c r="F347" i="1"/>
  <c r="J347" i="1"/>
  <c r="F346" i="1"/>
  <c r="F345" i="1"/>
  <c r="A345" i="1"/>
  <c r="A346" i="1" s="1"/>
  <c r="A347" i="1" s="1"/>
  <c r="G344" i="1"/>
  <c r="J342" i="1"/>
  <c r="F340" i="1"/>
  <c r="F342" i="1"/>
  <c r="F341" i="1"/>
  <c r="A340" i="1"/>
  <c r="A341" i="1" s="1"/>
  <c r="A342" i="1" s="1"/>
  <c r="G339" i="1"/>
  <c r="F337" i="1"/>
  <c r="F336" i="1"/>
  <c r="F335" i="1"/>
  <c r="A335" i="1"/>
  <c r="A336" i="1" s="1"/>
  <c r="A337" i="1" s="1"/>
  <c r="G334" i="1"/>
  <c r="F334" i="1"/>
  <c r="F332" i="1"/>
  <c r="F331" i="1"/>
  <c r="F330" i="1"/>
  <c r="A330" i="1"/>
  <c r="A331" i="1" s="1"/>
  <c r="A332" i="1" s="1"/>
  <c r="G329" i="1"/>
  <c r="F329" i="1"/>
  <c r="F327" i="1"/>
  <c r="F326" i="1"/>
  <c r="F325" i="1"/>
  <c r="A325" i="1"/>
  <c r="A326" i="1" s="1"/>
  <c r="A327" i="1" s="1"/>
  <c r="G324" i="1"/>
  <c r="F324" i="1"/>
  <c r="F322" i="1"/>
  <c r="F321" i="1"/>
  <c r="F320" i="1"/>
  <c r="A320" i="1"/>
  <c r="A321" i="1" s="1"/>
  <c r="A322" i="1" s="1"/>
  <c r="G319" i="1"/>
  <c r="F319" i="1"/>
  <c r="F317" i="1"/>
  <c r="F316" i="1"/>
  <c r="F315" i="1"/>
  <c r="A315" i="1"/>
  <c r="A316" i="1" s="1"/>
  <c r="A317" i="1" s="1"/>
  <c r="M314" i="1"/>
  <c r="L314" i="1"/>
  <c r="G314" i="1"/>
  <c r="F314" i="1"/>
  <c r="F287" i="1"/>
  <c r="F286" i="1"/>
  <c r="F285" i="1"/>
  <c r="A285" i="1"/>
  <c r="A286" i="1" s="1"/>
  <c r="A287" i="1" s="1"/>
  <c r="G284" i="1"/>
  <c r="F284" i="1"/>
  <c r="F303" i="1"/>
  <c r="F302" i="1"/>
  <c r="F301" i="1"/>
  <c r="A301" i="1"/>
  <c r="A302" i="1" s="1"/>
  <c r="A303" i="1" s="1"/>
  <c r="G300" i="1"/>
  <c r="F300" i="1"/>
  <c r="F291" i="1"/>
  <c r="F293" i="1"/>
  <c r="F290" i="1"/>
  <c r="K156" i="1" s="1"/>
  <c r="A290" i="1"/>
  <c r="G289" i="1"/>
  <c r="F289" i="1"/>
  <c r="K157" i="1" s="1"/>
  <c r="F282" i="1"/>
  <c r="F281" i="1"/>
  <c r="F280" i="1"/>
  <c r="A280" i="1"/>
  <c r="A281" i="1" s="1"/>
  <c r="A282" i="1" s="1"/>
  <c r="G279" i="1"/>
  <c r="F279" i="1"/>
  <c r="F277" i="1"/>
  <c r="A275" i="1"/>
  <c r="A276" i="1" s="1"/>
  <c r="A277" i="1" s="1"/>
  <c r="G274" i="1"/>
  <c r="F274" i="1"/>
  <c r="F272" i="1"/>
  <c r="F271" i="1"/>
  <c r="F270" i="1"/>
  <c r="A270" i="1"/>
  <c r="A271" i="1" s="1"/>
  <c r="A272" i="1" s="1"/>
  <c r="G269" i="1"/>
  <c r="F269" i="1"/>
  <c r="F298" i="1"/>
  <c r="F297" i="1"/>
  <c r="F296" i="1"/>
  <c r="A296" i="1"/>
  <c r="A297" i="1" s="1"/>
  <c r="A298" i="1" s="1"/>
  <c r="G295" i="1"/>
  <c r="F295" i="1"/>
  <c r="F261" i="1"/>
  <c r="F260" i="1"/>
  <c r="A260" i="1"/>
  <c r="A261" i="1" s="1"/>
  <c r="A262" i="1" s="1"/>
  <c r="G259" i="1"/>
  <c r="F256" i="1"/>
  <c r="F255" i="1"/>
  <c r="A255" i="1"/>
  <c r="A256" i="1" s="1"/>
  <c r="A257" i="1" s="1"/>
  <c r="G254" i="1"/>
  <c r="F252" i="1"/>
  <c r="F251" i="1"/>
  <c r="F250" i="1"/>
  <c r="A250" i="1"/>
  <c r="A251" i="1" s="1"/>
  <c r="A252" i="1" s="1"/>
  <c r="G249" i="1"/>
  <c r="F249" i="1"/>
  <c r="F247" i="1"/>
  <c r="F246" i="1"/>
  <c r="F245" i="1"/>
  <c r="A245" i="1"/>
  <c r="A246" i="1" s="1"/>
  <c r="A247" i="1" s="1"/>
  <c r="G244" i="1"/>
  <c r="F244" i="1"/>
  <c r="F242" i="1"/>
  <c r="F241" i="1"/>
  <c r="F240" i="1"/>
  <c r="A240" i="1"/>
  <c r="A241" i="1" s="1"/>
  <c r="A242" i="1" s="1"/>
  <c r="G239" i="1"/>
  <c r="F239" i="1"/>
  <c r="M229" i="1"/>
  <c r="L229" i="1"/>
  <c r="F237" i="1"/>
  <c r="F236" i="1"/>
  <c r="F235" i="1"/>
  <c r="A235" i="1"/>
  <c r="A236" i="1" s="1"/>
  <c r="A237" i="1" s="1"/>
  <c r="G234" i="1"/>
  <c r="F234" i="1"/>
  <c r="G175" i="1" l="1"/>
  <c r="E135" i="1"/>
  <c r="D136" i="1"/>
  <c r="I132" i="1" s="1"/>
  <c r="J132" i="1"/>
  <c r="G135" i="1"/>
  <c r="G174" i="1"/>
  <c r="A673" i="1"/>
  <c r="A675" i="1" s="1"/>
  <c r="A667" i="1"/>
  <c r="A669" i="1" s="1"/>
  <c r="G173" i="1"/>
  <c r="A584" i="1"/>
  <c r="A586" i="1" s="1"/>
  <c r="G171" i="1"/>
  <c r="G172" i="1"/>
  <c r="A291" i="1"/>
  <c r="A293" i="1" s="1"/>
  <c r="M315" i="1"/>
  <c r="C176" i="1"/>
  <c r="E167" i="1"/>
  <c r="M230" i="1"/>
  <c r="C167" i="1"/>
  <c r="E176" i="1"/>
  <c r="F232" i="1"/>
  <c r="F231" i="1"/>
  <c r="F230" i="1"/>
  <c r="A230" i="1"/>
  <c r="A231" i="1" s="1"/>
  <c r="A232" i="1" s="1"/>
  <c r="G229" i="1"/>
  <c r="F229" i="1"/>
  <c r="J173" i="1" l="1"/>
  <c r="I133" i="1"/>
  <c r="I131" i="1" s="1"/>
  <c r="C133" i="1" s="1"/>
  <c r="G170" i="1"/>
  <c r="G176" i="1" s="1"/>
  <c r="K158" i="1"/>
  <c r="C15" i="1"/>
  <c r="E30" i="1" l="1"/>
  <c r="F757" i="1" l="1"/>
  <c r="F758" i="1"/>
  <c r="F759" i="1"/>
  <c r="F756" i="1"/>
  <c r="A757" i="1"/>
  <c r="A758" i="1" s="1"/>
  <c r="A759" i="1" s="1"/>
  <c r="G756" i="1"/>
  <c r="F160" i="1" l="1"/>
  <c r="F189" i="1" l="1"/>
  <c r="F190" i="1"/>
  <c r="F191" i="1"/>
  <c r="F188" i="1"/>
  <c r="G164" i="1" l="1"/>
  <c r="G167" i="1" s="1"/>
  <c r="B801" i="1"/>
  <c r="A779" i="1"/>
  <c r="A773" i="1"/>
  <c r="A767" i="1"/>
  <c r="F783" i="1" l="1"/>
  <c r="F782" i="1"/>
  <c r="F781" i="1"/>
  <c r="F780" i="1"/>
  <c r="F779" i="1"/>
  <c r="F777" i="1"/>
  <c r="F776" i="1"/>
  <c r="F775" i="1"/>
  <c r="F774" i="1"/>
  <c r="F773" i="1"/>
  <c r="F771" i="1"/>
  <c r="F770" i="1"/>
  <c r="F769" i="1"/>
  <c r="F768" i="1"/>
  <c r="F767" i="1"/>
  <c r="F765" i="1"/>
  <c r="F764" i="1"/>
  <c r="F762" i="1"/>
  <c r="F761" i="1"/>
  <c r="F763" i="1"/>
  <c r="A774" i="1"/>
  <c r="A768" i="1"/>
  <c r="A780" i="1"/>
  <c r="B802" i="1" l="1"/>
  <c r="A775" i="1"/>
  <c r="A781" i="1"/>
  <c r="A76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825" i="1"/>
  <c r="G779" i="1"/>
  <c r="G773" i="1"/>
  <c r="G767" i="1"/>
  <c r="G761" i="1"/>
  <c r="A761" i="1"/>
  <c r="A762" i="1" s="1"/>
  <c r="A763" i="1" s="1"/>
  <c r="A764" i="1" s="1"/>
  <c r="A765" i="1" s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G188" i="1"/>
  <c r="D61" i="1"/>
  <c r="L61" i="1" s="1"/>
  <c r="G50" i="1"/>
  <c r="G51" i="1" s="1"/>
  <c r="C50" i="1"/>
  <c r="E43" i="1"/>
  <c r="E44" i="1" s="1"/>
  <c r="E27" i="1"/>
  <c r="E25" i="1"/>
  <c r="E7" i="1"/>
  <c r="E3" i="1"/>
  <c r="A770" i="1"/>
  <c r="A782" i="1"/>
  <c r="A776" i="1"/>
  <c r="D69" i="1" l="1"/>
  <c r="A771" i="1"/>
  <c r="A777" i="1"/>
  <c r="A783" i="1"/>
  <c r="D74" i="1" l="1"/>
  <c r="F74" i="1" l="1"/>
</calcChain>
</file>

<file path=xl/sharedStrings.xml><?xml version="1.0" encoding="utf-8"?>
<sst xmlns="http://schemas.openxmlformats.org/spreadsheetml/2006/main" count="719" uniqueCount="324">
  <si>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</si>
  <si>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</si>
  <si>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</si>
  <si>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</si>
  <si>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</si>
  <si>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</si>
  <si>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</si>
  <si>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</si>
  <si>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</si>
  <si>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</si>
  <si>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</si>
  <si>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</si>
  <si>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</si>
  <si>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</si>
  <si>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</si>
  <si>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</si>
  <si>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</si>
  <si>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</si>
  <si>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</si>
  <si>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</si>
  <si>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</si>
  <si>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</si>
  <si>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</si>
  <si>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</si>
  <si>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</si>
  <si>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</si>
  <si>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</si>
  <si>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</si>
  <si>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</si>
  <si>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</si>
  <si>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</si>
  <si>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</si>
  <si>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</si>
  <si>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</si>
  <si>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</si>
  <si>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</si>
  <si>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</si>
  <si>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</si>
  <si>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</si>
  <si>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</si>
  <si>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</si>
  <si>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</si>
  <si>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</si>
  <si>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</si>
  <si>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</si>
  <si>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</si>
  <si>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</si>
  <si>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</si>
  <si>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</si>
  <si>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</si>
  <si>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</si>
  <si>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</si>
  <si>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</si>
  <si>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</si>
  <si>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</si>
  <si>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</si>
  <si>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</si>
  <si>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</si>
  <si>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</si>
  <si>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</si>
  <si>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</si>
  <si>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</si>
  <si>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</si>
  <si>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</si>
  <si>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</si>
  <si>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</si>
  <si>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</si>
  <si>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</si>
  <si>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</si>
  <si>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</si>
  <si>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</si>
  <si>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</si>
  <si>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</si>
  <si>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</si>
  <si>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</si>
  <si>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</si>
  <si>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</si>
  <si>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</si>
  <si>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</si>
  <si>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</si>
  <si>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</si>
  <si>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</si>
  <si>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</si>
  <si>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</si>
  <si>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</si>
  <si>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</si>
  <si>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</si>
  <si>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</si>
  <si>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</si>
  <si>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</si>
  <si>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</si>
  <si>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</si>
  <si>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</si>
  <si>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</si>
  <si>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</si>
  <si>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</si>
  <si>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</si>
  <si>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</si>
  <si>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</si>
  <si>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</si>
  <si>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</si>
  <si>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</si>
  <si>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</si>
  <si>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</si>
  <si>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</si>
  <si>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</si>
  <si>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</si>
  <si>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</si>
  <si>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</si>
  <si>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</si>
  <si>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</si>
  <si>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</si>
  <si>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</si>
  <si>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</si>
  <si>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</si>
  <si>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</si>
  <si>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</si>
  <si>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</si>
  <si>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</si>
  <si>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</si>
  <si>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</si>
  <si>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</si>
  <si>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</si>
  <si>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</si>
  <si>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</si>
  <si>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</si>
  <si>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</si>
  <si>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</si>
  <si>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</si>
  <si>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</si>
  <si>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</si>
  <si>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</si>
  <si>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</si>
  <si>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</si>
  <si>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</si>
  <si>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</si>
  <si>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</si>
  <si>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</si>
  <si>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</si>
  <si>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</si>
  <si>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</si>
  <si>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</si>
  <si>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</si>
  <si>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</si>
  <si>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</si>
  <si>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</si>
  <si>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</si>
  <si>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</si>
  <si>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</si>
  <si>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</si>
  <si>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</si>
  <si>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</si>
  <si>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</si>
  <si>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</si>
  <si>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</si>
  <si>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</si>
  <si>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</si>
  <si>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</si>
  <si>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</si>
  <si>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</si>
  <si>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</si>
  <si>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</si>
  <si>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</si>
  <si>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</si>
  <si>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</si>
  <si>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</si>
  <si>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</si>
  <si>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</si>
  <si>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</si>
  <si>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</si>
  <si>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</si>
  <si>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</si>
  <si>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</si>
  <si>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</si>
  <si>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https://goo.gl/maps/wC227VyX2pQLdp6X8</t>
  </si>
  <si>
    <t>Axis Goregaon</t>
  </si>
  <si>
    <t>Portsmouth Buildcon Private Limited</t>
  </si>
  <si>
    <t>Codename Westbay Phase I</t>
  </si>
  <si>
    <t>Wing C to H</t>
  </si>
  <si>
    <t>P51800047539</t>
  </si>
  <si>
    <t>CTS No</t>
  </si>
  <si>
    <t>Kasam Nagar</t>
  </si>
  <si>
    <t>New Link Road</t>
  </si>
  <si>
    <t>Andheri West</t>
  </si>
  <si>
    <t>Ambivali</t>
  </si>
  <si>
    <t>Mumbai</t>
  </si>
  <si>
    <t>Andheri</t>
  </si>
  <si>
    <t>2.6KM from Jogeshwari Railway Station</t>
  </si>
  <si>
    <t>Suyash CHS</t>
  </si>
  <si>
    <t>RTO Road</t>
  </si>
  <si>
    <t>Laxmi Industrial Estate</t>
  </si>
  <si>
    <t>6 Wings</t>
  </si>
  <si>
    <t>Slum Rehabilitation Authority</t>
  </si>
  <si>
    <t>c wing</t>
  </si>
  <si>
    <t>Sale Building</t>
  </si>
  <si>
    <t>Wing C</t>
  </si>
  <si>
    <t>2nd Floor For Residential</t>
  </si>
  <si>
    <t>3rd Floor</t>
  </si>
  <si>
    <t>4th Floor</t>
  </si>
  <si>
    <t>5th Floor</t>
  </si>
  <si>
    <t>6th Floor</t>
  </si>
  <si>
    <t>7th Floor (Part Refuge Area)</t>
  </si>
  <si>
    <t>Refuge Area</t>
  </si>
  <si>
    <t xml:space="preserve"> Double Height Refuge Area</t>
  </si>
  <si>
    <t>8th Floor (Part Refuge Area)</t>
  </si>
  <si>
    <t>9th, 11th, 12th, 17th &amp; 18th Floor</t>
  </si>
  <si>
    <t>10th, 13th, 16th &amp; 19th Floor</t>
  </si>
  <si>
    <t>14th Floor (Part Refuge Area)</t>
  </si>
  <si>
    <t>2.5BHK</t>
  </si>
  <si>
    <t>21st Floor (Part Refuge Area)</t>
  </si>
  <si>
    <t>22nd Floor</t>
  </si>
  <si>
    <t>20th, 23rd &amp; 24th Floor</t>
  </si>
  <si>
    <t>25th Floor For Fitness Center</t>
  </si>
  <si>
    <t>Wing D</t>
  </si>
  <si>
    <t>Double heighted Refuge Area</t>
  </si>
  <si>
    <t>25th Floor Swimming Pool</t>
  </si>
  <si>
    <t>Wing E</t>
  </si>
  <si>
    <t>Wing F</t>
  </si>
  <si>
    <t>Wing G</t>
  </si>
  <si>
    <t>Wing H</t>
  </si>
  <si>
    <t>15th Floor (Part Refuge Area)</t>
  </si>
  <si>
    <t>22nd Floor (Part Refuge Area)</t>
  </si>
  <si>
    <t>Ground Floor For Commercial</t>
  </si>
  <si>
    <t>Shop</t>
  </si>
  <si>
    <t>1st Floor For Commercial</t>
  </si>
  <si>
    <t>Restaurant</t>
  </si>
  <si>
    <t>We considered Gross carpet area = Net carpet</t>
  </si>
  <si>
    <t>Business Office Duplex With 1st Floor</t>
  </si>
  <si>
    <t>Ground &amp; 1st Floor For Double Heighted Lobby</t>
  </si>
  <si>
    <t>Ground Floor &amp; 1st Floor For Rehab Temple Area</t>
  </si>
  <si>
    <t>25th Floor For Fitness Center &amp; Part Terrace Area</t>
  </si>
  <si>
    <t>Wing F + G + H</t>
  </si>
  <si>
    <t>Wing E + F + G + H
(Ground Floor Shops)</t>
  </si>
  <si>
    <t>Wing E + F + G 
(1st Floor Shops)</t>
  </si>
  <si>
    <t>Wing H
(1st Floor Restaurant)</t>
  </si>
  <si>
    <t>Wing E + F + G</t>
  </si>
  <si>
    <t>Wing C
(Business Office Duplex)</t>
  </si>
  <si>
    <t>Fitness Center, Swimming Pool, Garden</t>
  </si>
  <si>
    <t>As per RERA - 31/10/2028</t>
  </si>
  <si>
    <t>Approved Plans, CC, Sale Plans, Cost Sheet</t>
  </si>
  <si>
    <t>Share Money</t>
  </si>
  <si>
    <t>approx</t>
  </si>
  <si>
    <t>Water, Electricity Connection</t>
  </si>
  <si>
    <t>Society Corpus Fund</t>
  </si>
  <si>
    <t>Recommended rate of the Restaurant Per Sq. Ft.</t>
  </si>
  <si>
    <t>825/1(Pt) &amp; 825/2(Pt) &amp; Existing Building Name - Anna Nagar Shivshakti SRA Chs Ltd &amp; Kasam Nagar SRA Chs Ltd &amp; Vitthal Rakhumai Society.</t>
  </si>
  <si>
    <t xml:space="preserve">Commencement-CC No
</t>
  </si>
  <si>
    <t xml:space="preserve">Valid Up to: </t>
  </si>
  <si>
    <t>1st to 4th Basement levels for Parking</t>
  </si>
  <si>
    <t>JUHU/WEST/B/092319/431339</t>
  </si>
  <si>
    <t>JUHU/WEST/B/072019/416865</t>
  </si>
  <si>
    <t>Airport Authority Clearance No. for
(Plot No.1)</t>
  </si>
  <si>
    <t>Airport Authority Clearance No. for
(Plot No.2)</t>
  </si>
  <si>
    <t>JUHU/WEST/B/091719/430722</t>
  </si>
  <si>
    <t>88.6 M (AMSL)</t>
  </si>
  <si>
    <t>89.47 M (AMSL)</t>
  </si>
  <si>
    <t>Airport Authority Clearance No. for
(Plot No.3)</t>
  </si>
  <si>
    <t>85.98 M (AMSL)</t>
  </si>
  <si>
    <t>Sheet</t>
  </si>
  <si>
    <t>Recommended rate of the Shop Per Sq. Ft. (Ground Floor)</t>
  </si>
  <si>
    <t>Recommended rate of the Shop Per Sq. Ft. (1st Floor)</t>
  </si>
  <si>
    <t>21000 to 21700</t>
  </si>
  <si>
    <t>sanjay</t>
  </si>
  <si>
    <t>verbal</t>
  </si>
  <si>
    <t xml:space="preserve">Floor Rise Rate from 2nd Floor </t>
  </si>
  <si>
    <t xml:space="preserve">Sanjay </t>
  </si>
  <si>
    <t>case G1404</t>
  </si>
  <si>
    <t>21000 to 21300 &amp; FR</t>
  </si>
  <si>
    <t>Office No. 1031, Wing J, Akshar Business Park, Plot No. 03 Sector 25, Near APMC Market,
Vashi, Navi Mumbai, Maharashtra 400703 TEL: 022-46090378/79/80                                                                                                     Email : vsjcapf@gmail.com. Web site : www.vsjadon.com</t>
  </si>
  <si>
    <t>Name of the Project (Previously)</t>
  </si>
  <si>
    <t>Linkbay Residences Phase I</t>
  </si>
  <si>
    <t>This CC is re-endorsed as per approved amended plan dtd.13/03/2023.</t>
  </si>
  <si>
    <t>K-W/STGOVT/0002/19990115/AP/S</t>
  </si>
  <si>
    <t>KW/STGOVT/0002/19990115/AP/S</t>
  </si>
  <si>
    <t>As per Plan</t>
  </si>
  <si>
    <t>7th Floor</t>
  </si>
  <si>
    <t>Double Heighted Refuge Area</t>
  </si>
  <si>
    <t>9th Floor (Double Height Refuge Area on 8th Floor)</t>
  </si>
  <si>
    <t>11th, 12th, 17th &amp; 18th Floor</t>
  </si>
  <si>
    <t>10th to 14th, 17th to 19th Floor</t>
  </si>
  <si>
    <t>20th, 21st &amp; 24th Floor</t>
  </si>
  <si>
    <t>16th Floor</t>
  </si>
  <si>
    <t>-</t>
  </si>
  <si>
    <t>3BHK</t>
  </si>
  <si>
    <t>4BHK</t>
  </si>
  <si>
    <t>10th to 14th &amp; 17th to 19th Floor</t>
  </si>
  <si>
    <t>23rd Floor</t>
  </si>
  <si>
    <t>2BHK</t>
  </si>
  <si>
    <t xml:space="preserve"> 23rd Floor</t>
  </si>
  <si>
    <t xml:space="preserve">7th Floor </t>
  </si>
  <si>
    <t xml:space="preserve">9th Floor </t>
  </si>
  <si>
    <t>15th Floor (Double Height Refuge Area)</t>
  </si>
  <si>
    <t>16th Floor  (Double Height Refuge Area on 15th Floor)</t>
  </si>
  <si>
    <t>23rd  Floor</t>
  </si>
  <si>
    <t>8th Floor (Double Height Refuge Area)</t>
  </si>
  <si>
    <t>20th, 21st Floor</t>
  </si>
  <si>
    <t>Double Height Refuge Area</t>
  </si>
  <si>
    <t>22nd Floor ( Double Height Refuge Area)</t>
  </si>
  <si>
    <t xml:space="preserve"> 23rd Floor (Double Height Refuge Area on 22nd Floor)</t>
  </si>
  <si>
    <t>old count</t>
  </si>
  <si>
    <t>16th Floor (Double Height Refuge Area on 15th Floor)</t>
  </si>
  <si>
    <t>Flats - 525, Shops - 29 , Offices - 1, Restaurants - 2</t>
  </si>
  <si>
    <t>C to G Wing = 4B + G + 1st to 25th Floor
H = 4B + G + 1st to 21st Floor</t>
  </si>
  <si>
    <t>H Wing = 4B + G + 1st to 25th Floor</t>
  </si>
  <si>
    <t>18.30M DP Road</t>
  </si>
  <si>
    <t>36.60M Wide DP Road</t>
  </si>
  <si>
    <t>Other Plot</t>
  </si>
  <si>
    <t>We refered Approved CC from RERA site.</t>
  </si>
  <si>
    <t>Tushar Bhuwad</t>
  </si>
  <si>
    <t>21300 to 22000</t>
  </si>
  <si>
    <t>Akash Mote</t>
  </si>
  <si>
    <t>Verbal</t>
  </si>
  <si>
    <t>Recommended Rates of the Property have been revised on 27/09/2024.</t>
  </si>
  <si>
    <t>We have updated revised plans &amp; CC (on 20/09/2024).</t>
  </si>
  <si>
    <t>Ground Floor &amp; 1st Floor of approved plans dtd. 13/03/2023 were not legible, therefore we have not done revision for Commercials unit.</t>
  </si>
  <si>
    <t>D Wing = 4B + G + 1st to 25th Floor</t>
  </si>
  <si>
    <t>C &amp; G Wing = 4B + G + 1st to 25th Floor</t>
  </si>
  <si>
    <t>E &amp; F Wing = 4B + G + 1st to 25th Floor</t>
  </si>
  <si>
    <t>Construction work is in process at the time of Visit.</t>
  </si>
  <si>
    <t>Linkbay Residences Phase I (Codename Westbay Phase I)</t>
  </si>
  <si>
    <t>E Wing = 4B + G + 1st to 25th Floor</t>
  </si>
  <si>
    <t>C Wing = 4B + G + 1st to 25th Floor</t>
  </si>
  <si>
    <t>F &amp; G Wing = 4B + G + 1st to 25th Floor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</si>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</sst>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6" fillId="0" borderId="0" xfId="1" applyFont="1" applyFill="1" applyAlignment="1">
      <alignment horizontal="right"/>
    </xf>
    <xf numFmtId="1" fontId="16" fillId="0" borderId="0" xfId="1" applyNumberFormat="1" applyFont="1" applyFill="1"/>
    <xf numFmtId="0" fontId="7" fillId="2" borderId="0" xfId="1" applyFont="1" applyFill="1"/>
    <xf numFmtId="14" fontId="7" fillId="2" borderId="0" xfId="1" applyNumberFormat="1" applyFont="1" applyFill="1"/>
    <xf numFmtId="167" fontId="7" fillId="0" borderId="0" xfId="1" applyNumberFormat="1" applyFont="1" applyFill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Alignment="1">
      <alignment horizontal="center" vertical="center"/>
    </xf>
    <xf numFmtId="169" fontId="7" fillId="0" borderId="0" xfId="1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4" fontId="15" fillId="0" borderId="0" xfId="1" applyNumberFormat="1" applyFont="1" applyFill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0" fillId="0" borderId="0" xfId="1" applyFont="1" applyFill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68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6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14" fontId="12" fillId="0" borderId="8" xfId="1" applyNumberFormat="1" applyFont="1" applyFill="1" applyBorder="1" applyAlignment="1" applyProtection="1">
      <alignment horizontal="left" vertical="top" wrapText="1"/>
      <protection locked="0"/>
    </xf>
    <xf numFmtId="14" fontId="12" fillId="0" borderId="9" xfId="1" applyNumberFormat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8" fillId="0" borderId="32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" xfId="1" applyFont="1" applyFill="1" applyBorder="1" applyAlignment="1" applyProtection="1">
      <alignment horizontal="left" vertical="top" wrapText="1"/>
      <protection locked="0"/>
    </xf>
    <xf numFmtId="0" fontId="8" fillId="0" borderId="33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3" fillId="4" borderId="1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478493</xdr:colOff>
      <xdr:row>880</xdr:row>
      <xdr:rowOff>93009</xdr:rowOff>
    </xdr:from>
    <xdr:to>
      <xdr:col>5</xdr:col>
      <xdr:colOff>587190</xdr:colOff>
      <xdr:row>900</xdr:row>
      <xdr:rowOff>59392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593" y="146092209"/>
          <a:ext cx="2680447" cy="39668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291356</xdr:colOff>
      <xdr:row>914</xdr:row>
      <xdr:rowOff>67236</xdr:rowOff>
    </xdr:from>
    <xdr:to>
      <xdr:col>7</xdr:col>
      <xdr:colOff>638738</xdr:colOff>
      <xdr:row>929</xdr:row>
      <xdr:rowOff>13448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1356" y="156972001"/>
          <a:ext cx="6477000" cy="297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291356</xdr:colOff>
      <xdr:row>929</xdr:row>
      <xdr:rowOff>144987</xdr:rowOff>
    </xdr:from>
    <xdr:to>
      <xdr:col>7</xdr:col>
      <xdr:colOff>638738</xdr:colOff>
      <xdr:row>954</xdr:row>
      <xdr:rowOff>55340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1356" y="160075340"/>
          <a:ext cx="6477000" cy="4953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247460</xdr:colOff>
      <xdr:row>937</xdr:row>
      <xdr:rowOff>53073</xdr:rowOff>
    </xdr:from>
    <xdr:to>
      <xdr:col>4</xdr:col>
      <xdr:colOff>308784</xdr:colOff>
      <xdr:row>949</xdr:row>
      <xdr:rowOff>19793</xdr:rowOff>
    </xdr:to>
    <xdr:sp macro="" textlink="">
      <xdr:nvSpPr>
        <xdr:cNvPr id="15" name="Rectangle 14"/>
        <xdr:cNvSpPr/>
      </xdr:nvSpPr>
      <xdr:spPr>
        <a:xfrm rot="670719">
          <a:off x="2847225" y="161597073"/>
          <a:ext cx="1069853" cy="2387191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173182</xdr:colOff>
      <xdr:row>14</xdr:row>
      <xdr:rowOff>17319</xdr:rowOff>
    </xdr:from>
    <xdr:to>
      <xdr:col>12</xdr:col>
      <xdr:colOff>726321</xdr:colOff>
      <xdr:row>16</xdr:row>
      <xdr:rowOff>43746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3477" y="2996046"/>
          <a:ext cx="3970883" cy="1281995"/>
        </a:xfrm>
        <a:prstGeom prst="rect">
          <a:avLst/>
        </a:prstGeom>
      </xdr:spPr>
    </xdr:pic>
    <xdr:clientData/>
  </xdr:twoCellAnchor>
  <xdr:twoCellAnchor editAs="oneCell">
    <xdr:from>
      <xdr:col>8</xdr:col>
      <xdr:colOff>634324</xdr:colOff>
      <xdr:row>158</xdr:row>
      <xdr:rowOff>85724</xdr:rowOff>
    </xdr:from>
    <xdr:to>
      <xdr:col>15</xdr:col>
      <xdr:colOff>117034</xdr:colOff>
      <xdr:row>167</xdr:row>
      <xdr:rowOff>145349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724" y="22459949"/>
          <a:ext cx="5197710" cy="30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177</xdr:row>
      <xdr:rowOff>190500</xdr:rowOff>
    </xdr:from>
    <xdr:to>
      <xdr:col>15</xdr:col>
      <xdr:colOff>342226</xdr:colOff>
      <xdr:row>186</xdr:row>
      <xdr:rowOff>2826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77150" y="27565350"/>
          <a:ext cx="5390476" cy="2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828675</xdr:colOff>
      <xdr:row>552</xdr:row>
      <xdr:rowOff>133350</xdr:rowOff>
    </xdr:from>
    <xdr:to>
      <xdr:col>18</xdr:col>
      <xdr:colOff>561044</xdr:colOff>
      <xdr:row>581</xdr:row>
      <xdr:rowOff>104304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39075" y="97297875"/>
          <a:ext cx="7447619" cy="37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1076325</xdr:colOff>
      <xdr:row>582</xdr:row>
      <xdr:rowOff>76200</xdr:rowOff>
    </xdr:from>
    <xdr:to>
      <xdr:col>17</xdr:col>
      <xdr:colOff>551627</xdr:colOff>
      <xdr:row>599</xdr:row>
      <xdr:rowOff>66251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86725" y="101241225"/>
          <a:ext cx="6580952" cy="33904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190500</xdr:colOff>
      <xdr:row>531</xdr:row>
      <xdr:rowOff>152400</xdr:rowOff>
    </xdr:from>
    <xdr:to>
      <xdr:col>13</xdr:col>
      <xdr:colOff>599642</xdr:colOff>
      <xdr:row>551</xdr:row>
      <xdr:rowOff>132852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2950" y="96316800"/>
          <a:ext cx="3466667" cy="3980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180975</xdr:colOff>
      <xdr:row>870</xdr:row>
      <xdr:rowOff>95250</xdr:rowOff>
    </xdr:from>
    <xdr:to>
      <xdr:col>7</xdr:col>
      <xdr:colOff>1019175</xdr:colOff>
      <xdr:row>879</xdr:row>
      <xdr:rowOff>9525</xdr:rowOff>
    </xdr:to>
    <xdr:grpSp>
      <xdr:nvGrpSpPr>
        <xdr:cNvPr id="25" name="Group 24"/>
        <xdr:cNvGrpSpPr/>
      </xdr:nvGrpSpPr>
      <xdr:grpSpPr>
        <a:xfrm>
          <a:off x="180975" y="154997150"/>
          <a:ext cx="6813550" cy="1685925"/>
          <a:chOff x="225834" y="3792271"/>
          <a:chExt cx="6406332" cy="1559457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834" y="3792271"/>
            <a:ext cx="6406332" cy="15594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Rectangle 26"/>
          <xdr:cNvSpPr/>
        </xdr:nvSpPr>
        <xdr:spPr>
          <a:xfrm>
            <a:off x="2295525" y="3957638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8" name="TextBox 14"/>
          <xdr:cNvSpPr txBox="1"/>
        </xdr:nvSpPr>
        <xdr:spPr>
          <a:xfrm>
            <a:off x="2345089" y="4154051"/>
            <a:ext cx="71526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35" name="Rectangle 34"/>
          <xdr:cNvSpPr/>
        </xdr:nvSpPr>
        <xdr:spPr>
          <a:xfrm>
            <a:off x="3166374" y="3957637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6" name="TextBox 20"/>
          <xdr:cNvSpPr txBox="1"/>
        </xdr:nvSpPr>
        <xdr:spPr>
          <a:xfrm>
            <a:off x="3166374" y="4156690"/>
            <a:ext cx="708848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C</a:t>
            </a:r>
            <a:endParaRPr lang="en-IN" sz="1400" b="1"/>
          </a:p>
        </xdr:txBody>
      </xdr:sp>
      <xdr:sp macro="" textlink="">
        <xdr:nvSpPr>
          <xdr:cNvPr id="37" name="Rectangle 36"/>
          <xdr:cNvSpPr/>
        </xdr:nvSpPr>
        <xdr:spPr>
          <a:xfrm>
            <a:off x="4032112" y="3942992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8" name="Rectangle 37"/>
          <xdr:cNvSpPr/>
        </xdr:nvSpPr>
        <xdr:spPr>
          <a:xfrm>
            <a:off x="4032112" y="4519128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9" name="Rectangle 38"/>
          <xdr:cNvSpPr/>
        </xdr:nvSpPr>
        <xdr:spPr>
          <a:xfrm>
            <a:off x="3193496" y="4519127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0" name="Rectangle 39"/>
          <xdr:cNvSpPr/>
        </xdr:nvSpPr>
        <xdr:spPr>
          <a:xfrm>
            <a:off x="2295525" y="4519127"/>
            <a:ext cx="814388" cy="25646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1" name="Rectangle 40"/>
          <xdr:cNvSpPr/>
        </xdr:nvSpPr>
        <xdr:spPr>
          <a:xfrm>
            <a:off x="4846500" y="3956036"/>
            <a:ext cx="443790" cy="77788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2" name="TextBox 26"/>
          <xdr:cNvSpPr txBox="1"/>
        </xdr:nvSpPr>
        <xdr:spPr>
          <a:xfrm>
            <a:off x="4040184" y="4179746"/>
            <a:ext cx="72808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D</a:t>
            </a:r>
            <a:endParaRPr lang="en-IN" sz="1400" b="1"/>
          </a:p>
        </xdr:txBody>
      </xdr:sp>
      <xdr:sp macro="" textlink="">
        <xdr:nvSpPr>
          <xdr:cNvPr id="43" name="TextBox 27"/>
          <xdr:cNvSpPr txBox="1"/>
        </xdr:nvSpPr>
        <xdr:spPr>
          <a:xfrm>
            <a:off x="2339063" y="4755881"/>
            <a:ext cx="72808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H</a:t>
            </a:r>
            <a:endParaRPr lang="en-IN" sz="1400" b="1"/>
          </a:p>
        </xdr:txBody>
      </xdr:sp>
      <xdr:sp macro="" textlink="">
        <xdr:nvSpPr>
          <xdr:cNvPr id="44" name="TextBox 28"/>
          <xdr:cNvSpPr txBox="1"/>
        </xdr:nvSpPr>
        <xdr:spPr>
          <a:xfrm>
            <a:off x="3211283" y="4769494"/>
            <a:ext cx="72808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G</a:t>
            </a:r>
            <a:endParaRPr lang="en-IN" sz="1400" b="1"/>
          </a:p>
        </xdr:txBody>
      </xdr:sp>
      <xdr:sp macro="" textlink="">
        <xdr:nvSpPr>
          <xdr:cNvPr id="45" name="TextBox 29"/>
          <xdr:cNvSpPr txBox="1"/>
        </xdr:nvSpPr>
        <xdr:spPr>
          <a:xfrm>
            <a:off x="4078052" y="4809835"/>
            <a:ext cx="69602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F</a:t>
            </a:r>
            <a:endParaRPr lang="en-IN" sz="1400" b="1"/>
          </a:p>
        </xdr:txBody>
      </xdr:sp>
      <xdr:sp macro="" textlink="">
        <xdr:nvSpPr>
          <xdr:cNvPr id="46" name="TextBox 30"/>
          <xdr:cNvSpPr txBox="1"/>
        </xdr:nvSpPr>
        <xdr:spPr>
          <a:xfrm>
            <a:off x="4792416" y="4727039"/>
            <a:ext cx="702436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E</a:t>
            </a:r>
            <a:endParaRPr lang="en-IN" sz="1400" b="1"/>
          </a:p>
        </xdr:txBody>
      </xdr:sp>
    </xdr:grpSp>
    <xdr:clientData/>
  </xdr:twoCellAnchor>
  <xdr:twoCellAnchor editAs="oneCell">
    <xdr:from>
      <xdr:col>8</xdr:col>
      <xdr:colOff>523875</xdr:colOff>
      <xdr:row>40</xdr:row>
      <xdr:rowOff>123825</xdr:rowOff>
    </xdr:from>
    <xdr:to>
      <xdr:col>11</xdr:col>
      <xdr:colOff>7350</xdr:colOff>
      <xdr:row>48</xdr:row>
      <xdr:rowOff>80564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34275" y="9382125"/>
          <a:ext cx="2160000" cy="17855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504825</xdr:colOff>
      <xdr:row>49</xdr:row>
      <xdr:rowOff>85725</xdr:rowOff>
    </xdr:from>
    <xdr:to>
      <xdr:col>16</xdr:col>
      <xdr:colOff>199251</xdr:colOff>
      <xdr:row>56</xdr:row>
      <xdr:rowOff>161637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15225" y="11372850"/>
          <a:ext cx="6190476" cy="230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676275</xdr:colOff>
      <xdr:row>8</xdr:row>
      <xdr:rowOff>9525</xdr:rowOff>
    </xdr:from>
    <xdr:to>
      <xdr:col>15</xdr:col>
      <xdr:colOff>570799</xdr:colOff>
      <xdr:row>12</xdr:row>
      <xdr:rowOff>66568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86675" y="2000250"/>
          <a:ext cx="5609524" cy="8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733425</xdr:colOff>
      <xdr:row>511</xdr:row>
      <xdr:rowOff>57150</xdr:rowOff>
    </xdr:from>
    <xdr:to>
      <xdr:col>18</xdr:col>
      <xdr:colOff>27699</xdr:colOff>
      <xdr:row>528</xdr:row>
      <xdr:rowOff>171011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43825" y="92221050"/>
          <a:ext cx="7009524" cy="351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283482</xdr:colOff>
      <xdr:row>824</xdr:row>
      <xdr:rowOff>30390</xdr:rowOff>
    </xdr:from>
    <xdr:to>
      <xdr:col>16</xdr:col>
      <xdr:colOff>212063</xdr:colOff>
      <xdr:row>866</xdr:row>
      <xdr:rowOff>43090</xdr:rowOff>
    </xdr:to>
    <xdr:grpSp>
      <xdr:nvGrpSpPr>
        <xdr:cNvPr id="9" name="Group 8"/>
        <xdr:cNvGrpSpPr/>
      </xdr:nvGrpSpPr>
      <xdr:grpSpPr>
        <a:xfrm>
          <a:off x="7636782" y="145883540"/>
          <a:ext cx="6729431" cy="8274050"/>
          <a:chOff x="203200" y="143167100"/>
          <a:chExt cx="6704031" cy="8274050"/>
        </a:xfrm>
      </xdr:grpSpPr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59106" y="149879453"/>
            <a:ext cx="1348125" cy="15616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149879453"/>
            <a:ext cx="2396667" cy="15616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2230" y="14316710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318" y="14316710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2230" y="145404551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318" y="145404551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2230" y="147642002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318" y="147642002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3318" y="149879453"/>
            <a:ext cx="1348125" cy="15616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7530" y="149879453"/>
            <a:ext cx="1348125" cy="1561697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8</xdr:col>
      <xdr:colOff>977900</xdr:colOff>
      <xdr:row>822</xdr:row>
      <xdr:rowOff>31750</xdr:rowOff>
    </xdr:from>
    <xdr:ext cx="620170" cy="280205"/>
    <xdr:sp macro="" textlink="">
      <xdr:nvSpPr>
        <xdr:cNvPr id="11" name="TextBox 10"/>
        <xdr:cNvSpPr txBox="1"/>
      </xdr:nvSpPr>
      <xdr:spPr>
        <a:xfrm>
          <a:off x="8331200" y="145491200"/>
          <a:ext cx="62017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 Wing</a:t>
          </a:r>
        </a:p>
      </xdr:txBody>
    </xdr:sp>
    <xdr:clientData/>
  </xdr:oneCellAnchor>
  <xdr:twoCellAnchor>
    <xdr:from>
      <xdr:col>0</xdr:col>
      <xdr:colOff>387350</xdr:colOff>
      <xdr:row>825</xdr:row>
      <xdr:rowOff>165100</xdr:rowOff>
    </xdr:from>
    <xdr:to>
      <xdr:col>7</xdr:col>
      <xdr:colOff>841065</xdr:colOff>
      <xdr:row>863</xdr:row>
      <xdr:rowOff>892</xdr:rowOff>
    </xdr:to>
    <xdr:grpSp>
      <xdr:nvGrpSpPr>
        <xdr:cNvPr id="22" name="Group 21"/>
        <xdr:cNvGrpSpPr/>
      </xdr:nvGrpSpPr>
      <xdr:grpSpPr>
        <a:xfrm>
          <a:off x="387350" y="146215100"/>
          <a:ext cx="6429065" cy="7309742"/>
          <a:chOff x="387350" y="146215100"/>
          <a:chExt cx="6429065" cy="7309742"/>
        </a:xfrm>
      </xdr:grpSpPr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146215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6951" y="146215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6552" y="146215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6934" y="14907797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2725" y="15136484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295" y="14907797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6" name="TextBox 75"/>
          <xdr:cNvSpPr txBox="1"/>
        </xdr:nvSpPr>
        <xdr:spPr>
          <a:xfrm>
            <a:off x="1123950" y="148043900"/>
            <a:ext cx="62017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>
            <a:off x="5426952" y="147872450"/>
            <a:ext cx="61574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684006</xdr:colOff>
      <xdr:row>28</xdr:row>
      <xdr:rowOff>123476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5390476" cy="2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28</xdr:row>
      <xdr:rowOff>156882</xdr:rowOff>
    </xdr:from>
    <xdr:to>
      <xdr:col>6</xdr:col>
      <xdr:colOff>75925</xdr:colOff>
      <xdr:row>34</xdr:row>
      <xdr:rowOff>175787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502088"/>
          <a:ext cx="6676190" cy="1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C227VyX2pQLdp6X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913"/>
  <sheetViews>
    <sheetView tabSelected="1" view="pageBreakPreview" zoomScaleNormal="100" zoomScaleSheetLayoutView="100" zoomScalePageLayoutView="85" workbookViewId="0">
      <selection activeCell="E10" sqref="E10:H10"/>
    </sheetView>
  </sheetViews>
  <sheetFormatPr defaultColWidth="9.1796875" defaultRowHeight="15.5" x14ac:dyDescent="0.35"/>
  <cols>
    <col min="1" max="1" width="11.453125" style="42" customWidth="1"/>
    <col min="2" max="2" width="12" style="42" customWidth="1"/>
    <col min="3" max="3" width="12.7265625" style="42" customWidth="1"/>
    <col min="4" max="4" width="14.1796875" style="42" customWidth="1"/>
    <col min="5" max="7" width="11.7265625" style="42" customWidth="1"/>
    <col min="8" max="8" width="19.7265625" style="42" customWidth="1"/>
    <col min="9" max="9" width="17.453125" style="22" customWidth="1"/>
    <col min="10" max="10" width="11.453125" style="22" customWidth="1"/>
    <col min="11" max="12" width="11.26953125" style="22" bestFit="1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12" ht="46.5" customHeight="1" x14ac:dyDescent="0.35">
      <c r="A1" s="202" t="s">
        <v>268</v>
      </c>
      <c r="B1" s="202"/>
      <c r="C1" s="202"/>
      <c r="D1" s="202"/>
      <c r="E1" s="202"/>
      <c r="F1" s="202"/>
      <c r="G1" s="202"/>
      <c r="H1" s="202"/>
    </row>
    <row r="2" spans="1:12" ht="16.5" customHeight="1" x14ac:dyDescent="0.35">
      <c r="A2" s="197" t="s">
        <v>0</v>
      </c>
      <c r="B2" s="197"/>
      <c r="C2" s="197"/>
      <c r="D2" s="197"/>
      <c r="E2" s="197"/>
      <c r="F2" s="197"/>
      <c r="G2" s="197"/>
      <c r="H2" s="197"/>
    </row>
    <row r="3" spans="1:12" x14ac:dyDescent="0.35">
      <c r="A3" s="109" t="s">
        <v>1</v>
      </c>
      <c r="B3" s="109"/>
      <c r="C3" s="109"/>
      <c r="D3" s="109"/>
      <c r="E3" s="109" t="str">
        <f ca="1">TEXT(TODAY(),"DD/MM/YYYY")</f>
        <v>11/09/2025</v>
      </c>
      <c r="F3" s="109"/>
      <c r="G3" s="109"/>
      <c r="H3" s="109"/>
    </row>
    <row r="4" spans="1:12" ht="15" customHeight="1" x14ac:dyDescent="0.35">
      <c r="A4" s="109" t="s">
        <v>2</v>
      </c>
      <c r="B4" s="109"/>
      <c r="C4" s="109"/>
      <c r="D4" s="109"/>
      <c r="E4" s="109" t="s">
        <v>175</v>
      </c>
      <c r="F4" s="109"/>
      <c r="G4" s="109"/>
      <c r="H4" s="109"/>
    </row>
    <row r="5" spans="1:12" x14ac:dyDescent="0.35">
      <c r="A5" s="109" t="s">
        <v>3</v>
      </c>
      <c r="B5" s="109"/>
      <c r="C5" s="109"/>
      <c r="D5" s="109"/>
      <c r="E5" s="203">
        <v>45905</v>
      </c>
      <c r="F5" s="109"/>
      <c r="G5" s="109"/>
      <c r="H5" s="109"/>
    </row>
    <row r="6" spans="1:12" ht="16.5" customHeight="1" x14ac:dyDescent="0.35">
      <c r="A6" s="109" t="s">
        <v>4</v>
      </c>
      <c r="B6" s="109"/>
      <c r="C6" s="109"/>
      <c r="D6" s="109"/>
      <c r="E6" s="109" t="s">
        <v>176</v>
      </c>
      <c r="F6" s="109"/>
      <c r="G6" s="109"/>
      <c r="H6" s="109"/>
    </row>
    <row r="7" spans="1:12" ht="15" customHeight="1" x14ac:dyDescent="0.35">
      <c r="A7" s="109" t="s">
        <v>5</v>
      </c>
      <c r="B7" s="109"/>
      <c r="C7" s="109"/>
      <c r="D7" s="109"/>
      <c r="E7" s="109" t="str">
        <f>E6</f>
        <v>Portsmouth Buildcon Private Limited</v>
      </c>
      <c r="F7" s="109"/>
      <c r="G7" s="109"/>
      <c r="H7" s="109"/>
      <c r="I7" s="94" t="s">
        <v>319</v>
      </c>
      <c r="J7" s="94"/>
      <c r="K7" s="94"/>
      <c r="L7" s="94"/>
    </row>
    <row r="8" spans="1:12" x14ac:dyDescent="0.35">
      <c r="A8" s="109" t="s">
        <v>269</v>
      </c>
      <c r="B8" s="109"/>
      <c r="C8" s="109"/>
      <c r="D8" s="109"/>
      <c r="E8" s="111" t="s">
        <v>177</v>
      </c>
      <c r="F8" s="111"/>
      <c r="G8" s="111"/>
      <c r="H8" s="111"/>
    </row>
    <row r="9" spans="1:12" x14ac:dyDescent="0.35">
      <c r="A9" s="109" t="s">
        <v>6</v>
      </c>
      <c r="B9" s="109"/>
      <c r="C9" s="109"/>
      <c r="D9" s="109"/>
      <c r="E9" s="111" t="s">
        <v>270</v>
      </c>
      <c r="F9" s="111"/>
      <c r="G9" s="111"/>
      <c r="H9" s="111"/>
    </row>
    <row r="10" spans="1:12" x14ac:dyDescent="0.35">
      <c r="A10" s="109" t="s">
        <v>171</v>
      </c>
      <c r="B10" s="109"/>
      <c r="C10" s="109"/>
      <c r="D10" s="109"/>
      <c r="E10" s="109">
        <v>8291002851</v>
      </c>
      <c r="F10" s="109"/>
      <c r="G10" s="109"/>
      <c r="H10" s="109"/>
    </row>
    <row r="11" spans="1:12" x14ac:dyDescent="0.35">
      <c r="A11" s="109" t="s">
        <v>172</v>
      </c>
      <c r="B11" s="109"/>
      <c r="C11" s="109"/>
      <c r="D11" s="109"/>
      <c r="E11" s="109">
        <v>8879781245</v>
      </c>
      <c r="F11" s="109"/>
      <c r="G11" s="109"/>
      <c r="H11" s="109"/>
    </row>
    <row r="12" spans="1:12" x14ac:dyDescent="0.35">
      <c r="A12" s="109" t="s">
        <v>7</v>
      </c>
      <c r="B12" s="109"/>
      <c r="C12" s="109"/>
      <c r="D12" s="109"/>
      <c r="E12" s="109" t="s">
        <v>178</v>
      </c>
      <c r="F12" s="109"/>
      <c r="G12" s="109"/>
      <c r="H12" s="109"/>
    </row>
    <row r="13" spans="1:12" x14ac:dyDescent="0.35">
      <c r="A13" s="178" t="s">
        <v>8</v>
      </c>
      <c r="B13" s="178"/>
      <c r="C13" s="178"/>
      <c r="D13" s="178"/>
      <c r="E13" s="108" t="s">
        <v>239</v>
      </c>
      <c r="F13" s="108"/>
      <c r="G13" s="108"/>
      <c r="H13" s="108"/>
    </row>
    <row r="14" spans="1:12" x14ac:dyDescent="0.35">
      <c r="A14" s="178" t="s">
        <v>9</v>
      </c>
      <c r="B14" s="178"/>
      <c r="C14" s="178"/>
      <c r="D14" s="178"/>
      <c r="E14" s="108" t="s">
        <v>179</v>
      </c>
      <c r="F14" s="109"/>
      <c r="G14" s="109"/>
      <c r="H14" s="109"/>
    </row>
    <row r="15" spans="1:12" ht="67.5" customHeight="1" x14ac:dyDescent="0.35">
      <c r="A15" s="180" t="s">
        <v>10</v>
      </c>
      <c r="B15" s="180"/>
      <c r="C15" s="180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Linkbay Residences Phase I, CTS No.825/1(Pt) &amp; 825/2(Pt) &amp; Existing Building Name - Anna Nagar Shivshakti SRA Chs Ltd &amp; Kasam Nagar SRA Chs Ltd &amp; Vitthal Rakhumai Society., near Laxmi Industrial Estate, New Link Road, Kasam Nagar, Ambivali, Andheri West, Andheri, Mumbai - 400053.</v>
      </c>
      <c r="D15" s="180"/>
      <c r="E15" s="180"/>
      <c r="F15" s="180"/>
      <c r="G15" s="180"/>
      <c r="H15" s="180"/>
    </row>
    <row r="16" spans="1:12" ht="31.5" customHeight="1" x14ac:dyDescent="0.35">
      <c r="A16" s="108" t="s">
        <v>180</v>
      </c>
      <c r="B16" s="108"/>
      <c r="C16" s="108" t="s">
        <v>245</v>
      </c>
      <c r="D16" s="108"/>
      <c r="E16" s="108"/>
      <c r="F16" s="108"/>
      <c r="G16" s="108"/>
      <c r="H16" s="108"/>
    </row>
    <row r="17" spans="1:8" ht="15.75" customHeight="1" x14ac:dyDescent="0.35">
      <c r="A17" s="108" t="s">
        <v>170</v>
      </c>
      <c r="B17" s="108"/>
      <c r="C17" s="108" t="s">
        <v>181</v>
      </c>
      <c r="D17" s="108"/>
      <c r="E17" s="108"/>
      <c r="F17" s="108"/>
      <c r="G17" s="108"/>
      <c r="H17" s="108"/>
    </row>
    <row r="18" spans="1:8" ht="15.75" customHeight="1" x14ac:dyDescent="0.35">
      <c r="A18" s="180" t="s">
        <v>11</v>
      </c>
      <c r="B18" s="180"/>
      <c r="C18" s="109" t="s">
        <v>182</v>
      </c>
      <c r="D18" s="109"/>
      <c r="E18" s="180" t="s">
        <v>76</v>
      </c>
      <c r="F18" s="180"/>
      <c r="G18" s="108" t="s">
        <v>184</v>
      </c>
      <c r="H18" s="108"/>
    </row>
    <row r="19" spans="1:8" x14ac:dyDescent="0.35">
      <c r="A19" s="178" t="s">
        <v>13</v>
      </c>
      <c r="B19" s="178"/>
      <c r="C19" s="108" t="s">
        <v>183</v>
      </c>
      <c r="D19" s="108"/>
      <c r="E19" s="180" t="s">
        <v>12</v>
      </c>
      <c r="F19" s="180"/>
      <c r="G19" s="201" t="s">
        <v>185</v>
      </c>
      <c r="H19" s="201"/>
    </row>
    <row r="20" spans="1:8" x14ac:dyDescent="0.35">
      <c r="A20" s="178" t="s">
        <v>77</v>
      </c>
      <c r="B20" s="178"/>
      <c r="C20" s="108" t="s">
        <v>186</v>
      </c>
      <c r="D20" s="108"/>
      <c r="E20" s="180" t="s">
        <v>14</v>
      </c>
      <c r="F20" s="180"/>
      <c r="G20" s="108">
        <v>400053</v>
      </c>
      <c r="H20" s="108"/>
    </row>
    <row r="21" spans="1:8" ht="32.25" customHeight="1" x14ac:dyDescent="0.35">
      <c r="A21" s="178" t="s">
        <v>129</v>
      </c>
      <c r="B21" s="178"/>
      <c r="C21" s="108" t="s">
        <v>190</v>
      </c>
      <c r="D21" s="108"/>
      <c r="E21" s="180" t="s">
        <v>15</v>
      </c>
      <c r="F21" s="180"/>
      <c r="G21" s="108" t="s">
        <v>187</v>
      </c>
      <c r="H21" s="108"/>
    </row>
    <row r="22" spans="1:8" ht="15" customHeight="1" x14ac:dyDescent="0.35">
      <c r="A22" s="180" t="s">
        <v>80</v>
      </c>
      <c r="B22" s="180"/>
      <c r="C22" s="180"/>
      <c r="D22" s="180"/>
      <c r="E22" s="109" t="s">
        <v>16</v>
      </c>
      <c r="F22" s="109"/>
      <c r="G22" s="109"/>
      <c r="H22" s="109"/>
    </row>
    <row r="23" spans="1:8" ht="18.75" customHeight="1" x14ac:dyDescent="0.35">
      <c r="A23" s="180"/>
      <c r="B23" s="180"/>
      <c r="C23" s="180"/>
      <c r="D23" s="180"/>
      <c r="E23" s="109"/>
      <c r="F23" s="109"/>
      <c r="G23" s="109"/>
      <c r="H23" s="109"/>
    </row>
    <row r="24" spans="1:8" ht="15" customHeight="1" x14ac:dyDescent="0.35">
      <c r="A24" s="180" t="s">
        <v>17</v>
      </c>
      <c r="B24" s="180"/>
      <c r="C24" s="180"/>
      <c r="D24" s="180"/>
      <c r="E24" s="108" t="s">
        <v>18</v>
      </c>
      <c r="F24" s="108"/>
      <c r="G24" s="108"/>
      <c r="H24" s="108"/>
    </row>
    <row r="25" spans="1:8" ht="15" customHeight="1" x14ac:dyDescent="0.35">
      <c r="A25" s="178" t="s">
        <v>19</v>
      </c>
      <c r="B25" s="178"/>
      <c r="C25" s="178"/>
      <c r="D25" s="178"/>
      <c r="E25" s="108" t="str">
        <f>IF(AND(G19="Mumbai"),"Upper Class","Middle Class")</f>
        <v>Upper Class</v>
      </c>
      <c r="F25" s="108"/>
      <c r="G25" s="108"/>
      <c r="H25" s="108"/>
    </row>
    <row r="26" spans="1:8" x14ac:dyDescent="0.35">
      <c r="A26" s="178" t="s">
        <v>20</v>
      </c>
      <c r="B26" s="178"/>
      <c r="C26" s="178"/>
      <c r="D26" s="178"/>
      <c r="E26" s="108" t="s">
        <v>21</v>
      </c>
      <c r="F26" s="108"/>
      <c r="G26" s="108"/>
      <c r="H26" s="108"/>
    </row>
    <row r="27" spans="1:8" ht="15.75" customHeight="1" x14ac:dyDescent="0.35">
      <c r="A27" s="178" t="s">
        <v>22</v>
      </c>
      <c r="B27" s="178"/>
      <c r="C27" s="178"/>
      <c r="D27" s="178"/>
      <c r="E27" s="108" t="str">
        <f>IF(AND(G19="Mumbai"),"Developed","Developing")</f>
        <v>Developed</v>
      </c>
      <c r="F27" s="108"/>
      <c r="G27" s="108"/>
      <c r="H27" s="108"/>
    </row>
    <row r="28" spans="1:8" x14ac:dyDescent="0.35">
      <c r="A28" s="178" t="s">
        <v>23</v>
      </c>
      <c r="B28" s="178"/>
      <c r="C28" s="178"/>
      <c r="D28" s="178"/>
      <c r="E28" s="108" t="s">
        <v>24</v>
      </c>
      <c r="F28" s="108"/>
      <c r="G28" s="108"/>
      <c r="H28" s="108"/>
    </row>
    <row r="29" spans="1:8" ht="15.75" customHeight="1" x14ac:dyDescent="0.35">
      <c r="A29" s="178" t="s">
        <v>85</v>
      </c>
      <c r="B29" s="178"/>
      <c r="C29" s="178"/>
      <c r="D29" s="178"/>
      <c r="E29" s="108" t="s">
        <v>86</v>
      </c>
      <c r="F29" s="108"/>
      <c r="G29" s="108"/>
      <c r="H29" s="108"/>
    </row>
    <row r="30" spans="1:8" ht="15" customHeight="1" x14ac:dyDescent="0.35">
      <c r="A30" s="178" t="s">
        <v>34</v>
      </c>
      <c r="B30" s="178"/>
      <c r="C30" s="178"/>
      <c r="D30" s="178"/>
      <c r="E30" s="108" t="str">
        <f>IF(AND(ISNUMBER(SEARCH("Flat",D62)),ISNUMBER(SEARCH("Shop",D62)),ISNUMBER(SEARCH("Office",D62))),"Residential + Commercial",IF(AND(ISNUMBER(SEARCH("Flat",D62)),ISNUMBER(SEARCH("Shop",D62))),"Residential + Commercial",IF(AND(ISNUMBER(SEARCH("Flat",D62)),ISNUMBER(SEARCH("Office",D62))),"Residential + Commercial",IF(AND(ISNUMBER(SEARCH("Shop",D62)),ISNUMBER(SEARCH("Office",D62))),"Commercial",IF(ISNUMBER(SEARCH("Shop",D62)),"Commercial",IF(ISNUMBER(SEARCH("Office",D62)),"Commercial",IF(ISNUMBER(SEARCH("Flat",D62)),"Residential")))))))</f>
        <v>Residential + Commercial</v>
      </c>
      <c r="F30" s="108"/>
      <c r="G30" s="108"/>
      <c r="H30" s="108"/>
    </row>
    <row r="31" spans="1:8" ht="15.75" customHeight="1" x14ac:dyDescent="0.35">
      <c r="A31" s="178" t="s">
        <v>97</v>
      </c>
      <c r="B31" s="178"/>
      <c r="C31" s="178"/>
      <c r="D31" s="178"/>
      <c r="E31" s="108" t="s">
        <v>35</v>
      </c>
      <c r="F31" s="108"/>
      <c r="G31" s="108"/>
      <c r="H31" s="108"/>
    </row>
    <row r="32" spans="1:8" s="23" customFormat="1" x14ac:dyDescent="0.35">
      <c r="A32" s="194" t="s">
        <v>98</v>
      </c>
      <c r="B32" s="194"/>
      <c r="C32" s="191" t="s">
        <v>274</v>
      </c>
      <c r="D32" s="191"/>
      <c r="E32" s="191"/>
      <c r="F32" s="191" t="s">
        <v>30</v>
      </c>
      <c r="G32" s="191"/>
      <c r="H32" s="191"/>
    </row>
    <row r="33" spans="1:8" s="23" customFormat="1" x14ac:dyDescent="0.35">
      <c r="A33" s="193" t="s">
        <v>25</v>
      </c>
      <c r="B33" s="193" t="s">
        <v>29</v>
      </c>
      <c r="C33" s="192" t="s">
        <v>305</v>
      </c>
      <c r="D33" s="192"/>
      <c r="E33" s="192"/>
      <c r="F33" s="192" t="s">
        <v>182</v>
      </c>
      <c r="G33" s="192"/>
      <c r="H33" s="192"/>
    </row>
    <row r="34" spans="1:8" x14ac:dyDescent="0.35">
      <c r="A34" s="193" t="s">
        <v>26</v>
      </c>
      <c r="B34" s="193" t="s">
        <v>29</v>
      </c>
      <c r="C34" s="192" t="s">
        <v>304</v>
      </c>
      <c r="D34" s="192"/>
      <c r="E34" s="192"/>
      <c r="F34" s="192" t="s">
        <v>188</v>
      </c>
      <c r="G34" s="192"/>
      <c r="H34" s="192"/>
    </row>
    <row r="35" spans="1:8" s="23" customFormat="1" x14ac:dyDescent="0.35">
      <c r="A35" s="193" t="s">
        <v>28</v>
      </c>
      <c r="B35" s="193" t="s">
        <v>29</v>
      </c>
      <c r="C35" s="225" t="s">
        <v>306</v>
      </c>
      <c r="D35" s="225"/>
      <c r="E35" s="225"/>
      <c r="F35" s="192" t="s">
        <v>190</v>
      </c>
      <c r="G35" s="192"/>
      <c r="H35" s="192"/>
    </row>
    <row r="36" spans="1:8" x14ac:dyDescent="0.35">
      <c r="A36" s="193" t="s">
        <v>27</v>
      </c>
      <c r="B36" s="193" t="s">
        <v>29</v>
      </c>
      <c r="C36" s="192" t="s">
        <v>304</v>
      </c>
      <c r="D36" s="192"/>
      <c r="E36" s="192"/>
      <c r="F36" s="192" t="s">
        <v>189</v>
      </c>
      <c r="G36" s="192"/>
      <c r="H36" s="192"/>
    </row>
    <row r="37" spans="1:8" x14ac:dyDescent="0.35">
      <c r="A37" s="178" t="s">
        <v>31</v>
      </c>
      <c r="B37" s="178"/>
      <c r="C37" s="178"/>
      <c r="D37" s="178"/>
      <c r="E37" s="178"/>
      <c r="F37" s="178"/>
      <c r="G37" s="178"/>
      <c r="H37" s="178"/>
    </row>
    <row r="38" spans="1:8" ht="15.75" customHeight="1" x14ac:dyDescent="0.35">
      <c r="A38" s="197" t="s">
        <v>32</v>
      </c>
      <c r="B38" s="197"/>
      <c r="C38" s="198">
        <v>19.1333968</v>
      </c>
      <c r="D38" s="198"/>
      <c r="E38" s="197" t="s">
        <v>33</v>
      </c>
      <c r="F38" s="197"/>
      <c r="G38" s="199">
        <v>72.831503600000005</v>
      </c>
      <c r="H38" s="199"/>
    </row>
    <row r="39" spans="1:8" x14ac:dyDescent="0.35">
      <c r="A39" s="197" t="s">
        <v>169</v>
      </c>
      <c r="B39" s="197"/>
      <c r="C39" s="200" t="s">
        <v>174</v>
      </c>
      <c r="D39" s="108"/>
      <c r="E39" s="108"/>
      <c r="F39" s="108"/>
      <c r="G39" s="108"/>
      <c r="H39" s="108"/>
    </row>
    <row r="40" spans="1:8" x14ac:dyDescent="0.35">
      <c r="A40" s="196" t="s">
        <v>36</v>
      </c>
      <c r="B40" s="196"/>
      <c r="C40" s="196"/>
      <c r="D40" s="196"/>
      <c r="E40" s="196"/>
      <c r="F40" s="196"/>
      <c r="G40" s="196"/>
      <c r="H40" s="196"/>
    </row>
    <row r="41" spans="1:8" x14ac:dyDescent="0.35">
      <c r="A41" s="178" t="s">
        <v>37</v>
      </c>
      <c r="B41" s="178"/>
      <c r="C41" s="178"/>
      <c r="D41" s="178"/>
      <c r="E41" s="195">
        <f>14400.69</f>
        <v>14400.69</v>
      </c>
      <c r="F41" s="195"/>
      <c r="G41" s="195"/>
      <c r="H41" s="195"/>
    </row>
    <row r="42" spans="1:8" x14ac:dyDescent="0.35">
      <c r="A42" s="178" t="s">
        <v>38</v>
      </c>
      <c r="B42" s="178"/>
      <c r="C42" s="178"/>
      <c r="D42" s="178"/>
      <c r="E42" s="188">
        <v>4</v>
      </c>
      <c r="F42" s="188"/>
      <c r="G42" s="188"/>
      <c r="H42" s="188"/>
    </row>
    <row r="43" spans="1:8" x14ac:dyDescent="0.35">
      <c r="A43" s="178" t="s">
        <v>39</v>
      </c>
      <c r="B43" s="178"/>
      <c r="C43" s="178"/>
      <c r="D43" s="178"/>
      <c r="E43" s="188">
        <f>E45/E41-E42</f>
        <v>4.2790637115304886</v>
      </c>
      <c r="F43" s="188"/>
      <c r="G43" s="188"/>
      <c r="H43" s="188"/>
    </row>
    <row r="44" spans="1:8" x14ac:dyDescent="0.35">
      <c r="A44" s="178" t="s">
        <v>40</v>
      </c>
      <c r="B44" s="178"/>
      <c r="C44" s="178"/>
      <c r="D44" s="178"/>
      <c r="E44" s="188">
        <f>E42+E43</f>
        <v>8.2790637115304886</v>
      </c>
      <c r="F44" s="188"/>
      <c r="G44" s="188"/>
      <c r="H44" s="188"/>
    </row>
    <row r="45" spans="1:8" x14ac:dyDescent="0.35">
      <c r="A45" s="178" t="s">
        <v>96</v>
      </c>
      <c r="B45" s="178"/>
      <c r="C45" s="178"/>
      <c r="D45" s="178"/>
      <c r="E45" s="189">
        <v>119224.23</v>
      </c>
      <c r="F45" s="189"/>
      <c r="G45" s="189"/>
      <c r="H45" s="189"/>
    </row>
    <row r="46" spans="1:8" x14ac:dyDescent="0.35">
      <c r="A46" s="109" t="s">
        <v>41</v>
      </c>
      <c r="B46" s="109"/>
      <c r="C46" s="109"/>
      <c r="D46" s="109"/>
      <c r="E46" s="109" t="s">
        <v>191</v>
      </c>
      <c r="F46" s="109"/>
      <c r="G46" s="109"/>
      <c r="H46" s="109"/>
    </row>
    <row r="47" spans="1:8" x14ac:dyDescent="0.35">
      <c r="A47" s="111" t="s">
        <v>42</v>
      </c>
      <c r="B47" s="111"/>
      <c r="C47" s="111"/>
      <c r="D47" s="111"/>
      <c r="E47" s="111"/>
      <c r="F47" s="111"/>
      <c r="G47" s="111"/>
      <c r="H47" s="111"/>
    </row>
    <row r="48" spans="1:8" ht="33.75" customHeight="1" x14ac:dyDescent="0.35">
      <c r="A48" s="155" t="s">
        <v>161</v>
      </c>
      <c r="B48" s="156"/>
      <c r="C48" s="157" t="s">
        <v>192</v>
      </c>
      <c r="D48" s="158"/>
      <c r="E48" s="158"/>
      <c r="F48" s="158"/>
      <c r="G48" s="158"/>
      <c r="H48" s="159"/>
    </row>
    <row r="49" spans="1:12" x14ac:dyDescent="0.35">
      <c r="A49" s="155" t="s">
        <v>43</v>
      </c>
      <c r="B49" s="156"/>
      <c r="C49" s="155" t="s">
        <v>273</v>
      </c>
      <c r="D49" s="164"/>
      <c r="E49" s="156"/>
      <c r="F49" s="63" t="s">
        <v>44</v>
      </c>
      <c r="G49" s="184">
        <v>44998</v>
      </c>
      <c r="H49" s="156"/>
    </row>
    <row r="50" spans="1:12" x14ac:dyDescent="0.35">
      <c r="A50" s="155" t="s">
        <v>45</v>
      </c>
      <c r="B50" s="156"/>
      <c r="C50" s="155" t="str">
        <f>C49</f>
        <v>KW/STGOVT/0002/19990115/AP/S</v>
      </c>
      <c r="D50" s="164"/>
      <c r="E50" s="156"/>
      <c r="F50" s="63" t="s">
        <v>44</v>
      </c>
      <c r="G50" s="184">
        <f>G49</f>
        <v>44998</v>
      </c>
      <c r="H50" s="185"/>
    </row>
    <row r="51" spans="1:12" s="24" customFormat="1" x14ac:dyDescent="0.35">
      <c r="A51" s="186" t="s">
        <v>246</v>
      </c>
      <c r="B51" s="187"/>
      <c r="C51" s="155" t="s">
        <v>272</v>
      </c>
      <c r="D51" s="164"/>
      <c r="E51" s="156"/>
      <c r="F51" s="63" t="s">
        <v>44</v>
      </c>
      <c r="G51" s="184">
        <f>G50</f>
        <v>44998</v>
      </c>
      <c r="H51" s="185"/>
    </row>
    <row r="52" spans="1:12" s="24" customFormat="1" x14ac:dyDescent="0.35">
      <c r="A52" s="186" t="s">
        <v>247</v>
      </c>
      <c r="B52" s="187"/>
      <c r="C52" s="155" t="s">
        <v>271</v>
      </c>
      <c r="D52" s="164"/>
      <c r="E52" s="164"/>
      <c r="F52" s="164"/>
      <c r="G52" s="164"/>
      <c r="H52" s="156"/>
    </row>
    <row r="53" spans="1:12" s="24" customFormat="1" ht="48" customHeight="1" x14ac:dyDescent="0.35">
      <c r="A53" s="182" t="s">
        <v>251</v>
      </c>
      <c r="B53" s="190"/>
      <c r="C53" s="155" t="s">
        <v>250</v>
      </c>
      <c r="D53" s="164"/>
      <c r="E53" s="156"/>
      <c r="F53" s="63" t="s">
        <v>44</v>
      </c>
      <c r="G53" s="184">
        <v>43706</v>
      </c>
      <c r="H53" s="185"/>
    </row>
    <row r="54" spans="1:12" s="24" customFormat="1" x14ac:dyDescent="0.35">
      <c r="A54" s="186" t="s">
        <v>247</v>
      </c>
      <c r="B54" s="187"/>
      <c r="C54" s="155" t="s">
        <v>255</v>
      </c>
      <c r="D54" s="164"/>
      <c r="E54" s="156"/>
      <c r="F54" s="63" t="s">
        <v>44</v>
      </c>
      <c r="G54" s="184">
        <v>46627</v>
      </c>
      <c r="H54" s="185"/>
    </row>
    <row r="55" spans="1:12" s="24" customFormat="1" ht="48.75" customHeight="1" x14ac:dyDescent="0.35">
      <c r="A55" s="182" t="s">
        <v>252</v>
      </c>
      <c r="B55" s="190"/>
      <c r="C55" s="155" t="s">
        <v>253</v>
      </c>
      <c r="D55" s="164"/>
      <c r="E55" s="156"/>
      <c r="F55" s="63" t="s">
        <v>44</v>
      </c>
      <c r="G55" s="184">
        <v>43738</v>
      </c>
      <c r="H55" s="185"/>
    </row>
    <row r="56" spans="1:12" s="24" customFormat="1" x14ac:dyDescent="0.35">
      <c r="A56" s="186" t="s">
        <v>247</v>
      </c>
      <c r="B56" s="187"/>
      <c r="C56" s="155" t="s">
        <v>254</v>
      </c>
      <c r="D56" s="164"/>
      <c r="E56" s="156"/>
      <c r="F56" s="63" t="s">
        <v>44</v>
      </c>
      <c r="G56" s="184">
        <v>46659</v>
      </c>
      <c r="H56" s="185"/>
    </row>
    <row r="57" spans="1:12" s="24" customFormat="1" ht="49.5" customHeight="1" x14ac:dyDescent="0.35">
      <c r="A57" s="182" t="s">
        <v>256</v>
      </c>
      <c r="B57" s="190"/>
      <c r="C57" s="155" t="s">
        <v>249</v>
      </c>
      <c r="D57" s="164"/>
      <c r="E57" s="156"/>
      <c r="F57" s="63" t="s">
        <v>44</v>
      </c>
      <c r="G57" s="184">
        <v>43738</v>
      </c>
      <c r="H57" s="185"/>
    </row>
    <row r="58" spans="1:12" s="24" customFormat="1" x14ac:dyDescent="0.35">
      <c r="A58" s="186" t="s">
        <v>247</v>
      </c>
      <c r="B58" s="187"/>
      <c r="C58" s="155" t="s">
        <v>257</v>
      </c>
      <c r="D58" s="164"/>
      <c r="E58" s="156"/>
      <c r="F58" s="63" t="s">
        <v>44</v>
      </c>
      <c r="G58" s="184">
        <v>46659</v>
      </c>
      <c r="H58" s="185"/>
    </row>
    <row r="59" spans="1:12" x14ac:dyDescent="0.35">
      <c r="A59" s="216" t="s">
        <v>46</v>
      </c>
      <c r="B59" s="217"/>
      <c r="C59" s="216" t="s">
        <v>109</v>
      </c>
      <c r="D59" s="218"/>
      <c r="E59" s="217"/>
      <c r="F59" s="64" t="s">
        <v>44</v>
      </c>
      <c r="G59" s="157" t="s">
        <v>29</v>
      </c>
      <c r="H59" s="159"/>
    </row>
    <row r="60" spans="1:12" x14ac:dyDescent="0.35">
      <c r="A60" s="204" t="s">
        <v>48</v>
      </c>
      <c r="B60" s="204"/>
      <c r="C60" s="204"/>
      <c r="D60" s="204"/>
      <c r="E60" s="204"/>
      <c r="F60" s="204"/>
      <c r="G60" s="204"/>
      <c r="H60" s="204"/>
    </row>
    <row r="61" spans="1:12" x14ac:dyDescent="0.35">
      <c r="A61" s="180" t="s">
        <v>95</v>
      </c>
      <c r="B61" s="180"/>
      <c r="C61" s="180"/>
      <c r="D61" s="178">
        <f>E45</f>
        <v>119224.23</v>
      </c>
      <c r="E61" s="178"/>
      <c r="F61" s="178"/>
      <c r="G61" s="178"/>
      <c r="H61" s="178"/>
      <c r="I61" s="22">
        <f>107502.61</f>
        <v>107502.61</v>
      </c>
      <c r="L61" s="22">
        <f>D61-I61</f>
        <v>11721.619999999995</v>
      </c>
    </row>
    <row r="62" spans="1:12" x14ac:dyDescent="0.35">
      <c r="A62" s="108" t="s">
        <v>49</v>
      </c>
      <c r="B62" s="109"/>
      <c r="C62" s="109"/>
      <c r="D62" s="219" t="s">
        <v>301</v>
      </c>
      <c r="E62" s="109"/>
      <c r="F62" s="109"/>
      <c r="G62" s="109"/>
      <c r="H62" s="109"/>
      <c r="I62" s="25">
        <f>563+29+1+2</f>
        <v>595</v>
      </c>
    </row>
    <row r="63" spans="1:12" ht="30.75" customHeight="1" x14ac:dyDescent="0.35">
      <c r="A63" s="182" t="s">
        <v>50</v>
      </c>
      <c r="B63" s="183"/>
      <c r="C63" s="183"/>
      <c r="D63" s="108" t="s">
        <v>302</v>
      </c>
      <c r="E63" s="109"/>
      <c r="F63" s="109"/>
      <c r="G63" s="109"/>
      <c r="H63" s="109"/>
      <c r="I63" s="26"/>
    </row>
    <row r="64" spans="1:12" ht="15.75" customHeight="1" x14ac:dyDescent="0.35">
      <c r="A64" s="108" t="s">
        <v>93</v>
      </c>
      <c r="B64" s="108"/>
      <c r="C64" s="108"/>
      <c r="D64" s="108" t="s">
        <v>316</v>
      </c>
      <c r="E64" s="109"/>
      <c r="F64" s="109"/>
      <c r="G64" s="109"/>
      <c r="H64" s="109"/>
      <c r="I64" s="26"/>
    </row>
    <row r="65" spans="1:14" ht="15.75" customHeight="1" x14ac:dyDescent="0.35">
      <c r="A65" s="108"/>
      <c r="B65" s="108"/>
      <c r="C65" s="108"/>
      <c r="D65" s="108" t="s">
        <v>315</v>
      </c>
      <c r="E65" s="109"/>
      <c r="F65" s="109"/>
      <c r="G65" s="109"/>
      <c r="H65" s="109"/>
      <c r="I65" s="26"/>
    </row>
    <row r="66" spans="1:14" ht="15.75" customHeight="1" x14ac:dyDescent="0.35">
      <c r="A66" s="108"/>
      <c r="B66" s="108"/>
      <c r="C66" s="108"/>
      <c r="D66" s="108" t="s">
        <v>317</v>
      </c>
      <c r="E66" s="109"/>
      <c r="F66" s="109"/>
      <c r="G66" s="109"/>
      <c r="H66" s="109"/>
      <c r="I66" s="26"/>
    </row>
    <row r="67" spans="1:14" ht="15.75" customHeight="1" x14ac:dyDescent="0.35">
      <c r="A67" s="108"/>
      <c r="B67" s="108"/>
      <c r="C67" s="108"/>
      <c r="D67" s="108" t="s">
        <v>303</v>
      </c>
      <c r="E67" s="109"/>
      <c r="F67" s="109"/>
      <c r="G67" s="109"/>
      <c r="H67" s="109"/>
      <c r="I67" s="26"/>
    </row>
    <row r="68" spans="1:14" ht="15.75" customHeight="1" x14ac:dyDescent="0.35">
      <c r="A68" s="178" t="s">
        <v>47</v>
      </c>
      <c r="B68" s="178"/>
      <c r="C68" s="178"/>
      <c r="D68" s="108" t="s">
        <v>238</v>
      </c>
      <c r="E68" s="108"/>
      <c r="F68" s="108"/>
      <c r="G68" s="108"/>
      <c r="H68" s="108"/>
      <c r="J68" s="27"/>
      <c r="K68" s="25"/>
      <c r="N68" s="25"/>
    </row>
    <row r="69" spans="1:14" ht="15.75" customHeight="1" x14ac:dyDescent="0.35">
      <c r="A69" s="178" t="s">
        <v>91</v>
      </c>
      <c r="B69" s="178"/>
      <c r="C69" s="178"/>
      <c r="D69" s="179" t="str">
        <f>(IF(G59="NA","60 Years After Completion",IF(G59&lt;&gt;"NA",""&amp;60-ROUNDDOWN((E3-G59)/360,0)&amp;" Years"," ")))</f>
        <v>60 Years After Completion</v>
      </c>
      <c r="E69" s="179"/>
      <c r="F69" s="179"/>
      <c r="G69" s="179"/>
      <c r="H69" s="179"/>
      <c r="N69" s="25"/>
    </row>
    <row r="70" spans="1:14" ht="15.75" customHeight="1" x14ac:dyDescent="0.35">
      <c r="A70" s="178" t="s">
        <v>92</v>
      </c>
      <c r="B70" s="178"/>
      <c r="C70" s="178"/>
      <c r="D70" s="180" t="s">
        <v>24</v>
      </c>
      <c r="E70" s="180"/>
      <c r="F70" s="180"/>
      <c r="G70" s="180"/>
      <c r="H70" s="180"/>
      <c r="J70" s="28"/>
      <c r="K70" s="28"/>
    </row>
    <row r="71" spans="1:14" ht="15" customHeight="1" x14ac:dyDescent="0.35">
      <c r="A71" s="178" t="s">
        <v>78</v>
      </c>
      <c r="B71" s="178"/>
      <c r="C71" s="178"/>
      <c r="D71" s="108" t="s">
        <v>237</v>
      </c>
      <c r="E71" s="108"/>
      <c r="F71" s="108"/>
      <c r="G71" s="108"/>
      <c r="H71" s="108"/>
    </row>
    <row r="72" spans="1:14" x14ac:dyDescent="0.35">
      <c r="A72" s="180" t="s">
        <v>157</v>
      </c>
      <c r="B72" s="180"/>
      <c r="C72" s="180"/>
      <c r="D72" s="180" t="s">
        <v>29</v>
      </c>
      <c r="E72" s="180"/>
      <c r="F72" s="180"/>
      <c r="G72" s="180"/>
      <c r="H72" s="180"/>
      <c r="I72" s="29"/>
      <c r="J72" s="29"/>
      <c r="K72" s="29"/>
      <c r="L72" s="29"/>
      <c r="M72" s="29"/>
      <c r="N72" s="29"/>
    </row>
    <row r="73" spans="1:14" ht="15.75" customHeight="1" x14ac:dyDescent="0.35">
      <c r="A73" s="178" t="s">
        <v>90</v>
      </c>
      <c r="B73" s="178"/>
      <c r="C73" s="178"/>
      <c r="D73" s="108" t="str">
        <f ca="1">(IF(G79&gt;95%,"Nothing",IF(G79&gt;0%,"Cement, Aggregate, Steel, etc",IF(G79=0%,"Work not yet Started"))))</f>
        <v>Cement, Aggregate, Steel, etc</v>
      </c>
      <c r="E73" s="108"/>
      <c r="F73" s="108"/>
      <c r="G73" s="108"/>
      <c r="H73" s="108"/>
      <c r="J73" s="28"/>
    </row>
    <row r="74" spans="1:14" ht="33.75" customHeight="1" thickBot="1" x14ac:dyDescent="0.4">
      <c r="A74" s="180" t="s">
        <v>122</v>
      </c>
      <c r="B74" s="180"/>
      <c r="C74" s="180"/>
      <c r="D74" s="108" t="str">
        <f ca="1">(IF(D73="Nothing","Yes",IF(D73="Cement, Aggregate, Steel, etc","Under Construction",IF(D73="Work not yet Started","Work not yet Started"))))</f>
        <v>Under Construction</v>
      </c>
      <c r="E74" s="108"/>
      <c r="F74" s="108" t="str">
        <f ca="1">(IF(D73="Nothing","Yes",IF(D73="Cement, Aggregate, Steel, etc","Under Construction",IF(D73="Work not yet Started","Work not yet Started"))))</f>
        <v>Under Construction</v>
      </c>
      <c r="G74" s="108"/>
      <c r="H74" s="108"/>
    </row>
    <row r="75" spans="1:14" ht="15.75" customHeight="1" x14ac:dyDescent="0.35">
      <c r="A75" s="110" t="s">
        <v>147</v>
      </c>
      <c r="B75" s="110"/>
      <c r="C75" s="110" t="s">
        <v>321</v>
      </c>
      <c r="D75" s="110"/>
      <c r="E75" s="110"/>
      <c r="F75" s="110"/>
      <c r="G75" s="110"/>
      <c r="H75" s="110"/>
      <c r="I75" s="86" t="str">
        <f ca="1">IF(D88=100%,"All work Completed. Possession granted to the Building.",IF(D87=100%,"All work Completed, Waiting for OC",I76&amp;""&amp;I77&amp;""&amp;J76&amp;""&amp;J75&amp;" "&amp;J77))</f>
        <v>Excavation, Plinth Completed, RCC upto 4 Slab Completed</v>
      </c>
      <c r="J75" s="49" t="str">
        <f ca="1">(IF(C81=(D76+F76+H76),"",IF(C81&gt;0,", RCC upto "&amp;C81&amp;" Slab","")))&amp;(IF(C82=H76,"",IF(C82&gt;0,", Brickwork upto "&amp;C82&amp;" Floor","")))&amp;(IF(C83=H76,"",IF(C83&gt;0,", Internal Plaster upto "&amp;C83&amp;" Floor","")))&amp;(IF(C84=H76,"",IF(C84&gt;0,", External Plaster upto "&amp;C84&amp;" Floor","")))&amp;(IF(C85=H76,"",IF(C85&gt;0,", Flooring upto "&amp;C85&amp;" Floor","")))&amp;(IF(C86=H76,"",IF(C86&gt;0,", Painting upto "&amp;C86&amp;" Floor","")))&amp;(IF(C87=H76,"",IF(C87&gt;0,", Finishing upto "&amp;C87&amp;" Floor","")))&amp;(IF(C88=H76,"",IF(C88&gt;0,", Possession upto "&amp;C88&amp;" Floor","")))</f>
        <v>, RCC upto 4 Slab</v>
      </c>
    </row>
    <row r="76" spans="1:14" x14ac:dyDescent="0.35">
      <c r="A76" s="88" t="s">
        <v>149</v>
      </c>
      <c r="B76" s="88">
        <v>4</v>
      </c>
      <c r="C76" s="88" t="s">
        <v>75</v>
      </c>
      <c r="D76" s="88">
        <v>1</v>
      </c>
      <c r="E76" s="88" t="s">
        <v>74</v>
      </c>
      <c r="F76" s="88">
        <v>0</v>
      </c>
      <c r="G76" s="92" t="s">
        <v>84</v>
      </c>
      <c r="H76" s="88">
        <f ca="1">--TRIM(RIGHT(SUBSTITUTE(LEFT(C75,_xlfn.AGGREGATE(16,6,FIND({0,1,2,3,4,5,6,7,8,9},C75,ROW(INDIRECT("1:"&amp;LEN(C75)))),1))," ",REPT(" ",LEN(C75))),LEN(C75)))</f>
        <v>25</v>
      </c>
      <c r="I76" s="87" t="str">
        <f ca="1">IF(D79=100%,"Excavation","")&amp;IF(D80=100%,", Plinth","")&amp;IF(D81=100%,", RCC Slab","")&amp;IF(D82=100%,", Brickwork","")&amp;IF(D83=100%,", Internal Plaster","")&amp;IF(D84=100%,", External Plaster","")&amp;IF(D85=100%,", Flooring","")&amp;IF(D86=100%,", Painting","")&amp;IF(D87=100%,", Building common Amenities","")</f>
        <v>Excavation, Plinth</v>
      </c>
      <c r="J76" s="51" t="str">
        <f ca="1">(IF(C79=0,"Work not yet Started.",IF(D79=25%,"Piling work in process",IF(D79=50%,"Excavation work in process",IF(D79=100%,"","0")))))&amp;(IF(C80=0%,"",IF(C80=J81,", Footing work is process",IF(C80=J82,", Footing work Completed",IF(C80=J83,", 1st Basement Completed",IF(C80=J84,", 1st &amp; 2nd Basement Completed",IF(C80=J85,", 1st to 3rd Basement Completed",IF(C80=J86,", 1st to 4th Basement Completed",IF(C80=J87,", Plinth work is process",IF(C80=J88,"","0"))))))))))</f>
        <v/>
      </c>
    </row>
    <row r="77" spans="1:14" ht="16.5" customHeight="1" x14ac:dyDescent="0.35">
      <c r="A77" s="111" t="s">
        <v>94</v>
      </c>
      <c r="B77" s="111"/>
      <c r="C77" s="112" t="str">
        <f ca="1">I75</f>
        <v>Excavation, Plinth Completed, RCC upto 4 Slab Completed</v>
      </c>
      <c r="D77" s="112"/>
      <c r="E77" s="112"/>
      <c r="F77" s="112"/>
      <c r="G77" s="112"/>
      <c r="H77" s="112"/>
      <c r="I77" s="87" t="str">
        <f ca="1">IF(I76&lt;&gt;""," Completed","")</f>
        <v xml:space="preserve"> Completed</v>
      </c>
      <c r="J77" s="51" t="str">
        <f ca="1">IF(J75&lt;&gt;"","Completed","")</f>
        <v>Completed</v>
      </c>
    </row>
    <row r="78" spans="1:14" ht="15.75" customHeight="1" x14ac:dyDescent="0.35">
      <c r="A78" s="95" t="s">
        <v>51</v>
      </c>
      <c r="B78" s="95"/>
      <c r="C78" s="93" t="s">
        <v>146</v>
      </c>
      <c r="D78" s="93" t="s">
        <v>87</v>
      </c>
      <c r="E78" s="95" t="s">
        <v>89</v>
      </c>
      <c r="F78" s="95"/>
      <c r="G78" s="95" t="s">
        <v>88</v>
      </c>
      <c r="H78" s="95"/>
      <c r="I78" s="16" t="s">
        <v>148</v>
      </c>
      <c r="J78" s="30">
        <f ca="1">H76*25%</f>
        <v>6.25</v>
      </c>
    </row>
    <row r="79" spans="1:14" x14ac:dyDescent="0.35">
      <c r="A79" s="95" t="s">
        <v>135</v>
      </c>
      <c r="B79" s="95"/>
      <c r="C79" s="93">
        <f ca="1">J80</f>
        <v>25</v>
      </c>
      <c r="D79" s="20">
        <f ca="1">((100/H76)*C79)/100</f>
        <v>1</v>
      </c>
      <c r="E79" s="113">
        <f ca="1">(((C80/H76*10)+(40/(D76+F76+H76)*C81)+(7.5/(H76)*C82)+(7.5/(H76)*C83)+(10/H76*C84)+(10/H76*C85)+(5/H76*C86)+(5/H76*C87)+(5/H76*C88))/100)</f>
        <v>0.16153846153846152</v>
      </c>
      <c r="F79" s="113"/>
      <c r="G79" s="113">
        <f ca="1">((((C79/H76)*20)+((C80/H76)*25)+(30/(H76+F76+D76)*C81)+(5/H76*C82)+(5/H76*C83)+(5/H76*C84)+(5/H76*C85)+(0/H76*C86)+(0/H76*C87)+(5/H76*C88))/100)</f>
        <v>0.49615384615384611</v>
      </c>
      <c r="H79" s="113"/>
      <c r="I79" s="16" t="s">
        <v>104</v>
      </c>
      <c r="J79" s="31">
        <f ca="1">H76*50%</f>
        <v>12.5</v>
      </c>
    </row>
    <row r="80" spans="1:14" x14ac:dyDescent="0.35">
      <c r="A80" s="95" t="s">
        <v>52</v>
      </c>
      <c r="B80" s="95"/>
      <c r="C80" s="70">
        <f ca="1">J88</f>
        <v>25</v>
      </c>
      <c r="D80" s="20">
        <f ca="1">((100/H76)*C80)/100</f>
        <v>1</v>
      </c>
      <c r="E80" s="113"/>
      <c r="F80" s="113"/>
      <c r="G80" s="113"/>
      <c r="H80" s="113"/>
      <c r="I80" s="16" t="s">
        <v>105</v>
      </c>
      <c r="J80" s="31">
        <f ca="1">H76</f>
        <v>25</v>
      </c>
    </row>
    <row r="81" spans="1:10" ht="15.75" customHeight="1" x14ac:dyDescent="0.35">
      <c r="A81" s="95" t="s">
        <v>136</v>
      </c>
      <c r="B81" s="95"/>
      <c r="C81" s="93">
        <v>4</v>
      </c>
      <c r="D81" s="20">
        <f ca="1">((100/(D76+F76+H76))*C81)/100</f>
        <v>0.15384615384615385</v>
      </c>
      <c r="E81" s="113"/>
      <c r="F81" s="113"/>
      <c r="G81" s="113"/>
      <c r="H81" s="113"/>
      <c r="I81" s="16" t="s">
        <v>106</v>
      </c>
      <c r="J81" s="32">
        <f ca="1">(IF(B76&gt;1,(H76/(B76+2)),H76/4))</f>
        <v>4.166666666666667</v>
      </c>
    </row>
    <row r="82" spans="1:10" ht="15.75" customHeight="1" x14ac:dyDescent="0.35">
      <c r="A82" s="95" t="s">
        <v>143</v>
      </c>
      <c r="B82" s="95" t="s">
        <v>137</v>
      </c>
      <c r="C82" s="93">
        <v>0</v>
      </c>
      <c r="D82" s="20">
        <f ca="1">((100/H76)*C82)/100</f>
        <v>0</v>
      </c>
      <c r="E82" s="113"/>
      <c r="F82" s="113"/>
      <c r="G82" s="113"/>
      <c r="H82" s="113"/>
      <c r="I82" s="16" t="s">
        <v>107</v>
      </c>
      <c r="J82" s="32">
        <f ca="1">(IF(B76&gt;1,(H76/(B76+2)+J81),H76/4+J81))</f>
        <v>8.3333333333333339</v>
      </c>
    </row>
    <row r="83" spans="1:10" ht="15.75" customHeight="1" x14ac:dyDescent="0.35">
      <c r="A83" s="95" t="s">
        <v>144</v>
      </c>
      <c r="B83" s="95" t="s">
        <v>137</v>
      </c>
      <c r="C83" s="93">
        <v>0</v>
      </c>
      <c r="D83" s="20">
        <f ca="1">((100/H76)*C83)/100</f>
        <v>0</v>
      </c>
      <c r="E83" s="113"/>
      <c r="F83" s="113"/>
      <c r="G83" s="113"/>
      <c r="H83" s="113"/>
      <c r="I83" s="16" t="s">
        <v>155</v>
      </c>
      <c r="J83" s="32">
        <f ca="1">(IF(B76&gt;1,(H76/(B76+2)+J82),0))</f>
        <v>12.5</v>
      </c>
    </row>
    <row r="84" spans="1:10" ht="15" customHeight="1" x14ac:dyDescent="0.35">
      <c r="A84" s="95" t="s">
        <v>142</v>
      </c>
      <c r="B84" s="95" t="s">
        <v>139</v>
      </c>
      <c r="C84" s="93">
        <v>0</v>
      </c>
      <c r="D84" s="20">
        <f ca="1">((100/(H76))*C84)/100</f>
        <v>0</v>
      </c>
      <c r="E84" s="113"/>
      <c r="F84" s="113"/>
      <c r="G84" s="113"/>
      <c r="H84" s="113"/>
      <c r="I84" s="16" t="s">
        <v>150</v>
      </c>
      <c r="J84" s="32">
        <f ca="1">(IF(B76&gt;2,(H76/(B76+2)+J83),0))</f>
        <v>16.666666666666668</v>
      </c>
    </row>
    <row r="85" spans="1:10" ht="15.75" customHeight="1" x14ac:dyDescent="0.35">
      <c r="A85" s="95" t="s">
        <v>138</v>
      </c>
      <c r="B85" s="95" t="s">
        <v>138</v>
      </c>
      <c r="C85" s="93">
        <v>0</v>
      </c>
      <c r="D85" s="20">
        <f ca="1">((100/H76)*C85)/100</f>
        <v>0</v>
      </c>
      <c r="E85" s="113"/>
      <c r="F85" s="113"/>
      <c r="G85" s="113"/>
      <c r="H85" s="113"/>
      <c r="I85" s="16" t="s">
        <v>151</v>
      </c>
      <c r="J85" s="33">
        <f ca="1">(IF(B76&gt;3,(H76/(B76+2)+J84),0))</f>
        <v>20.833333333333336</v>
      </c>
    </row>
    <row r="86" spans="1:10" ht="15.75" customHeight="1" x14ac:dyDescent="0.35">
      <c r="A86" s="95" t="s">
        <v>145</v>
      </c>
      <c r="B86" s="95"/>
      <c r="C86" s="93">
        <v>0</v>
      </c>
      <c r="D86" s="20">
        <f ca="1">((100/H76)*C86)/100</f>
        <v>0</v>
      </c>
      <c r="E86" s="113"/>
      <c r="F86" s="113"/>
      <c r="G86" s="113"/>
      <c r="H86" s="113"/>
      <c r="I86" s="16" t="s">
        <v>152</v>
      </c>
      <c r="J86" s="32">
        <f>(IF(B76&gt;4,(H76/(B76+2)+J85),0))</f>
        <v>0</v>
      </c>
    </row>
    <row r="87" spans="1:10" ht="15.75" customHeight="1" x14ac:dyDescent="0.35">
      <c r="A87" s="95" t="s">
        <v>140</v>
      </c>
      <c r="B87" s="95" t="s">
        <v>140</v>
      </c>
      <c r="C87" s="93">
        <v>0</v>
      </c>
      <c r="D87" s="20">
        <f ca="1">((100/(H76))*C87)/100</f>
        <v>0</v>
      </c>
      <c r="E87" s="113"/>
      <c r="F87" s="113"/>
      <c r="G87" s="113"/>
      <c r="H87" s="113"/>
      <c r="I87" s="16" t="s">
        <v>156</v>
      </c>
      <c r="J87" s="32">
        <f>(IF(B76=1,(H76/(B76+3)+J82),IF(B76=0,(H76/4+J82),IF(B76&gt;1,0))))</f>
        <v>0</v>
      </c>
    </row>
    <row r="88" spans="1:10" ht="16" thickBot="1" x14ac:dyDescent="0.4">
      <c r="A88" s="95" t="s">
        <v>141</v>
      </c>
      <c r="B88" s="95"/>
      <c r="C88" s="93">
        <v>0</v>
      </c>
      <c r="D88" s="20">
        <f ca="1">((100/(H76))*C88)/100</f>
        <v>0</v>
      </c>
      <c r="E88" s="113"/>
      <c r="F88" s="113"/>
      <c r="G88" s="113"/>
      <c r="H88" s="113"/>
      <c r="I88" s="17" t="s">
        <v>108</v>
      </c>
      <c r="J88" s="34">
        <f ca="1">(IF(B76&gt;1.5,(H76/(B76+2)+J82+MAX(0,J83-J82)+MAX(0,J84-J83)+MAX(0,J85-J84)+MAX(0,J86-J85)+MAX(0,J87-J86)),IF(B76=1,(H76/(B76+3)+J87),IF(B76=0,H76/4+J87))))</f>
        <v>25</v>
      </c>
    </row>
    <row r="89" spans="1:10" ht="15.75" customHeight="1" x14ac:dyDescent="0.35">
      <c r="A89" s="226" t="s">
        <v>147</v>
      </c>
      <c r="B89" s="227"/>
      <c r="C89" s="228" t="str">
        <f>D65</f>
        <v>D Wing = 4B + G + 1st to 25th Floor</v>
      </c>
      <c r="D89" s="229"/>
      <c r="E89" s="229"/>
      <c r="F89" s="229"/>
      <c r="G89" s="229"/>
      <c r="H89" s="230"/>
      <c r="I89" s="48" t="str">
        <f ca="1">IF(D102=100%,"All work Completed. Possession granted to the Building.",IF(D101=100%,"All work Completed, Waiting for OC",I90&amp;""&amp;I91&amp;""&amp;J90&amp;""&amp;J89&amp;" "&amp;J91))</f>
        <v>Excavation, Plinth Completed, RCC upto 4 Slab Completed</v>
      </c>
      <c r="J89" s="49" t="str">
        <f ca="1">(IF(C95=(D90+F90+H90),"",IF(C95&gt;0,", RCC upto "&amp;C95&amp;" Slab","")))&amp;(IF(C96=H90,"",IF(C96&gt;0,", Brickwork upto "&amp;C96&amp;" Floor","")))&amp;(IF(C97=H90,"",IF(C97&gt;0,", Internal Plaster upto "&amp;C97&amp;" Floor","")))&amp;(IF(C98=H90,"",IF(C98&gt;0,", External Plaster upto "&amp;C98&amp;" Floor","")))&amp;(IF(C99=H90,"",IF(C99&gt;0,", Flooring upto "&amp;C99&amp;" Floor","")))&amp;(IF(C100=H90,"",IF(C100&gt;0,", Painting upto "&amp;C100&amp;" Floor","")))&amp;(IF(C101=H90,"",IF(C101&gt;0,", Finishing upto "&amp;C101&amp;" Floor","")))&amp;(IF(C102=H90,"",IF(C102&gt;0,", Possession upto "&amp;C102&amp;" Floor","")))</f>
        <v>, RCC upto 4 Slab</v>
      </c>
    </row>
    <row r="90" spans="1:10" x14ac:dyDescent="0.35">
      <c r="A90" s="18" t="s">
        <v>149</v>
      </c>
      <c r="B90" s="80">
        <v>4</v>
      </c>
      <c r="C90" s="80" t="s">
        <v>75</v>
      </c>
      <c r="D90" s="80">
        <v>1</v>
      </c>
      <c r="E90" s="80" t="s">
        <v>74</v>
      </c>
      <c r="F90" s="80">
        <v>0</v>
      </c>
      <c r="G90" s="81" t="s">
        <v>84</v>
      </c>
      <c r="H90" s="19">
        <f ca="1">--TRIM(RIGHT(SUBSTITUTE(LEFT(C89,_xlfn.AGGREGATE(16,6,FIND({0,1,2,3,4,5,6,7,8,9},C89,ROW(INDIRECT("1:"&amp;LEN(C89)))),1))," ",REPT(" ",LEN(C89))),LEN(C89)))</f>
        <v>25</v>
      </c>
      <c r="I90" s="50" t="str">
        <f ca="1">IF(D93=100%,"Excavation","")&amp;IF(D94=100%,", Plinth","")&amp;IF(D95=100%,", RCC Slab","")&amp;IF(D96=100%,", Brickwork","")&amp;IF(D97=100%,", Internal Plaster","")&amp;IF(D98=100%,", External Plaster","")&amp;IF(D99=100%,", Flooring","")&amp;IF(D100=100%,", Painting","")&amp;IF(D101=100%,", Building common Amenities","")</f>
        <v>Excavation, Plinth</v>
      </c>
      <c r="J90" s="51" t="str">
        <f ca="1">(IF(C93=0,"Work not yet Started.",IF(D93=25%,"Piling work in process",IF(D93=50%,"Excavation work in process",IF(D93=100%,"","0")))))&amp;(IF(C94=0%,"",IF(C94=J95,", Footing work is process",IF(C94=J96,", Footing work Completed",IF(C94=J97,", 1st Basement Completed",IF(C94=J98,", 1st &amp; 2nd Basement Completed",IF(C94=J99,", 1st to 3rd Basement Completed",IF(C94=J100,", 1st to 4th Basement Completed",IF(C94=J101,", Plinth work is process",IF(C94=J102,"","0"))))))))))</f>
        <v/>
      </c>
    </row>
    <row r="91" spans="1:10" ht="16.5" customHeight="1" x14ac:dyDescent="0.35">
      <c r="A91" s="119" t="s">
        <v>94</v>
      </c>
      <c r="B91" s="111"/>
      <c r="C91" s="112" t="str">
        <f ca="1">I89</f>
        <v>Excavation, Plinth Completed, RCC upto 4 Slab Completed</v>
      </c>
      <c r="D91" s="112"/>
      <c r="E91" s="112"/>
      <c r="F91" s="112"/>
      <c r="G91" s="112"/>
      <c r="H91" s="120"/>
      <c r="I91" s="50" t="str">
        <f ca="1">IF(I90&lt;&gt;""," Completed","")</f>
        <v xml:space="preserve"> Completed</v>
      </c>
      <c r="J91" s="51" t="str">
        <f ca="1">IF(J89&lt;&gt;"","Completed","")</f>
        <v>Completed</v>
      </c>
    </row>
    <row r="92" spans="1:10" ht="15.75" customHeight="1" x14ac:dyDescent="0.35">
      <c r="A92" s="96" t="s">
        <v>51</v>
      </c>
      <c r="B92" s="95"/>
      <c r="C92" s="78" t="s">
        <v>146</v>
      </c>
      <c r="D92" s="78" t="s">
        <v>87</v>
      </c>
      <c r="E92" s="95" t="s">
        <v>89</v>
      </c>
      <c r="F92" s="95"/>
      <c r="G92" s="95" t="s">
        <v>88</v>
      </c>
      <c r="H92" s="121"/>
      <c r="I92" s="16" t="s">
        <v>148</v>
      </c>
      <c r="J92" s="30">
        <f ca="1">H90*25%</f>
        <v>6.25</v>
      </c>
    </row>
    <row r="93" spans="1:10" x14ac:dyDescent="0.35">
      <c r="A93" s="96" t="s">
        <v>135</v>
      </c>
      <c r="B93" s="95"/>
      <c r="C93" s="78">
        <f ca="1">J94</f>
        <v>25</v>
      </c>
      <c r="D93" s="20">
        <f ca="1">((100/H90)*C93)/100</f>
        <v>1</v>
      </c>
      <c r="E93" s="97">
        <f ca="1">(((C94/H90*10)+(40/(D90+F90+H90)*C95)+(7.5/(H90)*C96)+(7.5/(H90)*C97)+(10/H90*C98)+(10/H90*C99)+(5/H90*C100)+(5/H90*C101)+(5/H90*C102))/100)</f>
        <v>0.16153846153846152</v>
      </c>
      <c r="F93" s="98"/>
      <c r="G93" s="97">
        <f ca="1">((((C93/H90)*20)+((C94/H90)*25)+(30/(H90+F90+D90)*C95)+(5/H90*C96)+(5/H90*C97)+(5/H90*C98)+(5/H90*C99)+(0/H90*C100)+(0/H90*C101)+(5/H90*C102))/100)</f>
        <v>0.49615384615384611</v>
      </c>
      <c r="H93" s="103"/>
      <c r="I93" s="16" t="s">
        <v>104</v>
      </c>
      <c r="J93" s="31">
        <f ca="1">H90*50%</f>
        <v>12.5</v>
      </c>
    </row>
    <row r="94" spans="1:10" x14ac:dyDescent="0.35">
      <c r="A94" s="96" t="s">
        <v>52</v>
      </c>
      <c r="B94" s="95"/>
      <c r="C94" s="70">
        <f ca="1">J102</f>
        <v>25</v>
      </c>
      <c r="D94" s="20">
        <f ca="1">((100/H90)*C94)/100</f>
        <v>1</v>
      </c>
      <c r="E94" s="99"/>
      <c r="F94" s="100"/>
      <c r="G94" s="99"/>
      <c r="H94" s="104"/>
      <c r="I94" s="16" t="s">
        <v>105</v>
      </c>
      <c r="J94" s="31">
        <f ca="1">H90</f>
        <v>25</v>
      </c>
    </row>
    <row r="95" spans="1:10" ht="15.75" customHeight="1" x14ac:dyDescent="0.35">
      <c r="A95" s="96" t="s">
        <v>136</v>
      </c>
      <c r="B95" s="95"/>
      <c r="C95" s="78">
        <v>4</v>
      </c>
      <c r="D95" s="20">
        <f ca="1">((100/(D90+F90+H90))*C95)/100</f>
        <v>0.15384615384615385</v>
      </c>
      <c r="E95" s="99"/>
      <c r="F95" s="100"/>
      <c r="G95" s="99"/>
      <c r="H95" s="104"/>
      <c r="I95" s="16" t="s">
        <v>106</v>
      </c>
      <c r="J95" s="32">
        <f ca="1">(IF(B90&gt;1,(H90/(B90+2)),H90/4))</f>
        <v>4.166666666666667</v>
      </c>
    </row>
    <row r="96" spans="1:10" ht="15.75" customHeight="1" x14ac:dyDescent="0.35">
      <c r="A96" s="96" t="s">
        <v>143</v>
      </c>
      <c r="B96" s="95" t="s">
        <v>137</v>
      </c>
      <c r="C96" s="78">
        <v>0</v>
      </c>
      <c r="D96" s="20">
        <f ca="1">((100/H90)*C96)/100</f>
        <v>0</v>
      </c>
      <c r="E96" s="99"/>
      <c r="F96" s="100"/>
      <c r="G96" s="99"/>
      <c r="H96" s="104"/>
      <c r="I96" s="16" t="s">
        <v>107</v>
      </c>
      <c r="J96" s="32">
        <f ca="1">(IF(B90&gt;1,(H90/(B90+2)+J95),H90/4+J95))</f>
        <v>8.3333333333333339</v>
      </c>
    </row>
    <row r="97" spans="1:10" ht="15.75" customHeight="1" x14ac:dyDescent="0.35">
      <c r="A97" s="96" t="s">
        <v>144</v>
      </c>
      <c r="B97" s="95" t="s">
        <v>137</v>
      </c>
      <c r="C97" s="78">
        <v>0</v>
      </c>
      <c r="D97" s="20">
        <f ca="1">((100/H90)*C97)/100</f>
        <v>0</v>
      </c>
      <c r="E97" s="99"/>
      <c r="F97" s="100"/>
      <c r="G97" s="99"/>
      <c r="H97" s="104"/>
      <c r="I97" s="16" t="s">
        <v>155</v>
      </c>
      <c r="J97" s="32">
        <f ca="1">(IF(B90&gt;1,(H90/(B90+2)+J96),0))</f>
        <v>12.5</v>
      </c>
    </row>
    <row r="98" spans="1:10" ht="15" customHeight="1" x14ac:dyDescent="0.35">
      <c r="A98" s="96" t="s">
        <v>142</v>
      </c>
      <c r="B98" s="95" t="s">
        <v>139</v>
      </c>
      <c r="C98" s="78">
        <v>0</v>
      </c>
      <c r="D98" s="20">
        <f ca="1">((100/(H90))*C98)/100</f>
        <v>0</v>
      </c>
      <c r="E98" s="99"/>
      <c r="F98" s="100"/>
      <c r="G98" s="99"/>
      <c r="H98" s="104"/>
      <c r="I98" s="16" t="s">
        <v>150</v>
      </c>
      <c r="J98" s="32">
        <f ca="1">(IF(B90&gt;2,(H90/(B90+2)+J97),0))</f>
        <v>16.666666666666668</v>
      </c>
    </row>
    <row r="99" spans="1:10" ht="15.75" customHeight="1" x14ac:dyDescent="0.35">
      <c r="A99" s="96" t="s">
        <v>138</v>
      </c>
      <c r="B99" s="95" t="s">
        <v>138</v>
      </c>
      <c r="C99" s="78">
        <v>0</v>
      </c>
      <c r="D99" s="20">
        <f ca="1">((100/H90)*C99)/100</f>
        <v>0</v>
      </c>
      <c r="E99" s="99"/>
      <c r="F99" s="100"/>
      <c r="G99" s="99"/>
      <c r="H99" s="104"/>
      <c r="I99" s="16" t="s">
        <v>151</v>
      </c>
      <c r="J99" s="33">
        <f ca="1">(IF(B90&gt;3,(H90/(B90+2)+J98),0))</f>
        <v>20.833333333333336</v>
      </c>
    </row>
    <row r="100" spans="1:10" ht="15.75" customHeight="1" x14ac:dyDescent="0.35">
      <c r="A100" s="96" t="s">
        <v>145</v>
      </c>
      <c r="B100" s="95"/>
      <c r="C100" s="78">
        <v>0</v>
      </c>
      <c r="D100" s="20">
        <f ca="1">((100/H90)*C100)/100</f>
        <v>0</v>
      </c>
      <c r="E100" s="99"/>
      <c r="F100" s="100"/>
      <c r="G100" s="99"/>
      <c r="H100" s="104"/>
      <c r="I100" s="16" t="s">
        <v>152</v>
      </c>
      <c r="J100" s="32">
        <f>(IF(B90&gt;4,(H90/(B90+2)+J99),0))</f>
        <v>0</v>
      </c>
    </row>
    <row r="101" spans="1:10" ht="15.75" customHeight="1" x14ac:dyDescent="0.35">
      <c r="A101" s="96" t="s">
        <v>140</v>
      </c>
      <c r="B101" s="95" t="s">
        <v>140</v>
      </c>
      <c r="C101" s="78">
        <v>0</v>
      </c>
      <c r="D101" s="20">
        <f ca="1">((100/(H90))*C101)/100</f>
        <v>0</v>
      </c>
      <c r="E101" s="99"/>
      <c r="F101" s="100"/>
      <c r="G101" s="99"/>
      <c r="H101" s="104"/>
      <c r="I101" s="16" t="s">
        <v>156</v>
      </c>
      <c r="J101" s="32">
        <f>(IF(B90=1,(H90/(B90+3)+J96),IF(B90=0,(H90/4+J96),IF(B90&gt;1,0))))</f>
        <v>0</v>
      </c>
    </row>
    <row r="102" spans="1:10" ht="16" thickBot="1" x14ac:dyDescent="0.4">
      <c r="A102" s="106" t="s">
        <v>141</v>
      </c>
      <c r="B102" s="107"/>
      <c r="C102" s="79">
        <v>0</v>
      </c>
      <c r="D102" s="21">
        <f ca="1">((100/(H90))*C102)/100</f>
        <v>0</v>
      </c>
      <c r="E102" s="101"/>
      <c r="F102" s="102"/>
      <c r="G102" s="101"/>
      <c r="H102" s="105"/>
      <c r="I102" s="17" t="s">
        <v>108</v>
      </c>
      <c r="J102" s="34">
        <f ca="1">(IF(B90&gt;1.5,(H90/(B90+2)+J96+MAX(0,J97-J96)+MAX(0,J98-J97)+MAX(0,J99-J98)+MAX(0,J100-J99)+MAX(0,J101-J100)),IF(B90=1,(H90/(B90+3)+J101),IF(B90=0,H90/4+J101))))</f>
        <v>25</v>
      </c>
    </row>
    <row r="103" spans="1:10" ht="15.75" customHeight="1" x14ac:dyDescent="0.35">
      <c r="A103" s="114" t="s">
        <v>147</v>
      </c>
      <c r="B103" s="115"/>
      <c r="C103" s="116" t="s">
        <v>320</v>
      </c>
      <c r="D103" s="117"/>
      <c r="E103" s="117"/>
      <c r="F103" s="117"/>
      <c r="G103" s="117"/>
      <c r="H103" s="118"/>
      <c r="I103" s="48" t="str">
        <f ca="1">IF(D116=100%,"All work Completed. Possession granted to the Building.",IF(D115=100%,"All work Completed, Waiting for OC",I104&amp;""&amp;I105&amp;""&amp;J104&amp;""&amp;J103&amp;" "&amp;J105))</f>
        <v>Excavation, Plinth Completed, RCC upto 9 Slab Completed</v>
      </c>
      <c r="J103" s="49" t="str">
        <f ca="1">(IF(C109=(D104+F104+H104),"",IF(C109&gt;0,", RCC upto "&amp;C109&amp;" Slab","")))&amp;(IF(C110=H104,"",IF(C110&gt;0,", Brickwork upto "&amp;C110&amp;" Floor","")))&amp;(IF(C111=H104,"",IF(C111&gt;0,", Internal Plaster upto "&amp;C111&amp;" Floor","")))&amp;(IF(C112=H104,"",IF(C112&gt;0,", External Plaster upto "&amp;C112&amp;" Floor","")))&amp;(IF(C113=H104,"",IF(C113&gt;0,", Flooring upto "&amp;C113&amp;" Floor","")))&amp;(IF(C114=H104,"",IF(C114&gt;0,", Painting upto "&amp;C114&amp;" Floor","")))&amp;(IF(C115=H104,"",IF(C115&gt;0,", Finishing upto "&amp;C115&amp;" Floor","")))&amp;(IF(C116=H104,"",IF(C116&gt;0,", Possession upto "&amp;C116&amp;" Floor","")))</f>
        <v>, RCC upto 9 Slab</v>
      </c>
    </row>
    <row r="104" spans="1:10" x14ac:dyDescent="0.35">
      <c r="A104" s="18" t="s">
        <v>149</v>
      </c>
      <c r="B104" s="80">
        <v>4</v>
      </c>
      <c r="C104" s="80" t="s">
        <v>75</v>
      </c>
      <c r="D104" s="80">
        <v>1</v>
      </c>
      <c r="E104" s="80" t="s">
        <v>74</v>
      </c>
      <c r="F104" s="80">
        <v>0</v>
      </c>
      <c r="G104" s="81" t="s">
        <v>84</v>
      </c>
      <c r="H104" s="19">
        <f ca="1">--TRIM(RIGHT(SUBSTITUTE(LEFT(C103,_xlfn.AGGREGATE(16,6,FIND({0,1,2,3,4,5,6,7,8,9},C103,ROW(INDIRECT("1:"&amp;LEN(C103)))),1))," ",REPT(" ",LEN(C103))),LEN(C103)))</f>
        <v>25</v>
      </c>
      <c r="I104" s="50" t="str">
        <f ca="1">IF(D107=100%,"Excavation","")&amp;IF(D108=100%,", Plinth","")&amp;IF(D109=100%,", RCC Slab","")&amp;IF(D110=100%,", Brickwork","")&amp;IF(D111=100%,", Internal Plaster","")&amp;IF(D112=100%,", External Plaster","")&amp;IF(D113=100%,", Flooring","")&amp;IF(D114=100%,", Painting","")&amp;IF(D115=100%,", Building common Amenities","")</f>
        <v>Excavation, Plinth</v>
      </c>
      <c r="J104" s="51" t="str">
        <f ca="1">(IF(C107=0,"Work not yet Started.",IF(D107=25%,"Piling work in process",IF(D107=50%,"Excavation work in process",IF(D107=100%,"","0")))))&amp;(IF(C108=0%,"",IF(C108=J109,", Footing work is process",IF(C108=J110,", Footing work Completed",IF(C108=J111,", 1st Basement Completed",IF(C108=J112,", 1st &amp; 2nd Basement Completed",IF(C108=J113,", 1st to 3rd Basement Completed",IF(C108=J114,", 1st to 4th Basement Completed",IF(C108=J115,", Plinth work is process",IF(C108=J116,"","0"))))))))))</f>
        <v/>
      </c>
    </row>
    <row r="105" spans="1:10" ht="16.5" customHeight="1" x14ac:dyDescent="0.35">
      <c r="A105" s="119" t="s">
        <v>94</v>
      </c>
      <c r="B105" s="111"/>
      <c r="C105" s="112" t="str">
        <f ca="1">I103</f>
        <v>Excavation, Plinth Completed, RCC upto 9 Slab Completed</v>
      </c>
      <c r="D105" s="112"/>
      <c r="E105" s="112"/>
      <c r="F105" s="112"/>
      <c r="G105" s="112"/>
      <c r="H105" s="120"/>
      <c r="I105" s="50" t="str">
        <f ca="1">IF(I104&lt;&gt;""," Completed","")</f>
        <v xml:space="preserve"> Completed</v>
      </c>
      <c r="J105" s="51" t="str">
        <f ca="1">IF(J103&lt;&gt;"","Completed","")</f>
        <v>Completed</v>
      </c>
    </row>
    <row r="106" spans="1:10" ht="15.75" customHeight="1" x14ac:dyDescent="0.35">
      <c r="A106" s="96" t="s">
        <v>51</v>
      </c>
      <c r="B106" s="95"/>
      <c r="C106" s="78" t="s">
        <v>146</v>
      </c>
      <c r="D106" s="78" t="s">
        <v>87</v>
      </c>
      <c r="E106" s="95" t="s">
        <v>89</v>
      </c>
      <c r="F106" s="95"/>
      <c r="G106" s="95" t="s">
        <v>88</v>
      </c>
      <c r="H106" s="121"/>
      <c r="I106" s="16" t="s">
        <v>148</v>
      </c>
      <c r="J106" s="30">
        <f ca="1">H104*25%</f>
        <v>6.25</v>
      </c>
    </row>
    <row r="107" spans="1:10" x14ac:dyDescent="0.35">
      <c r="A107" s="95" t="s">
        <v>135</v>
      </c>
      <c r="B107" s="95"/>
      <c r="C107" s="93">
        <f ca="1">J108</f>
        <v>25</v>
      </c>
      <c r="D107" s="20">
        <f ca="1">((100/H104)*C107)/100</f>
        <v>1</v>
      </c>
      <c r="E107" s="113">
        <f ca="1">(((C108/H104*10)+(40/(D104+F104+H104)*C109)+(7.5/(H104)*C110)+(7.5/(H104)*C111)+(10/H104*C112)+(10/H104*C113)+(5/H104*C114)+(5/H104*C115)+(5/H104*C116))/100)</f>
        <v>0.23846153846153847</v>
      </c>
      <c r="F107" s="113"/>
      <c r="G107" s="113">
        <f ca="1">((((C107/H104)*20)+((C108/H104)*25)+(30/(H104+F104+D104)*C109)+(5/H104*C110)+(5/H104*C111)+(5/H104*C112)+(5/H104*C113)+(0/H104*C114)+(0/H104*C115)+(5/H104*C116))/100)</f>
        <v>0.55384615384615388</v>
      </c>
      <c r="H107" s="113"/>
      <c r="I107" s="16" t="s">
        <v>104</v>
      </c>
      <c r="J107" s="31">
        <f ca="1">H104*50%</f>
        <v>12.5</v>
      </c>
    </row>
    <row r="108" spans="1:10" x14ac:dyDescent="0.35">
      <c r="A108" s="95" t="s">
        <v>52</v>
      </c>
      <c r="B108" s="95"/>
      <c r="C108" s="70">
        <f ca="1">J116</f>
        <v>25</v>
      </c>
      <c r="D108" s="20">
        <f ca="1">((100/H104)*C108)/100</f>
        <v>1</v>
      </c>
      <c r="E108" s="113"/>
      <c r="F108" s="113"/>
      <c r="G108" s="113"/>
      <c r="H108" s="113"/>
      <c r="I108" s="16" t="s">
        <v>105</v>
      </c>
      <c r="J108" s="31">
        <f ca="1">H104</f>
        <v>25</v>
      </c>
    </row>
    <row r="109" spans="1:10" ht="15.75" customHeight="1" x14ac:dyDescent="0.35">
      <c r="A109" s="95" t="s">
        <v>136</v>
      </c>
      <c r="B109" s="95"/>
      <c r="C109" s="93">
        <v>9</v>
      </c>
      <c r="D109" s="20">
        <f ca="1">((100/(D104+F104+H104))*C109)/100</f>
        <v>0.34615384615384615</v>
      </c>
      <c r="E109" s="113"/>
      <c r="F109" s="113"/>
      <c r="G109" s="113"/>
      <c r="H109" s="113"/>
      <c r="I109" s="16" t="s">
        <v>106</v>
      </c>
      <c r="J109" s="32">
        <f ca="1">(IF(B104&gt;1,(H104/(B104+2)),H104/4))</f>
        <v>4.166666666666667</v>
      </c>
    </row>
    <row r="110" spans="1:10" ht="15.75" customHeight="1" x14ac:dyDescent="0.35">
      <c r="A110" s="95" t="s">
        <v>143</v>
      </c>
      <c r="B110" s="95" t="s">
        <v>137</v>
      </c>
      <c r="C110" s="93">
        <v>0</v>
      </c>
      <c r="D110" s="20">
        <f ca="1">((100/H104)*C110)/100</f>
        <v>0</v>
      </c>
      <c r="E110" s="113"/>
      <c r="F110" s="113"/>
      <c r="G110" s="113"/>
      <c r="H110" s="113"/>
      <c r="I110" s="16" t="s">
        <v>107</v>
      </c>
      <c r="J110" s="32">
        <f ca="1">(IF(B104&gt;1,(H104/(B104+2)+J109),H104/4+J109))</f>
        <v>8.3333333333333339</v>
      </c>
    </row>
    <row r="111" spans="1:10" ht="15.75" customHeight="1" x14ac:dyDescent="0.35">
      <c r="A111" s="95" t="s">
        <v>144</v>
      </c>
      <c r="B111" s="95" t="s">
        <v>137</v>
      </c>
      <c r="C111" s="93">
        <v>0</v>
      </c>
      <c r="D111" s="20">
        <f ca="1">((100/H104)*C111)/100</f>
        <v>0</v>
      </c>
      <c r="E111" s="113"/>
      <c r="F111" s="113"/>
      <c r="G111" s="113"/>
      <c r="H111" s="113"/>
      <c r="I111" s="16" t="s">
        <v>155</v>
      </c>
      <c r="J111" s="32">
        <f ca="1">(IF(B104&gt;1,(H104/(B104+2)+J110),0))</f>
        <v>12.5</v>
      </c>
    </row>
    <row r="112" spans="1:10" ht="15" customHeight="1" x14ac:dyDescent="0.35">
      <c r="A112" s="95" t="s">
        <v>142</v>
      </c>
      <c r="B112" s="95" t="s">
        <v>139</v>
      </c>
      <c r="C112" s="93">
        <v>0</v>
      </c>
      <c r="D112" s="20">
        <f ca="1">((100/(H104))*C112)/100</f>
        <v>0</v>
      </c>
      <c r="E112" s="113"/>
      <c r="F112" s="113"/>
      <c r="G112" s="113"/>
      <c r="H112" s="113"/>
      <c r="I112" s="16" t="s">
        <v>150</v>
      </c>
      <c r="J112" s="32">
        <f ca="1">(IF(B104&gt;2,(H104/(B104+2)+J111),0))</f>
        <v>16.666666666666668</v>
      </c>
    </row>
    <row r="113" spans="1:10" ht="15.75" customHeight="1" x14ac:dyDescent="0.35">
      <c r="A113" s="95" t="s">
        <v>138</v>
      </c>
      <c r="B113" s="95" t="s">
        <v>138</v>
      </c>
      <c r="C113" s="93">
        <v>0</v>
      </c>
      <c r="D113" s="20">
        <f ca="1">((100/H104)*C113)/100</f>
        <v>0</v>
      </c>
      <c r="E113" s="113"/>
      <c r="F113" s="113"/>
      <c r="G113" s="113"/>
      <c r="H113" s="113"/>
      <c r="I113" s="16" t="s">
        <v>151</v>
      </c>
      <c r="J113" s="33">
        <f ca="1">(IF(B104&gt;3,(H104/(B104+2)+J112),0))</f>
        <v>20.833333333333336</v>
      </c>
    </row>
    <row r="114" spans="1:10" ht="15.75" customHeight="1" x14ac:dyDescent="0.35">
      <c r="A114" s="95" t="s">
        <v>145</v>
      </c>
      <c r="B114" s="95"/>
      <c r="C114" s="93">
        <v>0</v>
      </c>
      <c r="D114" s="20">
        <f ca="1">((100/H104)*C114)/100</f>
        <v>0</v>
      </c>
      <c r="E114" s="113"/>
      <c r="F114" s="113"/>
      <c r="G114" s="113"/>
      <c r="H114" s="113"/>
      <c r="I114" s="16" t="s">
        <v>152</v>
      </c>
      <c r="J114" s="32">
        <f>(IF(B104&gt;4,(H104/(B104+2)+J113),0))</f>
        <v>0</v>
      </c>
    </row>
    <row r="115" spans="1:10" ht="15.75" customHeight="1" x14ac:dyDescent="0.35">
      <c r="A115" s="95" t="s">
        <v>140</v>
      </c>
      <c r="B115" s="95" t="s">
        <v>140</v>
      </c>
      <c r="C115" s="93">
        <v>0</v>
      </c>
      <c r="D115" s="20">
        <f ca="1">((100/(H104))*C115)/100</f>
        <v>0</v>
      </c>
      <c r="E115" s="113"/>
      <c r="F115" s="113"/>
      <c r="G115" s="113"/>
      <c r="H115" s="113"/>
      <c r="I115" s="16" t="s">
        <v>156</v>
      </c>
      <c r="J115" s="32">
        <f>(IF(B104=1,(H104/(B104+3)+J110),IF(B104=0,(H104/4+J110),IF(B104&gt;1,0))))</f>
        <v>0</v>
      </c>
    </row>
    <row r="116" spans="1:10" ht="16" thickBot="1" x14ac:dyDescent="0.4">
      <c r="A116" s="95" t="s">
        <v>141</v>
      </c>
      <c r="B116" s="95"/>
      <c r="C116" s="93">
        <v>0</v>
      </c>
      <c r="D116" s="20">
        <f ca="1">((100/(H104))*C116)/100</f>
        <v>0</v>
      </c>
      <c r="E116" s="113"/>
      <c r="F116" s="113"/>
      <c r="G116" s="113"/>
      <c r="H116" s="113"/>
      <c r="I116" s="17" t="s">
        <v>108</v>
      </c>
      <c r="J116" s="34">
        <f ca="1">(IF(B104&gt;1.5,(H104/(B104+2)+J110+MAX(0,J111-J110)+MAX(0,J112-J111)+MAX(0,J113-J112)+MAX(0,J114-J113)+MAX(0,J115-J114)),IF(B104=1,(H104/(B104+3)+J115),IF(B104=0,H104/4+J115))))</f>
        <v>25</v>
      </c>
    </row>
    <row r="117" spans="1:10" ht="15.75" customHeight="1" x14ac:dyDescent="0.35">
      <c r="A117" s="110" t="s">
        <v>147</v>
      </c>
      <c r="B117" s="110"/>
      <c r="C117" s="110" t="s">
        <v>322</v>
      </c>
      <c r="D117" s="110"/>
      <c r="E117" s="110"/>
      <c r="F117" s="110"/>
      <c r="G117" s="110"/>
      <c r="H117" s="110"/>
      <c r="I117" s="86" t="str">
        <f ca="1">IF(D130=100%,"All work Completed. Possession granted to the Building.",IF(D129=100%,"All work Completed, Waiting for OC",I118&amp;""&amp;I119&amp;""&amp;J118&amp;""&amp;J117&amp;" "&amp;J119))</f>
        <v>Excavation, Plinth Completed, RCC upto 4 Slab Completed</v>
      </c>
      <c r="J117" s="49" t="str">
        <f ca="1">(IF(C123=(D118+F118+H118),"",IF(C123&gt;0,", RCC upto "&amp;C123&amp;" Slab","")))&amp;(IF(C124=H118,"",IF(C124&gt;0,", Brickwork upto "&amp;C124&amp;" Floor","")))&amp;(IF(C125=H118,"",IF(C125&gt;0,", Internal Plaster upto "&amp;C125&amp;" Floor","")))&amp;(IF(C126=H118,"",IF(C126&gt;0,", External Plaster upto "&amp;C126&amp;" Floor","")))&amp;(IF(C127=H118,"",IF(C127&gt;0,", Flooring upto "&amp;C127&amp;" Floor","")))&amp;(IF(C128=H118,"",IF(C128&gt;0,", Painting upto "&amp;C128&amp;" Floor","")))&amp;(IF(C129=H118,"",IF(C129&gt;0,", Finishing upto "&amp;C129&amp;" Floor","")))&amp;(IF(C130=H118,"",IF(C130&gt;0,", Possession upto "&amp;C130&amp;" Floor","")))</f>
        <v>, RCC upto 4 Slab</v>
      </c>
    </row>
    <row r="118" spans="1:10" x14ac:dyDescent="0.35">
      <c r="A118" s="88" t="s">
        <v>149</v>
      </c>
      <c r="B118" s="88">
        <v>4</v>
      </c>
      <c r="C118" s="88" t="s">
        <v>75</v>
      </c>
      <c r="D118" s="88">
        <v>1</v>
      </c>
      <c r="E118" s="88" t="s">
        <v>74</v>
      </c>
      <c r="F118" s="88">
        <v>0</v>
      </c>
      <c r="G118" s="92" t="s">
        <v>84</v>
      </c>
      <c r="H118" s="88">
        <f ca="1">--TRIM(RIGHT(SUBSTITUTE(LEFT(C117,_xlfn.AGGREGATE(16,6,FIND({0,1,2,3,4,5,6,7,8,9},C117,ROW(INDIRECT("1:"&amp;LEN(C117)))),1))," ",REPT(" ",LEN(C117))),LEN(C117)))</f>
        <v>25</v>
      </c>
      <c r="I118" s="87" t="str">
        <f ca="1">IF(D121=100%,"Excavation","")&amp;IF(D122=100%,", Plinth","")&amp;IF(D123=100%,", RCC Slab","")&amp;IF(D124=100%,", Brickwork","")&amp;IF(D125=100%,", Internal Plaster","")&amp;IF(D126=100%,", External Plaster","")&amp;IF(D127=100%,", Flooring","")&amp;IF(D128=100%,", Painting","")&amp;IF(D129=100%,", Building common Amenities","")</f>
        <v>Excavation, Plinth</v>
      </c>
      <c r="J118" s="51" t="str">
        <f ca="1">(IF(C121=0,"Work not yet Started.",IF(D121=25%,"Piling work in process",IF(D121=50%,"Excavation work in process",IF(D121=100%,"","0")))))&amp;(IF(C122=0%,"",IF(C122=J123,", Footing work is process",IF(C122=J124,", Footing work Completed",IF(C122=J125,", 1st Basement Completed",IF(C122=J126,", 1st &amp; 2nd Basement Completed",IF(C122=J127,", 1st to 3rd Basement Completed",IF(C122=J128,", 1st to 4th Basement Completed",IF(C122=J129,", Plinth work is process",IF(C122=J130,"","0"))))))))))</f>
        <v/>
      </c>
    </row>
    <row r="119" spans="1:10" ht="16.5" customHeight="1" x14ac:dyDescent="0.35">
      <c r="A119" s="111" t="s">
        <v>94</v>
      </c>
      <c r="B119" s="111"/>
      <c r="C119" s="112" t="str">
        <f ca="1">I117</f>
        <v>Excavation, Plinth Completed, RCC upto 4 Slab Completed</v>
      </c>
      <c r="D119" s="112"/>
      <c r="E119" s="112"/>
      <c r="F119" s="112"/>
      <c r="G119" s="112"/>
      <c r="H119" s="112"/>
      <c r="I119" s="87" t="str">
        <f ca="1">IF(I118&lt;&gt;""," Completed","")</f>
        <v xml:space="preserve"> Completed</v>
      </c>
      <c r="J119" s="51" t="str">
        <f ca="1">IF(J117&lt;&gt;"","Completed","")</f>
        <v>Completed</v>
      </c>
    </row>
    <row r="120" spans="1:10" ht="15.75" customHeight="1" x14ac:dyDescent="0.35">
      <c r="A120" s="95" t="s">
        <v>51</v>
      </c>
      <c r="B120" s="95"/>
      <c r="C120" s="93" t="s">
        <v>146</v>
      </c>
      <c r="D120" s="93" t="s">
        <v>87</v>
      </c>
      <c r="E120" s="95" t="s">
        <v>89</v>
      </c>
      <c r="F120" s="95"/>
      <c r="G120" s="95" t="s">
        <v>88</v>
      </c>
      <c r="H120" s="95"/>
      <c r="I120" s="16" t="s">
        <v>148</v>
      </c>
      <c r="J120" s="30">
        <f ca="1">H118*25%</f>
        <v>6.25</v>
      </c>
    </row>
    <row r="121" spans="1:10" x14ac:dyDescent="0.35">
      <c r="A121" s="95" t="s">
        <v>135</v>
      </c>
      <c r="B121" s="95"/>
      <c r="C121" s="93">
        <f ca="1">J122</f>
        <v>25</v>
      </c>
      <c r="D121" s="20">
        <f ca="1">((100/H118)*C121)/100</f>
        <v>1</v>
      </c>
      <c r="E121" s="113">
        <f ca="1">(((C122/H118*10)+(40/(D118+F118+H118)*C123)+(7.5/(H118)*C124)+(7.5/(H118)*C125)+(10/H118*C126)+(10/H118*C127)+(5/H118*C128)+(5/H118*C129)+(5/H118*C130))/100)</f>
        <v>0.16153846153846152</v>
      </c>
      <c r="F121" s="113"/>
      <c r="G121" s="113">
        <f ca="1">((((C121/H118)*20)+((C122/H118)*25)+(30/(H118+F118+D118)*C123)+(5/H118*C124)+(5/H118*C125)+(5/H118*C126)+(5/H118*C127)+(0/H118*C128)+(0/H118*C129)+(5/H118*C130))/100)</f>
        <v>0.49615384615384611</v>
      </c>
      <c r="H121" s="113"/>
      <c r="I121" s="16" t="s">
        <v>104</v>
      </c>
      <c r="J121" s="31">
        <f ca="1">H118*50%</f>
        <v>12.5</v>
      </c>
    </row>
    <row r="122" spans="1:10" x14ac:dyDescent="0.35">
      <c r="A122" s="95" t="s">
        <v>52</v>
      </c>
      <c r="B122" s="95"/>
      <c r="C122" s="70">
        <f ca="1">J130</f>
        <v>25</v>
      </c>
      <c r="D122" s="20">
        <f ca="1">((100/H118)*C122)/100</f>
        <v>1</v>
      </c>
      <c r="E122" s="113"/>
      <c r="F122" s="113"/>
      <c r="G122" s="113"/>
      <c r="H122" s="113"/>
      <c r="I122" s="16" t="s">
        <v>105</v>
      </c>
      <c r="J122" s="31">
        <f ca="1">H118</f>
        <v>25</v>
      </c>
    </row>
    <row r="123" spans="1:10" ht="15.75" customHeight="1" x14ac:dyDescent="0.35">
      <c r="A123" s="95" t="s">
        <v>136</v>
      </c>
      <c r="B123" s="95"/>
      <c r="C123" s="93">
        <v>4</v>
      </c>
      <c r="D123" s="20">
        <f ca="1">((100/(D118+F118+H118))*C123)/100</f>
        <v>0.15384615384615385</v>
      </c>
      <c r="E123" s="113"/>
      <c r="F123" s="113"/>
      <c r="G123" s="113"/>
      <c r="H123" s="113"/>
      <c r="I123" s="16" t="s">
        <v>106</v>
      </c>
      <c r="J123" s="32">
        <f ca="1">(IF(B118&gt;1,(H118/(B118+2)),H118/4))</f>
        <v>4.166666666666667</v>
      </c>
    </row>
    <row r="124" spans="1:10" ht="15.75" customHeight="1" x14ac:dyDescent="0.35">
      <c r="A124" s="95" t="s">
        <v>143</v>
      </c>
      <c r="B124" s="95" t="s">
        <v>137</v>
      </c>
      <c r="C124" s="93">
        <v>0</v>
      </c>
      <c r="D124" s="20">
        <f ca="1">((100/H118)*C124)/100</f>
        <v>0</v>
      </c>
      <c r="E124" s="113"/>
      <c r="F124" s="113"/>
      <c r="G124" s="113"/>
      <c r="H124" s="113"/>
      <c r="I124" s="16" t="s">
        <v>107</v>
      </c>
      <c r="J124" s="32">
        <f ca="1">(IF(B118&gt;1,(H118/(B118+2)+J123),H118/4+J123))</f>
        <v>8.3333333333333339</v>
      </c>
    </row>
    <row r="125" spans="1:10" ht="15.75" customHeight="1" x14ac:dyDescent="0.35">
      <c r="A125" s="95" t="s">
        <v>144</v>
      </c>
      <c r="B125" s="95" t="s">
        <v>137</v>
      </c>
      <c r="C125" s="93">
        <v>0</v>
      </c>
      <c r="D125" s="20">
        <f ca="1">((100/H118)*C125)/100</f>
        <v>0</v>
      </c>
      <c r="E125" s="113"/>
      <c r="F125" s="113"/>
      <c r="G125" s="113"/>
      <c r="H125" s="113"/>
      <c r="I125" s="16" t="s">
        <v>155</v>
      </c>
      <c r="J125" s="32">
        <f ca="1">(IF(B118&gt;1,(H118/(B118+2)+J124),0))</f>
        <v>12.5</v>
      </c>
    </row>
    <row r="126" spans="1:10" ht="15" customHeight="1" x14ac:dyDescent="0.35">
      <c r="A126" s="95" t="s">
        <v>142</v>
      </c>
      <c r="B126" s="95" t="s">
        <v>139</v>
      </c>
      <c r="C126" s="93">
        <v>0</v>
      </c>
      <c r="D126" s="20">
        <f ca="1">((100/(H118))*C126)/100</f>
        <v>0</v>
      </c>
      <c r="E126" s="113"/>
      <c r="F126" s="113"/>
      <c r="G126" s="113"/>
      <c r="H126" s="113"/>
      <c r="I126" s="16" t="s">
        <v>150</v>
      </c>
      <c r="J126" s="32">
        <f ca="1">(IF(B118&gt;2,(H118/(B118+2)+J125),0))</f>
        <v>16.666666666666668</v>
      </c>
    </row>
    <row r="127" spans="1:10" ht="15.75" customHeight="1" x14ac:dyDescent="0.35">
      <c r="A127" s="95" t="s">
        <v>138</v>
      </c>
      <c r="B127" s="95" t="s">
        <v>138</v>
      </c>
      <c r="C127" s="93">
        <v>0</v>
      </c>
      <c r="D127" s="20">
        <f ca="1">((100/H118)*C127)/100</f>
        <v>0</v>
      </c>
      <c r="E127" s="113"/>
      <c r="F127" s="113"/>
      <c r="G127" s="113"/>
      <c r="H127" s="113"/>
      <c r="I127" s="16" t="s">
        <v>151</v>
      </c>
      <c r="J127" s="33">
        <f ca="1">(IF(B118&gt;3,(H118/(B118+2)+J126),0))</f>
        <v>20.833333333333336</v>
      </c>
    </row>
    <row r="128" spans="1:10" ht="15.75" customHeight="1" x14ac:dyDescent="0.35">
      <c r="A128" s="95" t="s">
        <v>145</v>
      </c>
      <c r="B128" s="95"/>
      <c r="C128" s="93">
        <v>0</v>
      </c>
      <c r="D128" s="20">
        <f ca="1">((100/H118)*C128)/100</f>
        <v>0</v>
      </c>
      <c r="E128" s="113"/>
      <c r="F128" s="113"/>
      <c r="G128" s="113"/>
      <c r="H128" s="113"/>
      <c r="I128" s="16" t="s">
        <v>152</v>
      </c>
      <c r="J128" s="32">
        <f>(IF(B118&gt;4,(H118/(B118+2)+J127),0))</f>
        <v>0</v>
      </c>
    </row>
    <row r="129" spans="1:10" ht="15.75" customHeight="1" x14ac:dyDescent="0.35">
      <c r="A129" s="95" t="s">
        <v>140</v>
      </c>
      <c r="B129" s="95" t="s">
        <v>140</v>
      </c>
      <c r="C129" s="93">
        <v>0</v>
      </c>
      <c r="D129" s="20">
        <f ca="1">((100/(H118))*C129)/100</f>
        <v>0</v>
      </c>
      <c r="E129" s="113"/>
      <c r="F129" s="113"/>
      <c r="G129" s="113"/>
      <c r="H129" s="113"/>
      <c r="I129" s="16" t="s">
        <v>156</v>
      </c>
      <c r="J129" s="32">
        <f>(IF(B118=1,(H118/(B118+3)+J124),IF(B118=0,(H118/4+J124),IF(B118&gt;1,0))))</f>
        <v>0</v>
      </c>
    </row>
    <row r="130" spans="1:10" ht="16" thickBot="1" x14ac:dyDescent="0.4">
      <c r="A130" s="95" t="s">
        <v>141</v>
      </c>
      <c r="B130" s="95"/>
      <c r="C130" s="93">
        <v>0</v>
      </c>
      <c r="D130" s="20">
        <f ca="1">((100/(H118))*C130)/100</f>
        <v>0</v>
      </c>
      <c r="E130" s="113"/>
      <c r="F130" s="113"/>
      <c r="G130" s="113"/>
      <c r="H130" s="113"/>
      <c r="I130" s="17" t="s">
        <v>108</v>
      </c>
      <c r="J130" s="34">
        <f ca="1">(IF(B118&gt;1.5,(H118/(B118+2)+J124+MAX(0,J125-J124)+MAX(0,J126-J125)+MAX(0,J127-J126)+MAX(0,J128-J127)+MAX(0,J129-J128)),IF(B118=1,(H118/(B118+3)+J129),IF(B118=0,H118/4+J129))))</f>
        <v>25</v>
      </c>
    </row>
    <row r="131" spans="1:10" ht="15.75" customHeight="1" x14ac:dyDescent="0.35">
      <c r="A131" s="110" t="s">
        <v>147</v>
      </c>
      <c r="B131" s="110"/>
      <c r="C131" s="110" t="str">
        <f>D67</f>
        <v>H Wing = 4B + G + 1st to 25th Floor</v>
      </c>
      <c r="D131" s="110"/>
      <c r="E131" s="110"/>
      <c r="F131" s="110"/>
      <c r="G131" s="110"/>
      <c r="H131" s="110"/>
      <c r="I131" s="86" t="str">
        <f ca="1">IF(D144=100%,"All work Completed. Possession granted to the Building.",IF(D143=100%,"All work Completed, Waiting for OC",I132&amp;""&amp;I133&amp;""&amp;J132&amp;""&amp;J131&amp;" "&amp;J133))</f>
        <v>Excavation, Plinth Completed, RCC upto 1 Slab Completed</v>
      </c>
      <c r="J131" s="49" t="str">
        <f ca="1">(IF(C137=(D132+F132+H132),"",IF(C137&gt;0,", RCC upto "&amp;C137&amp;" Slab","")))&amp;(IF(C138=H132,"",IF(C138&gt;0,", Brickwork upto "&amp;C138&amp;" Floor","")))&amp;(IF(C139=H132,"",IF(C139&gt;0,", Internal Plaster upto "&amp;C139&amp;" Floor","")))&amp;(IF(C140=H132,"",IF(C140&gt;0,", External Plaster upto "&amp;C140&amp;" Floor","")))&amp;(IF(C141=H132,"",IF(C141&gt;0,", Flooring upto "&amp;C141&amp;" Floor","")))&amp;(IF(C142=H132,"",IF(C142&gt;0,", Painting upto "&amp;C142&amp;" Floor","")))&amp;(IF(C143=H132,"",IF(C143&gt;0,", Finishing upto "&amp;C143&amp;" Floor","")))&amp;(IF(C144=H132,"",IF(C144&gt;0,", Possession upto "&amp;C144&amp;" Floor","")))</f>
        <v>, RCC upto 1 Slab</v>
      </c>
    </row>
    <row r="132" spans="1:10" x14ac:dyDescent="0.35">
      <c r="A132" s="82" t="s">
        <v>149</v>
      </c>
      <c r="B132" s="82">
        <v>4</v>
      </c>
      <c r="C132" s="82" t="s">
        <v>75</v>
      </c>
      <c r="D132" s="82">
        <v>1</v>
      </c>
      <c r="E132" s="82" t="s">
        <v>74</v>
      </c>
      <c r="F132" s="82">
        <v>0</v>
      </c>
      <c r="G132" s="85" t="s">
        <v>84</v>
      </c>
      <c r="H132" s="82">
        <f ca="1">--TRIM(RIGHT(SUBSTITUTE(LEFT(C131,_xlfn.AGGREGATE(16,6,FIND({0,1,2,3,4,5,6,7,8,9},C131,ROW(INDIRECT("1:"&amp;LEN(C131)))),1))," ",REPT(" ",LEN(C131))),LEN(C131)))</f>
        <v>25</v>
      </c>
      <c r="I132" s="87" t="str">
        <f ca="1">IF(D135=100%,"Excavation","")&amp;IF(D136=100%,", Plinth","")&amp;IF(D137=100%,", RCC Slab","")&amp;IF(D138=100%,", Brickwork","")&amp;IF(D139=100%,", Internal Plaster","")&amp;IF(D140=100%,", External Plaster","")&amp;IF(D141=100%,", Flooring","")&amp;IF(D142=100%,", Painting","")&amp;IF(D143=100%,", Building common Amenities","")</f>
        <v>Excavation, Plinth</v>
      </c>
      <c r="J132" s="51" t="str">
        <f ca="1">(IF(C135=0,"Work not yet Started.",IF(D135=25%,"Piling work in process",IF(D135=50%,"Excavation work in process",IF(D135=100%,"","0")))))&amp;(IF(C136=0%,"",IF(C136=J137,", Footing work is process",IF(C136=J138,", Footing work Completed",IF(C136=J139,", 1st Basement Completed",IF(C136=J140,", 1st &amp; 2nd Basement Completed",IF(C136=J141,", 1st to 3rd Basement Completed",IF(C136=J142,", 1st to 4th Basement Completed",IF(C136=J143,", Plinth work is process",IF(C136=J144,"","0"))))))))))</f>
        <v/>
      </c>
    </row>
    <row r="133" spans="1:10" ht="16.5" customHeight="1" x14ac:dyDescent="0.35">
      <c r="A133" s="111" t="s">
        <v>94</v>
      </c>
      <c r="B133" s="111"/>
      <c r="C133" s="112" t="str">
        <f ca="1">I131</f>
        <v>Excavation, Plinth Completed, RCC upto 1 Slab Completed</v>
      </c>
      <c r="D133" s="112"/>
      <c r="E133" s="112"/>
      <c r="F133" s="112"/>
      <c r="G133" s="112"/>
      <c r="H133" s="112"/>
      <c r="I133" s="87" t="str">
        <f ca="1">IF(I132&lt;&gt;""," Completed","")</f>
        <v xml:space="preserve"> Completed</v>
      </c>
      <c r="J133" s="51" t="str">
        <f ca="1">IF(J131&lt;&gt;"","Completed","")</f>
        <v>Completed</v>
      </c>
    </row>
    <row r="134" spans="1:10" ht="15.75" customHeight="1" x14ac:dyDescent="0.35">
      <c r="A134" s="95" t="s">
        <v>51</v>
      </c>
      <c r="B134" s="95"/>
      <c r="C134" s="83" t="s">
        <v>146</v>
      </c>
      <c r="D134" s="83" t="s">
        <v>87</v>
      </c>
      <c r="E134" s="95" t="s">
        <v>89</v>
      </c>
      <c r="F134" s="95"/>
      <c r="G134" s="95" t="s">
        <v>88</v>
      </c>
      <c r="H134" s="95"/>
      <c r="I134" s="16" t="s">
        <v>148</v>
      </c>
      <c r="J134" s="30">
        <f ca="1">H132*25%</f>
        <v>6.25</v>
      </c>
    </row>
    <row r="135" spans="1:10" x14ac:dyDescent="0.35">
      <c r="A135" s="95" t="s">
        <v>135</v>
      </c>
      <c r="B135" s="95"/>
      <c r="C135" s="83">
        <f ca="1">J136</f>
        <v>25</v>
      </c>
      <c r="D135" s="20">
        <f ca="1">((100/H132)*C135)/100</f>
        <v>1</v>
      </c>
      <c r="E135" s="113">
        <f ca="1">(((C136/H132*10)+(40/(D132+F132+H132)*C137)+(7.5/(H132)*C138)+(7.5/(H132)*C139)+(10/H132*C140)+(10/H132*C141)+(5/H132*C142)+(5/H132*C143)+(5/H132*C144))/100)</f>
        <v>0.11538461538461538</v>
      </c>
      <c r="F135" s="113"/>
      <c r="G135" s="113">
        <f ca="1">((((C135/H132)*20)+((C136/H132)*25)+(30/(H132+F132+D132)*C137)+(5/H132*C138)+(5/H132*C139)+(5/H132*C140)+(5/H132*C141)+(0/H132*C142)+(0/H132*C143)+(5/H132*C144))/100)</f>
        <v>0.46153846153846151</v>
      </c>
      <c r="H135" s="113"/>
      <c r="I135" s="16" t="s">
        <v>104</v>
      </c>
      <c r="J135" s="31">
        <f ca="1">H132*50%</f>
        <v>12.5</v>
      </c>
    </row>
    <row r="136" spans="1:10" x14ac:dyDescent="0.35">
      <c r="A136" s="95" t="s">
        <v>52</v>
      </c>
      <c r="B136" s="95"/>
      <c r="C136" s="70">
        <f ca="1">J144</f>
        <v>25</v>
      </c>
      <c r="D136" s="20">
        <f ca="1">((100/H132)*C136)/100</f>
        <v>1</v>
      </c>
      <c r="E136" s="113"/>
      <c r="F136" s="113"/>
      <c r="G136" s="113"/>
      <c r="H136" s="113"/>
      <c r="I136" s="16" t="s">
        <v>105</v>
      </c>
      <c r="J136" s="31">
        <f ca="1">H132</f>
        <v>25</v>
      </c>
    </row>
    <row r="137" spans="1:10" ht="15.75" customHeight="1" x14ac:dyDescent="0.35">
      <c r="A137" s="95" t="s">
        <v>136</v>
      </c>
      <c r="B137" s="95"/>
      <c r="C137" s="83">
        <v>1</v>
      </c>
      <c r="D137" s="20">
        <f ca="1">((100/(D132+F132+H132))*C137)/100</f>
        <v>3.8461538461538464E-2</v>
      </c>
      <c r="E137" s="113"/>
      <c r="F137" s="113"/>
      <c r="G137" s="113"/>
      <c r="H137" s="113"/>
      <c r="I137" s="16" t="s">
        <v>106</v>
      </c>
      <c r="J137" s="32">
        <f ca="1">(IF(B132&gt;1,(H132/(B132+2)),H132/4))</f>
        <v>4.166666666666667</v>
      </c>
    </row>
    <row r="138" spans="1:10" ht="15.75" customHeight="1" x14ac:dyDescent="0.35">
      <c r="A138" s="95" t="s">
        <v>143</v>
      </c>
      <c r="B138" s="95" t="s">
        <v>137</v>
      </c>
      <c r="C138" s="83">
        <v>0</v>
      </c>
      <c r="D138" s="20">
        <f ca="1">((100/H132)*C138)/100</f>
        <v>0</v>
      </c>
      <c r="E138" s="113"/>
      <c r="F138" s="113"/>
      <c r="G138" s="113"/>
      <c r="H138" s="113"/>
      <c r="I138" s="16" t="s">
        <v>107</v>
      </c>
      <c r="J138" s="32">
        <f ca="1">(IF(B132&gt;1,(H132/(B132+2)+J137),H132/4+J137))</f>
        <v>8.3333333333333339</v>
      </c>
    </row>
    <row r="139" spans="1:10" ht="15.75" customHeight="1" x14ac:dyDescent="0.35">
      <c r="A139" s="95" t="s">
        <v>144</v>
      </c>
      <c r="B139" s="95" t="s">
        <v>137</v>
      </c>
      <c r="C139" s="83">
        <v>0</v>
      </c>
      <c r="D139" s="20">
        <f ca="1">((100/H132)*C139)/100</f>
        <v>0</v>
      </c>
      <c r="E139" s="113"/>
      <c r="F139" s="113"/>
      <c r="G139" s="113"/>
      <c r="H139" s="113"/>
      <c r="I139" s="16" t="s">
        <v>155</v>
      </c>
      <c r="J139" s="32">
        <f ca="1">(IF(B132&gt;1,(H132/(B132+2)+J138),0))</f>
        <v>12.5</v>
      </c>
    </row>
    <row r="140" spans="1:10" ht="15" customHeight="1" x14ac:dyDescent="0.35">
      <c r="A140" s="95" t="s">
        <v>142</v>
      </c>
      <c r="B140" s="95" t="s">
        <v>139</v>
      </c>
      <c r="C140" s="83">
        <v>0</v>
      </c>
      <c r="D140" s="20">
        <f ca="1">((100/(H132))*C140)/100</f>
        <v>0</v>
      </c>
      <c r="E140" s="113"/>
      <c r="F140" s="113"/>
      <c r="G140" s="113"/>
      <c r="H140" s="113"/>
      <c r="I140" s="16" t="s">
        <v>150</v>
      </c>
      <c r="J140" s="32">
        <f ca="1">(IF(B132&gt;2,(H132/(B132+2)+J139),0))</f>
        <v>16.666666666666668</v>
      </c>
    </row>
    <row r="141" spans="1:10" ht="15.75" customHeight="1" x14ac:dyDescent="0.35">
      <c r="A141" s="95" t="s">
        <v>138</v>
      </c>
      <c r="B141" s="95" t="s">
        <v>138</v>
      </c>
      <c r="C141" s="83">
        <v>0</v>
      </c>
      <c r="D141" s="20">
        <f ca="1">((100/H132)*C141)/100</f>
        <v>0</v>
      </c>
      <c r="E141" s="113"/>
      <c r="F141" s="113"/>
      <c r="G141" s="113"/>
      <c r="H141" s="113"/>
      <c r="I141" s="16" t="s">
        <v>151</v>
      </c>
      <c r="J141" s="33">
        <f ca="1">(IF(B132&gt;3,(H132/(B132+2)+J140),0))</f>
        <v>20.833333333333336</v>
      </c>
    </row>
    <row r="142" spans="1:10" ht="15.75" customHeight="1" x14ac:dyDescent="0.35">
      <c r="A142" s="95" t="s">
        <v>145</v>
      </c>
      <c r="B142" s="95"/>
      <c r="C142" s="83">
        <v>0</v>
      </c>
      <c r="D142" s="20">
        <f ca="1">((100/H132)*C142)/100</f>
        <v>0</v>
      </c>
      <c r="E142" s="113"/>
      <c r="F142" s="113"/>
      <c r="G142" s="113"/>
      <c r="H142" s="113"/>
      <c r="I142" s="16" t="s">
        <v>152</v>
      </c>
      <c r="J142" s="32">
        <f>(IF(B132&gt;4,(H132/(B132+2)+J141),0))</f>
        <v>0</v>
      </c>
    </row>
    <row r="143" spans="1:10" ht="15.75" customHeight="1" x14ac:dyDescent="0.35">
      <c r="A143" s="95" t="s">
        <v>140</v>
      </c>
      <c r="B143" s="95" t="s">
        <v>140</v>
      </c>
      <c r="C143" s="83">
        <v>0</v>
      </c>
      <c r="D143" s="20">
        <f ca="1">((100/(H132))*C143)/100</f>
        <v>0</v>
      </c>
      <c r="E143" s="113"/>
      <c r="F143" s="113"/>
      <c r="G143" s="113"/>
      <c r="H143" s="113"/>
      <c r="I143" s="16" t="s">
        <v>156</v>
      </c>
      <c r="J143" s="32">
        <f>(IF(B132=1,(H132/(B132+3)+J138),IF(B132=0,(H132/4+J138),IF(B132&gt;1,0))))</f>
        <v>0</v>
      </c>
    </row>
    <row r="144" spans="1:10" ht="16" thickBot="1" x14ac:dyDescent="0.4">
      <c r="A144" s="95" t="s">
        <v>141</v>
      </c>
      <c r="B144" s="95"/>
      <c r="C144" s="83">
        <v>0</v>
      </c>
      <c r="D144" s="20">
        <f ca="1">((100/(H132))*C144)/100</f>
        <v>0</v>
      </c>
      <c r="E144" s="113"/>
      <c r="F144" s="113"/>
      <c r="G144" s="113"/>
      <c r="H144" s="113"/>
      <c r="I144" s="17" t="s">
        <v>108</v>
      </c>
      <c r="J144" s="34">
        <f ca="1">(IF(B132&gt;1.5,(H132/(B132+2)+J138+MAX(0,J139-J138)+MAX(0,J140-J139)+MAX(0,J141-J140)+MAX(0,J142-J141)+MAX(0,J143-J142)),IF(B132=1,(H132/(B132+3)+J143),IF(B132=0,H132/4+J143))))</f>
        <v>25</v>
      </c>
    </row>
    <row r="145" spans="1:14" x14ac:dyDescent="0.35">
      <c r="A145" s="181" t="s">
        <v>166</v>
      </c>
      <c r="B145" s="181"/>
      <c r="C145" s="181"/>
      <c r="D145" s="181"/>
      <c r="E145" s="181"/>
      <c r="F145" s="174" t="s">
        <v>168</v>
      </c>
      <c r="G145" s="174"/>
      <c r="H145" s="174"/>
    </row>
    <row r="146" spans="1:14" x14ac:dyDescent="0.35">
      <c r="A146" s="109" t="s">
        <v>167</v>
      </c>
      <c r="B146" s="109"/>
      <c r="C146" s="109"/>
      <c r="D146" s="109"/>
      <c r="E146" s="109"/>
      <c r="F146" s="160">
        <v>22000</v>
      </c>
      <c r="G146" s="160"/>
      <c r="H146" s="160"/>
      <c r="J146" s="67" t="s">
        <v>261</v>
      </c>
      <c r="K146" s="68">
        <v>45145</v>
      </c>
      <c r="L146" s="67" t="s">
        <v>262</v>
      </c>
      <c r="M146" s="67" t="s">
        <v>263</v>
      </c>
    </row>
    <row r="147" spans="1:14" x14ac:dyDescent="0.35">
      <c r="A147" s="109" t="s">
        <v>259</v>
      </c>
      <c r="B147" s="109"/>
      <c r="C147" s="109"/>
      <c r="D147" s="109"/>
      <c r="E147" s="109"/>
      <c r="F147" s="160">
        <v>35000</v>
      </c>
      <c r="G147" s="160"/>
      <c r="H147" s="160"/>
      <c r="I147" s="67" t="s">
        <v>267</v>
      </c>
      <c r="J147" s="67"/>
      <c r="K147" s="67" t="s">
        <v>265</v>
      </c>
      <c r="L147" s="68">
        <v>45177</v>
      </c>
      <c r="M147" s="67" t="s">
        <v>266</v>
      </c>
    </row>
    <row r="148" spans="1:14" x14ac:dyDescent="0.35">
      <c r="A148" s="109" t="s">
        <v>260</v>
      </c>
      <c r="B148" s="109"/>
      <c r="C148" s="109"/>
      <c r="D148" s="109"/>
      <c r="E148" s="109"/>
      <c r="F148" s="160">
        <v>30000</v>
      </c>
      <c r="G148" s="160"/>
      <c r="H148" s="160"/>
      <c r="I148" s="69" t="e">
        <f>(F150*12+F146)*2876+F151+F152+F153+#REF!+F155+F156+F157+F158+2*F159</f>
        <v>#REF!</v>
      </c>
      <c r="K148" s="23" t="s">
        <v>309</v>
      </c>
      <c r="L148" s="77">
        <v>45562</v>
      </c>
      <c r="M148" s="23" t="s">
        <v>310</v>
      </c>
      <c r="N148" s="23" t="s">
        <v>311</v>
      </c>
    </row>
    <row r="149" spans="1:14" hidden="1" x14ac:dyDescent="0.35">
      <c r="A149" s="109" t="s">
        <v>244</v>
      </c>
      <c r="B149" s="109"/>
      <c r="C149" s="109"/>
      <c r="D149" s="109"/>
      <c r="E149" s="109"/>
      <c r="F149" s="160"/>
      <c r="G149" s="160"/>
      <c r="H149" s="160"/>
    </row>
    <row r="150" spans="1:14" s="35" customFormat="1" x14ac:dyDescent="0.3">
      <c r="A150" s="109" t="s">
        <v>264</v>
      </c>
      <c r="B150" s="109"/>
      <c r="C150" s="109"/>
      <c r="D150" s="109"/>
      <c r="E150" s="109"/>
      <c r="F150" s="160">
        <v>100</v>
      </c>
      <c r="G150" s="160"/>
      <c r="H150" s="160"/>
    </row>
    <row r="151" spans="1:14" s="35" customFormat="1" x14ac:dyDescent="0.3">
      <c r="A151" s="109" t="s">
        <v>99</v>
      </c>
      <c r="B151" s="109"/>
      <c r="C151" s="109"/>
      <c r="D151" s="109"/>
      <c r="E151" s="109"/>
      <c r="F151" s="160">
        <v>250000</v>
      </c>
      <c r="G151" s="160"/>
      <c r="H151" s="160"/>
    </row>
    <row r="152" spans="1:14" s="35" customFormat="1" x14ac:dyDescent="0.3">
      <c r="A152" s="109" t="s">
        <v>243</v>
      </c>
      <c r="B152" s="109"/>
      <c r="C152" s="109"/>
      <c r="D152" s="109"/>
      <c r="E152" s="109"/>
      <c r="F152" s="160">
        <v>200000</v>
      </c>
      <c r="G152" s="160"/>
      <c r="H152" s="160"/>
    </row>
    <row r="153" spans="1:14" s="35" customFormat="1" x14ac:dyDescent="0.3">
      <c r="A153" s="109" t="s">
        <v>100</v>
      </c>
      <c r="B153" s="109"/>
      <c r="C153" s="109"/>
      <c r="D153" s="109"/>
      <c r="E153" s="109"/>
      <c r="F153" s="160">
        <v>500000</v>
      </c>
      <c r="G153" s="160"/>
      <c r="H153" s="160"/>
    </row>
    <row r="154" spans="1:14" s="35" customFormat="1" hidden="1" x14ac:dyDescent="0.3">
      <c r="A154" s="109" t="s">
        <v>101</v>
      </c>
      <c r="B154" s="109"/>
      <c r="C154" s="109"/>
      <c r="D154" s="109"/>
      <c r="E154" s="109"/>
      <c r="F154" s="160"/>
      <c r="G154" s="160"/>
      <c r="H154" s="160"/>
    </row>
    <row r="155" spans="1:14" s="35" customFormat="1" x14ac:dyDescent="0.3">
      <c r="A155" s="109" t="s">
        <v>240</v>
      </c>
      <c r="B155" s="109"/>
      <c r="C155" s="109"/>
      <c r="D155" s="109"/>
      <c r="E155" s="109"/>
      <c r="F155" s="160">
        <v>650</v>
      </c>
      <c r="G155" s="160"/>
      <c r="H155" s="160"/>
      <c r="J155" s="65" t="s">
        <v>258</v>
      </c>
    </row>
    <row r="156" spans="1:14" s="35" customFormat="1" x14ac:dyDescent="0.3">
      <c r="A156" s="109" t="s">
        <v>242</v>
      </c>
      <c r="B156" s="109"/>
      <c r="C156" s="109"/>
      <c r="D156" s="109"/>
      <c r="E156" s="109"/>
      <c r="F156" s="160">
        <v>50000</v>
      </c>
      <c r="G156" s="160"/>
      <c r="H156" s="160"/>
      <c r="J156" s="65">
        <v>33000</v>
      </c>
      <c r="K156" s="66">
        <f>27500000/F290</f>
        <v>15275.866766845244</v>
      </c>
    </row>
    <row r="157" spans="1:14" s="35" customFormat="1" x14ac:dyDescent="0.3">
      <c r="A157" s="109" t="s">
        <v>102</v>
      </c>
      <c r="B157" s="109"/>
      <c r="C157" s="109"/>
      <c r="D157" s="109"/>
      <c r="E157" s="109"/>
      <c r="F157" s="160">
        <v>30000</v>
      </c>
      <c r="G157" s="160"/>
      <c r="H157" s="160"/>
      <c r="J157" s="66">
        <f>J156/1.55</f>
        <v>21290.322580645159</v>
      </c>
      <c r="K157" s="66">
        <f>35000000/F289</f>
        <v>14700.722646363274</v>
      </c>
    </row>
    <row r="158" spans="1:14" s="35" customFormat="1" x14ac:dyDescent="0.3">
      <c r="A158" s="109" t="s">
        <v>103</v>
      </c>
      <c r="B158" s="109"/>
      <c r="C158" s="109"/>
      <c r="D158" s="109"/>
      <c r="E158" s="109"/>
      <c r="F158" s="160">
        <v>600000</v>
      </c>
      <c r="G158" s="160"/>
      <c r="H158" s="160"/>
      <c r="I158" s="35" t="s">
        <v>241</v>
      </c>
      <c r="K158" s="66">
        <f>30000000/F229</f>
        <v>12878.587523089438</v>
      </c>
    </row>
    <row r="159" spans="1:14" x14ac:dyDescent="0.35">
      <c r="A159" s="109" t="s">
        <v>53</v>
      </c>
      <c r="B159" s="109"/>
      <c r="C159" s="109"/>
      <c r="D159" s="109"/>
      <c r="E159" s="109"/>
      <c r="F159" s="160">
        <v>1500000</v>
      </c>
      <c r="G159" s="160"/>
      <c r="H159" s="160"/>
    </row>
    <row r="160" spans="1:14" s="36" customFormat="1" x14ac:dyDescent="0.35">
      <c r="A160" s="111" t="s">
        <v>54</v>
      </c>
      <c r="B160" s="111"/>
      <c r="C160" s="111"/>
      <c r="D160" s="111"/>
      <c r="E160" s="111"/>
      <c r="F160" s="160">
        <f>F146*0.8</f>
        <v>17600</v>
      </c>
      <c r="G160" s="160"/>
      <c r="H160" s="160"/>
    </row>
    <row r="161" spans="1:13" s="37" customFormat="1" ht="15.75" customHeight="1" x14ac:dyDescent="0.35">
      <c r="A161" s="220" t="s">
        <v>79</v>
      </c>
      <c r="B161" s="220"/>
      <c r="C161" s="220"/>
      <c r="D161" s="220"/>
      <c r="E161" s="220"/>
      <c r="F161" s="220"/>
      <c r="G161" s="220"/>
      <c r="H161" s="220"/>
    </row>
    <row r="162" spans="1:13" s="37" customFormat="1" ht="15.75" customHeight="1" x14ac:dyDescent="0.35">
      <c r="A162" s="161" t="s">
        <v>55</v>
      </c>
      <c r="B162" s="161"/>
      <c r="C162" s="167" t="s">
        <v>82</v>
      </c>
      <c r="D162" s="167"/>
      <c r="E162" s="205" t="s">
        <v>56</v>
      </c>
      <c r="F162" s="205"/>
      <c r="G162" s="161" t="s">
        <v>57</v>
      </c>
      <c r="H162" s="161"/>
    </row>
    <row r="163" spans="1:13" s="37" customFormat="1" ht="54" customHeight="1" x14ac:dyDescent="0.35">
      <c r="A163" s="177" t="s">
        <v>236</v>
      </c>
      <c r="B163" s="177"/>
      <c r="C163" s="162">
        <f>COUNT(D184)</f>
        <v>1</v>
      </c>
      <c r="D163" s="163"/>
      <c r="E163" s="162">
        <f>SUM(D184)</f>
        <v>5120.4563279999993</v>
      </c>
      <c r="F163" s="163"/>
      <c r="G163" s="162">
        <f>SUM(F184)</f>
        <v>8192.7301247999985</v>
      </c>
      <c r="H163" s="163"/>
    </row>
    <row r="164" spans="1:13" s="37" customFormat="1" ht="34.5" customHeight="1" x14ac:dyDescent="0.35">
      <c r="A164" s="177" t="s">
        <v>232</v>
      </c>
      <c r="B164" s="177"/>
      <c r="C164" s="162">
        <f>COUNT(D188:D206)</f>
        <v>19</v>
      </c>
      <c r="D164" s="163"/>
      <c r="E164" s="162">
        <f>SUM(D188:D206)</f>
        <v>13067.961273899997</v>
      </c>
      <c r="F164" s="163"/>
      <c r="G164" s="162">
        <f>SUM(F188:F206)</f>
        <v>20908.738038240001</v>
      </c>
      <c r="H164" s="163"/>
    </row>
    <row r="165" spans="1:13" s="37" customFormat="1" ht="34.5" customHeight="1" x14ac:dyDescent="0.35">
      <c r="A165" s="210" t="s">
        <v>233</v>
      </c>
      <c r="B165" s="210"/>
      <c r="C165" s="210">
        <f>COUNT(D209:D218)</f>
        <v>10</v>
      </c>
      <c r="D165" s="211"/>
      <c r="E165" s="210">
        <f>SUM(D209:D218)</f>
        <v>9442.3667480999993</v>
      </c>
      <c r="F165" s="211"/>
      <c r="G165" s="210">
        <f>SUM(F209:F218)</f>
        <v>15107.786796959999</v>
      </c>
      <c r="H165" s="211"/>
    </row>
    <row r="166" spans="1:13" s="37" customFormat="1" ht="34.5" customHeight="1" x14ac:dyDescent="0.35">
      <c r="A166" s="177" t="s">
        <v>234</v>
      </c>
      <c r="B166" s="177"/>
      <c r="C166" s="162">
        <f>COUNT(D221:D222)</f>
        <v>2</v>
      </c>
      <c r="D166" s="163"/>
      <c r="E166" s="162">
        <f>SUM(D221:D222)</f>
        <v>3160.4858531999998</v>
      </c>
      <c r="F166" s="163"/>
      <c r="G166" s="162">
        <f>SUM(F221:F222)</f>
        <v>5056.7773651200005</v>
      </c>
      <c r="H166" s="163"/>
    </row>
    <row r="167" spans="1:13" s="37" customFormat="1" x14ac:dyDescent="0.35">
      <c r="A167" s="175" t="s">
        <v>160</v>
      </c>
      <c r="B167" s="175"/>
      <c r="C167" s="209">
        <f>SUM(C163:C166)</f>
        <v>32</v>
      </c>
      <c r="D167" s="167"/>
      <c r="E167" s="176">
        <f>SUM(E163:E166)</f>
        <v>30791.270203199994</v>
      </c>
      <c r="F167" s="205"/>
      <c r="G167" s="161">
        <f>SUM(G163:G166)</f>
        <v>49266.032325120002</v>
      </c>
      <c r="H167" s="161"/>
    </row>
    <row r="168" spans="1:13" s="37" customFormat="1" x14ac:dyDescent="0.35">
      <c r="A168" s="175" t="s">
        <v>73</v>
      </c>
      <c r="B168" s="175"/>
      <c r="C168" s="175"/>
      <c r="D168" s="175"/>
      <c r="E168" s="175"/>
      <c r="F168" s="175"/>
      <c r="G168" s="175"/>
      <c r="H168" s="175"/>
    </row>
    <row r="169" spans="1:13" s="37" customFormat="1" ht="15.75" customHeight="1" x14ac:dyDescent="0.35">
      <c r="A169" s="161" t="s">
        <v>55</v>
      </c>
      <c r="B169" s="161"/>
      <c r="C169" s="167" t="s">
        <v>82</v>
      </c>
      <c r="D169" s="167"/>
      <c r="E169" s="205" t="s">
        <v>56</v>
      </c>
      <c r="F169" s="205"/>
      <c r="G169" s="161" t="s">
        <v>57</v>
      </c>
      <c r="H169" s="161"/>
      <c r="L169" s="37" t="s">
        <v>299</v>
      </c>
    </row>
    <row r="170" spans="1:13" s="37" customFormat="1" x14ac:dyDescent="0.35">
      <c r="A170" s="177" t="s">
        <v>195</v>
      </c>
      <c r="B170" s="177"/>
      <c r="C170" s="168">
        <f>COUNT(D229:D232)+COUNT(D234:D237)+COUNT(D239:D242)+COUNT(D244:D247)+COUNT(D249:D252)+COUNT(D254:D257)+COUNT(D260:D261)+COUNT(D265:D266)+COUNT(D269:D272)*7+COUNT(D274,D277)+COUNT(D279:D282)+COUNT(D284:D287)*3+COUNT(D289:D291,D293)+COUNT(D305:D308)</f>
        <v>82</v>
      </c>
      <c r="D170" s="168"/>
      <c r="E170" s="169">
        <f>SUM(D229:D232)+SUM(D234:D237)+SUM(D239:D242)+SUM(D244:D247)+SUM(D249:D252)+SUM(D254:D257)+SUM(D260:D261)+SUM(D265:D266)+SUM(D269:D272)*7+SUM(D274,D277)+SUM(D279:D282)+SUM(D284:D287)*3+SUM(D289:D291,D293)+SUM(D305:D308)</f>
        <v>110364.26076</v>
      </c>
      <c r="F170" s="169"/>
      <c r="G170" s="169">
        <f>SUM(F229:F232)+SUM(F234:F237)+SUM(F239:F242)+SUM(F244:F247)+SUM(F249:F252)+SUM(F254:F257)+SUM(F260:F261)+SUM(F265:F266)+SUM(F269:F272)*7+SUM(F274,F277)+SUM(F279:F282)+SUM(F284:F287)*3+SUM(F289:F291,F293)+SUM(F305:F308)</f>
        <v>171064.60417800001</v>
      </c>
      <c r="H170" s="169"/>
      <c r="I170" s="76"/>
      <c r="J170" s="76"/>
      <c r="K170" s="76"/>
      <c r="L170" s="75">
        <f>COUNT(D229:D232)+COUNT(D234:D237)+COUNT(D239:D242)+COUNT(D244:D247)+COUNT(D249:D252)+COUNT(D255:D256)+COUNT(D260:D261)+COUNT(D295:D298)*5+COUNT(D269:D272)*4+COUNT(D274,D277)+COUNT(D279:D282)+COUNT(D289:D293)+COUNT(D300:D303)+COUNT(D284:D287)*3</f>
        <v>86</v>
      </c>
      <c r="M170" s="75"/>
    </row>
    <row r="171" spans="1:13" s="37" customFormat="1" x14ac:dyDescent="0.35">
      <c r="A171" s="177" t="s">
        <v>213</v>
      </c>
      <c r="B171" s="177"/>
      <c r="C171" s="169">
        <f>COUNT(D314:D317)+COUNT(D319:D322)+COUNT(D324:D327)+COUNT(D329:D332)+COUNT(D334:D337)+COUNT(D339:D342)+COUNT(D345:D347)+COUNT(D350:D352)+COUNT(D354:D357)*7+COUNT(D359,D362)+COUNT(D364:D367)+COUNT(D369:D372)*3+COUNT(D374:D377)+COUNT(D379:D382)</f>
        <v>84</v>
      </c>
      <c r="D171" s="168"/>
      <c r="E171" s="169">
        <f>SUM(D314:D317)+SUM(D319:D322)+SUM(D324:D327)+SUM(D329:D332)+SUM(D334:D337)+SUM(D339:D342)+SUM(D345:D347)+SUM(D350:D352)+SUM(D354:D357)*7+SUM(D359,D362)+SUM(D364:D367)+SUM(D369:D372)*3+SUM(D374:D377)+SUM(D379:D382)</f>
        <v>112487.99796000001</v>
      </c>
      <c r="F171" s="169"/>
      <c r="G171" s="169">
        <f>SUM(F314:F317)+SUM(F319:F322)+SUM(F324:F327)+SUM(F329:F332)+SUM(F334:F337)+SUM(F339:F342)+SUM(F345:F347)+SUM(F350:F352)+SUM(F354:F357)*7+SUM(F359,F362)+SUM(F364:F367)+SUM(F369:F372)*3+SUM(F374:F377)+SUM(F379:F382)</f>
        <v>174356.39683800004</v>
      </c>
      <c r="H171" s="169"/>
      <c r="L171" s="37">
        <f>COUNT(D314:D317)+COUNT(D319:D322)+COUNT(D324:D327)+COUNT(D329:D332)+COUNT(D334:D337)+COUNT(D340:D342)+COUNT(D345:D347)+COUNT(D385:D388)*5+COUNT(D354:D357)*4+COUNT(D359,D362)+COUNT(D364:D367)+COUNT(D390:D393)+COUNT(D374:D377)+COUNT(D369:D372)*3</f>
        <v>88</v>
      </c>
    </row>
    <row r="172" spans="1:13" s="37" customFormat="1" x14ac:dyDescent="0.35">
      <c r="A172" s="177" t="s">
        <v>216</v>
      </c>
      <c r="B172" s="177"/>
      <c r="C172" s="168">
        <f>COUNT(D398:D403)+COUNT(D405:D410)+COUNT(D412:D417)+COUNT(D419:D424)+COUNT(D426:D431)+COUNT(D433:D438)+COUNT(D440:D441,D444:D445)+COUNT(D454:D459)+COUNT(D461:D466)*7+COUNT(D468:D469,D472:D473)+COUNT(D475:D480)+COUNT(D482:D487)*3+COUNT(D489:D491,D493:D494)+COUNT(D496:D501)</f>
        <v>127</v>
      </c>
      <c r="D172" s="168"/>
      <c r="E172" s="169">
        <f>SUM(D398:D403)+SUM(D405:D410)+SUM(D412:D417)+SUM(D419:D424)+SUM(D426:D431)+SUM(D433:D438)+SUM(D440:D441,D444:D445)+SUM(D454:D459)+SUM(D461:D466)*7+SUM(D468:D469,D472:D473)+SUM(D475:D480)+SUM(D482:D487)*3+SUM(D489:D491,D493:D494)+SUM(D496:D501)</f>
        <v>124435.49975999998</v>
      </c>
      <c r="F172" s="169"/>
      <c r="G172" s="169">
        <f>SUM(F398:F403)+SUM(F405:F410)+SUM(F412:F417)+SUM(F419:F424)+SUM(F426:F431)+SUM(F433:F438)+SUM(F440:F441,F444:F445)+SUM(F454:F459)+SUM(F461:F466)*7+SUM(F468:F469,F472:F473)+SUM(F475:F480)+SUM(F482:F487)*3+SUM(F489:F491,F493:F494)+SUM(F496:F501)</f>
        <v>192875.02462799998</v>
      </c>
      <c r="H172" s="169"/>
      <c r="L172" s="37">
        <f>COUNT(D398:D403)+COUNT(D405:D410)+COUNT(D412:D417)+COUNT(D419:D424)+COUNT(D426:D431)+COUNT(D433:D434,D437:D438)+COUNT(D440:D445)+COUNT(D447:D452)*5+COUNT(D461:D466)*4+COUNT(D468:D469,D472:D473)+COUNT(D482:D487)+COUNT(D504:D506,D508:D509)+COUNT(D489:D494)+COUNT(D496:D501)*3</f>
        <v>130</v>
      </c>
    </row>
    <row r="173" spans="1:13" s="37" customFormat="1" x14ac:dyDescent="0.35">
      <c r="A173" s="177" t="s">
        <v>217</v>
      </c>
      <c r="B173" s="177"/>
      <c r="C173" s="168">
        <f>COUNT(D512:D515)+COUNT(D517:D520)+COUNT(D522:D525)+COUNT(D527:D530)+COUNT(D532:D535)+COUNT(D537:D540)+COUNT(D543:D545)+COUNT(D548:D550)+COUNT(D552:D555)*7+COUNT(D557,D560)+COUNT(D562,D565)+COUNT(D567:D570)*3+COUNT(D582:D584,D586)+COUNT(D588:D591)</f>
        <v>82</v>
      </c>
      <c r="D173" s="168"/>
      <c r="E173" s="169">
        <f>SUM(D512:D515)+SUM(D517:D520)+SUM(D522:D525)+SUM(D527:D530)+SUM(D532:D535)+SUM(D537:D540)+SUM(D543:D545)+SUM(D548:D550)+SUM(D552:D555)*7+SUM(D557,D560)+SUM(D562,D565)+SUM(D567:D570)*3+SUM(D582:D584,D586)+SUM(D588:D591)</f>
        <v>109050.94511999999</v>
      </c>
      <c r="F173" s="169"/>
      <c r="G173" s="169">
        <f>SUM(F512:F515)+SUM(F517:F520)+SUM(F522:F525)+SUM(F527:F530)+SUM(F532:F535)+SUM(F537:F540)+SUM(F543:F545)+SUM(F548:F550)+SUM(F552:F555)*7+SUM(F557,F560)+SUM(F562,F565)+SUM(F567:F570)*3+SUM(F582:F584,F586)+SUM(F588:F591)</f>
        <v>169028.96493599995</v>
      </c>
      <c r="H173" s="169"/>
      <c r="J173" s="76">
        <f>C176+C167</f>
        <v>557</v>
      </c>
      <c r="L173" s="37">
        <f>COUNT(D512:D515)+COUNT(D517:D520)+COUNT(D522:D525)+COUNT(D527:D530)+COUNT(D532:D535)+COUNT(D538:D540)+COUNT(D543:D545)+COUNT(D572:D575)*5+COUNT(D552:D555)*4+COUNT(D557,D560)+COUNT(D562,D565)+COUNT(D577:D580)+COUNT(D582:D586)+COUNT(D588:D591)*3</f>
        <v>86</v>
      </c>
    </row>
    <row r="174" spans="1:13" s="37" customFormat="1" x14ac:dyDescent="0.35">
      <c r="A174" s="177" t="s">
        <v>218</v>
      </c>
      <c r="B174" s="177"/>
      <c r="C174" s="222">
        <f>COUNT(D595:D598)+COUNT(D600:D603)+COUNT(D605:D608)+COUNT(D610:D613)+COUNT(D615:D618)+COUNT(D620:D623)+COUNT(D626:D627)+COUNT(D631:D632)+COUNT(D635:D638)*7+COUNT(D650,D653)+COUNT(D655,D658)+COUNT(D660:D663)*3+COUNT(D665:D667,D669)+COUNT(D671:D673,D675)</f>
        <v>80</v>
      </c>
      <c r="D174" s="222"/>
      <c r="E174" s="223">
        <f>SUM(D595:D598)+SUM(D600:D603)+SUM(D605:D608)+SUM(D610:D613)+SUM(D615:D618)+SUM(D620:D623)+SUM(D626:D627)+SUM(D631:D632)+SUM(D635:D638)*7+SUM(D650,D653)+SUM(D655,D658)+SUM(D660:D663)*3+SUM(D665:D667,D669)+SUM(D671:D673,D675)</f>
        <v>108491.97060000003</v>
      </c>
      <c r="F174" s="223"/>
      <c r="G174" s="223">
        <f>SUM(F595:F598)+SUM(F600:F603)+SUM(F605:F608)+SUM(F610:F613)+SUM(F615:F618)+SUM(F620:F623)+SUM(F626:F627)+SUM(F631:F632)+SUM(F635:F638)*7+SUM(F650,F653)+SUM(F655,F658)+SUM(F660:F663)*3+SUM(F665:F667,F669)+SUM(F671:F673,F675)</f>
        <v>168162.55442999999</v>
      </c>
      <c r="H174" s="223"/>
      <c r="L174" s="37">
        <f>COUNT(D595:D598)+COUNT(D600:D603)+COUNT(D605:D608)+COUNT(D610:D613)+COUNT(D615:D618)+COUNT(D626:D627)+COUNT(D631:D632)+COUNT(D640:D643)*5+COUNT(D645:D648)*4+COUNT(D650,D653)+COUNT(D655,D658)+COUNT(D660:D663)+COUNT(D665:D669)+COUNT(D671:D675)*3</f>
        <v>84</v>
      </c>
    </row>
    <row r="175" spans="1:13" s="37" customFormat="1" x14ac:dyDescent="0.35">
      <c r="A175" s="177" t="s">
        <v>219</v>
      </c>
      <c r="B175" s="177"/>
      <c r="C175" s="168">
        <f>COUNT(D679:D682)+COUNT(D684:D687)+COUNT(D689:D692)+COUNT(D694:D697)+COUNT(D699:D702)+COUNT(D704:D707)+COUNT(D714:D716)+COUNT(D719:D721)+COUNT(D724:D727)*7+COUNT(D729,D732)+COUNT(D734,D737)+COUNT(D739:D742)*2</f>
        <v>70</v>
      </c>
      <c r="D175" s="168"/>
      <c r="E175" s="169">
        <f>SUM(D679:D682)+SUM(D684:D687)+SUM(D689:D692)+SUM(D694:D697)+SUM(D699:D702)+SUM(D704:D707)+SUM(D714:D716)+SUM(D719:D721)+SUM(D724:D727)*7+SUM(D729,D732)+SUM(D734,D737)+SUM(D739:D742)*2</f>
        <v>94910.385960000014</v>
      </c>
      <c r="F175" s="169"/>
      <c r="G175" s="169">
        <f>SUM(F679:F682)+SUM(F684:F687)+SUM(F689:F692)+SUM(F694:F697)+SUM(F699:F702)+SUM(F704:F707)+SUM(F714:F716)+SUM(F719:F721)+SUM(F724:F727)*7+SUM(F729,F732)+SUM(F734,F737)+SUM(F739:F742)*2</f>
        <v>147111.09823799998</v>
      </c>
      <c r="H175" s="169"/>
      <c r="L175" s="37">
        <f>COUNT(D679:D682)+COUNT(D684:D687)+COUNT(D689:D692)+COUNT(D694:D697)+COUNT(D699:D702)+COUNT(D710:D712)+COUNT(D715:D717)+COUNT(D785:D788)*5+COUNT(D724:D727)*4+COUNT(D790,D793)+COUNT(D795,D798)+COUNT(D739:D742)+COUNT(D744:D747)+COUNT(D749:D752)*3</f>
        <v>85</v>
      </c>
    </row>
    <row r="176" spans="1:13" s="37" customFormat="1" x14ac:dyDescent="0.35">
      <c r="A176" s="175" t="s">
        <v>160</v>
      </c>
      <c r="B176" s="175"/>
      <c r="C176" s="167">
        <f>SUM(C170:C175)</f>
        <v>525</v>
      </c>
      <c r="D176" s="167"/>
      <c r="E176" s="176">
        <f>SUM(E170:E175)</f>
        <v>659741.06015999999</v>
      </c>
      <c r="F176" s="176"/>
      <c r="G176" s="161">
        <f>SUM(G170:G175)</f>
        <v>1022598.6432479999</v>
      </c>
      <c r="H176" s="161"/>
    </row>
    <row r="177" spans="1:14" s="36" customFormat="1" x14ac:dyDescent="0.35">
      <c r="A177" s="197" t="s">
        <v>58</v>
      </c>
      <c r="B177" s="197"/>
      <c r="C177" s="197"/>
      <c r="D177" s="197"/>
      <c r="E177" s="197"/>
      <c r="F177" s="197"/>
      <c r="G177" s="197"/>
      <c r="H177" s="197"/>
    </row>
    <row r="178" spans="1:14" x14ac:dyDescent="0.35">
      <c r="A178" s="197" t="s">
        <v>59</v>
      </c>
      <c r="B178" s="197"/>
      <c r="C178" s="197"/>
      <c r="D178" s="197"/>
      <c r="E178" s="197"/>
      <c r="F178" s="197"/>
      <c r="G178" s="197"/>
      <c r="H178" s="197"/>
    </row>
    <row r="179" spans="1:14" ht="47.25" customHeight="1" x14ac:dyDescent="0.35">
      <c r="A179" s="150" t="s">
        <v>126</v>
      </c>
      <c r="B179" s="150" t="s">
        <v>125</v>
      </c>
      <c r="C179" s="150" t="s">
        <v>60</v>
      </c>
      <c r="D179" s="150" t="s">
        <v>61</v>
      </c>
      <c r="E179" s="170" t="s">
        <v>165</v>
      </c>
      <c r="F179" s="45" t="s">
        <v>158</v>
      </c>
      <c r="G179" s="165" t="s">
        <v>63</v>
      </c>
      <c r="H179" s="172"/>
    </row>
    <row r="180" spans="1:14" s="47" customFormat="1" x14ac:dyDescent="0.35">
      <c r="A180" s="151"/>
      <c r="B180" s="151"/>
      <c r="C180" s="151"/>
      <c r="D180" s="151"/>
      <c r="E180" s="171"/>
      <c r="F180" s="15">
        <v>0.6</v>
      </c>
      <c r="G180" s="166"/>
      <c r="H180" s="173"/>
    </row>
    <row r="181" spans="1:14" s="57" customFormat="1" x14ac:dyDescent="0.35">
      <c r="A181" s="124" t="s">
        <v>195</v>
      </c>
      <c r="B181" s="125"/>
      <c r="C181" s="125"/>
      <c r="D181" s="125"/>
      <c r="E181" s="125"/>
      <c r="F181" s="125"/>
      <c r="G181" s="125"/>
      <c r="H181" s="126"/>
      <c r="J181" s="38"/>
    </row>
    <row r="182" spans="1:14" s="62" customFormat="1" x14ac:dyDescent="0.35">
      <c r="A182" s="124" t="s">
        <v>248</v>
      </c>
      <c r="B182" s="125"/>
      <c r="C182" s="125"/>
      <c r="D182" s="125"/>
      <c r="E182" s="125"/>
      <c r="F182" s="125"/>
      <c r="G182" s="125"/>
      <c r="H182" s="126"/>
      <c r="J182" s="38"/>
    </row>
    <row r="183" spans="1:14" s="57" customFormat="1" ht="15.75" customHeight="1" x14ac:dyDescent="0.35">
      <c r="A183" s="124" t="s">
        <v>222</v>
      </c>
      <c r="B183" s="125"/>
      <c r="C183" s="125"/>
      <c r="D183" s="125"/>
      <c r="E183" s="125"/>
      <c r="F183" s="125"/>
      <c r="G183" s="125"/>
      <c r="H183" s="126"/>
      <c r="J183" s="38"/>
    </row>
    <row r="184" spans="1:14" s="57" customFormat="1" ht="77.25" customHeight="1" x14ac:dyDescent="0.35">
      <c r="A184" s="122">
        <v>1</v>
      </c>
      <c r="B184" s="123"/>
      <c r="C184" s="58" t="s">
        <v>227</v>
      </c>
      <c r="D184" s="59">
        <f>(11.24*6.8+4.3*5.64+11.24*6.8+14.6*9.395+4.3*5.64+14.6*9.395)*(10.764)</f>
        <v>5120.4563279999993</v>
      </c>
      <c r="E184" s="58">
        <v>0</v>
      </c>
      <c r="F184" s="58">
        <f>(D184+E184)*(($F$180)+1)</f>
        <v>8192.7301247999985</v>
      </c>
      <c r="G184" s="122" t="str">
        <f>A183</f>
        <v>Ground Floor For Commercial</v>
      </c>
      <c r="H184" s="123"/>
      <c r="I184" s="38">
        <f>4.6*5.34+11.09*(6.8+6.8)+4.6*5.34+14.48*(9.33+6.33)</f>
        <v>426.7088</v>
      </c>
      <c r="J184" s="57">
        <f>(11.24*6.8+4.3*5.64+11.24*6.8+14.6*9.395+4.3*5.64+14.6*9.395)</f>
        <v>475.702</v>
      </c>
      <c r="L184" s="140"/>
      <c r="M184" s="140"/>
      <c r="N184" s="38"/>
    </row>
    <row r="185" spans="1:14" s="53" customFormat="1" x14ac:dyDescent="0.35">
      <c r="A185" s="124" t="s">
        <v>231</v>
      </c>
      <c r="B185" s="125"/>
      <c r="C185" s="125"/>
      <c r="D185" s="125"/>
      <c r="E185" s="125"/>
      <c r="F185" s="125"/>
      <c r="G185" s="125"/>
      <c r="H185" s="126"/>
      <c r="J185" s="38"/>
    </row>
    <row r="186" spans="1:14" s="62" customFormat="1" x14ac:dyDescent="0.35">
      <c r="A186" s="124" t="s">
        <v>248</v>
      </c>
      <c r="B186" s="125"/>
      <c r="C186" s="125"/>
      <c r="D186" s="125"/>
      <c r="E186" s="125"/>
      <c r="F186" s="125"/>
      <c r="G186" s="125"/>
      <c r="H186" s="126"/>
      <c r="J186" s="38"/>
    </row>
    <row r="187" spans="1:14" s="47" customFormat="1" x14ac:dyDescent="0.35">
      <c r="A187" s="124" t="s">
        <v>222</v>
      </c>
      <c r="B187" s="125"/>
      <c r="C187" s="125"/>
      <c r="D187" s="125"/>
      <c r="E187" s="125"/>
      <c r="F187" s="125"/>
      <c r="G187" s="125"/>
      <c r="H187" s="126"/>
      <c r="J187" s="59">
        <f>10.764</f>
        <v>10.763999999999999</v>
      </c>
    </row>
    <row r="188" spans="1:14" s="47" customFormat="1" ht="15.75" customHeight="1" x14ac:dyDescent="0.35">
      <c r="A188" s="122">
        <v>5</v>
      </c>
      <c r="B188" s="123"/>
      <c r="C188" s="44" t="s">
        <v>223</v>
      </c>
      <c r="D188" s="59">
        <f>(6.89*6.645+5.565*2.75+1.225*2)*(10.764)</f>
        <v>683.92087919999994</v>
      </c>
      <c r="E188" s="44">
        <v>0</v>
      </c>
      <c r="F188" s="44">
        <f>(D188+E188)*(($F$180)+1)</f>
        <v>1094.2734067199999</v>
      </c>
      <c r="G188" s="127" t="str">
        <f>A187</f>
        <v>Ground Floor For Commercial</v>
      </c>
      <c r="H188" s="128"/>
      <c r="I188" s="38"/>
      <c r="L188" s="140"/>
      <c r="M188" s="140"/>
      <c r="N188" s="38"/>
    </row>
    <row r="189" spans="1:14" s="47" customFormat="1" ht="15.75" customHeight="1" x14ac:dyDescent="0.35">
      <c r="A189" s="122">
        <f t="shared" ref="A189:A206" si="0">A188+1</f>
        <v>6</v>
      </c>
      <c r="B189" s="123"/>
      <c r="C189" s="54" t="s">
        <v>223</v>
      </c>
      <c r="D189" s="59">
        <f>(7.64*6.645+6.315*2.9+1.225*2)*(10.764)</f>
        <v>769.9629132</v>
      </c>
      <c r="E189" s="44">
        <v>0</v>
      </c>
      <c r="F189" s="44">
        <f t="shared" ref="F189:F191" si="1">(D189+E189)*(($F$180)+1)</f>
        <v>1231.9406611200002</v>
      </c>
      <c r="G189" s="129"/>
      <c r="H189" s="130"/>
      <c r="I189" s="38"/>
      <c r="L189" s="140"/>
      <c r="M189" s="140"/>
      <c r="N189" s="38"/>
    </row>
    <row r="190" spans="1:14" s="47" customFormat="1" ht="15.75" customHeight="1" x14ac:dyDescent="0.35">
      <c r="A190" s="122">
        <f t="shared" si="0"/>
        <v>7</v>
      </c>
      <c r="B190" s="123"/>
      <c r="C190" s="54" t="s">
        <v>223</v>
      </c>
      <c r="D190" s="59">
        <f>(4*6.645+2.675*2.9+1.225*2)*(10.764)</f>
        <v>395.98064999999997</v>
      </c>
      <c r="E190" s="44">
        <v>0</v>
      </c>
      <c r="F190" s="44">
        <f t="shared" si="1"/>
        <v>633.56903999999997</v>
      </c>
      <c r="G190" s="129"/>
      <c r="H190" s="130"/>
      <c r="I190" s="38"/>
      <c r="L190" s="140"/>
      <c r="M190" s="140"/>
      <c r="N190" s="38"/>
    </row>
    <row r="191" spans="1:14" s="47" customFormat="1" ht="15.75" customHeight="1" x14ac:dyDescent="0.35">
      <c r="A191" s="122">
        <f t="shared" si="0"/>
        <v>8</v>
      </c>
      <c r="B191" s="123"/>
      <c r="C191" s="54" t="s">
        <v>223</v>
      </c>
      <c r="D191" s="59">
        <f>(7.64*6.645+6.315*2.9+1.225*2)*(10.764)</f>
        <v>769.9629132</v>
      </c>
      <c r="E191" s="44">
        <v>0</v>
      </c>
      <c r="F191" s="44">
        <f t="shared" si="1"/>
        <v>1231.9406611200002</v>
      </c>
      <c r="G191" s="129"/>
      <c r="H191" s="130"/>
      <c r="I191" s="38"/>
      <c r="L191" s="140"/>
      <c r="M191" s="140"/>
      <c r="N191" s="38"/>
    </row>
    <row r="192" spans="1:14" s="53" customFormat="1" ht="15.75" customHeight="1" x14ac:dyDescent="0.35">
      <c r="A192" s="122">
        <f t="shared" si="0"/>
        <v>9</v>
      </c>
      <c r="B192" s="123"/>
      <c r="C192" s="54" t="s">
        <v>223</v>
      </c>
      <c r="D192" s="59">
        <f>(6.89*6.645+5.565*2.75+1.225*2)*(10.764)</f>
        <v>683.92087919999994</v>
      </c>
      <c r="E192" s="54">
        <v>0</v>
      </c>
      <c r="F192" s="54">
        <f t="shared" ref="F192:F197" si="2">(D192+E192)*(($F$180)+1)</f>
        <v>1094.2734067199999</v>
      </c>
      <c r="G192" s="129"/>
      <c r="H192" s="130"/>
      <c r="I192" s="38"/>
      <c r="L192" s="140"/>
      <c r="M192" s="140"/>
      <c r="N192" s="38"/>
    </row>
    <row r="193" spans="1:14" s="53" customFormat="1" ht="15.75" customHeight="1" x14ac:dyDescent="0.35">
      <c r="A193" s="122">
        <f t="shared" si="0"/>
        <v>10</v>
      </c>
      <c r="B193" s="123"/>
      <c r="C193" s="54" t="s">
        <v>223</v>
      </c>
      <c r="D193" s="59">
        <f>(7.49*6.645+4.22*2.75+4.485*4.45+1.225*2+1.945*0.65)*(10.764)</f>
        <v>915.46259220000002</v>
      </c>
      <c r="E193" s="54">
        <v>0</v>
      </c>
      <c r="F193" s="54">
        <f t="shared" si="2"/>
        <v>1464.7401475200002</v>
      </c>
      <c r="G193" s="129"/>
      <c r="H193" s="130"/>
      <c r="I193" s="38"/>
      <c r="L193" s="140"/>
      <c r="M193" s="140"/>
      <c r="N193" s="38"/>
    </row>
    <row r="194" spans="1:14" s="53" customFormat="1" ht="15.75" customHeight="1" x14ac:dyDescent="0.35">
      <c r="A194" s="122">
        <f t="shared" si="0"/>
        <v>11</v>
      </c>
      <c r="B194" s="123"/>
      <c r="C194" s="54" t="s">
        <v>223</v>
      </c>
      <c r="D194" s="59">
        <f>(7.46*4.785+6.715*2.51+3.21*2+1.325*1.86+1.225*2)*(10.764)</f>
        <v>687.66083100000003</v>
      </c>
      <c r="E194" s="54">
        <v>0</v>
      </c>
      <c r="F194" s="54">
        <f t="shared" si="2"/>
        <v>1100.2573296</v>
      </c>
      <c r="G194" s="129"/>
      <c r="H194" s="130"/>
      <c r="I194" s="38"/>
      <c r="L194" s="140"/>
      <c r="M194" s="140"/>
      <c r="N194" s="38"/>
    </row>
    <row r="195" spans="1:14" s="53" customFormat="1" ht="15.75" customHeight="1" x14ac:dyDescent="0.35">
      <c r="A195" s="122">
        <f t="shared" si="0"/>
        <v>12</v>
      </c>
      <c r="B195" s="123"/>
      <c r="C195" s="54" t="s">
        <v>223</v>
      </c>
      <c r="D195" s="59">
        <f>(6.89*6.645+5.565*2.75+1.225*2)*(10.764)</f>
        <v>683.92087919999994</v>
      </c>
      <c r="E195" s="54">
        <v>0</v>
      </c>
      <c r="F195" s="54">
        <f t="shared" si="2"/>
        <v>1094.2734067199999</v>
      </c>
      <c r="G195" s="129"/>
      <c r="H195" s="130"/>
      <c r="I195" s="38"/>
      <c r="L195" s="140"/>
      <c r="M195" s="140"/>
      <c r="N195" s="38"/>
    </row>
    <row r="196" spans="1:14" s="53" customFormat="1" ht="15.75" customHeight="1" x14ac:dyDescent="0.35">
      <c r="A196" s="122">
        <f t="shared" si="0"/>
        <v>13</v>
      </c>
      <c r="B196" s="123"/>
      <c r="C196" s="54" t="s">
        <v>223</v>
      </c>
      <c r="D196" s="59">
        <f>(7.64*6.645+6.315*2.9+1.225*2)*(10.764)</f>
        <v>769.9629132</v>
      </c>
      <c r="E196" s="54">
        <v>0</v>
      </c>
      <c r="F196" s="54">
        <f t="shared" si="2"/>
        <v>1231.9406611200002</v>
      </c>
      <c r="G196" s="129"/>
      <c r="H196" s="130"/>
      <c r="I196" s="38"/>
      <c r="L196" s="140"/>
      <c r="M196" s="140"/>
      <c r="N196" s="38"/>
    </row>
    <row r="197" spans="1:14" s="53" customFormat="1" ht="15.75" customHeight="1" x14ac:dyDescent="0.35">
      <c r="A197" s="122">
        <f t="shared" si="0"/>
        <v>14</v>
      </c>
      <c r="B197" s="123"/>
      <c r="C197" s="54" t="s">
        <v>223</v>
      </c>
      <c r="D197" s="59">
        <f>(4*6.645+2.675*2.9+1.225*2)*(10.764)</f>
        <v>395.98064999999997</v>
      </c>
      <c r="E197" s="54">
        <v>0</v>
      </c>
      <c r="F197" s="54">
        <f t="shared" si="2"/>
        <v>633.56903999999997</v>
      </c>
      <c r="G197" s="129"/>
      <c r="H197" s="130"/>
      <c r="I197" s="38"/>
      <c r="L197" s="140"/>
      <c r="M197" s="140"/>
      <c r="N197" s="38"/>
    </row>
    <row r="198" spans="1:14" s="53" customFormat="1" ht="15.75" customHeight="1" x14ac:dyDescent="0.35">
      <c r="A198" s="122">
        <f t="shared" si="0"/>
        <v>15</v>
      </c>
      <c r="B198" s="123"/>
      <c r="C198" s="54" t="s">
        <v>223</v>
      </c>
      <c r="D198" s="59">
        <f>(7.64*6.645+3.655*2.9+2.66*2.65+1.225*2)*(10.764)</f>
        <v>762.80485319999991</v>
      </c>
      <c r="E198" s="54">
        <v>0</v>
      </c>
      <c r="F198" s="54">
        <f t="shared" ref="F198:F206" si="3">(D198+E198)*(($F$180)+1)</f>
        <v>1220.4877651199999</v>
      </c>
      <c r="G198" s="129"/>
      <c r="H198" s="130"/>
      <c r="I198" s="38"/>
      <c r="L198" s="140"/>
      <c r="M198" s="140"/>
      <c r="N198" s="38"/>
    </row>
    <row r="199" spans="1:14" s="53" customFormat="1" ht="15.75" customHeight="1" x14ac:dyDescent="0.35">
      <c r="A199" s="122">
        <f t="shared" si="0"/>
        <v>16</v>
      </c>
      <c r="B199" s="123"/>
      <c r="C199" s="54" t="s">
        <v>223</v>
      </c>
      <c r="D199" s="59">
        <f>(6.89*6.745+5.565*2.65+1.225*2)*(10.764)</f>
        <v>685.34710919999998</v>
      </c>
      <c r="E199" s="54">
        <v>0</v>
      </c>
      <c r="F199" s="54">
        <f t="shared" si="3"/>
        <v>1096.5553747199999</v>
      </c>
      <c r="G199" s="129"/>
      <c r="H199" s="130"/>
      <c r="I199" s="38"/>
      <c r="L199" s="140"/>
      <c r="M199" s="140"/>
      <c r="N199" s="38"/>
    </row>
    <row r="200" spans="1:14" s="53" customFormat="1" ht="15.75" customHeight="1" x14ac:dyDescent="0.35">
      <c r="A200" s="122">
        <f t="shared" si="0"/>
        <v>17</v>
      </c>
      <c r="B200" s="123"/>
      <c r="C200" s="54" t="s">
        <v>223</v>
      </c>
      <c r="D200" s="59">
        <f>(6.89*6.645+5.565*2.75+1.225*2)*(10.764)</f>
        <v>683.92087919999994</v>
      </c>
      <c r="E200" s="54">
        <v>0</v>
      </c>
      <c r="F200" s="54">
        <f t="shared" si="3"/>
        <v>1094.2734067199999</v>
      </c>
      <c r="G200" s="129"/>
      <c r="H200" s="130"/>
      <c r="I200" s="38"/>
      <c r="L200" s="140"/>
      <c r="M200" s="140"/>
      <c r="N200" s="38"/>
    </row>
    <row r="201" spans="1:14" s="53" customFormat="1" ht="15.75" customHeight="1" x14ac:dyDescent="0.35">
      <c r="A201" s="122">
        <f t="shared" si="0"/>
        <v>18</v>
      </c>
      <c r="B201" s="123"/>
      <c r="C201" s="54" t="s">
        <v>223</v>
      </c>
      <c r="D201" s="59">
        <f>(7.64*6.645+6.315*2.9+1.225*2)*(10.764)</f>
        <v>769.9629132</v>
      </c>
      <c r="E201" s="54">
        <v>0</v>
      </c>
      <c r="F201" s="54">
        <f t="shared" si="3"/>
        <v>1231.9406611200002</v>
      </c>
      <c r="G201" s="129"/>
      <c r="H201" s="130"/>
      <c r="I201" s="38"/>
      <c r="L201" s="140"/>
      <c r="M201" s="140"/>
      <c r="N201" s="38"/>
    </row>
    <row r="202" spans="1:14" s="53" customFormat="1" ht="15.75" customHeight="1" x14ac:dyDescent="0.35">
      <c r="A202" s="122">
        <f t="shared" si="0"/>
        <v>19</v>
      </c>
      <c r="B202" s="123"/>
      <c r="C202" s="54" t="s">
        <v>223</v>
      </c>
      <c r="D202" s="59">
        <f>(4*6.645+2.675*2.9+1.225*2)*(10.764)</f>
        <v>395.98064999999997</v>
      </c>
      <c r="E202" s="54">
        <v>0</v>
      </c>
      <c r="F202" s="54">
        <f t="shared" si="3"/>
        <v>633.56903999999997</v>
      </c>
      <c r="G202" s="129"/>
      <c r="H202" s="130"/>
      <c r="I202" s="38"/>
      <c r="L202" s="140"/>
      <c r="M202" s="140"/>
      <c r="N202" s="38"/>
    </row>
    <row r="203" spans="1:14" s="53" customFormat="1" ht="15.75" customHeight="1" x14ac:dyDescent="0.35">
      <c r="A203" s="122">
        <f t="shared" si="0"/>
        <v>20</v>
      </c>
      <c r="B203" s="123"/>
      <c r="C203" s="54" t="s">
        <v>223</v>
      </c>
      <c r="D203" s="59">
        <f>(7.64*6.645+6.315*2.9+1.225*2)*(10.764)</f>
        <v>769.9629132</v>
      </c>
      <c r="E203" s="54">
        <v>0</v>
      </c>
      <c r="F203" s="54">
        <f t="shared" si="3"/>
        <v>1231.9406611200002</v>
      </c>
      <c r="G203" s="129"/>
      <c r="H203" s="130"/>
      <c r="I203" s="38"/>
      <c r="L203" s="140"/>
      <c r="M203" s="140"/>
      <c r="N203" s="38"/>
    </row>
    <row r="204" spans="1:14" s="53" customFormat="1" ht="15.75" customHeight="1" x14ac:dyDescent="0.35">
      <c r="A204" s="122">
        <f t="shared" si="0"/>
        <v>21</v>
      </c>
      <c r="B204" s="123"/>
      <c r="C204" s="54" t="s">
        <v>223</v>
      </c>
      <c r="D204" s="59">
        <f>(6.89*6.645+5.565*2.75+1.225*2)*(10.764)</f>
        <v>683.92087919999994</v>
      </c>
      <c r="E204" s="54">
        <v>0</v>
      </c>
      <c r="F204" s="54">
        <f t="shared" si="3"/>
        <v>1094.2734067199999</v>
      </c>
      <c r="G204" s="129"/>
      <c r="H204" s="130"/>
      <c r="I204" s="38"/>
      <c r="L204" s="140"/>
      <c r="M204" s="140"/>
      <c r="N204" s="38"/>
    </row>
    <row r="205" spans="1:14" s="53" customFormat="1" ht="15.75" customHeight="1" x14ac:dyDescent="0.35">
      <c r="A205" s="122">
        <f t="shared" si="0"/>
        <v>22</v>
      </c>
      <c r="B205" s="123"/>
      <c r="C205" s="54" t="s">
        <v>223</v>
      </c>
      <c r="D205" s="59">
        <f>(4.535*6.645+3.21*2.75+3.475*0.77+3.69*1.475+1.225*2)*(10.764)</f>
        <v>533.15249129999995</v>
      </c>
      <c r="E205" s="54">
        <v>0</v>
      </c>
      <c r="F205" s="54">
        <f t="shared" si="3"/>
        <v>853.04398607999997</v>
      </c>
      <c r="G205" s="129"/>
      <c r="H205" s="130"/>
      <c r="I205" s="38"/>
      <c r="L205" s="140"/>
      <c r="M205" s="140"/>
      <c r="N205" s="38"/>
    </row>
    <row r="206" spans="1:14" s="53" customFormat="1" ht="15.75" customHeight="1" x14ac:dyDescent="0.35">
      <c r="A206" s="122">
        <f t="shared" si="0"/>
        <v>23</v>
      </c>
      <c r="B206" s="123"/>
      <c r="C206" s="54" t="s">
        <v>223</v>
      </c>
      <c r="D206" s="59">
        <f>(6.64*6.275+3.23*2.825+3.935*2.975+1.285*1.325+2*1.225+2.4*2.2+2*0.84+3.75*2.845+3.35*3.3)*(10.764)</f>
        <v>1026.1724850000001</v>
      </c>
      <c r="E206" s="54">
        <v>0</v>
      </c>
      <c r="F206" s="54">
        <f t="shared" si="3"/>
        <v>1641.8759760000003</v>
      </c>
      <c r="G206" s="131"/>
      <c r="H206" s="132"/>
      <c r="I206" s="38"/>
      <c r="L206" s="140"/>
      <c r="M206" s="140"/>
      <c r="N206" s="38"/>
    </row>
    <row r="207" spans="1:14" s="57" customFormat="1" x14ac:dyDescent="0.35">
      <c r="A207" s="139" t="s">
        <v>235</v>
      </c>
      <c r="B207" s="139"/>
      <c r="C207" s="139"/>
      <c r="D207" s="139"/>
      <c r="E207" s="139"/>
      <c r="F207" s="139"/>
      <c r="G207" s="139"/>
      <c r="H207" s="139"/>
      <c r="J207" s="38"/>
    </row>
    <row r="208" spans="1:14" s="55" customFormat="1" x14ac:dyDescent="0.35">
      <c r="A208" s="139" t="s">
        <v>224</v>
      </c>
      <c r="B208" s="139"/>
      <c r="C208" s="139"/>
      <c r="D208" s="139"/>
      <c r="E208" s="139"/>
      <c r="F208" s="139"/>
      <c r="G208" s="139"/>
      <c r="H208" s="139"/>
      <c r="J208" s="38"/>
    </row>
    <row r="209" spans="1:14" s="55" customFormat="1" ht="15.75" customHeight="1" x14ac:dyDescent="0.35">
      <c r="A209" s="145">
        <v>1</v>
      </c>
      <c r="B209" s="145"/>
      <c r="C209" s="84" t="s">
        <v>223</v>
      </c>
      <c r="D209" s="59">
        <f>(10.67*5.195+9.345*2.65+1.225*2)*(10.764)</f>
        <v>889.58970360000001</v>
      </c>
      <c r="E209" s="84">
        <v>0</v>
      </c>
      <c r="F209" s="84">
        <f>(D209+E209)*(($F$180)+1)</f>
        <v>1423.3435257600001</v>
      </c>
      <c r="G209" s="145" t="str">
        <f>A208</f>
        <v>1st Floor For Commercial</v>
      </c>
      <c r="H209" s="145"/>
      <c r="I209" s="38"/>
      <c r="L209" s="140"/>
      <c r="M209" s="140"/>
      <c r="N209" s="38"/>
    </row>
    <row r="210" spans="1:14" s="55" customFormat="1" ht="15.75" customHeight="1" x14ac:dyDescent="0.35">
      <c r="A210" s="145">
        <f t="shared" ref="A210:A218" si="4">A209+1</f>
        <v>2</v>
      </c>
      <c r="B210" s="145"/>
      <c r="C210" s="84" t="s">
        <v>223</v>
      </c>
      <c r="D210" s="59">
        <f>(7.46*4.645+6.64*2.65+1.225*2)*(10.764)</f>
        <v>588.76604279999992</v>
      </c>
      <c r="E210" s="84">
        <v>0</v>
      </c>
      <c r="F210" s="84">
        <f t="shared" ref="F210:F215" si="5">(D210+E210)*(($F$180)+1)</f>
        <v>942.02566847999992</v>
      </c>
      <c r="G210" s="145"/>
      <c r="H210" s="145"/>
      <c r="I210" s="38"/>
      <c r="L210" s="140"/>
      <c r="M210" s="140"/>
      <c r="N210" s="38"/>
    </row>
    <row r="211" spans="1:14" s="55" customFormat="1" ht="15.75" customHeight="1" x14ac:dyDescent="0.35">
      <c r="A211" s="145">
        <f t="shared" si="4"/>
        <v>3</v>
      </c>
      <c r="B211" s="145"/>
      <c r="C211" s="84" t="s">
        <v>223</v>
      </c>
      <c r="D211" s="59">
        <f>(6.765*6.645+5.44*2.65+1.225*2)*(10.764)</f>
        <v>665.42429069999991</v>
      </c>
      <c r="E211" s="84">
        <v>0</v>
      </c>
      <c r="F211" s="84">
        <f t="shared" si="5"/>
        <v>1064.67886512</v>
      </c>
      <c r="G211" s="145"/>
      <c r="H211" s="145"/>
      <c r="I211" s="38"/>
      <c r="L211" s="140"/>
      <c r="M211" s="140"/>
      <c r="N211" s="38"/>
    </row>
    <row r="212" spans="1:14" s="55" customFormat="1" ht="15.75" customHeight="1" x14ac:dyDescent="0.35">
      <c r="A212" s="145">
        <f t="shared" si="4"/>
        <v>4</v>
      </c>
      <c r="B212" s="145"/>
      <c r="C212" s="84" t="s">
        <v>223</v>
      </c>
      <c r="D212" s="59">
        <f>(19.58*4.645+18.405*2.65+16.03*2.25+1.225*2)*(10.764)</f>
        <v>1918.5737453999998</v>
      </c>
      <c r="E212" s="84">
        <v>0</v>
      </c>
      <c r="F212" s="84">
        <f t="shared" si="5"/>
        <v>3069.7179926399999</v>
      </c>
      <c r="G212" s="145"/>
      <c r="H212" s="145"/>
      <c r="I212" s="38"/>
      <c r="L212" s="140"/>
      <c r="M212" s="140"/>
      <c r="N212" s="38"/>
    </row>
    <row r="213" spans="1:14" s="55" customFormat="1" ht="15.75" customHeight="1" x14ac:dyDescent="0.35">
      <c r="A213" s="145">
        <f t="shared" si="4"/>
        <v>5</v>
      </c>
      <c r="B213" s="145"/>
      <c r="C213" s="84" t="s">
        <v>223</v>
      </c>
      <c r="D213" s="59">
        <f>(6.89*6.645+5.565*2.65+1.225*2)*(10.764)</f>
        <v>677.9307131999999</v>
      </c>
      <c r="E213" s="84">
        <v>0</v>
      </c>
      <c r="F213" s="84">
        <f t="shared" si="5"/>
        <v>1084.6891411199999</v>
      </c>
      <c r="G213" s="145"/>
      <c r="H213" s="145"/>
      <c r="I213" s="38"/>
      <c r="L213" s="140"/>
      <c r="M213" s="140"/>
      <c r="N213" s="38"/>
    </row>
    <row r="214" spans="1:14" s="55" customFormat="1" ht="15.75" customHeight="1" x14ac:dyDescent="0.35">
      <c r="A214" s="145">
        <f t="shared" si="4"/>
        <v>6</v>
      </c>
      <c r="B214" s="145"/>
      <c r="C214" s="84" t="s">
        <v>223</v>
      </c>
      <c r="D214" s="59">
        <f>(6.64*4.645+5.315*2.65+1.225*2)*(10.764)</f>
        <v>509.97194819999999</v>
      </c>
      <c r="E214" s="84">
        <v>0</v>
      </c>
      <c r="F214" s="84">
        <f t="shared" si="5"/>
        <v>815.95511712000007</v>
      </c>
      <c r="G214" s="145"/>
      <c r="H214" s="145"/>
      <c r="I214" s="38"/>
      <c r="L214" s="140"/>
      <c r="M214" s="140"/>
      <c r="N214" s="38"/>
    </row>
    <row r="215" spans="1:14" s="55" customFormat="1" ht="15.75" customHeight="1" x14ac:dyDescent="0.35">
      <c r="A215" s="145">
        <f t="shared" si="4"/>
        <v>7</v>
      </c>
      <c r="B215" s="145"/>
      <c r="C215" s="84" t="s">
        <v>223</v>
      </c>
      <c r="D215" s="59">
        <f>(19.83*4.645+18.505*2.65+18.03*2.25+1.225*2)*(10.764)</f>
        <v>1982.3639003999995</v>
      </c>
      <c r="E215" s="84">
        <v>0</v>
      </c>
      <c r="F215" s="84">
        <f t="shared" si="5"/>
        <v>3171.7822406399991</v>
      </c>
      <c r="G215" s="145"/>
      <c r="H215" s="145"/>
      <c r="I215" s="38"/>
      <c r="L215" s="140"/>
      <c r="M215" s="140"/>
      <c r="N215" s="38"/>
    </row>
    <row r="216" spans="1:14" s="55" customFormat="1" ht="15.75" customHeight="1" x14ac:dyDescent="0.35">
      <c r="A216" s="145">
        <f t="shared" si="4"/>
        <v>8</v>
      </c>
      <c r="B216" s="145"/>
      <c r="C216" s="84" t="s">
        <v>223</v>
      </c>
      <c r="D216" s="59">
        <f>(6.64*7.295+1.225*2)*(10.764)</f>
        <v>547.76704319999999</v>
      </c>
      <c r="E216" s="84">
        <v>0</v>
      </c>
      <c r="F216" s="84">
        <f t="shared" ref="F216:F218" si="6">(D216+E216)*(($F$180)+1)</f>
        <v>876.42726912000001</v>
      </c>
      <c r="G216" s="145"/>
      <c r="H216" s="145"/>
      <c r="I216" s="38"/>
      <c r="L216" s="140"/>
      <c r="M216" s="140"/>
      <c r="N216" s="38"/>
    </row>
    <row r="217" spans="1:14" s="55" customFormat="1" ht="15.75" customHeight="1" x14ac:dyDescent="0.35">
      <c r="A217" s="145">
        <f t="shared" si="4"/>
        <v>9</v>
      </c>
      <c r="B217" s="145"/>
      <c r="C217" s="84" t="s">
        <v>223</v>
      </c>
      <c r="D217" s="59">
        <f>(7.84*4.645+6.515*2.65+1.225*2)*(10.764)</f>
        <v>604.20000419999997</v>
      </c>
      <c r="E217" s="84">
        <v>0</v>
      </c>
      <c r="F217" s="84">
        <f t="shared" si="6"/>
        <v>966.72000672000001</v>
      </c>
      <c r="G217" s="145"/>
      <c r="H217" s="145"/>
      <c r="I217" s="38"/>
      <c r="L217" s="140"/>
      <c r="M217" s="140"/>
      <c r="N217" s="38"/>
    </row>
    <row r="218" spans="1:14" s="55" customFormat="1" ht="15.75" customHeight="1" x14ac:dyDescent="0.35">
      <c r="A218" s="145">
        <f t="shared" si="4"/>
        <v>10</v>
      </c>
      <c r="B218" s="145"/>
      <c r="C218" s="84" t="s">
        <v>223</v>
      </c>
      <c r="D218" s="59">
        <f>(2.325*2.36+6.39*6.615+2.31*2.965+3.35*3.3+3.75*3.185+2.4*1.86+2*0.84+3.935*2.635+1.285*1.325+1.225*2)*(10.764)</f>
        <v>1057.7793563999999</v>
      </c>
      <c r="E218" s="84">
        <v>0</v>
      </c>
      <c r="F218" s="84">
        <f t="shared" si="6"/>
        <v>1692.4469702399999</v>
      </c>
      <c r="G218" s="145"/>
      <c r="H218" s="145"/>
      <c r="I218" s="38"/>
      <c r="K218" s="60"/>
      <c r="L218" s="140"/>
      <c r="M218" s="140"/>
      <c r="N218" s="38"/>
    </row>
    <row r="219" spans="1:14" s="57" customFormat="1" x14ac:dyDescent="0.35">
      <c r="A219" s="124" t="s">
        <v>219</v>
      </c>
      <c r="B219" s="125"/>
      <c r="C219" s="125"/>
      <c r="D219" s="125"/>
      <c r="E219" s="125"/>
      <c r="F219" s="125"/>
      <c r="G219" s="125"/>
      <c r="H219" s="126"/>
      <c r="J219" s="38"/>
      <c r="K219" s="61"/>
    </row>
    <row r="220" spans="1:14" s="57" customFormat="1" x14ac:dyDescent="0.35">
      <c r="A220" s="124" t="s">
        <v>224</v>
      </c>
      <c r="B220" s="125"/>
      <c r="C220" s="125"/>
      <c r="D220" s="125"/>
      <c r="E220" s="125"/>
      <c r="F220" s="125"/>
      <c r="G220" s="125"/>
      <c r="H220" s="126"/>
      <c r="J220" s="38"/>
      <c r="K220" s="60"/>
    </row>
    <row r="221" spans="1:14" s="57" customFormat="1" ht="15.75" customHeight="1" x14ac:dyDescent="0.35">
      <c r="A221" s="122">
        <v>4</v>
      </c>
      <c r="B221" s="123"/>
      <c r="C221" s="58" t="s">
        <v>225</v>
      </c>
      <c r="D221" s="59">
        <f>(14.56*7.195+8.845*0.65+4.39*2.9)*(10.764)</f>
        <v>1326.5494398000001</v>
      </c>
      <c r="E221" s="58">
        <v>0</v>
      </c>
      <c r="F221" s="58">
        <f>(D221+E221)*(($F$180)+1)</f>
        <v>2122.4791036800002</v>
      </c>
      <c r="G221" s="127" t="str">
        <f>A220</f>
        <v>1st Floor For Commercial</v>
      </c>
      <c r="H221" s="128"/>
      <c r="I221" s="38"/>
      <c r="K221" s="60"/>
      <c r="L221" s="140"/>
      <c r="M221" s="140"/>
      <c r="N221" s="38"/>
    </row>
    <row r="222" spans="1:14" s="57" customFormat="1" ht="15.75" customHeight="1" x14ac:dyDescent="0.35">
      <c r="A222" s="122">
        <f t="shared" ref="A222" si="7">A221+1</f>
        <v>5</v>
      </c>
      <c r="B222" s="123"/>
      <c r="C222" s="58" t="s">
        <v>225</v>
      </c>
      <c r="D222" s="59">
        <f>(8.84*2.9+18.98*7.195+8.815*0.65+1.225*2)*(10.764)</f>
        <v>1833.9364133999998</v>
      </c>
      <c r="E222" s="58">
        <v>0</v>
      </c>
      <c r="F222" s="58">
        <f t="shared" ref="F222" si="8">(D222+E222)*(($F$180)+1)</f>
        <v>2934.2982614399998</v>
      </c>
      <c r="G222" s="131"/>
      <c r="H222" s="132"/>
      <c r="I222" s="38"/>
      <c r="K222" s="60"/>
      <c r="L222" s="140"/>
      <c r="M222" s="140"/>
      <c r="N222" s="38"/>
    </row>
    <row r="223" spans="1:14" s="47" customFormat="1" x14ac:dyDescent="0.35">
      <c r="A223" s="122"/>
      <c r="B223" s="221"/>
      <c r="C223" s="221"/>
      <c r="D223" s="221"/>
      <c r="E223" s="221"/>
      <c r="F223" s="221"/>
      <c r="G223" s="221"/>
      <c r="H223" s="123"/>
      <c r="I223" s="38"/>
      <c r="N223" s="38"/>
    </row>
    <row r="224" spans="1:14" ht="47.25" customHeight="1" x14ac:dyDescent="0.35">
      <c r="A224" s="165" t="s">
        <v>127</v>
      </c>
      <c r="B224" s="165" t="s">
        <v>128</v>
      </c>
      <c r="C224" s="150" t="s">
        <v>60</v>
      </c>
      <c r="D224" s="150" t="s">
        <v>61</v>
      </c>
      <c r="E224" s="170" t="s">
        <v>62</v>
      </c>
      <c r="F224" s="45" t="s">
        <v>158</v>
      </c>
      <c r="G224" s="165" t="s">
        <v>63</v>
      </c>
      <c r="H224" s="172"/>
      <c r="I224" s="38"/>
    </row>
    <row r="225" spans="1:14" s="47" customFormat="1" x14ac:dyDescent="0.35">
      <c r="A225" s="166"/>
      <c r="B225" s="166"/>
      <c r="C225" s="151"/>
      <c r="D225" s="151"/>
      <c r="E225" s="171"/>
      <c r="F225" s="15">
        <v>0.55000000000000004</v>
      </c>
      <c r="G225" s="166"/>
      <c r="H225" s="173"/>
      <c r="I225" s="38"/>
    </row>
    <row r="226" spans="1:14" s="53" customFormat="1" x14ac:dyDescent="0.35">
      <c r="A226" s="124" t="s">
        <v>194</v>
      </c>
      <c r="B226" s="125"/>
      <c r="C226" s="125"/>
      <c r="D226" s="125"/>
      <c r="E226" s="125"/>
      <c r="F226" s="125"/>
      <c r="G226" s="125"/>
      <c r="H226" s="126"/>
      <c r="J226" s="38"/>
    </row>
    <row r="227" spans="1:14" s="53" customFormat="1" x14ac:dyDescent="0.35">
      <c r="A227" s="146" t="s">
        <v>195</v>
      </c>
      <c r="B227" s="147"/>
      <c r="C227" s="147"/>
      <c r="D227" s="147"/>
      <c r="E227" s="147"/>
      <c r="F227" s="147"/>
      <c r="G227" s="147"/>
      <c r="H227" s="148"/>
      <c r="J227" s="38"/>
      <c r="K227" s="59">
        <f>10.764</f>
        <v>10.763999999999999</v>
      </c>
    </row>
    <row r="228" spans="1:14" s="53" customFormat="1" x14ac:dyDescent="0.35">
      <c r="A228" s="124" t="s">
        <v>196</v>
      </c>
      <c r="B228" s="125"/>
      <c r="C228" s="125"/>
      <c r="D228" s="125"/>
      <c r="E228" s="125"/>
      <c r="F228" s="125"/>
      <c r="G228" s="125"/>
      <c r="H228" s="126"/>
      <c r="J228" s="38"/>
      <c r="L228" s="53" t="s">
        <v>193</v>
      </c>
    </row>
    <row r="229" spans="1:14" s="53" customFormat="1" ht="15.75" customHeight="1" x14ac:dyDescent="0.35">
      <c r="A229" s="122">
        <v>1</v>
      </c>
      <c r="B229" s="123"/>
      <c r="C229" s="52">
        <v>3</v>
      </c>
      <c r="D229" s="59">
        <f>(139.62)*(10.764)</f>
        <v>1502.86968</v>
      </c>
      <c r="E229" s="54">
        <v>0</v>
      </c>
      <c r="F229" s="54">
        <f>D229*(($F$225)+1)+(IF(E229&lt;101,E229,IF(E229&lt;201,E229/2,IF(E229&lt;=301,E229/3,E229/4))))</f>
        <v>2329.4480040000003</v>
      </c>
      <c r="G229" s="127" t="str">
        <f>A228</f>
        <v>2nd Floor For Residential</v>
      </c>
      <c r="H229" s="128"/>
      <c r="I229" s="38"/>
      <c r="L229" s="56">
        <f>1.625*2+4.775*2.67+1.815*0.87+1.715*1.06+1.525*2.59+3.17*4.28+3.8*6.395+3.59*4.275+2.59*1.525+1.05*1.625+1.15*1.67+3.65*2.77+3.52*4.15+1.525*2.44+2*1.35+1.625*1.05+2*1.35</f>
        <v>119.68405000000001</v>
      </c>
      <c r="M229" s="56">
        <f>7*1.275+2.59*1.57</f>
        <v>12.991299999999999</v>
      </c>
      <c r="N229" s="38"/>
    </row>
    <row r="230" spans="1:14" s="53" customFormat="1" ht="15.75" customHeight="1" x14ac:dyDescent="0.35">
      <c r="A230" s="122">
        <f t="shared" ref="A230:A232" si="9">A229+1</f>
        <v>2</v>
      </c>
      <c r="B230" s="123"/>
      <c r="C230" s="52">
        <v>3</v>
      </c>
      <c r="D230" s="59">
        <f>(107.89)*(10.764)</f>
        <v>1161.3279599999998</v>
      </c>
      <c r="E230" s="54">
        <v>0</v>
      </c>
      <c r="F230" s="54">
        <f>D230*(($F$225)+1)+(IF(E230&lt;101,E230,IF(E230&lt;201,E230/2,IF(E230&lt;=301,E230/3,E230/4))))</f>
        <v>1800.0583379999998</v>
      </c>
      <c r="G230" s="129"/>
      <c r="H230" s="130"/>
      <c r="I230" s="38"/>
      <c r="L230" s="56"/>
      <c r="M230" s="56">
        <f>L229+M229</f>
        <v>132.67535000000001</v>
      </c>
      <c r="N230" s="38"/>
    </row>
    <row r="231" spans="1:14" s="53" customFormat="1" ht="15.75" customHeight="1" x14ac:dyDescent="0.35">
      <c r="A231" s="122">
        <f t="shared" si="9"/>
        <v>3</v>
      </c>
      <c r="B231" s="123"/>
      <c r="C231" s="52">
        <v>3</v>
      </c>
      <c r="D231" s="59">
        <f>(107.89)*(10.764)</f>
        <v>1161.3279599999998</v>
      </c>
      <c r="E231" s="54">
        <v>0</v>
      </c>
      <c r="F231" s="54">
        <f>D231*(($F$225)+1)+(IF(E231&lt;101,E231,IF(E231&lt;201,E231/2,IF(E231&lt;=301,E231/3,E231/4))))</f>
        <v>1800.0583379999998</v>
      </c>
      <c r="G231" s="129"/>
      <c r="H231" s="130"/>
      <c r="I231" s="38"/>
      <c r="L231" s="56"/>
      <c r="M231" s="56"/>
      <c r="N231" s="38"/>
    </row>
    <row r="232" spans="1:14" s="53" customFormat="1" ht="15.75" customHeight="1" x14ac:dyDescent="0.35">
      <c r="A232" s="122">
        <f t="shared" si="9"/>
        <v>4</v>
      </c>
      <c r="B232" s="123"/>
      <c r="C232" s="52">
        <v>3</v>
      </c>
      <c r="D232" s="59">
        <f>(139.62)*(10.764)</f>
        <v>1502.86968</v>
      </c>
      <c r="E232" s="54">
        <v>0</v>
      </c>
      <c r="F232" s="54">
        <f>D232*(($F$225)+1)+(IF(E232&lt;101,E232,IF(E232&lt;201,E232/2,IF(E232&lt;=301,E232/3,E232/4))))</f>
        <v>2329.4480040000003</v>
      </c>
      <c r="G232" s="131"/>
      <c r="H232" s="132"/>
      <c r="I232" s="38"/>
      <c r="L232" s="56"/>
      <c r="M232" s="56"/>
      <c r="N232" s="38"/>
    </row>
    <row r="233" spans="1:14" s="53" customFormat="1" x14ac:dyDescent="0.35">
      <c r="A233" s="124" t="s">
        <v>197</v>
      </c>
      <c r="B233" s="125"/>
      <c r="C233" s="125"/>
      <c r="D233" s="125"/>
      <c r="E233" s="125"/>
      <c r="F233" s="125"/>
      <c r="G233" s="125"/>
      <c r="H233" s="126"/>
      <c r="J233" s="38"/>
    </row>
    <row r="234" spans="1:14" s="53" customFormat="1" ht="15.75" customHeight="1" x14ac:dyDescent="0.35">
      <c r="A234" s="122">
        <v>1</v>
      </c>
      <c r="B234" s="123"/>
      <c r="C234" s="52">
        <v>3</v>
      </c>
      <c r="D234" s="59">
        <f>(139.62)*(10.764)</f>
        <v>1502.86968</v>
      </c>
      <c r="E234" s="54">
        <v>0</v>
      </c>
      <c r="F234" s="54">
        <f>D234*(($F$225)+1)+(IF(E234&lt;101,E234,IF(E234&lt;201,E234/2,IF(E234&lt;=301,E234/3,E234/4))))</f>
        <v>2329.4480040000003</v>
      </c>
      <c r="G234" s="127" t="str">
        <f>A233</f>
        <v>3rd Floor</v>
      </c>
      <c r="H234" s="128"/>
      <c r="I234" s="38"/>
      <c r="L234" s="56"/>
      <c r="M234" s="56"/>
      <c r="N234" s="38"/>
    </row>
    <row r="235" spans="1:14" s="53" customFormat="1" ht="15.75" customHeight="1" x14ac:dyDescent="0.35">
      <c r="A235" s="122">
        <f t="shared" ref="A235:A237" si="10">A234+1</f>
        <v>2</v>
      </c>
      <c r="B235" s="123"/>
      <c r="C235" s="52">
        <v>3</v>
      </c>
      <c r="D235" s="59">
        <f>(107.89)*(10.764)</f>
        <v>1161.3279599999998</v>
      </c>
      <c r="E235" s="54">
        <v>0</v>
      </c>
      <c r="F235" s="54">
        <f>D235*(($F$225)+1)+(IF(E235&lt;101,E235,IF(E235&lt;201,E235/2,IF(E235&lt;=301,E235/3,E235/4))))</f>
        <v>1800.0583379999998</v>
      </c>
      <c r="G235" s="129"/>
      <c r="H235" s="130"/>
      <c r="I235" s="38"/>
      <c r="L235" s="56"/>
      <c r="M235" s="56"/>
      <c r="N235" s="38"/>
    </row>
    <row r="236" spans="1:14" s="53" customFormat="1" ht="15.75" customHeight="1" x14ac:dyDescent="0.35">
      <c r="A236" s="122">
        <f t="shared" si="10"/>
        <v>3</v>
      </c>
      <c r="B236" s="123"/>
      <c r="C236" s="52">
        <v>3</v>
      </c>
      <c r="D236" s="59">
        <f>(107.89)*(10.764)</f>
        <v>1161.3279599999998</v>
      </c>
      <c r="E236" s="54">
        <v>0</v>
      </c>
      <c r="F236" s="54">
        <f>D236*(($F$225)+1)+(IF(E236&lt;101,E236,IF(E236&lt;201,E236/2,IF(E236&lt;=301,E236/3,E236/4))))</f>
        <v>1800.0583379999998</v>
      </c>
      <c r="G236" s="129"/>
      <c r="H236" s="130"/>
      <c r="I236" s="38"/>
      <c r="L236" s="56"/>
      <c r="M236" s="56"/>
      <c r="N236" s="38"/>
    </row>
    <row r="237" spans="1:14" s="53" customFormat="1" ht="15.75" customHeight="1" x14ac:dyDescent="0.35">
      <c r="A237" s="122">
        <f t="shared" si="10"/>
        <v>4</v>
      </c>
      <c r="B237" s="123"/>
      <c r="C237" s="52">
        <v>3</v>
      </c>
      <c r="D237" s="59">
        <f>(139.62)*(10.764)</f>
        <v>1502.86968</v>
      </c>
      <c r="E237" s="54">
        <v>0</v>
      </c>
      <c r="F237" s="54">
        <f>D237*(($F$225)+1)+(IF(E237&lt;101,E237,IF(E237&lt;201,E237/2,IF(E237&lt;=301,E237/3,E237/4))))</f>
        <v>2329.4480040000003</v>
      </c>
      <c r="G237" s="131"/>
      <c r="H237" s="132"/>
      <c r="I237" s="38"/>
      <c r="L237" s="56"/>
      <c r="M237" s="56"/>
      <c r="N237" s="38"/>
    </row>
    <row r="238" spans="1:14" s="53" customFormat="1" x14ac:dyDescent="0.35">
      <c r="A238" s="124" t="s">
        <v>198</v>
      </c>
      <c r="B238" s="125"/>
      <c r="C238" s="125"/>
      <c r="D238" s="125"/>
      <c r="E238" s="125"/>
      <c r="F238" s="125"/>
      <c r="G238" s="125"/>
      <c r="H238" s="126"/>
      <c r="J238" s="38"/>
    </row>
    <row r="239" spans="1:14" s="53" customFormat="1" ht="15.75" customHeight="1" x14ac:dyDescent="0.35">
      <c r="A239" s="122">
        <v>1</v>
      </c>
      <c r="B239" s="123"/>
      <c r="C239" s="52">
        <v>3</v>
      </c>
      <c r="D239" s="59">
        <f>(139.62)*(10.764)</f>
        <v>1502.86968</v>
      </c>
      <c r="E239" s="54">
        <v>0</v>
      </c>
      <c r="F239" s="54">
        <f>D239*(($F$225)+1)+(IF(E239&lt;101,E239,IF(E239&lt;201,E239/2,IF(E239&lt;=301,E239/3,E239/4))))</f>
        <v>2329.4480040000003</v>
      </c>
      <c r="G239" s="127" t="str">
        <f>A238</f>
        <v>4th Floor</v>
      </c>
      <c r="H239" s="128"/>
      <c r="I239" s="38"/>
      <c r="L239" s="56"/>
      <c r="M239" s="56"/>
      <c r="N239" s="38"/>
    </row>
    <row r="240" spans="1:14" s="53" customFormat="1" ht="15.75" customHeight="1" x14ac:dyDescent="0.35">
      <c r="A240" s="122">
        <f t="shared" ref="A240:A242" si="11">A239+1</f>
        <v>2</v>
      </c>
      <c r="B240" s="123"/>
      <c r="C240" s="52">
        <v>3</v>
      </c>
      <c r="D240" s="59">
        <f>(107.89)*(10.764)</f>
        <v>1161.3279599999998</v>
      </c>
      <c r="E240" s="54">
        <v>0</v>
      </c>
      <c r="F240" s="54">
        <f>D240*(($F$225)+1)+(IF(E240&lt;101,E240,IF(E240&lt;201,E240/2,IF(E240&lt;=301,E240/3,E240/4))))</f>
        <v>1800.0583379999998</v>
      </c>
      <c r="G240" s="129"/>
      <c r="H240" s="130"/>
      <c r="I240" s="38"/>
      <c r="L240" s="56"/>
      <c r="M240" s="56"/>
      <c r="N240" s="38"/>
    </row>
    <row r="241" spans="1:14" s="53" customFormat="1" ht="15.75" customHeight="1" x14ac:dyDescent="0.35">
      <c r="A241" s="122">
        <f t="shared" si="11"/>
        <v>3</v>
      </c>
      <c r="B241" s="123"/>
      <c r="C241" s="52">
        <v>3</v>
      </c>
      <c r="D241" s="59">
        <f>(107.89)*(10.764)</f>
        <v>1161.3279599999998</v>
      </c>
      <c r="E241" s="54">
        <v>0</v>
      </c>
      <c r="F241" s="54">
        <f>D241*(($F$225)+1)+(IF(E241&lt;101,E241,IF(E241&lt;201,E241/2,IF(E241&lt;=301,E241/3,E241/4))))</f>
        <v>1800.0583379999998</v>
      </c>
      <c r="G241" s="129"/>
      <c r="H241" s="130"/>
      <c r="I241" s="38"/>
      <c r="L241" s="56"/>
      <c r="M241" s="56"/>
      <c r="N241" s="38"/>
    </row>
    <row r="242" spans="1:14" s="53" customFormat="1" ht="15.75" customHeight="1" x14ac:dyDescent="0.35">
      <c r="A242" s="122">
        <f t="shared" si="11"/>
        <v>4</v>
      </c>
      <c r="B242" s="123"/>
      <c r="C242" s="52">
        <v>3</v>
      </c>
      <c r="D242" s="59">
        <f>(139.62)*(10.764)</f>
        <v>1502.86968</v>
      </c>
      <c r="E242" s="54">
        <v>0</v>
      </c>
      <c r="F242" s="54">
        <f>D242*(($F$225)+1)+(IF(E242&lt;101,E242,IF(E242&lt;201,E242/2,IF(E242&lt;=301,E242/3,E242/4))))</f>
        <v>2329.4480040000003</v>
      </c>
      <c r="G242" s="131"/>
      <c r="H242" s="132"/>
      <c r="I242" s="38"/>
      <c r="L242" s="56"/>
      <c r="M242" s="56"/>
      <c r="N242" s="38"/>
    </row>
    <row r="243" spans="1:14" s="53" customFormat="1" x14ac:dyDescent="0.35">
      <c r="A243" s="124" t="s">
        <v>199</v>
      </c>
      <c r="B243" s="125"/>
      <c r="C243" s="125"/>
      <c r="D243" s="125"/>
      <c r="E243" s="125"/>
      <c r="F243" s="125"/>
      <c r="G243" s="125"/>
      <c r="H243" s="126"/>
      <c r="J243" s="38"/>
    </row>
    <row r="244" spans="1:14" s="53" customFormat="1" ht="15.75" customHeight="1" x14ac:dyDescent="0.35">
      <c r="A244" s="122">
        <v>1</v>
      </c>
      <c r="B244" s="123"/>
      <c r="C244" s="52">
        <v>3</v>
      </c>
      <c r="D244" s="59">
        <f>(139.62)*(10.764)</f>
        <v>1502.86968</v>
      </c>
      <c r="E244" s="54">
        <v>0</v>
      </c>
      <c r="F244" s="54">
        <f>D244*(($F$225)+1)+(IF(E244&lt;101,E244,IF(E244&lt;201,E244/2,IF(E244&lt;=301,E244/3,E244/4))))</f>
        <v>2329.4480040000003</v>
      </c>
      <c r="G244" s="127" t="str">
        <f>A243</f>
        <v>5th Floor</v>
      </c>
      <c r="H244" s="128"/>
      <c r="I244" s="38"/>
      <c r="L244" s="56"/>
      <c r="M244" s="56"/>
      <c r="N244" s="38"/>
    </row>
    <row r="245" spans="1:14" s="53" customFormat="1" ht="15.75" customHeight="1" x14ac:dyDescent="0.35">
      <c r="A245" s="122">
        <f t="shared" ref="A245:A247" si="12">A244+1</f>
        <v>2</v>
      </c>
      <c r="B245" s="123"/>
      <c r="C245" s="52">
        <v>3</v>
      </c>
      <c r="D245" s="59">
        <f>(107.89)*(10.764)</f>
        <v>1161.3279599999998</v>
      </c>
      <c r="E245" s="54">
        <v>0</v>
      </c>
      <c r="F245" s="54">
        <f>D245*(($F$225)+1)+(IF(E245&lt;101,E245,IF(E245&lt;201,E245/2,IF(E245&lt;=301,E245/3,E245/4))))</f>
        <v>1800.0583379999998</v>
      </c>
      <c r="G245" s="129"/>
      <c r="H245" s="130"/>
      <c r="I245" s="38"/>
      <c r="L245" s="56"/>
      <c r="M245" s="56"/>
      <c r="N245" s="38"/>
    </row>
    <row r="246" spans="1:14" s="53" customFormat="1" ht="15.75" customHeight="1" x14ac:dyDescent="0.35">
      <c r="A246" s="122">
        <f t="shared" si="12"/>
        <v>3</v>
      </c>
      <c r="B246" s="123"/>
      <c r="C246" s="52">
        <v>3</v>
      </c>
      <c r="D246" s="59">
        <f>(107.89)*(10.764)</f>
        <v>1161.3279599999998</v>
      </c>
      <c r="E246" s="54">
        <v>0</v>
      </c>
      <c r="F246" s="54">
        <f>D246*(($F$225)+1)+(IF(E246&lt;101,E246,IF(E246&lt;201,E246/2,IF(E246&lt;=301,E246/3,E246/4))))</f>
        <v>1800.0583379999998</v>
      </c>
      <c r="G246" s="129"/>
      <c r="H246" s="130"/>
      <c r="I246" s="38"/>
      <c r="L246" s="56"/>
      <c r="M246" s="56"/>
      <c r="N246" s="38"/>
    </row>
    <row r="247" spans="1:14" s="53" customFormat="1" ht="15.75" customHeight="1" x14ac:dyDescent="0.35">
      <c r="A247" s="122">
        <f t="shared" si="12"/>
        <v>4</v>
      </c>
      <c r="B247" s="123"/>
      <c r="C247" s="52">
        <v>3</v>
      </c>
      <c r="D247" s="59">
        <f>(139.62)*(10.764)</f>
        <v>1502.86968</v>
      </c>
      <c r="E247" s="54">
        <v>0</v>
      </c>
      <c r="F247" s="54">
        <f>D247*(($F$225)+1)+(IF(E247&lt;101,E247,IF(E247&lt;201,E247/2,IF(E247&lt;=301,E247/3,E247/4))))</f>
        <v>2329.4480040000003</v>
      </c>
      <c r="G247" s="131"/>
      <c r="H247" s="132"/>
      <c r="I247" s="38"/>
      <c r="L247" s="56"/>
      <c r="M247" s="56"/>
      <c r="N247" s="38"/>
    </row>
    <row r="248" spans="1:14" s="53" customFormat="1" x14ac:dyDescent="0.35">
      <c r="A248" s="124" t="s">
        <v>200</v>
      </c>
      <c r="B248" s="125"/>
      <c r="C248" s="125"/>
      <c r="D248" s="125"/>
      <c r="E248" s="125"/>
      <c r="F248" s="125"/>
      <c r="G248" s="125"/>
      <c r="H248" s="126"/>
      <c r="J248" s="38"/>
    </row>
    <row r="249" spans="1:14" s="53" customFormat="1" ht="15.75" customHeight="1" x14ac:dyDescent="0.35">
      <c r="A249" s="122">
        <v>1</v>
      </c>
      <c r="B249" s="123"/>
      <c r="C249" s="52">
        <v>3</v>
      </c>
      <c r="D249" s="59">
        <f>(139.62)*(10.764)</f>
        <v>1502.86968</v>
      </c>
      <c r="E249" s="54">
        <v>0</v>
      </c>
      <c r="F249" s="54">
        <f>D249*(($F$225)+1)+(IF(E249&lt;101,E249,IF(E249&lt;201,E249/2,IF(E249&lt;=301,E249/3,E249/4))))</f>
        <v>2329.4480040000003</v>
      </c>
      <c r="G249" s="127" t="str">
        <f>A248</f>
        <v>6th Floor</v>
      </c>
      <c r="H249" s="128"/>
      <c r="I249" s="38"/>
      <c r="L249" s="56"/>
      <c r="M249" s="56"/>
      <c r="N249" s="38"/>
    </row>
    <row r="250" spans="1:14" s="53" customFormat="1" ht="15.75" customHeight="1" x14ac:dyDescent="0.35">
      <c r="A250" s="122">
        <f t="shared" ref="A250:A252" si="13">A249+1</f>
        <v>2</v>
      </c>
      <c r="B250" s="123"/>
      <c r="C250" s="52">
        <v>3</v>
      </c>
      <c r="D250" s="59">
        <f>(107.89)*(10.764)</f>
        <v>1161.3279599999998</v>
      </c>
      <c r="E250" s="54">
        <v>0</v>
      </c>
      <c r="F250" s="54">
        <f>D250*(($F$225)+1)+(IF(E250&lt;101,E250,IF(E250&lt;201,E250/2,IF(E250&lt;=301,E250/3,E250/4))))</f>
        <v>1800.0583379999998</v>
      </c>
      <c r="G250" s="129"/>
      <c r="H250" s="130"/>
      <c r="I250" s="38"/>
      <c r="L250" s="56"/>
      <c r="M250" s="56"/>
      <c r="N250" s="38"/>
    </row>
    <row r="251" spans="1:14" s="53" customFormat="1" ht="15.75" customHeight="1" x14ac:dyDescent="0.35">
      <c r="A251" s="122">
        <f t="shared" si="13"/>
        <v>3</v>
      </c>
      <c r="B251" s="123"/>
      <c r="C251" s="52">
        <v>3</v>
      </c>
      <c r="D251" s="59">
        <f>(107.89)*(10.764)</f>
        <v>1161.3279599999998</v>
      </c>
      <c r="E251" s="54">
        <v>0</v>
      </c>
      <c r="F251" s="54">
        <f>D251*(($F$225)+1)+(IF(E251&lt;101,E251,IF(E251&lt;201,E251/2,IF(E251&lt;=301,E251/3,E251/4))))</f>
        <v>1800.0583379999998</v>
      </c>
      <c r="G251" s="129"/>
      <c r="H251" s="130"/>
      <c r="I251" s="38"/>
      <c r="L251" s="56"/>
      <c r="M251" s="56"/>
      <c r="N251" s="38"/>
    </row>
    <row r="252" spans="1:14" s="53" customFormat="1" ht="15.75" customHeight="1" x14ac:dyDescent="0.35">
      <c r="A252" s="122">
        <f t="shared" si="13"/>
        <v>4</v>
      </c>
      <c r="B252" s="123"/>
      <c r="C252" s="52">
        <v>3</v>
      </c>
      <c r="D252" s="59">
        <f>(139.62)*(10.764)</f>
        <v>1502.86968</v>
      </c>
      <c r="E252" s="54">
        <v>0</v>
      </c>
      <c r="F252" s="54">
        <f>D252*(($F$225)+1)+(IF(E252&lt;101,E252,IF(E252&lt;201,E252/2,IF(E252&lt;=301,E252/3,E252/4))))</f>
        <v>2329.4480040000003</v>
      </c>
      <c r="G252" s="131"/>
      <c r="H252" s="132"/>
      <c r="I252" s="38"/>
      <c r="L252" s="56"/>
      <c r="M252" s="56"/>
      <c r="N252" s="38"/>
    </row>
    <row r="253" spans="1:14" s="53" customFormat="1" x14ac:dyDescent="0.35">
      <c r="A253" s="139" t="s">
        <v>275</v>
      </c>
      <c r="B253" s="139"/>
      <c r="C253" s="139"/>
      <c r="D253" s="139"/>
      <c r="E253" s="139"/>
      <c r="F253" s="139"/>
      <c r="G253" s="139"/>
      <c r="H253" s="139"/>
      <c r="J253" s="38"/>
    </row>
    <row r="254" spans="1:14" s="53" customFormat="1" ht="15.75" customHeight="1" x14ac:dyDescent="0.35">
      <c r="A254" s="145">
        <v>1</v>
      </c>
      <c r="B254" s="145"/>
      <c r="C254" s="52">
        <v>3</v>
      </c>
      <c r="D254" s="59">
        <f>(139.62)*(10.764)</f>
        <v>1502.86968</v>
      </c>
      <c r="E254" s="84">
        <v>0</v>
      </c>
      <c r="F254" s="84">
        <f>D254*(($F$225)+1)+(IF(E254&lt;101,E254,IF(E254&lt;201,E254/2,IF(E254&lt;=301,E254/3,E254/4))))</f>
        <v>2329.4480040000003</v>
      </c>
      <c r="G254" s="145" t="str">
        <f>A253</f>
        <v>7th Floor</v>
      </c>
      <c r="H254" s="145"/>
      <c r="I254" s="38"/>
      <c r="L254" s="56"/>
      <c r="M254" s="56"/>
      <c r="N254" s="38"/>
    </row>
    <row r="255" spans="1:14" s="53" customFormat="1" ht="15.75" customHeight="1" x14ac:dyDescent="0.35">
      <c r="A255" s="145">
        <f t="shared" ref="A255:A257" si="14">A254+1</f>
        <v>2</v>
      </c>
      <c r="B255" s="145"/>
      <c r="C255" s="52">
        <v>3</v>
      </c>
      <c r="D255" s="59">
        <f>(107.89)*(10.764)</f>
        <v>1161.3279599999998</v>
      </c>
      <c r="E255" s="84">
        <v>0</v>
      </c>
      <c r="F255" s="84">
        <f>D255*(($F$225)+1)+(IF(E255&lt;101,E255,IF(E255&lt;201,E255/2,IF(E255&lt;=301,E255/3,E255/4))))</f>
        <v>1800.0583379999998</v>
      </c>
      <c r="G255" s="145"/>
      <c r="H255" s="145"/>
      <c r="I255" s="38"/>
      <c r="L255" s="56"/>
      <c r="M255" s="56"/>
      <c r="N255" s="38"/>
    </row>
    <row r="256" spans="1:14" s="53" customFormat="1" ht="15.75" customHeight="1" x14ac:dyDescent="0.35">
      <c r="A256" s="145">
        <f t="shared" si="14"/>
        <v>3</v>
      </c>
      <c r="B256" s="145"/>
      <c r="C256" s="52">
        <v>3</v>
      </c>
      <c r="D256" s="59">
        <f>(107.89)*(10.764)</f>
        <v>1161.3279599999998</v>
      </c>
      <c r="E256" s="84">
        <v>0</v>
      </c>
      <c r="F256" s="84">
        <f>D256*(($F$225)+1)+(IF(E256&lt;101,E256,IF(E256&lt;201,E256/2,IF(E256&lt;=301,E256/3,E256/4))))</f>
        <v>1800.0583379999998</v>
      </c>
      <c r="G256" s="145"/>
      <c r="H256" s="145"/>
      <c r="I256" s="38"/>
      <c r="L256" s="56"/>
      <c r="M256" s="56"/>
      <c r="N256" s="38"/>
    </row>
    <row r="257" spans="1:14" s="53" customFormat="1" ht="15.75" customHeight="1" x14ac:dyDescent="0.35">
      <c r="A257" s="145">
        <f t="shared" si="14"/>
        <v>4</v>
      </c>
      <c r="B257" s="145"/>
      <c r="C257" s="52">
        <v>3</v>
      </c>
      <c r="D257" s="59">
        <f>(139.62)*(10.764)</f>
        <v>1502.86968</v>
      </c>
      <c r="E257" s="84">
        <v>0</v>
      </c>
      <c r="F257" s="84">
        <f>D257*(($F$225)+1)+(IF(E257&lt;101,E257,IF(E257&lt;201,E257/2,IF(E257&lt;=301,E257/3,E257/4))))</f>
        <v>2329.4480040000003</v>
      </c>
      <c r="G257" s="145"/>
      <c r="H257" s="145"/>
      <c r="I257" s="38"/>
      <c r="L257" s="56"/>
      <c r="M257" s="56"/>
      <c r="N257" s="38"/>
    </row>
    <row r="258" spans="1:14" s="53" customFormat="1" x14ac:dyDescent="0.35">
      <c r="A258" s="124" t="s">
        <v>204</v>
      </c>
      <c r="B258" s="125"/>
      <c r="C258" s="125"/>
      <c r="D258" s="125"/>
      <c r="E258" s="125"/>
      <c r="F258" s="125"/>
      <c r="G258" s="125"/>
      <c r="H258" s="126"/>
      <c r="I258" s="53">
        <v>1</v>
      </c>
      <c r="J258" s="38"/>
    </row>
    <row r="259" spans="1:14" s="53" customFormat="1" ht="15.75" customHeight="1" x14ac:dyDescent="0.35">
      <c r="A259" s="122">
        <v>1</v>
      </c>
      <c r="B259" s="123"/>
      <c r="C259" s="141" t="s">
        <v>203</v>
      </c>
      <c r="D259" s="142"/>
      <c r="E259" s="142"/>
      <c r="F259" s="143"/>
      <c r="G259" s="127" t="str">
        <f>A258</f>
        <v>8th Floor (Part Refuge Area)</v>
      </c>
      <c r="H259" s="128"/>
      <c r="I259" s="38"/>
      <c r="L259" s="56"/>
      <c r="M259" s="56"/>
      <c r="N259" s="38"/>
    </row>
    <row r="260" spans="1:14" s="53" customFormat="1" ht="15.75" customHeight="1" x14ac:dyDescent="0.35">
      <c r="A260" s="122">
        <f t="shared" ref="A260:A262" si="15">A259+1</f>
        <v>2</v>
      </c>
      <c r="B260" s="123"/>
      <c r="C260" s="52">
        <v>4</v>
      </c>
      <c r="D260" s="59">
        <f>(137.29)*(10.764)</f>
        <v>1477.7895599999999</v>
      </c>
      <c r="E260" s="54">
        <v>0</v>
      </c>
      <c r="F260" s="54">
        <f>D260*(($F$225)+1)+(IF(E260&lt;101,E260,IF(E260&lt;201,E260/2,IF(E260&lt;=301,E260/3,E260/4))))</f>
        <v>2290.5738179999998</v>
      </c>
      <c r="G260" s="129"/>
      <c r="H260" s="130"/>
      <c r="I260" s="38"/>
      <c r="L260" s="56"/>
      <c r="M260" s="56"/>
      <c r="N260" s="38"/>
    </row>
    <row r="261" spans="1:14" s="53" customFormat="1" ht="15.75" customHeight="1" x14ac:dyDescent="0.35">
      <c r="A261" s="122">
        <f t="shared" si="15"/>
        <v>3</v>
      </c>
      <c r="B261" s="123"/>
      <c r="C261" s="52">
        <v>4</v>
      </c>
      <c r="D261" s="59">
        <f>(137.29)*(10.764)</f>
        <v>1477.7895599999999</v>
      </c>
      <c r="E261" s="54">
        <v>0</v>
      </c>
      <c r="F261" s="54">
        <f>D261*(($F$225)+1)+(IF(E261&lt;101,E261,IF(E261&lt;201,E261/2,IF(E261&lt;=301,E261/3,E261/4))))</f>
        <v>2290.5738179999998</v>
      </c>
      <c r="G261" s="129"/>
      <c r="H261" s="130"/>
      <c r="I261" s="38"/>
      <c r="L261" s="56"/>
      <c r="M261" s="56"/>
      <c r="N261" s="38"/>
    </row>
    <row r="262" spans="1:14" s="53" customFormat="1" ht="15.75" customHeight="1" x14ac:dyDescent="0.35">
      <c r="A262" s="122">
        <f t="shared" si="15"/>
        <v>4</v>
      </c>
      <c r="B262" s="123"/>
      <c r="C262" s="141" t="s">
        <v>203</v>
      </c>
      <c r="D262" s="142"/>
      <c r="E262" s="142"/>
      <c r="F262" s="143"/>
      <c r="G262" s="131"/>
      <c r="H262" s="132"/>
      <c r="I262" s="38"/>
      <c r="L262" s="56"/>
      <c r="M262" s="56"/>
      <c r="N262" s="38"/>
    </row>
    <row r="263" spans="1:14" s="71" customFormat="1" x14ac:dyDescent="0.35">
      <c r="A263" s="124" t="s">
        <v>277</v>
      </c>
      <c r="B263" s="125"/>
      <c r="C263" s="125"/>
      <c r="D263" s="125"/>
      <c r="E263" s="125"/>
      <c r="F263" s="125"/>
      <c r="G263" s="125"/>
      <c r="H263" s="126"/>
      <c r="I263" s="71">
        <v>1</v>
      </c>
      <c r="J263" s="38"/>
    </row>
    <row r="264" spans="1:14" s="71" customFormat="1" ht="15.75" customHeight="1" x14ac:dyDescent="0.35">
      <c r="A264" s="122">
        <v>1</v>
      </c>
      <c r="B264" s="123"/>
      <c r="C264" s="141" t="s">
        <v>276</v>
      </c>
      <c r="D264" s="142"/>
      <c r="E264" s="142"/>
      <c r="F264" s="143"/>
      <c r="G264" s="127" t="str">
        <f>A263</f>
        <v>9th Floor (Double Height Refuge Area on 8th Floor)</v>
      </c>
      <c r="H264" s="128"/>
      <c r="I264" s="38"/>
      <c r="L264" s="56"/>
      <c r="M264" s="56"/>
      <c r="N264" s="38"/>
    </row>
    <row r="265" spans="1:14" s="71" customFormat="1" ht="15.75" customHeight="1" x14ac:dyDescent="0.35">
      <c r="A265" s="122">
        <f t="shared" ref="A265:A267" si="16">A264+1</f>
        <v>2</v>
      </c>
      <c r="B265" s="123"/>
      <c r="C265" s="52">
        <v>4</v>
      </c>
      <c r="D265" s="59">
        <f>(137.29)*(10.764)</f>
        <v>1477.7895599999999</v>
      </c>
      <c r="E265" s="72">
        <v>0</v>
      </c>
      <c r="F265" s="72">
        <f>D265*(($F$225)+1)+(IF(E265&lt;101,E265,IF(E265&lt;201,E265/2,IF(E265&lt;=301,E265/3,E265/4))))</f>
        <v>2290.5738179999998</v>
      </c>
      <c r="G265" s="129"/>
      <c r="H265" s="130"/>
      <c r="I265" s="38"/>
      <c r="L265" s="56"/>
      <c r="M265" s="56"/>
      <c r="N265" s="38"/>
    </row>
    <row r="266" spans="1:14" s="71" customFormat="1" ht="15.75" customHeight="1" x14ac:dyDescent="0.35">
      <c r="A266" s="122">
        <f t="shared" si="16"/>
        <v>3</v>
      </c>
      <c r="B266" s="123"/>
      <c r="C266" s="52">
        <v>4</v>
      </c>
      <c r="D266" s="59">
        <f>(137.29)*(10.764)</f>
        <v>1477.7895599999999</v>
      </c>
      <c r="E266" s="72">
        <v>0</v>
      </c>
      <c r="F266" s="72">
        <f>D266*(($F$225)+1)+(IF(E266&lt;101,E266,IF(E266&lt;201,E266/2,IF(E266&lt;=301,E266/3,E266/4))))</f>
        <v>2290.5738179999998</v>
      </c>
      <c r="G266" s="129"/>
      <c r="H266" s="130"/>
      <c r="I266" s="38"/>
      <c r="L266" s="56"/>
      <c r="M266" s="56"/>
      <c r="N266" s="38"/>
    </row>
    <row r="267" spans="1:14" s="71" customFormat="1" ht="15.75" customHeight="1" x14ac:dyDescent="0.35">
      <c r="A267" s="122">
        <f t="shared" si="16"/>
        <v>4</v>
      </c>
      <c r="B267" s="123"/>
      <c r="C267" s="141" t="s">
        <v>276</v>
      </c>
      <c r="D267" s="142"/>
      <c r="E267" s="142"/>
      <c r="F267" s="143"/>
      <c r="G267" s="131"/>
      <c r="H267" s="132"/>
      <c r="I267" s="38"/>
      <c r="L267" s="56"/>
      <c r="M267" s="56"/>
      <c r="N267" s="38"/>
    </row>
    <row r="268" spans="1:14" s="53" customFormat="1" x14ac:dyDescent="0.35">
      <c r="A268" s="124" t="s">
        <v>279</v>
      </c>
      <c r="B268" s="125"/>
      <c r="C268" s="125"/>
      <c r="D268" s="125"/>
      <c r="E268" s="125"/>
      <c r="F268" s="125"/>
      <c r="G268" s="125"/>
      <c r="H268" s="126"/>
      <c r="I268" s="53">
        <f>4+3</f>
        <v>7</v>
      </c>
      <c r="J268" s="38"/>
    </row>
    <row r="269" spans="1:14" s="53" customFormat="1" ht="15.75" customHeight="1" x14ac:dyDescent="0.35">
      <c r="A269" s="122">
        <v>1</v>
      </c>
      <c r="B269" s="123"/>
      <c r="C269" s="52">
        <v>3</v>
      </c>
      <c r="D269" s="59">
        <f>(139.62)*(10.764)</f>
        <v>1502.86968</v>
      </c>
      <c r="E269" s="54">
        <v>0</v>
      </c>
      <c r="F269" s="54">
        <f>D269*(($F$225)+1)+(IF(E269&lt;101,E269,IF(E269&lt;201,E269/2,IF(E269&lt;=301,E269/3,E269/4))))</f>
        <v>2329.4480040000003</v>
      </c>
      <c r="G269" s="127" t="str">
        <f>A268</f>
        <v>10th to 14th, 17th to 19th Floor</v>
      </c>
      <c r="H269" s="128"/>
      <c r="I269" s="38"/>
      <c r="L269" s="56"/>
      <c r="M269" s="56"/>
      <c r="N269" s="38"/>
    </row>
    <row r="270" spans="1:14" s="53" customFormat="1" ht="15.75" customHeight="1" x14ac:dyDescent="0.35">
      <c r="A270" s="122">
        <f t="shared" ref="A270:A272" si="17">A269+1</f>
        <v>2</v>
      </c>
      <c r="B270" s="123"/>
      <c r="C270" s="52">
        <v>3</v>
      </c>
      <c r="D270" s="59">
        <f>(107.89)*(10.764)</f>
        <v>1161.3279599999998</v>
      </c>
      <c r="E270" s="54">
        <v>0</v>
      </c>
      <c r="F270" s="54">
        <f>D270*(($F$225)+1)+(IF(E270&lt;101,E270,IF(E270&lt;201,E270/2,IF(E270&lt;=301,E270/3,E270/4))))</f>
        <v>1800.0583379999998</v>
      </c>
      <c r="G270" s="129"/>
      <c r="H270" s="130"/>
      <c r="I270" s="38"/>
      <c r="L270" s="56"/>
      <c r="M270" s="56"/>
      <c r="N270" s="38"/>
    </row>
    <row r="271" spans="1:14" s="53" customFormat="1" ht="15.75" customHeight="1" x14ac:dyDescent="0.35">
      <c r="A271" s="122">
        <f t="shared" si="17"/>
        <v>3</v>
      </c>
      <c r="B271" s="123"/>
      <c r="C271" s="52">
        <v>3</v>
      </c>
      <c r="D271" s="59">
        <f>(107.89)*(10.764)</f>
        <v>1161.3279599999998</v>
      </c>
      <c r="E271" s="54">
        <v>0</v>
      </c>
      <c r="F271" s="54">
        <f>D271*(($F$225)+1)+(IF(E271&lt;101,E271,IF(E271&lt;201,E271/2,IF(E271&lt;=301,E271/3,E271/4))))</f>
        <v>1800.0583379999998</v>
      </c>
      <c r="G271" s="129"/>
      <c r="H271" s="130"/>
      <c r="I271" s="38"/>
      <c r="L271" s="56"/>
      <c r="M271" s="56"/>
      <c r="N271" s="38"/>
    </row>
    <row r="272" spans="1:14" s="53" customFormat="1" ht="15.75" customHeight="1" x14ac:dyDescent="0.35">
      <c r="A272" s="122">
        <f t="shared" si="17"/>
        <v>4</v>
      </c>
      <c r="B272" s="123"/>
      <c r="C272" s="52">
        <v>3</v>
      </c>
      <c r="D272" s="59">
        <f>(139.62)*(10.764)</f>
        <v>1502.86968</v>
      </c>
      <c r="E272" s="54">
        <v>0</v>
      </c>
      <c r="F272" s="54">
        <f>D272*(($F$225)+1)+(IF(E272&lt;101,E272,IF(E272&lt;201,E272/2,IF(E272&lt;=301,E272/3,E272/4))))</f>
        <v>2329.4480040000003</v>
      </c>
      <c r="G272" s="131"/>
      <c r="H272" s="132"/>
      <c r="I272" s="38"/>
      <c r="L272" s="56"/>
      <c r="M272" s="56"/>
      <c r="N272" s="38"/>
    </row>
    <row r="273" spans="1:14" s="53" customFormat="1" x14ac:dyDescent="0.35">
      <c r="A273" s="124" t="s">
        <v>220</v>
      </c>
      <c r="B273" s="125"/>
      <c r="C273" s="125"/>
      <c r="D273" s="125"/>
      <c r="E273" s="125"/>
      <c r="F273" s="125"/>
      <c r="G273" s="125"/>
      <c r="H273" s="126"/>
      <c r="I273" s="53">
        <v>1</v>
      </c>
      <c r="J273" s="38"/>
    </row>
    <row r="274" spans="1:14" s="53" customFormat="1" ht="15.75" customHeight="1" x14ac:dyDescent="0.35">
      <c r="A274" s="122">
        <v>1</v>
      </c>
      <c r="B274" s="123"/>
      <c r="C274" s="52">
        <v>4</v>
      </c>
      <c r="D274" s="59">
        <f>(176.55)*(10.764)</f>
        <v>1900.3842</v>
      </c>
      <c r="E274" s="54">
        <v>0</v>
      </c>
      <c r="F274" s="54">
        <f>D274*(($F$225)+1)+(IF(E274&lt;101,E274,IF(E274&lt;201,E274/2,IF(E274&lt;=301,E274/3,E274/4))))</f>
        <v>2945.5955100000001</v>
      </c>
      <c r="G274" s="127" t="str">
        <f>A273</f>
        <v>15th Floor (Part Refuge Area)</v>
      </c>
      <c r="H274" s="128"/>
      <c r="I274" s="74">
        <f>160.42+16.13</f>
        <v>176.54999999999998</v>
      </c>
      <c r="L274" s="56"/>
      <c r="M274" s="56"/>
      <c r="N274" s="38"/>
    </row>
    <row r="275" spans="1:14" s="53" customFormat="1" ht="15.75" customHeight="1" x14ac:dyDescent="0.35">
      <c r="A275" s="122">
        <f t="shared" ref="A275:A277" si="18">A274+1</f>
        <v>2</v>
      </c>
      <c r="B275" s="123"/>
      <c r="C275" s="133" t="s">
        <v>202</v>
      </c>
      <c r="D275" s="134"/>
      <c r="E275" s="134"/>
      <c r="F275" s="135"/>
      <c r="G275" s="129"/>
      <c r="H275" s="130"/>
      <c r="I275" s="38"/>
      <c r="L275" s="56"/>
      <c r="M275" s="56"/>
      <c r="N275" s="38"/>
    </row>
    <row r="276" spans="1:14" s="53" customFormat="1" ht="15.75" customHeight="1" x14ac:dyDescent="0.35">
      <c r="A276" s="122">
        <f t="shared" si="18"/>
        <v>3</v>
      </c>
      <c r="B276" s="123"/>
      <c r="C276" s="136"/>
      <c r="D276" s="137"/>
      <c r="E276" s="137"/>
      <c r="F276" s="138"/>
      <c r="G276" s="129"/>
      <c r="H276" s="130"/>
      <c r="I276" s="38"/>
      <c r="L276" s="56"/>
      <c r="M276" s="56"/>
      <c r="N276" s="38"/>
    </row>
    <row r="277" spans="1:14" s="53" customFormat="1" ht="15.75" customHeight="1" x14ac:dyDescent="0.35">
      <c r="A277" s="122">
        <f t="shared" si="18"/>
        <v>4</v>
      </c>
      <c r="B277" s="123"/>
      <c r="C277" s="52">
        <v>4</v>
      </c>
      <c r="D277" s="59">
        <f>(176.55)*(10.764)</f>
        <v>1900.3842</v>
      </c>
      <c r="E277" s="54">
        <v>0</v>
      </c>
      <c r="F277" s="54">
        <f>D277*(($F$225)+1)+(IF(E277&lt;101,E277,IF(E277&lt;201,E277/2,IF(E277&lt;=301,E277/3,E277/4))))</f>
        <v>2945.5955100000001</v>
      </c>
      <c r="G277" s="131"/>
      <c r="H277" s="132"/>
      <c r="I277" s="38"/>
      <c r="L277" s="56"/>
      <c r="M277" s="56"/>
      <c r="N277" s="38"/>
    </row>
    <row r="278" spans="1:14" s="53" customFormat="1" x14ac:dyDescent="0.35">
      <c r="A278" s="139" t="s">
        <v>281</v>
      </c>
      <c r="B278" s="139"/>
      <c r="C278" s="139"/>
      <c r="D278" s="139"/>
      <c r="E278" s="139"/>
      <c r="F278" s="139"/>
      <c r="G278" s="139"/>
      <c r="H278" s="139"/>
      <c r="I278" s="53">
        <v>1</v>
      </c>
      <c r="J278" s="38"/>
    </row>
    <row r="279" spans="1:14" s="53" customFormat="1" ht="15.75" customHeight="1" x14ac:dyDescent="0.35">
      <c r="A279" s="145">
        <v>1</v>
      </c>
      <c r="B279" s="145"/>
      <c r="C279" s="90">
        <v>3</v>
      </c>
      <c r="D279" s="59">
        <f>(142.7)*(10.764)</f>
        <v>1536.0227999999997</v>
      </c>
      <c r="E279" s="89">
        <v>0</v>
      </c>
      <c r="F279" s="89">
        <f>D279*(($F$225)+1)+(IF(E279&lt;101,E279,IF(E279&lt;201,E279/2,IF(E279&lt;=301,E279/3,E279/4))))</f>
        <v>2380.8353399999996</v>
      </c>
      <c r="G279" s="145" t="str">
        <f>A278</f>
        <v>16th Floor</v>
      </c>
      <c r="H279" s="145"/>
      <c r="I279" s="38"/>
      <c r="L279" s="56"/>
      <c r="M279" s="56"/>
      <c r="N279" s="38"/>
    </row>
    <row r="280" spans="1:14" s="53" customFormat="1" ht="15.75" customHeight="1" x14ac:dyDescent="0.35">
      <c r="A280" s="145">
        <f t="shared" ref="A280:A282" si="19">A279+1</f>
        <v>2</v>
      </c>
      <c r="B280" s="145"/>
      <c r="C280" s="90">
        <v>3</v>
      </c>
      <c r="D280" s="59">
        <f>(107.89)*(10.764)</f>
        <v>1161.3279599999998</v>
      </c>
      <c r="E280" s="89">
        <v>0</v>
      </c>
      <c r="F280" s="89">
        <f>D280*(($F$225)+1)+(IF(E280&lt;101,E280,IF(E280&lt;201,E280/2,IF(E280&lt;=301,E280/3,E280/4))))</f>
        <v>1800.0583379999998</v>
      </c>
      <c r="G280" s="145"/>
      <c r="H280" s="145"/>
      <c r="I280" s="38"/>
      <c r="L280" s="56"/>
      <c r="M280" s="56"/>
      <c r="N280" s="38"/>
    </row>
    <row r="281" spans="1:14" s="53" customFormat="1" ht="15.75" customHeight="1" x14ac:dyDescent="0.35">
      <c r="A281" s="145">
        <f t="shared" si="19"/>
        <v>3</v>
      </c>
      <c r="B281" s="145"/>
      <c r="C281" s="90">
        <v>3</v>
      </c>
      <c r="D281" s="59">
        <f>(107.89)*(10.764)</f>
        <v>1161.3279599999998</v>
      </c>
      <c r="E281" s="89">
        <v>0</v>
      </c>
      <c r="F281" s="89">
        <f>D281*(($F$225)+1)+(IF(E281&lt;101,E281,IF(E281&lt;201,E281/2,IF(E281&lt;=301,E281/3,E281/4))))</f>
        <v>1800.0583379999998</v>
      </c>
      <c r="G281" s="145"/>
      <c r="H281" s="145"/>
      <c r="I281" s="38"/>
      <c r="L281" s="56"/>
      <c r="M281" s="56"/>
      <c r="N281" s="38"/>
    </row>
    <row r="282" spans="1:14" s="53" customFormat="1" ht="15.75" customHeight="1" x14ac:dyDescent="0.35">
      <c r="A282" s="145">
        <f t="shared" si="19"/>
        <v>4</v>
      </c>
      <c r="B282" s="145"/>
      <c r="C282" s="90">
        <v>3</v>
      </c>
      <c r="D282" s="59">
        <f>(142.7)*(10.764)</f>
        <v>1536.0227999999997</v>
      </c>
      <c r="E282" s="89">
        <v>0</v>
      </c>
      <c r="F282" s="89">
        <f>D282*(($F$225)+1)+(IF(E282&lt;101,E282,IF(E282&lt;201,E282/2,IF(E282&lt;=301,E282/3,E282/4))))</f>
        <v>2380.8353399999996</v>
      </c>
      <c r="G282" s="145"/>
      <c r="H282" s="145"/>
      <c r="I282" s="38"/>
      <c r="L282" s="56"/>
      <c r="M282" s="56"/>
      <c r="N282" s="38"/>
    </row>
    <row r="283" spans="1:14" s="53" customFormat="1" x14ac:dyDescent="0.35">
      <c r="A283" s="139" t="s">
        <v>280</v>
      </c>
      <c r="B283" s="139"/>
      <c r="C283" s="139"/>
      <c r="D283" s="139"/>
      <c r="E283" s="139"/>
      <c r="F283" s="139"/>
      <c r="G283" s="139"/>
      <c r="H283" s="139"/>
      <c r="I283" s="53">
        <v>3</v>
      </c>
      <c r="J283" s="38"/>
    </row>
    <row r="284" spans="1:14" s="53" customFormat="1" ht="15.75" customHeight="1" x14ac:dyDescent="0.35">
      <c r="A284" s="145">
        <v>1</v>
      </c>
      <c r="B284" s="145"/>
      <c r="C284" s="90">
        <v>3</v>
      </c>
      <c r="D284" s="59">
        <f>(139.62)*(10.764)</f>
        <v>1502.86968</v>
      </c>
      <c r="E284" s="89">
        <v>0</v>
      </c>
      <c r="F284" s="89">
        <f>D284*(($F$225)+1)+(IF(E284&lt;101,E284,IF(E284&lt;201,E284/2,IF(E284&lt;=301,E284/3,E284/4))))</f>
        <v>2329.4480040000003</v>
      </c>
      <c r="G284" s="145" t="str">
        <f>A283</f>
        <v>20th, 21st &amp; 24th Floor</v>
      </c>
      <c r="H284" s="145"/>
      <c r="I284" s="38"/>
      <c r="L284" s="56"/>
      <c r="M284" s="56"/>
      <c r="N284" s="38"/>
    </row>
    <row r="285" spans="1:14" s="53" customFormat="1" ht="15.75" customHeight="1" x14ac:dyDescent="0.35">
      <c r="A285" s="145">
        <f t="shared" ref="A285:A287" si="20">A284+1</f>
        <v>2</v>
      </c>
      <c r="B285" s="145"/>
      <c r="C285" s="90">
        <v>3</v>
      </c>
      <c r="D285" s="59">
        <f>(107.89)*(10.764)</f>
        <v>1161.3279599999998</v>
      </c>
      <c r="E285" s="89">
        <v>0</v>
      </c>
      <c r="F285" s="89">
        <f>D285*(($F$225)+1)+(IF(E285&lt;101,E285,IF(E285&lt;201,E285/2,IF(E285&lt;=301,E285/3,E285/4))))</f>
        <v>1800.0583379999998</v>
      </c>
      <c r="G285" s="145"/>
      <c r="H285" s="145"/>
      <c r="I285" s="38"/>
      <c r="L285" s="56"/>
      <c r="M285" s="56"/>
      <c r="N285" s="38"/>
    </row>
    <row r="286" spans="1:14" s="53" customFormat="1" ht="15.75" customHeight="1" x14ac:dyDescent="0.35">
      <c r="A286" s="145">
        <f t="shared" si="20"/>
        <v>3</v>
      </c>
      <c r="B286" s="145"/>
      <c r="C286" s="90">
        <v>3</v>
      </c>
      <c r="D286" s="59">
        <f>(107.89)*(10.764)</f>
        <v>1161.3279599999998</v>
      </c>
      <c r="E286" s="89">
        <v>0</v>
      </c>
      <c r="F286" s="89">
        <f>D286*(($F$225)+1)+(IF(E286&lt;101,E286,IF(E286&lt;201,E286/2,IF(E286&lt;=301,E286/3,E286/4))))</f>
        <v>1800.0583379999998</v>
      </c>
      <c r="G286" s="145"/>
      <c r="H286" s="145"/>
      <c r="I286" s="38"/>
      <c r="L286" s="56"/>
      <c r="M286" s="56"/>
      <c r="N286" s="38"/>
    </row>
    <row r="287" spans="1:14" s="53" customFormat="1" ht="15.75" customHeight="1" x14ac:dyDescent="0.35">
      <c r="A287" s="145">
        <f t="shared" si="20"/>
        <v>4</v>
      </c>
      <c r="B287" s="145"/>
      <c r="C287" s="90">
        <v>3</v>
      </c>
      <c r="D287" s="59">
        <f>(139.62)*(10.764)</f>
        <v>1502.86968</v>
      </c>
      <c r="E287" s="89">
        <v>0</v>
      </c>
      <c r="F287" s="89">
        <f>D287*(($F$225)+1)+(IF(E287&lt;101,E287,IF(E287&lt;201,E287/2,IF(E287&lt;=301,E287/3,E287/4))))</f>
        <v>2329.4480040000003</v>
      </c>
      <c r="G287" s="145"/>
      <c r="H287" s="145"/>
      <c r="I287" s="38"/>
      <c r="L287" s="56"/>
      <c r="M287" s="56"/>
      <c r="N287" s="38"/>
    </row>
    <row r="288" spans="1:14" s="53" customFormat="1" x14ac:dyDescent="0.35">
      <c r="A288" s="139" t="s">
        <v>221</v>
      </c>
      <c r="B288" s="139"/>
      <c r="C288" s="139"/>
      <c r="D288" s="139"/>
      <c r="E288" s="139"/>
      <c r="F288" s="139"/>
      <c r="G288" s="139"/>
      <c r="H288" s="139"/>
      <c r="I288" s="53">
        <v>1</v>
      </c>
      <c r="J288" s="38"/>
    </row>
    <row r="289" spans="1:14" s="53" customFormat="1" ht="15.75" customHeight="1" x14ac:dyDescent="0.35">
      <c r="A289" s="145">
        <v>1</v>
      </c>
      <c r="B289" s="145"/>
      <c r="C289" s="90" t="s">
        <v>283</v>
      </c>
      <c r="D289" s="59">
        <f>(142.7)*(10.764)</f>
        <v>1536.0227999999997</v>
      </c>
      <c r="E289" s="89">
        <v>0</v>
      </c>
      <c r="F289" s="89">
        <f>D289*(($F$225)+1)+(IF(E289&lt;101,E289,IF(E289&lt;201,E289/2,IF(E289&lt;=301,E289/3,E289/4))))</f>
        <v>2380.8353399999996</v>
      </c>
      <c r="G289" s="145" t="str">
        <f>A288</f>
        <v>22nd Floor (Part Refuge Area)</v>
      </c>
      <c r="H289" s="145"/>
      <c r="I289" s="38"/>
      <c r="L289" s="56"/>
      <c r="M289" s="56"/>
      <c r="N289" s="38"/>
    </row>
    <row r="290" spans="1:14" s="53" customFormat="1" ht="15.75" customHeight="1" x14ac:dyDescent="0.35">
      <c r="A290" s="145">
        <f t="shared" ref="A290:A291" si="21">A289+1</f>
        <v>2</v>
      </c>
      <c r="B290" s="145"/>
      <c r="C290" s="90" t="s">
        <v>283</v>
      </c>
      <c r="D290" s="59">
        <f>(107.9)*(10.764)</f>
        <v>1161.4356</v>
      </c>
      <c r="E290" s="89">
        <v>0</v>
      </c>
      <c r="F290" s="89">
        <f>D290*(($F$225)+1)+(IF(E290&lt;101,E290,IF(E290&lt;201,E290/2,IF(E290&lt;=301,E290/3,E290/4))))</f>
        <v>1800.2251800000001</v>
      </c>
      <c r="G290" s="145"/>
      <c r="H290" s="145"/>
      <c r="I290" s="38"/>
      <c r="L290" s="56"/>
      <c r="M290" s="56"/>
      <c r="N290" s="38"/>
    </row>
    <row r="291" spans="1:14" s="53" customFormat="1" ht="15.75" customHeight="1" x14ac:dyDescent="0.35">
      <c r="A291" s="145">
        <f t="shared" si="21"/>
        <v>3</v>
      </c>
      <c r="B291" s="145"/>
      <c r="C291" s="90">
        <v>2</v>
      </c>
      <c r="D291" s="59">
        <f>(81.52)*(10.764)</f>
        <v>877.48127999999986</v>
      </c>
      <c r="E291" s="89">
        <v>0</v>
      </c>
      <c r="F291" s="89">
        <f>D291*(($F$225)+1)+(IF(E291&lt;101,E291,IF(E291&lt;201,E291/2,IF(E291&lt;=301,E291/3,E291/4))))</f>
        <v>1360.0959839999998</v>
      </c>
      <c r="G291" s="145"/>
      <c r="H291" s="145"/>
      <c r="I291" s="73">
        <f>74.13+7.39</f>
        <v>81.52</v>
      </c>
      <c r="L291" s="56"/>
      <c r="M291" s="56"/>
      <c r="N291" s="38"/>
    </row>
    <row r="292" spans="1:14" s="71" customFormat="1" ht="15.75" customHeight="1" x14ac:dyDescent="0.35">
      <c r="A292" s="145" t="s">
        <v>282</v>
      </c>
      <c r="B292" s="145"/>
      <c r="C292" s="149" t="s">
        <v>202</v>
      </c>
      <c r="D292" s="149"/>
      <c r="E292" s="149"/>
      <c r="F292" s="149"/>
      <c r="G292" s="145"/>
      <c r="H292" s="145"/>
      <c r="I292" s="38"/>
      <c r="L292" s="56"/>
      <c r="M292" s="56"/>
      <c r="N292" s="38"/>
    </row>
    <row r="293" spans="1:14" s="53" customFormat="1" ht="15.75" customHeight="1" x14ac:dyDescent="0.35">
      <c r="A293" s="145">
        <f>A291+1</f>
        <v>4</v>
      </c>
      <c r="B293" s="145"/>
      <c r="C293" s="90">
        <v>2</v>
      </c>
      <c r="D293" s="59">
        <f>(102.19)*(10.764)</f>
        <v>1099.97316</v>
      </c>
      <c r="E293" s="89">
        <v>0</v>
      </c>
      <c r="F293" s="89">
        <f>D293*(($F$225)+1)+(IF(E293&lt;101,E293,IF(E293&lt;201,E293/2,IF(E293&lt;=301,E293/3,E293/4))))</f>
        <v>1704.958398</v>
      </c>
      <c r="G293" s="145"/>
      <c r="H293" s="145"/>
      <c r="I293" s="38"/>
      <c r="L293" s="56"/>
      <c r="M293" s="56"/>
      <c r="N293" s="38"/>
    </row>
    <row r="294" spans="1:14" s="53" customFormat="1" hidden="1" x14ac:dyDescent="0.35">
      <c r="A294" s="124" t="s">
        <v>278</v>
      </c>
      <c r="B294" s="125"/>
      <c r="C294" s="125"/>
      <c r="D294" s="125"/>
      <c r="E294" s="125"/>
      <c r="F294" s="125"/>
      <c r="G294" s="125"/>
      <c r="H294" s="126"/>
      <c r="J294" s="38"/>
    </row>
    <row r="295" spans="1:14" s="53" customFormat="1" ht="15.75" hidden="1" customHeight="1" x14ac:dyDescent="0.35">
      <c r="A295" s="122">
        <v>1</v>
      </c>
      <c r="B295" s="123"/>
      <c r="C295" s="52">
        <v>3</v>
      </c>
      <c r="D295" s="59">
        <f>(139.62)*(10.764)</f>
        <v>1502.86968</v>
      </c>
      <c r="E295" s="54">
        <v>0</v>
      </c>
      <c r="F295" s="54">
        <f>D295*(($F$225)+1)+(IF(E295&lt;101,E295,IF(E295&lt;201,E295/2,IF(E295&lt;=301,E295/3,E295/4))))</f>
        <v>2329.4480040000003</v>
      </c>
      <c r="G295" s="127" t="str">
        <f>A294</f>
        <v>11th, 12th, 17th &amp; 18th Floor</v>
      </c>
      <c r="H295" s="128"/>
      <c r="I295" s="38"/>
      <c r="L295" s="56"/>
      <c r="M295" s="56"/>
      <c r="N295" s="38"/>
    </row>
    <row r="296" spans="1:14" s="53" customFormat="1" ht="15.75" hidden="1" customHeight="1" x14ac:dyDescent="0.35">
      <c r="A296" s="122">
        <f t="shared" ref="A296:A298" si="22">A295+1</f>
        <v>2</v>
      </c>
      <c r="B296" s="123"/>
      <c r="C296" s="52">
        <v>3</v>
      </c>
      <c r="D296" s="59">
        <f>(107.89)*(10.764)</f>
        <v>1161.3279599999998</v>
      </c>
      <c r="E296" s="54">
        <v>0</v>
      </c>
      <c r="F296" s="54">
        <f>D296*(($F$225)+1)+(IF(E296&lt;101,E296,IF(E296&lt;201,E296/2,IF(E296&lt;=301,E296/3,E296/4))))</f>
        <v>1800.0583379999998</v>
      </c>
      <c r="G296" s="129"/>
      <c r="H296" s="130"/>
      <c r="I296" s="38"/>
      <c r="L296" s="56"/>
      <c r="M296" s="56"/>
      <c r="N296" s="38"/>
    </row>
    <row r="297" spans="1:14" s="53" customFormat="1" ht="15.75" hidden="1" customHeight="1" x14ac:dyDescent="0.35">
      <c r="A297" s="122">
        <f t="shared" si="22"/>
        <v>3</v>
      </c>
      <c r="B297" s="123"/>
      <c r="C297" s="52">
        <v>3</v>
      </c>
      <c r="D297" s="59">
        <f>(107.89)*(10.764)</f>
        <v>1161.3279599999998</v>
      </c>
      <c r="E297" s="54">
        <v>0</v>
      </c>
      <c r="F297" s="54">
        <f>D297*(($F$225)+1)+(IF(E297&lt;101,E297,IF(E297&lt;201,E297/2,IF(E297&lt;=301,E297/3,E297/4))))</f>
        <v>1800.0583379999998</v>
      </c>
      <c r="G297" s="129"/>
      <c r="H297" s="130"/>
      <c r="I297" s="38"/>
      <c r="L297" s="56"/>
      <c r="M297" s="56"/>
      <c r="N297" s="38"/>
    </row>
    <row r="298" spans="1:14" s="53" customFormat="1" ht="15.75" hidden="1" customHeight="1" x14ac:dyDescent="0.35">
      <c r="A298" s="122">
        <f t="shared" si="22"/>
        <v>4</v>
      </c>
      <c r="B298" s="123"/>
      <c r="C298" s="52">
        <v>3</v>
      </c>
      <c r="D298" s="59">
        <f>(139.62)*(10.764)</f>
        <v>1502.86968</v>
      </c>
      <c r="E298" s="54">
        <v>0</v>
      </c>
      <c r="F298" s="54">
        <f>D298*(($F$225)+1)+(IF(E298&lt;101,E298,IF(E298&lt;201,E298/2,IF(E298&lt;=301,E298/3,E298/4))))</f>
        <v>2329.4480040000003</v>
      </c>
      <c r="G298" s="131"/>
      <c r="H298" s="132"/>
      <c r="I298" s="38"/>
      <c r="L298" s="56"/>
      <c r="M298" s="56"/>
      <c r="N298" s="38"/>
    </row>
    <row r="299" spans="1:14" s="53" customFormat="1" hidden="1" x14ac:dyDescent="0.35">
      <c r="A299" s="124" t="s">
        <v>210</v>
      </c>
      <c r="B299" s="125"/>
      <c r="C299" s="125"/>
      <c r="D299" s="125"/>
      <c r="E299" s="125"/>
      <c r="F299" s="125"/>
      <c r="G299" s="125"/>
      <c r="H299" s="126"/>
      <c r="J299" s="38"/>
    </row>
    <row r="300" spans="1:14" s="53" customFormat="1" ht="15.75" hidden="1" customHeight="1" x14ac:dyDescent="0.35">
      <c r="A300" s="122">
        <v>1</v>
      </c>
      <c r="B300" s="123"/>
      <c r="C300" s="52">
        <v>3</v>
      </c>
      <c r="D300" s="59">
        <f>(139.62)*(10.764)</f>
        <v>1502.86968</v>
      </c>
      <c r="E300" s="54">
        <v>0</v>
      </c>
      <c r="F300" s="54">
        <f>D300*(($F$225)+1)+(IF(E300&lt;101,E300,IF(E300&lt;201,E300/2,IF(E300&lt;=301,E300/3,E300/4))))</f>
        <v>2329.4480040000003</v>
      </c>
      <c r="G300" s="127" t="str">
        <f>A299</f>
        <v>22nd Floor</v>
      </c>
      <c r="H300" s="128"/>
      <c r="I300" s="38"/>
      <c r="L300" s="56"/>
      <c r="M300" s="56"/>
      <c r="N300" s="38"/>
    </row>
    <row r="301" spans="1:14" s="53" customFormat="1" ht="15.75" hidden="1" customHeight="1" x14ac:dyDescent="0.35">
      <c r="A301" s="122">
        <f t="shared" ref="A301:A303" si="23">A300+1</f>
        <v>2</v>
      </c>
      <c r="B301" s="123"/>
      <c r="C301" s="52">
        <v>3</v>
      </c>
      <c r="D301" s="59">
        <f>(107.89)*(10.764)</f>
        <v>1161.3279599999998</v>
      </c>
      <c r="E301" s="54">
        <v>0</v>
      </c>
      <c r="F301" s="54">
        <f>D301*(($F$225)+1)+(IF(E301&lt;101,E301,IF(E301&lt;201,E301/2,IF(E301&lt;=301,E301/3,E301/4))))</f>
        <v>1800.0583379999998</v>
      </c>
      <c r="G301" s="129"/>
      <c r="H301" s="130"/>
      <c r="I301" s="38"/>
      <c r="L301" s="56"/>
      <c r="M301" s="56"/>
      <c r="N301" s="38"/>
    </row>
    <row r="302" spans="1:14" s="53" customFormat="1" ht="15.75" hidden="1" customHeight="1" x14ac:dyDescent="0.35">
      <c r="A302" s="122">
        <f t="shared" si="23"/>
        <v>3</v>
      </c>
      <c r="B302" s="123"/>
      <c r="C302" s="52">
        <v>3</v>
      </c>
      <c r="D302" s="59">
        <f>(107.89)*(10.764)</f>
        <v>1161.3279599999998</v>
      </c>
      <c r="E302" s="54">
        <v>0</v>
      </c>
      <c r="F302" s="54">
        <f>D302*(($F$225)+1)+(IF(E302&lt;101,E302,IF(E302&lt;201,E302/2,IF(E302&lt;=301,E302/3,E302/4))))</f>
        <v>1800.0583379999998</v>
      </c>
      <c r="G302" s="129"/>
      <c r="H302" s="130"/>
      <c r="I302" s="38"/>
      <c r="L302" s="56"/>
      <c r="M302" s="56"/>
      <c r="N302" s="38"/>
    </row>
    <row r="303" spans="1:14" s="53" customFormat="1" ht="15.75" hidden="1" customHeight="1" x14ac:dyDescent="0.35">
      <c r="A303" s="122">
        <f t="shared" si="23"/>
        <v>4</v>
      </c>
      <c r="B303" s="123"/>
      <c r="C303" s="52">
        <v>3</v>
      </c>
      <c r="D303" s="59">
        <f>(139.62)*(10.764)</f>
        <v>1502.86968</v>
      </c>
      <c r="E303" s="54">
        <v>0</v>
      </c>
      <c r="F303" s="54">
        <f>D303*(($F$225)+1)+(IF(E303&lt;101,E303,IF(E303&lt;201,E303/2,IF(E303&lt;=301,E303/3,E303/4))))</f>
        <v>2329.4480040000003</v>
      </c>
      <c r="G303" s="131"/>
      <c r="H303" s="132"/>
      <c r="I303" s="38"/>
      <c r="L303" s="56"/>
      <c r="M303" s="56"/>
      <c r="N303" s="38"/>
    </row>
    <row r="304" spans="1:14" s="71" customFormat="1" x14ac:dyDescent="0.35">
      <c r="A304" s="124" t="s">
        <v>286</v>
      </c>
      <c r="B304" s="125"/>
      <c r="C304" s="125"/>
      <c r="D304" s="125"/>
      <c r="E304" s="125"/>
      <c r="F304" s="125"/>
      <c r="G304" s="125"/>
      <c r="H304" s="126"/>
      <c r="I304" s="71">
        <v>3</v>
      </c>
      <c r="J304" s="38"/>
    </row>
    <row r="305" spans="1:14" s="71" customFormat="1" ht="15.75" customHeight="1" x14ac:dyDescent="0.35">
      <c r="A305" s="122">
        <v>1</v>
      </c>
      <c r="B305" s="123"/>
      <c r="C305" s="52">
        <v>3</v>
      </c>
      <c r="D305" s="59">
        <f>(139.62)*(10.764)</f>
        <v>1502.86968</v>
      </c>
      <c r="E305" s="72">
        <v>0</v>
      </c>
      <c r="F305" s="72">
        <f>D305*(($F$225)+1)+(IF(E305&lt;101,E305,IF(E305&lt;201,E305/2,IF(E305&lt;=301,E305/3,E305/4))))</f>
        <v>2329.4480040000003</v>
      </c>
      <c r="G305" s="127" t="str">
        <f>A304</f>
        <v>23rd Floor</v>
      </c>
      <c r="H305" s="128"/>
      <c r="I305" s="38"/>
      <c r="L305" s="56"/>
      <c r="M305" s="56"/>
      <c r="N305" s="38"/>
    </row>
    <row r="306" spans="1:14" s="71" customFormat="1" ht="15.75" customHeight="1" x14ac:dyDescent="0.35">
      <c r="A306" s="122">
        <f t="shared" ref="A306:A308" si="24">A305+1</f>
        <v>2</v>
      </c>
      <c r="B306" s="123"/>
      <c r="C306" s="52">
        <v>3</v>
      </c>
      <c r="D306" s="59">
        <f>(107.89)*(10.764)</f>
        <v>1161.3279599999998</v>
      </c>
      <c r="E306" s="72">
        <v>0</v>
      </c>
      <c r="F306" s="72">
        <f>D306*(($F$225)+1)+(IF(E306&lt;101,E306,IF(E306&lt;201,E306/2,IF(E306&lt;=301,E306/3,E306/4))))</f>
        <v>1800.0583379999998</v>
      </c>
      <c r="G306" s="129"/>
      <c r="H306" s="130"/>
      <c r="I306" s="38"/>
      <c r="L306" s="56"/>
      <c r="M306" s="56"/>
      <c r="N306" s="38"/>
    </row>
    <row r="307" spans="1:14" s="71" customFormat="1" ht="15.75" customHeight="1" x14ac:dyDescent="0.35">
      <c r="A307" s="122">
        <f t="shared" si="24"/>
        <v>3</v>
      </c>
      <c r="B307" s="123"/>
      <c r="C307" s="52">
        <v>3</v>
      </c>
      <c r="D307" s="59">
        <f>(107.89)*(10.764)</f>
        <v>1161.3279599999998</v>
      </c>
      <c r="E307" s="72">
        <v>0</v>
      </c>
      <c r="F307" s="72">
        <f>D307*(($F$225)+1)+(IF(E307&lt;101,E307,IF(E307&lt;201,E307/2,IF(E307&lt;=301,E307/3,E307/4))))</f>
        <v>1800.0583379999998</v>
      </c>
      <c r="G307" s="129"/>
      <c r="H307" s="130"/>
      <c r="I307" s="38"/>
      <c r="L307" s="56"/>
      <c r="M307" s="56"/>
      <c r="N307" s="38"/>
    </row>
    <row r="308" spans="1:14" s="71" customFormat="1" ht="15.75" customHeight="1" x14ac:dyDescent="0.35">
      <c r="A308" s="122">
        <f t="shared" si="24"/>
        <v>4</v>
      </c>
      <c r="B308" s="123"/>
      <c r="C308" s="52">
        <v>3</v>
      </c>
      <c r="D308" s="59">
        <f>(139.62)*(10.764)</f>
        <v>1502.86968</v>
      </c>
      <c r="E308" s="72">
        <v>0</v>
      </c>
      <c r="F308" s="72">
        <f>D308*(($F$225)+1)+(IF(E308&lt;101,E308,IF(E308&lt;201,E308/2,IF(E308&lt;=301,E308/3,E308/4))))</f>
        <v>2329.4480040000003</v>
      </c>
      <c r="G308" s="131"/>
      <c r="H308" s="132"/>
      <c r="I308" s="38"/>
      <c r="L308" s="56"/>
      <c r="M308" s="56"/>
      <c r="N308" s="38"/>
    </row>
    <row r="309" spans="1:14" s="53" customFormat="1" x14ac:dyDescent="0.35">
      <c r="A309" s="124" t="s">
        <v>212</v>
      </c>
      <c r="B309" s="125"/>
      <c r="C309" s="125"/>
      <c r="D309" s="125"/>
      <c r="E309" s="125"/>
      <c r="F309" s="125"/>
      <c r="G309" s="125"/>
      <c r="H309" s="126"/>
      <c r="I309" s="53">
        <v>1</v>
      </c>
      <c r="J309" s="38"/>
    </row>
    <row r="310" spans="1:14" s="53" customFormat="1" x14ac:dyDescent="0.35">
      <c r="A310" s="146" t="s">
        <v>213</v>
      </c>
      <c r="B310" s="147"/>
      <c r="C310" s="147"/>
      <c r="D310" s="147"/>
      <c r="E310" s="147"/>
      <c r="F310" s="147"/>
      <c r="G310" s="147"/>
      <c r="H310" s="148"/>
      <c r="J310" s="38"/>
    </row>
    <row r="311" spans="1:14" s="62" customFormat="1" x14ac:dyDescent="0.35">
      <c r="A311" s="139" t="s">
        <v>248</v>
      </c>
      <c r="B311" s="139"/>
      <c r="C311" s="139"/>
      <c r="D311" s="139"/>
      <c r="E311" s="139"/>
      <c r="F311" s="139"/>
      <c r="G311" s="139"/>
      <c r="H311" s="139"/>
      <c r="J311" s="38"/>
    </row>
    <row r="312" spans="1:14" s="57" customFormat="1" x14ac:dyDescent="0.35">
      <c r="A312" s="139" t="s">
        <v>228</v>
      </c>
      <c r="B312" s="139"/>
      <c r="C312" s="139"/>
      <c r="D312" s="139"/>
      <c r="E312" s="139"/>
      <c r="F312" s="139"/>
      <c r="G312" s="139"/>
      <c r="H312" s="139"/>
      <c r="J312" s="38"/>
      <c r="L312" s="57" t="s">
        <v>193</v>
      </c>
    </row>
    <row r="313" spans="1:14" s="53" customFormat="1" x14ac:dyDescent="0.35">
      <c r="A313" s="139" t="s">
        <v>196</v>
      </c>
      <c r="B313" s="139"/>
      <c r="C313" s="139"/>
      <c r="D313" s="139"/>
      <c r="E313" s="139"/>
      <c r="F313" s="139"/>
      <c r="G313" s="139"/>
      <c r="H313" s="139"/>
      <c r="J313" s="38"/>
      <c r="L313" s="53" t="s">
        <v>193</v>
      </c>
    </row>
    <row r="314" spans="1:14" s="53" customFormat="1" ht="15.75" customHeight="1" x14ac:dyDescent="0.35">
      <c r="A314" s="145">
        <v>1</v>
      </c>
      <c r="B314" s="145"/>
      <c r="C314" s="52">
        <v>3</v>
      </c>
      <c r="D314" s="59">
        <f>(139.62)*(10.764)</f>
        <v>1502.86968</v>
      </c>
      <c r="E314" s="84">
        <v>0</v>
      </c>
      <c r="F314" s="84">
        <f>D314*(($F$225)+1)+(IF(E314&lt;101,E314,IF(E314&lt;201,E314/2,IF(E314&lt;=301,E314/3,E314/4))))</f>
        <v>2329.4480040000003</v>
      </c>
      <c r="G314" s="145" t="str">
        <f>A313</f>
        <v>2nd Floor For Residential</v>
      </c>
      <c r="H314" s="145"/>
      <c r="I314" s="38"/>
      <c r="L314" s="56">
        <f>1.625*2+4.775*2.67+1.815*0.87+1.715*1.06+1.525*2.59+3.17*4.28+3.8*6.395+3.59*4.275+2.59*1.525+1.05*1.625+1.15*1.67+3.65*2.77+3.52*4.15+1.525*2.44+2*1.35+1.625*1.05+2*1.35</f>
        <v>119.68405000000001</v>
      </c>
      <c r="M314" s="56">
        <f>7*1.275+2.59*1.57</f>
        <v>12.991299999999999</v>
      </c>
      <c r="N314" s="38"/>
    </row>
    <row r="315" spans="1:14" s="53" customFormat="1" ht="15.75" customHeight="1" x14ac:dyDescent="0.35">
      <c r="A315" s="145">
        <f t="shared" ref="A315:A317" si="25">A314+1</f>
        <v>2</v>
      </c>
      <c r="B315" s="145"/>
      <c r="C315" s="52">
        <v>3</v>
      </c>
      <c r="D315" s="59">
        <f>(107.89)*(10.764)</f>
        <v>1161.3279599999998</v>
      </c>
      <c r="E315" s="84">
        <v>0</v>
      </c>
      <c r="F315" s="84">
        <f>D315*(($F$225)+1)+(IF(E315&lt;101,E315,IF(E315&lt;201,E315/2,IF(E315&lt;=301,E315/3,E315/4))))</f>
        <v>1800.0583379999998</v>
      </c>
      <c r="G315" s="145"/>
      <c r="H315" s="145"/>
      <c r="I315" s="38"/>
      <c r="L315" s="56"/>
      <c r="M315" s="56">
        <f>L314+M314</f>
        <v>132.67535000000001</v>
      </c>
      <c r="N315" s="38"/>
    </row>
    <row r="316" spans="1:14" s="53" customFormat="1" ht="15.75" customHeight="1" x14ac:dyDescent="0.35">
      <c r="A316" s="145">
        <f t="shared" si="25"/>
        <v>3</v>
      </c>
      <c r="B316" s="145"/>
      <c r="C316" s="52">
        <v>3</v>
      </c>
      <c r="D316" s="59">
        <f>(107.89)*(10.764)</f>
        <v>1161.3279599999998</v>
      </c>
      <c r="E316" s="84">
        <v>0</v>
      </c>
      <c r="F316" s="84">
        <f>D316*(($F$225)+1)+(IF(E316&lt;101,E316,IF(E316&lt;201,E316/2,IF(E316&lt;=301,E316/3,E316/4))))</f>
        <v>1800.0583379999998</v>
      </c>
      <c r="G316" s="145"/>
      <c r="H316" s="145"/>
      <c r="I316" s="38"/>
      <c r="L316" s="56"/>
      <c r="M316" s="56"/>
      <c r="N316" s="38"/>
    </row>
    <row r="317" spans="1:14" s="53" customFormat="1" ht="15.75" customHeight="1" x14ac:dyDescent="0.35">
      <c r="A317" s="145">
        <f t="shared" si="25"/>
        <v>4</v>
      </c>
      <c r="B317" s="145"/>
      <c r="C317" s="52">
        <v>3</v>
      </c>
      <c r="D317" s="59">
        <f>(139.62)*(10.764)</f>
        <v>1502.86968</v>
      </c>
      <c r="E317" s="84">
        <v>0</v>
      </c>
      <c r="F317" s="84">
        <f>D317*(($F$225)+1)+(IF(E317&lt;101,E317,IF(E317&lt;201,E317/2,IF(E317&lt;=301,E317/3,E317/4))))</f>
        <v>2329.4480040000003</v>
      </c>
      <c r="G317" s="145"/>
      <c r="H317" s="145"/>
      <c r="I317" s="38"/>
      <c r="L317" s="56"/>
      <c r="M317" s="56"/>
      <c r="N317" s="38"/>
    </row>
    <row r="318" spans="1:14" s="53" customFormat="1" x14ac:dyDescent="0.35">
      <c r="A318" s="124" t="s">
        <v>197</v>
      </c>
      <c r="B318" s="125"/>
      <c r="C318" s="125"/>
      <c r="D318" s="125"/>
      <c r="E318" s="125"/>
      <c r="F318" s="125"/>
      <c r="G318" s="125"/>
      <c r="H318" s="126"/>
      <c r="J318" s="38"/>
    </row>
    <row r="319" spans="1:14" s="53" customFormat="1" ht="15.75" customHeight="1" x14ac:dyDescent="0.35">
      <c r="A319" s="122">
        <v>1</v>
      </c>
      <c r="B319" s="123"/>
      <c r="C319" s="52">
        <v>3</v>
      </c>
      <c r="D319" s="59">
        <f>(139.62)*(10.764)</f>
        <v>1502.86968</v>
      </c>
      <c r="E319" s="54">
        <v>0</v>
      </c>
      <c r="F319" s="54">
        <f>D319*(($F$225)+1)+(IF(E319&lt;101,E319,IF(E319&lt;201,E319/2,IF(E319&lt;=301,E319/3,E319/4))))</f>
        <v>2329.4480040000003</v>
      </c>
      <c r="G319" s="127" t="str">
        <f>A318</f>
        <v>3rd Floor</v>
      </c>
      <c r="H319" s="128"/>
      <c r="I319" s="38"/>
      <c r="L319" s="56"/>
      <c r="M319" s="56"/>
      <c r="N319" s="38"/>
    </row>
    <row r="320" spans="1:14" s="53" customFormat="1" ht="15.75" customHeight="1" x14ac:dyDescent="0.35">
      <c r="A320" s="122">
        <f t="shared" ref="A320:A322" si="26">A319+1</f>
        <v>2</v>
      </c>
      <c r="B320" s="123"/>
      <c r="C320" s="52">
        <v>3</v>
      </c>
      <c r="D320" s="59">
        <f>(107.89)*(10.764)</f>
        <v>1161.3279599999998</v>
      </c>
      <c r="E320" s="54">
        <v>0</v>
      </c>
      <c r="F320" s="54">
        <f>D320*(($F$225)+1)+(IF(E320&lt;101,E320,IF(E320&lt;201,E320/2,IF(E320&lt;=301,E320/3,E320/4))))</f>
        <v>1800.0583379999998</v>
      </c>
      <c r="G320" s="129"/>
      <c r="H320" s="130"/>
      <c r="I320" s="38"/>
      <c r="L320" s="56"/>
      <c r="M320" s="56"/>
      <c r="N320" s="38"/>
    </row>
    <row r="321" spans="1:14" s="53" customFormat="1" ht="15.75" customHeight="1" x14ac:dyDescent="0.35">
      <c r="A321" s="122">
        <f t="shared" si="26"/>
        <v>3</v>
      </c>
      <c r="B321" s="123"/>
      <c r="C321" s="52">
        <v>3</v>
      </c>
      <c r="D321" s="59">
        <f>(107.89)*(10.764)</f>
        <v>1161.3279599999998</v>
      </c>
      <c r="E321" s="54">
        <v>0</v>
      </c>
      <c r="F321" s="54">
        <f>D321*(($F$225)+1)+(IF(E321&lt;101,E321,IF(E321&lt;201,E321/2,IF(E321&lt;=301,E321/3,E321/4))))</f>
        <v>1800.0583379999998</v>
      </c>
      <c r="G321" s="129"/>
      <c r="H321" s="130"/>
      <c r="I321" s="38"/>
      <c r="L321" s="56"/>
      <c r="M321" s="56"/>
      <c r="N321" s="38"/>
    </row>
    <row r="322" spans="1:14" s="53" customFormat="1" ht="15.75" customHeight="1" x14ac:dyDescent="0.35">
      <c r="A322" s="122">
        <f t="shared" si="26"/>
        <v>4</v>
      </c>
      <c r="B322" s="123"/>
      <c r="C322" s="52">
        <v>3</v>
      </c>
      <c r="D322" s="59">
        <f>(139.62)*(10.764)</f>
        <v>1502.86968</v>
      </c>
      <c r="E322" s="54">
        <v>0</v>
      </c>
      <c r="F322" s="54">
        <f>D322*(($F$225)+1)+(IF(E322&lt;101,E322,IF(E322&lt;201,E322/2,IF(E322&lt;=301,E322/3,E322/4))))</f>
        <v>2329.4480040000003</v>
      </c>
      <c r="G322" s="131"/>
      <c r="H322" s="132"/>
      <c r="I322" s="38"/>
      <c r="L322" s="56"/>
      <c r="M322" s="56"/>
      <c r="N322" s="38"/>
    </row>
    <row r="323" spans="1:14" s="53" customFormat="1" x14ac:dyDescent="0.35">
      <c r="A323" s="124" t="s">
        <v>198</v>
      </c>
      <c r="B323" s="125"/>
      <c r="C323" s="125"/>
      <c r="D323" s="125"/>
      <c r="E323" s="125"/>
      <c r="F323" s="125"/>
      <c r="G323" s="125"/>
      <c r="H323" s="126"/>
      <c r="J323" s="38"/>
    </row>
    <row r="324" spans="1:14" s="53" customFormat="1" ht="15.75" customHeight="1" x14ac:dyDescent="0.35">
      <c r="A324" s="122">
        <v>1</v>
      </c>
      <c r="B324" s="123"/>
      <c r="C324" s="52">
        <v>3</v>
      </c>
      <c r="D324" s="59">
        <f>(139.62)*(10.764)</f>
        <v>1502.86968</v>
      </c>
      <c r="E324" s="54">
        <v>0</v>
      </c>
      <c r="F324" s="54">
        <f>D324*(($F$225)+1)+(IF(E324&lt;101,E324,IF(E324&lt;201,E324/2,IF(E324&lt;=301,E324/3,E324/4))))</f>
        <v>2329.4480040000003</v>
      </c>
      <c r="G324" s="127" t="str">
        <f>A323</f>
        <v>4th Floor</v>
      </c>
      <c r="H324" s="128"/>
      <c r="I324" s="38"/>
      <c r="L324" s="56"/>
      <c r="M324" s="56"/>
      <c r="N324" s="38"/>
    </row>
    <row r="325" spans="1:14" s="53" customFormat="1" ht="15.75" customHeight="1" x14ac:dyDescent="0.35">
      <c r="A325" s="122">
        <f t="shared" ref="A325:A327" si="27">A324+1</f>
        <v>2</v>
      </c>
      <c r="B325" s="123"/>
      <c r="C325" s="52">
        <v>3</v>
      </c>
      <c r="D325" s="59">
        <f>(107.89)*(10.764)</f>
        <v>1161.3279599999998</v>
      </c>
      <c r="E325" s="54">
        <v>0</v>
      </c>
      <c r="F325" s="54">
        <f>D325*(($F$225)+1)+(IF(E325&lt;101,E325,IF(E325&lt;201,E325/2,IF(E325&lt;=301,E325/3,E325/4))))</f>
        <v>1800.0583379999998</v>
      </c>
      <c r="G325" s="129"/>
      <c r="H325" s="130"/>
      <c r="I325" s="38"/>
      <c r="L325" s="56"/>
      <c r="M325" s="56"/>
      <c r="N325" s="38"/>
    </row>
    <row r="326" spans="1:14" s="53" customFormat="1" ht="15.75" customHeight="1" x14ac:dyDescent="0.35">
      <c r="A326" s="122">
        <f t="shared" si="27"/>
        <v>3</v>
      </c>
      <c r="B326" s="123"/>
      <c r="C326" s="52">
        <v>3</v>
      </c>
      <c r="D326" s="59">
        <f>(107.89)*(10.764)</f>
        <v>1161.3279599999998</v>
      </c>
      <c r="E326" s="54">
        <v>0</v>
      </c>
      <c r="F326" s="54">
        <f>D326*(($F$225)+1)+(IF(E326&lt;101,E326,IF(E326&lt;201,E326/2,IF(E326&lt;=301,E326/3,E326/4))))</f>
        <v>1800.0583379999998</v>
      </c>
      <c r="G326" s="129"/>
      <c r="H326" s="130"/>
      <c r="I326" s="38"/>
      <c r="L326" s="56"/>
      <c r="M326" s="56"/>
      <c r="N326" s="38"/>
    </row>
    <row r="327" spans="1:14" s="53" customFormat="1" ht="15.75" customHeight="1" x14ac:dyDescent="0.35">
      <c r="A327" s="122">
        <f t="shared" si="27"/>
        <v>4</v>
      </c>
      <c r="B327" s="123"/>
      <c r="C327" s="52">
        <v>3</v>
      </c>
      <c r="D327" s="59">
        <f>(139.62)*(10.764)</f>
        <v>1502.86968</v>
      </c>
      <c r="E327" s="54">
        <v>0</v>
      </c>
      <c r="F327" s="54">
        <f>D327*(($F$225)+1)+(IF(E327&lt;101,E327,IF(E327&lt;201,E327/2,IF(E327&lt;=301,E327/3,E327/4))))</f>
        <v>2329.4480040000003</v>
      </c>
      <c r="G327" s="131"/>
      <c r="H327" s="132"/>
      <c r="I327" s="38"/>
      <c r="L327" s="56"/>
      <c r="M327" s="56"/>
      <c r="N327" s="38"/>
    </row>
    <row r="328" spans="1:14" s="53" customFormat="1" x14ac:dyDescent="0.35">
      <c r="A328" s="124" t="s">
        <v>199</v>
      </c>
      <c r="B328" s="125"/>
      <c r="C328" s="125"/>
      <c r="D328" s="125"/>
      <c r="E328" s="125"/>
      <c r="F328" s="125"/>
      <c r="G328" s="125"/>
      <c r="H328" s="126"/>
      <c r="J328" s="38"/>
    </row>
    <row r="329" spans="1:14" s="53" customFormat="1" ht="15.75" customHeight="1" x14ac:dyDescent="0.35">
      <c r="A329" s="122">
        <v>1</v>
      </c>
      <c r="B329" s="123"/>
      <c r="C329" s="52">
        <v>3</v>
      </c>
      <c r="D329" s="59">
        <f>(139.62)*(10.764)</f>
        <v>1502.86968</v>
      </c>
      <c r="E329" s="54">
        <v>0</v>
      </c>
      <c r="F329" s="54">
        <f>D329*(($F$225)+1)+(IF(E329&lt;101,E329,IF(E329&lt;201,E329/2,IF(E329&lt;=301,E329/3,E329/4))))</f>
        <v>2329.4480040000003</v>
      </c>
      <c r="G329" s="127" t="str">
        <f>A328</f>
        <v>5th Floor</v>
      </c>
      <c r="H329" s="128"/>
      <c r="I329" s="38"/>
      <c r="L329" s="56"/>
      <c r="M329" s="56"/>
      <c r="N329" s="38"/>
    </row>
    <row r="330" spans="1:14" s="53" customFormat="1" ht="15.75" customHeight="1" x14ac:dyDescent="0.35">
      <c r="A330" s="122">
        <f t="shared" ref="A330:A332" si="28">A329+1</f>
        <v>2</v>
      </c>
      <c r="B330" s="123"/>
      <c r="C330" s="52">
        <v>3</v>
      </c>
      <c r="D330" s="59">
        <f>(107.89)*(10.764)</f>
        <v>1161.3279599999998</v>
      </c>
      <c r="E330" s="54">
        <v>0</v>
      </c>
      <c r="F330" s="54">
        <f>D330*(($F$225)+1)+(IF(E330&lt;101,E330,IF(E330&lt;201,E330/2,IF(E330&lt;=301,E330/3,E330/4))))</f>
        <v>1800.0583379999998</v>
      </c>
      <c r="G330" s="129"/>
      <c r="H330" s="130"/>
      <c r="I330" s="38"/>
      <c r="L330" s="56"/>
      <c r="M330" s="56"/>
      <c r="N330" s="38"/>
    </row>
    <row r="331" spans="1:14" s="53" customFormat="1" ht="15.75" customHeight="1" x14ac:dyDescent="0.35">
      <c r="A331" s="122">
        <f t="shared" si="28"/>
        <v>3</v>
      </c>
      <c r="B331" s="123"/>
      <c r="C331" s="52">
        <v>3</v>
      </c>
      <c r="D331" s="59">
        <f>(107.89)*(10.764)</f>
        <v>1161.3279599999998</v>
      </c>
      <c r="E331" s="54">
        <v>0</v>
      </c>
      <c r="F331" s="54">
        <f>D331*(($F$225)+1)+(IF(E331&lt;101,E331,IF(E331&lt;201,E331/2,IF(E331&lt;=301,E331/3,E331/4))))</f>
        <v>1800.0583379999998</v>
      </c>
      <c r="G331" s="129"/>
      <c r="H331" s="130"/>
      <c r="I331" s="38"/>
      <c r="L331" s="56"/>
      <c r="M331" s="56"/>
      <c r="N331" s="38"/>
    </row>
    <row r="332" spans="1:14" s="53" customFormat="1" ht="15.75" customHeight="1" x14ac:dyDescent="0.35">
      <c r="A332" s="122">
        <f t="shared" si="28"/>
        <v>4</v>
      </c>
      <c r="B332" s="123"/>
      <c r="C332" s="52">
        <v>3</v>
      </c>
      <c r="D332" s="59">
        <f>(139.62)*(10.764)</f>
        <v>1502.86968</v>
      </c>
      <c r="E332" s="54">
        <v>0</v>
      </c>
      <c r="F332" s="54">
        <f>D332*(($F$225)+1)+(IF(E332&lt;101,E332,IF(E332&lt;201,E332/2,IF(E332&lt;=301,E332/3,E332/4))))</f>
        <v>2329.4480040000003</v>
      </c>
      <c r="G332" s="131"/>
      <c r="H332" s="132"/>
      <c r="I332" s="38"/>
      <c r="L332" s="56"/>
      <c r="M332" s="56"/>
      <c r="N332" s="38"/>
    </row>
    <row r="333" spans="1:14" s="53" customFormat="1" x14ac:dyDescent="0.35">
      <c r="A333" s="124" t="s">
        <v>200</v>
      </c>
      <c r="B333" s="125"/>
      <c r="C333" s="125"/>
      <c r="D333" s="125"/>
      <c r="E333" s="125"/>
      <c r="F333" s="125"/>
      <c r="G333" s="125"/>
      <c r="H333" s="126"/>
      <c r="J333" s="38"/>
    </row>
    <row r="334" spans="1:14" s="53" customFormat="1" ht="15.75" customHeight="1" x14ac:dyDescent="0.35">
      <c r="A334" s="122">
        <v>1</v>
      </c>
      <c r="B334" s="123"/>
      <c r="C334" s="52">
        <v>3</v>
      </c>
      <c r="D334" s="59">
        <f>(139.62)*(10.764)</f>
        <v>1502.86968</v>
      </c>
      <c r="E334" s="54">
        <v>0</v>
      </c>
      <c r="F334" s="54">
        <f>D334*(($F$225)+1)+(IF(E334&lt;101,E334,IF(E334&lt;201,E334/2,IF(E334&lt;=301,E334/3,E334/4))))</f>
        <v>2329.4480040000003</v>
      </c>
      <c r="G334" s="127" t="str">
        <f>A333</f>
        <v>6th Floor</v>
      </c>
      <c r="H334" s="128"/>
      <c r="I334" s="38"/>
      <c r="L334" s="56"/>
      <c r="M334" s="56"/>
      <c r="N334" s="38"/>
    </row>
    <row r="335" spans="1:14" s="53" customFormat="1" ht="15.75" customHeight="1" x14ac:dyDescent="0.35">
      <c r="A335" s="122">
        <f t="shared" ref="A335:A337" si="29">A334+1</f>
        <v>2</v>
      </c>
      <c r="B335" s="123"/>
      <c r="C335" s="52">
        <v>3</v>
      </c>
      <c r="D335" s="59">
        <f>(107.89)*(10.764)</f>
        <v>1161.3279599999998</v>
      </c>
      <c r="E335" s="54">
        <v>0</v>
      </c>
      <c r="F335" s="54">
        <f>D335*(($F$225)+1)+(IF(E335&lt;101,E335,IF(E335&lt;201,E335/2,IF(E335&lt;=301,E335/3,E335/4))))</f>
        <v>1800.0583379999998</v>
      </c>
      <c r="G335" s="129"/>
      <c r="H335" s="130"/>
      <c r="I335" s="38"/>
      <c r="L335" s="56"/>
      <c r="M335" s="56"/>
      <c r="N335" s="38"/>
    </row>
    <row r="336" spans="1:14" s="53" customFormat="1" ht="15.75" customHeight="1" x14ac:dyDescent="0.35">
      <c r="A336" s="122">
        <f t="shared" si="29"/>
        <v>3</v>
      </c>
      <c r="B336" s="123"/>
      <c r="C336" s="52">
        <v>3</v>
      </c>
      <c r="D336" s="59">
        <f>(107.89)*(10.764)</f>
        <v>1161.3279599999998</v>
      </c>
      <c r="E336" s="54">
        <v>0</v>
      </c>
      <c r="F336" s="54">
        <f>D336*(($F$225)+1)+(IF(E336&lt;101,E336,IF(E336&lt;201,E336/2,IF(E336&lt;=301,E336/3,E336/4))))</f>
        <v>1800.0583379999998</v>
      </c>
      <c r="G336" s="129"/>
      <c r="H336" s="130"/>
      <c r="I336" s="38"/>
      <c r="L336" s="56"/>
      <c r="M336" s="56"/>
      <c r="N336" s="38"/>
    </row>
    <row r="337" spans="1:14" s="53" customFormat="1" ht="15.75" customHeight="1" x14ac:dyDescent="0.35">
      <c r="A337" s="122">
        <f t="shared" si="29"/>
        <v>4</v>
      </c>
      <c r="B337" s="123"/>
      <c r="C337" s="52">
        <v>3</v>
      </c>
      <c r="D337" s="59">
        <f>(139.62)*(10.764)</f>
        <v>1502.86968</v>
      </c>
      <c r="E337" s="54">
        <v>0</v>
      </c>
      <c r="F337" s="54">
        <f>D337*(($F$225)+1)+(IF(E337&lt;101,E337,IF(E337&lt;201,E337/2,IF(E337&lt;=301,E337/3,E337/4))))</f>
        <v>2329.4480040000003</v>
      </c>
      <c r="G337" s="131"/>
      <c r="H337" s="132"/>
      <c r="I337" s="38"/>
      <c r="L337" s="56"/>
      <c r="M337" s="56"/>
      <c r="N337" s="38"/>
    </row>
    <row r="338" spans="1:14" s="53" customFormat="1" x14ac:dyDescent="0.35">
      <c r="A338" s="124" t="s">
        <v>275</v>
      </c>
      <c r="B338" s="125"/>
      <c r="C338" s="125"/>
      <c r="D338" s="125"/>
      <c r="E338" s="125"/>
      <c r="F338" s="125"/>
      <c r="G338" s="125"/>
      <c r="H338" s="126"/>
      <c r="J338" s="38"/>
    </row>
    <row r="339" spans="1:14" s="53" customFormat="1" ht="15.75" customHeight="1" x14ac:dyDescent="0.35">
      <c r="A339" s="122">
        <v>1</v>
      </c>
      <c r="B339" s="123"/>
      <c r="C339" s="52">
        <v>3</v>
      </c>
      <c r="D339" s="59">
        <f>(139.62)*(10.764)</f>
        <v>1502.86968</v>
      </c>
      <c r="E339" s="72">
        <v>0</v>
      </c>
      <c r="F339" s="72">
        <f>D339*(($F$225)+1)+(IF(E339&lt;101,E339,IF(E339&lt;201,E339/2,IF(E339&lt;=301,E339/3,E339/4))))</f>
        <v>2329.4480040000003</v>
      </c>
      <c r="G339" s="127" t="str">
        <f>A338</f>
        <v>7th Floor</v>
      </c>
      <c r="H339" s="128"/>
      <c r="I339" s="38"/>
      <c r="L339" s="56"/>
      <c r="M339" s="56"/>
      <c r="N339" s="38"/>
    </row>
    <row r="340" spans="1:14" s="53" customFormat="1" ht="15.75" customHeight="1" x14ac:dyDescent="0.35">
      <c r="A340" s="122">
        <f t="shared" ref="A340:A342" si="30">A339+1</f>
        <v>2</v>
      </c>
      <c r="B340" s="123"/>
      <c r="C340" s="52">
        <v>3</v>
      </c>
      <c r="D340" s="59">
        <f>(107.89)*(10.764)</f>
        <v>1161.3279599999998</v>
      </c>
      <c r="E340" s="72">
        <v>0</v>
      </c>
      <c r="F340" s="54">
        <f>D340*(($F$225)+1)+(IF(E340&lt;101,E340,IF(E340&lt;201,E340/2,IF(E340&lt;=301,E340/3,E340/4))))</f>
        <v>1800.0583379999998</v>
      </c>
      <c r="G340" s="129"/>
      <c r="H340" s="130"/>
      <c r="I340" s="38"/>
      <c r="L340" s="56"/>
      <c r="M340" s="56"/>
      <c r="N340" s="38"/>
    </row>
    <row r="341" spans="1:14" s="53" customFormat="1" ht="15.75" customHeight="1" x14ac:dyDescent="0.35">
      <c r="A341" s="122">
        <f t="shared" si="30"/>
        <v>3</v>
      </c>
      <c r="B341" s="123"/>
      <c r="C341" s="52">
        <v>3</v>
      </c>
      <c r="D341" s="59">
        <f>(107.89)*(10.764)</f>
        <v>1161.3279599999998</v>
      </c>
      <c r="E341" s="72">
        <v>0</v>
      </c>
      <c r="F341" s="54">
        <f>D341*(($F$225)+1)+(IF(E341&lt;101,E341,IF(E341&lt;201,E341/2,IF(E341&lt;=301,E341/3,E341/4))))</f>
        <v>1800.0583379999998</v>
      </c>
      <c r="G341" s="129"/>
      <c r="H341" s="130"/>
      <c r="I341" s="38"/>
      <c r="L341" s="56"/>
      <c r="M341" s="56"/>
      <c r="N341" s="38"/>
    </row>
    <row r="342" spans="1:14" s="53" customFormat="1" ht="15.75" customHeight="1" x14ac:dyDescent="0.35">
      <c r="A342" s="122">
        <f t="shared" si="30"/>
        <v>4</v>
      </c>
      <c r="B342" s="123"/>
      <c r="C342" s="52">
        <v>3</v>
      </c>
      <c r="D342" s="59">
        <f>(139.62)*(10.764)</f>
        <v>1502.86968</v>
      </c>
      <c r="E342" s="72">
        <v>0</v>
      </c>
      <c r="F342" s="54">
        <f>D342*(($F$225)+1)+(IF(E342&lt;101,E342,IF(E342&lt;201,E342/2,IF(E342&lt;=301,E342/3,E342/4))))</f>
        <v>2329.4480040000003</v>
      </c>
      <c r="G342" s="131"/>
      <c r="H342" s="132"/>
      <c r="I342" s="38"/>
      <c r="J342" s="53">
        <f>1.625*2+4.775*2.67+2*0.2+1.815*0.87+3.8*6.395+1.15*1.67+3.65*2.77+2.59*1.57+2.59*1.525+1.05*1.625+3.59*4.275+1.525*2.59+1.715*1.05+3.17*4.28+7*1.275</f>
        <v>107.62294999999997</v>
      </c>
      <c r="L342" s="56"/>
      <c r="M342" s="56"/>
      <c r="N342" s="38"/>
    </row>
    <row r="343" spans="1:14" s="53" customFormat="1" x14ac:dyDescent="0.35">
      <c r="A343" s="124" t="s">
        <v>204</v>
      </c>
      <c r="B343" s="125"/>
      <c r="C343" s="125"/>
      <c r="D343" s="125"/>
      <c r="E343" s="125"/>
      <c r="F343" s="125"/>
      <c r="G343" s="125"/>
      <c r="H343" s="126"/>
      <c r="J343" s="38"/>
    </row>
    <row r="344" spans="1:14" s="53" customFormat="1" ht="15.75" customHeight="1" x14ac:dyDescent="0.35">
      <c r="A344" s="122">
        <v>1</v>
      </c>
      <c r="B344" s="123"/>
      <c r="C344" s="141" t="s">
        <v>214</v>
      </c>
      <c r="D344" s="142"/>
      <c r="E344" s="142"/>
      <c r="F344" s="143"/>
      <c r="G344" s="127" t="str">
        <f>A343</f>
        <v>8th Floor (Part Refuge Area)</v>
      </c>
      <c r="H344" s="128"/>
      <c r="I344" s="38"/>
      <c r="L344" s="56"/>
      <c r="M344" s="56"/>
      <c r="N344" s="38"/>
    </row>
    <row r="345" spans="1:14" s="53" customFormat="1" ht="15.75" customHeight="1" x14ac:dyDescent="0.35">
      <c r="A345" s="122">
        <f t="shared" ref="A345:A347" si="31">A344+1</f>
        <v>2</v>
      </c>
      <c r="B345" s="123"/>
      <c r="C345" s="52">
        <v>4</v>
      </c>
      <c r="D345" s="59">
        <f>(137.29)*(10.764)</f>
        <v>1477.7895599999999</v>
      </c>
      <c r="E345" s="54">
        <v>0</v>
      </c>
      <c r="F345" s="54">
        <f>D345*(($F$225)+1)+(IF(E345&lt;101,E345,IF(E345&lt;201,E345/2,IF(E345&lt;=301,E345/3,E345/4))))</f>
        <v>2290.5738179999998</v>
      </c>
      <c r="G345" s="129"/>
      <c r="H345" s="130"/>
      <c r="I345" s="38"/>
      <c r="L345" s="56"/>
      <c r="M345" s="56"/>
      <c r="N345" s="38"/>
    </row>
    <row r="346" spans="1:14" s="53" customFormat="1" ht="15.75" customHeight="1" x14ac:dyDescent="0.35">
      <c r="A346" s="122">
        <f t="shared" si="31"/>
        <v>3</v>
      </c>
      <c r="B346" s="123"/>
      <c r="C346" s="52">
        <v>3</v>
      </c>
      <c r="D346" s="59">
        <f>(107.89)*(10.764)</f>
        <v>1161.3279599999998</v>
      </c>
      <c r="E346" s="54">
        <v>0</v>
      </c>
      <c r="F346" s="54">
        <f>D346*(($F$225)+1)+(IF(E346&lt;101,E346,IF(E346&lt;201,E346/2,IF(E346&lt;=301,E346/3,E346/4))))</f>
        <v>1800.0583379999998</v>
      </c>
      <c r="G346" s="129"/>
      <c r="H346" s="130"/>
      <c r="I346" s="38"/>
      <c r="L346" s="56"/>
      <c r="M346" s="56"/>
      <c r="N346" s="38"/>
    </row>
    <row r="347" spans="1:14" s="53" customFormat="1" ht="15.75" customHeight="1" x14ac:dyDescent="0.35">
      <c r="A347" s="122">
        <f t="shared" si="31"/>
        <v>4</v>
      </c>
      <c r="B347" s="123"/>
      <c r="C347" s="52">
        <v>3</v>
      </c>
      <c r="D347" s="59">
        <f>(113.38)*(10.764)</f>
        <v>1220.4223199999999</v>
      </c>
      <c r="E347" s="54">
        <v>0</v>
      </c>
      <c r="F347" s="54">
        <f>D347*(($F$225)+1)+(IF(E347&lt;101,E347,IF(E347&lt;201,E347/2,IF(E347&lt;=301,E347/3,E347/4))))</f>
        <v>1891.6545959999999</v>
      </c>
      <c r="G347" s="131"/>
      <c r="H347" s="132"/>
      <c r="I347" s="38"/>
      <c r="J347" s="53">
        <f>1.625*2+4.775*2.67+2*0.2+1.815*0.87+3.8*6.395+1.15*1.67+3.65*2.77+2.59*1.57+2.59*1.525+1.05*1.625+3.59*4.275+1.525*2.59+1.715*1.05+3.17*4.28+7*1.275</f>
        <v>107.62294999999997</v>
      </c>
      <c r="L347" s="56">
        <f>101.3+12.08</f>
        <v>113.38</v>
      </c>
      <c r="M347" s="56"/>
      <c r="N347" s="38"/>
    </row>
    <row r="348" spans="1:14" s="71" customFormat="1" x14ac:dyDescent="0.35">
      <c r="A348" s="124" t="s">
        <v>277</v>
      </c>
      <c r="B348" s="125"/>
      <c r="C348" s="125"/>
      <c r="D348" s="125"/>
      <c r="E348" s="125"/>
      <c r="F348" s="125"/>
      <c r="G348" s="125"/>
      <c r="H348" s="126"/>
      <c r="J348" s="38"/>
    </row>
    <row r="349" spans="1:14" s="71" customFormat="1" ht="15.75" customHeight="1" x14ac:dyDescent="0.35">
      <c r="A349" s="122">
        <v>1</v>
      </c>
      <c r="B349" s="123"/>
      <c r="C349" s="141" t="s">
        <v>214</v>
      </c>
      <c r="D349" s="142"/>
      <c r="E349" s="142"/>
      <c r="F349" s="143"/>
      <c r="G349" s="127" t="str">
        <f>A348</f>
        <v>9th Floor (Double Height Refuge Area on 8th Floor)</v>
      </c>
      <c r="H349" s="128"/>
      <c r="I349" s="38"/>
      <c r="L349" s="56"/>
      <c r="M349" s="56"/>
      <c r="N349" s="38"/>
    </row>
    <row r="350" spans="1:14" s="71" customFormat="1" ht="15.75" customHeight="1" x14ac:dyDescent="0.35">
      <c r="A350" s="122">
        <f t="shared" ref="A350:A352" si="32">A349+1</f>
        <v>2</v>
      </c>
      <c r="B350" s="123"/>
      <c r="C350" s="52" t="s">
        <v>284</v>
      </c>
      <c r="D350" s="59">
        <f>(137.29)*(10.764)</f>
        <v>1477.7895599999999</v>
      </c>
      <c r="E350" s="72">
        <v>0</v>
      </c>
      <c r="F350" s="72">
        <f>D350*(($F$225)+1)+(IF(E350&lt;101,E350,IF(E350&lt;201,E350/2,IF(E350&lt;=301,E350/3,E350/4))))</f>
        <v>2290.5738179999998</v>
      </c>
      <c r="G350" s="129"/>
      <c r="H350" s="130"/>
      <c r="I350" s="38"/>
      <c r="L350" s="56"/>
      <c r="M350" s="56"/>
      <c r="N350" s="38"/>
    </row>
    <row r="351" spans="1:14" s="71" customFormat="1" ht="15.75" customHeight="1" x14ac:dyDescent="0.35">
      <c r="A351" s="122">
        <f t="shared" si="32"/>
        <v>3</v>
      </c>
      <c r="B351" s="123"/>
      <c r="C351" s="52">
        <v>3</v>
      </c>
      <c r="D351" s="59">
        <f>(107.9)*(10.764)</f>
        <v>1161.4356</v>
      </c>
      <c r="E351" s="72">
        <v>0</v>
      </c>
      <c r="F351" s="72">
        <f>D351*(($F$225)+1)+(IF(E351&lt;101,E351,IF(E351&lt;201,E351/2,IF(E351&lt;=301,E351/3,E351/4))))</f>
        <v>1800.2251800000001</v>
      </c>
      <c r="G351" s="129"/>
      <c r="H351" s="130"/>
      <c r="I351" s="38"/>
      <c r="L351" s="56"/>
      <c r="M351" s="56"/>
      <c r="N351" s="38"/>
    </row>
    <row r="352" spans="1:14" s="71" customFormat="1" ht="15.75" customHeight="1" x14ac:dyDescent="0.35">
      <c r="A352" s="122">
        <f t="shared" si="32"/>
        <v>4</v>
      </c>
      <c r="B352" s="123"/>
      <c r="C352" s="52">
        <v>3</v>
      </c>
      <c r="D352" s="59">
        <f>(142.71)*(10.764)</f>
        <v>1536.1304399999999</v>
      </c>
      <c r="E352" s="72">
        <v>0</v>
      </c>
      <c r="F352" s="72">
        <f>D352*(($F$225)+1)+(IF(E352&lt;101,E352,IF(E352&lt;201,E352/2,IF(E352&lt;=301,E352/3,E352/4))))</f>
        <v>2381.0021819999997</v>
      </c>
      <c r="G352" s="131"/>
      <c r="H352" s="132"/>
      <c r="I352" s="73">
        <f>130.63+12.08</f>
        <v>142.71</v>
      </c>
      <c r="L352" s="56"/>
      <c r="M352" s="56"/>
      <c r="N352" s="38"/>
    </row>
    <row r="353" spans="1:14" s="53" customFormat="1" x14ac:dyDescent="0.35">
      <c r="A353" s="124" t="s">
        <v>285</v>
      </c>
      <c r="B353" s="125"/>
      <c r="C353" s="125"/>
      <c r="D353" s="125"/>
      <c r="E353" s="125"/>
      <c r="F353" s="125"/>
      <c r="G353" s="125"/>
      <c r="H353" s="126"/>
      <c r="J353" s="38"/>
    </row>
    <row r="354" spans="1:14" s="53" customFormat="1" ht="15.75" customHeight="1" x14ac:dyDescent="0.35">
      <c r="A354" s="145">
        <v>1</v>
      </c>
      <c r="B354" s="145"/>
      <c r="C354" s="52">
        <v>3</v>
      </c>
      <c r="D354" s="59">
        <f>(139.62)*(10.764)</f>
        <v>1502.86968</v>
      </c>
      <c r="E354" s="84">
        <v>0</v>
      </c>
      <c r="F354" s="84">
        <f>D354*(($F$225)+1)+(IF(E354&lt;101,E354,IF(E354&lt;201,E354/2,IF(E354&lt;=301,E354/3,E354/4))))</f>
        <v>2329.4480040000003</v>
      </c>
      <c r="G354" s="145" t="str">
        <f>A353</f>
        <v>10th to 14th &amp; 17th to 19th Floor</v>
      </c>
      <c r="H354" s="145"/>
      <c r="I354" s="38"/>
      <c r="L354" s="56"/>
      <c r="M354" s="56"/>
      <c r="N354" s="38"/>
    </row>
    <row r="355" spans="1:14" s="53" customFormat="1" ht="15.75" customHeight="1" x14ac:dyDescent="0.35">
      <c r="A355" s="145">
        <f t="shared" ref="A355:A357" si="33">A354+1</f>
        <v>2</v>
      </c>
      <c r="B355" s="145"/>
      <c r="C355" s="52">
        <v>3</v>
      </c>
      <c r="D355" s="59">
        <f>(107.89)*(10.764)</f>
        <v>1161.3279599999998</v>
      </c>
      <c r="E355" s="84">
        <v>0</v>
      </c>
      <c r="F355" s="84">
        <f>D355*(($F$225)+1)+(IF(E355&lt;101,E355,IF(E355&lt;201,E355/2,IF(E355&lt;=301,E355/3,E355/4))))</f>
        <v>1800.0583379999998</v>
      </c>
      <c r="G355" s="145"/>
      <c r="H355" s="145"/>
      <c r="I355" s="38"/>
      <c r="L355" s="56"/>
      <c r="M355" s="56"/>
      <c r="N355" s="38"/>
    </row>
    <row r="356" spans="1:14" s="53" customFormat="1" ht="15.75" customHeight="1" x14ac:dyDescent="0.35">
      <c r="A356" s="145">
        <f t="shared" si="33"/>
        <v>3</v>
      </c>
      <c r="B356" s="145"/>
      <c r="C356" s="52">
        <v>3</v>
      </c>
      <c r="D356" s="59">
        <f>(107.89)*(10.764)</f>
        <v>1161.3279599999998</v>
      </c>
      <c r="E356" s="84">
        <v>0</v>
      </c>
      <c r="F356" s="84">
        <f>D356*(($F$225)+1)+(IF(E356&lt;101,E356,IF(E356&lt;201,E356/2,IF(E356&lt;=301,E356/3,E356/4))))</f>
        <v>1800.0583379999998</v>
      </c>
      <c r="G356" s="145"/>
      <c r="H356" s="145"/>
      <c r="I356" s="38"/>
      <c r="L356" s="56"/>
      <c r="M356" s="56"/>
      <c r="N356" s="38"/>
    </row>
    <row r="357" spans="1:14" s="53" customFormat="1" ht="15.75" customHeight="1" x14ac:dyDescent="0.35">
      <c r="A357" s="145">
        <f t="shared" si="33"/>
        <v>4</v>
      </c>
      <c r="B357" s="145"/>
      <c r="C357" s="52">
        <v>3</v>
      </c>
      <c r="D357" s="59">
        <f>(139.62)*(10.764)</f>
        <v>1502.86968</v>
      </c>
      <c r="E357" s="84">
        <v>0</v>
      </c>
      <c r="F357" s="84">
        <f>D357*(($F$225)+1)+(IF(E357&lt;101,E357,IF(E357&lt;201,E357/2,IF(E357&lt;=301,E357/3,E357/4))))</f>
        <v>2329.4480040000003</v>
      </c>
      <c r="G357" s="145"/>
      <c r="H357" s="145"/>
      <c r="I357" s="38"/>
      <c r="L357" s="56"/>
      <c r="M357" s="56"/>
      <c r="N357" s="38"/>
    </row>
    <row r="358" spans="1:14" s="53" customFormat="1" x14ac:dyDescent="0.35">
      <c r="A358" s="139" t="s">
        <v>220</v>
      </c>
      <c r="B358" s="139"/>
      <c r="C358" s="139"/>
      <c r="D358" s="139"/>
      <c r="E358" s="139"/>
      <c r="F358" s="139"/>
      <c r="G358" s="139"/>
      <c r="H358" s="139"/>
      <c r="J358" s="38"/>
    </row>
    <row r="359" spans="1:14" s="53" customFormat="1" ht="15.75" customHeight="1" x14ac:dyDescent="0.35">
      <c r="A359" s="145">
        <v>1</v>
      </c>
      <c r="B359" s="145"/>
      <c r="C359" s="52">
        <v>4</v>
      </c>
      <c r="D359" s="59">
        <f>(176.55)*(10.764)</f>
        <v>1900.3842</v>
      </c>
      <c r="E359" s="84">
        <v>0</v>
      </c>
      <c r="F359" s="84">
        <f>D359*(($F$225)+1)+(IF(E359&lt;101,E359,IF(E359&lt;201,E359/2,IF(E359&lt;=301,E359/3,E359/4))))</f>
        <v>2945.5955100000001</v>
      </c>
      <c r="G359" s="145" t="str">
        <f>A358</f>
        <v>15th Floor (Part Refuge Area)</v>
      </c>
      <c r="H359" s="145"/>
      <c r="I359" s="73">
        <f>160.42+16.13</f>
        <v>176.54999999999998</v>
      </c>
      <c r="L359" s="56"/>
      <c r="M359" s="56"/>
      <c r="N359" s="38"/>
    </row>
    <row r="360" spans="1:14" s="53" customFormat="1" ht="15.75" customHeight="1" x14ac:dyDescent="0.35">
      <c r="A360" s="145">
        <f t="shared" ref="A360:A362" si="34">A359+1</f>
        <v>2</v>
      </c>
      <c r="B360" s="145"/>
      <c r="C360" s="149" t="s">
        <v>202</v>
      </c>
      <c r="D360" s="149"/>
      <c r="E360" s="149"/>
      <c r="F360" s="149"/>
      <c r="G360" s="145"/>
      <c r="H360" s="145"/>
      <c r="I360" s="38"/>
      <c r="L360" s="56"/>
      <c r="M360" s="56"/>
      <c r="N360" s="38"/>
    </row>
    <row r="361" spans="1:14" s="53" customFormat="1" ht="15.75" customHeight="1" x14ac:dyDescent="0.35">
      <c r="A361" s="145">
        <f t="shared" si="34"/>
        <v>3</v>
      </c>
      <c r="B361" s="145"/>
      <c r="C361" s="149"/>
      <c r="D361" s="149"/>
      <c r="E361" s="149"/>
      <c r="F361" s="149"/>
      <c r="G361" s="145"/>
      <c r="H361" s="145"/>
      <c r="I361" s="38"/>
      <c r="L361" s="56"/>
      <c r="M361" s="56"/>
      <c r="N361" s="38"/>
    </row>
    <row r="362" spans="1:14" s="53" customFormat="1" ht="15.75" customHeight="1" x14ac:dyDescent="0.35">
      <c r="A362" s="145">
        <f t="shared" si="34"/>
        <v>4</v>
      </c>
      <c r="B362" s="145"/>
      <c r="C362" s="52">
        <v>4</v>
      </c>
      <c r="D362" s="59">
        <f>(176.55)*(10.764)</f>
        <v>1900.3842</v>
      </c>
      <c r="E362" s="84">
        <v>0</v>
      </c>
      <c r="F362" s="84">
        <f>D362*(($F$225)+1)+(IF(E362&lt;101,E362,IF(E362&lt;201,E362/2,IF(E362&lt;=301,E362/3,E362/4))))</f>
        <v>2945.5955100000001</v>
      </c>
      <c r="G362" s="145"/>
      <c r="H362" s="145"/>
      <c r="I362" s="38"/>
      <c r="L362" s="56"/>
      <c r="M362" s="56"/>
      <c r="N362" s="38"/>
    </row>
    <row r="363" spans="1:14" s="53" customFormat="1" x14ac:dyDescent="0.35">
      <c r="A363" s="124" t="s">
        <v>281</v>
      </c>
      <c r="B363" s="125"/>
      <c r="C363" s="125"/>
      <c r="D363" s="125"/>
      <c r="E363" s="125"/>
      <c r="F363" s="125"/>
      <c r="G363" s="125"/>
      <c r="H363" s="126"/>
      <c r="J363" s="38"/>
    </row>
    <row r="364" spans="1:14" s="53" customFormat="1" ht="15.75" customHeight="1" x14ac:dyDescent="0.35">
      <c r="A364" s="122">
        <v>1</v>
      </c>
      <c r="B364" s="123"/>
      <c r="C364" s="52">
        <v>3</v>
      </c>
      <c r="D364" s="59">
        <f>(142.7)*(10.764)</f>
        <v>1536.0227999999997</v>
      </c>
      <c r="E364" s="54">
        <v>0</v>
      </c>
      <c r="F364" s="54">
        <f>D364*(($F$225)+1)+(IF(E364&lt;101,E364,IF(E364&lt;201,E364/2,IF(E364&lt;=301,E364/3,E364/4))))</f>
        <v>2380.8353399999996</v>
      </c>
      <c r="G364" s="127" t="str">
        <f>A363</f>
        <v>16th Floor</v>
      </c>
      <c r="H364" s="128"/>
      <c r="I364" s="38"/>
      <c r="L364" s="56"/>
      <c r="M364" s="56"/>
      <c r="N364" s="38"/>
    </row>
    <row r="365" spans="1:14" s="53" customFormat="1" ht="15.75" customHeight="1" x14ac:dyDescent="0.35">
      <c r="A365" s="122">
        <f t="shared" ref="A365:A367" si="35">A364+1</f>
        <v>2</v>
      </c>
      <c r="B365" s="123"/>
      <c r="C365" s="52">
        <v>3</v>
      </c>
      <c r="D365" s="59">
        <f>(107.89)*(10.764)</f>
        <v>1161.3279599999998</v>
      </c>
      <c r="E365" s="54">
        <v>0</v>
      </c>
      <c r="F365" s="54">
        <f>D365*(($F$225)+1)+(IF(E365&lt;101,E365,IF(E365&lt;201,E365/2,IF(E365&lt;=301,E365/3,E365/4))))</f>
        <v>1800.0583379999998</v>
      </c>
      <c r="G365" s="129"/>
      <c r="H365" s="130"/>
      <c r="I365" s="38"/>
      <c r="L365" s="56"/>
      <c r="M365" s="56"/>
      <c r="N365" s="38"/>
    </row>
    <row r="366" spans="1:14" s="53" customFormat="1" ht="15.75" customHeight="1" x14ac:dyDescent="0.35">
      <c r="A366" s="122">
        <f t="shared" si="35"/>
        <v>3</v>
      </c>
      <c r="B366" s="123"/>
      <c r="C366" s="52">
        <v>3</v>
      </c>
      <c r="D366" s="59">
        <f>(107.89)*(10.764)</f>
        <v>1161.3279599999998</v>
      </c>
      <c r="E366" s="54">
        <v>0</v>
      </c>
      <c r="F366" s="54">
        <f>D366*(($F$225)+1)+(IF(E366&lt;101,E366,IF(E366&lt;201,E366/2,IF(E366&lt;=301,E366/3,E366/4))))</f>
        <v>1800.0583379999998</v>
      </c>
      <c r="G366" s="129"/>
      <c r="H366" s="130"/>
      <c r="I366" s="38"/>
      <c r="L366" s="56"/>
      <c r="M366" s="56"/>
      <c r="N366" s="38"/>
    </row>
    <row r="367" spans="1:14" s="53" customFormat="1" ht="15.75" customHeight="1" x14ac:dyDescent="0.35">
      <c r="A367" s="122">
        <f t="shared" si="35"/>
        <v>4</v>
      </c>
      <c r="B367" s="123"/>
      <c r="C367" s="52">
        <v>3</v>
      </c>
      <c r="D367" s="59">
        <f>(142.7)*(10.764)</f>
        <v>1536.0227999999997</v>
      </c>
      <c r="E367" s="54">
        <v>0</v>
      </c>
      <c r="F367" s="54">
        <f>D367*(($F$225)+1)+(IF(E367&lt;101,E367,IF(E367&lt;201,E367/2,IF(E367&lt;=301,E367/3,E367/4))))</f>
        <v>2380.8353399999996</v>
      </c>
      <c r="G367" s="131"/>
      <c r="H367" s="132"/>
      <c r="I367" s="38"/>
      <c r="L367" s="56"/>
      <c r="M367" s="56"/>
      <c r="N367" s="38"/>
    </row>
    <row r="368" spans="1:14" s="53" customFormat="1" x14ac:dyDescent="0.35">
      <c r="A368" s="124" t="s">
        <v>280</v>
      </c>
      <c r="B368" s="125"/>
      <c r="C368" s="125"/>
      <c r="D368" s="125"/>
      <c r="E368" s="125"/>
      <c r="F368" s="125"/>
      <c r="G368" s="125"/>
      <c r="H368" s="126"/>
      <c r="J368" s="38"/>
    </row>
    <row r="369" spans="1:14" s="53" customFormat="1" ht="15.75" customHeight="1" x14ac:dyDescent="0.35">
      <c r="A369" s="122">
        <v>1</v>
      </c>
      <c r="B369" s="123"/>
      <c r="C369" s="52">
        <v>3</v>
      </c>
      <c r="D369" s="59">
        <f>(139.62)*(10.764)</f>
        <v>1502.86968</v>
      </c>
      <c r="E369" s="54">
        <v>0</v>
      </c>
      <c r="F369" s="54">
        <f>D369*(($F$225)+1)+(IF(E369&lt;101,E369,IF(E369&lt;201,E369/2,IF(E369&lt;=301,E369/3,E369/4))))</f>
        <v>2329.4480040000003</v>
      </c>
      <c r="G369" s="127" t="str">
        <f>A368</f>
        <v>20th, 21st &amp; 24th Floor</v>
      </c>
      <c r="H369" s="128"/>
      <c r="I369" s="38"/>
      <c r="L369" s="56"/>
      <c r="M369" s="56"/>
      <c r="N369" s="38"/>
    </row>
    <row r="370" spans="1:14" s="53" customFormat="1" ht="15.75" customHeight="1" x14ac:dyDescent="0.35">
      <c r="A370" s="122">
        <f t="shared" ref="A370:A372" si="36">A369+1</f>
        <v>2</v>
      </c>
      <c r="B370" s="123"/>
      <c r="C370" s="52">
        <v>3</v>
      </c>
      <c r="D370" s="59">
        <f>(107.89)*(10.764)</f>
        <v>1161.3279599999998</v>
      </c>
      <c r="E370" s="54">
        <v>0</v>
      </c>
      <c r="F370" s="54">
        <f>D370*(($F$225)+1)+(IF(E370&lt;101,E370,IF(E370&lt;201,E370/2,IF(E370&lt;=301,E370/3,E370/4))))</f>
        <v>1800.0583379999998</v>
      </c>
      <c r="G370" s="129"/>
      <c r="H370" s="130"/>
      <c r="I370" s="38"/>
      <c r="L370" s="56"/>
      <c r="M370" s="56"/>
      <c r="N370" s="38"/>
    </row>
    <row r="371" spans="1:14" s="53" customFormat="1" ht="15.75" customHeight="1" x14ac:dyDescent="0.35">
      <c r="A371" s="122">
        <f t="shared" si="36"/>
        <v>3</v>
      </c>
      <c r="B371" s="123"/>
      <c r="C371" s="52">
        <v>3</v>
      </c>
      <c r="D371" s="59">
        <f>(107.89)*(10.764)</f>
        <v>1161.3279599999998</v>
      </c>
      <c r="E371" s="54">
        <v>0</v>
      </c>
      <c r="F371" s="54">
        <f>D371*(($F$225)+1)+(IF(E371&lt;101,E371,IF(E371&lt;201,E371/2,IF(E371&lt;=301,E371/3,E371/4))))</f>
        <v>1800.0583379999998</v>
      </c>
      <c r="G371" s="129"/>
      <c r="H371" s="130"/>
      <c r="I371" s="38"/>
      <c r="L371" s="56"/>
      <c r="M371" s="56"/>
      <c r="N371" s="38"/>
    </row>
    <row r="372" spans="1:14" s="53" customFormat="1" ht="15.75" customHeight="1" x14ac:dyDescent="0.35">
      <c r="A372" s="122">
        <f t="shared" si="36"/>
        <v>4</v>
      </c>
      <c r="B372" s="123"/>
      <c r="C372" s="52">
        <v>3</v>
      </c>
      <c r="D372" s="59">
        <f>(139.62)*(10.764)</f>
        <v>1502.86968</v>
      </c>
      <c r="E372" s="54">
        <v>0</v>
      </c>
      <c r="F372" s="54">
        <f>D372*(($F$225)+1)+(IF(E372&lt;101,E372,IF(E372&lt;201,E372/2,IF(E372&lt;=301,E372/3,E372/4))))</f>
        <v>2329.4480040000003</v>
      </c>
      <c r="G372" s="131"/>
      <c r="H372" s="132"/>
      <c r="I372" s="38"/>
      <c r="L372" s="56"/>
      <c r="M372" s="56"/>
      <c r="N372" s="38"/>
    </row>
    <row r="373" spans="1:14" s="53" customFormat="1" x14ac:dyDescent="0.35">
      <c r="A373" s="124" t="s">
        <v>221</v>
      </c>
      <c r="B373" s="125"/>
      <c r="C373" s="125"/>
      <c r="D373" s="125"/>
      <c r="E373" s="125"/>
      <c r="F373" s="125"/>
      <c r="G373" s="125"/>
      <c r="H373" s="126"/>
      <c r="J373" s="38"/>
    </row>
    <row r="374" spans="1:14" s="53" customFormat="1" ht="15.75" customHeight="1" x14ac:dyDescent="0.35">
      <c r="A374" s="122">
        <v>1</v>
      </c>
      <c r="B374" s="123"/>
      <c r="C374" s="52">
        <v>3</v>
      </c>
      <c r="D374" s="59">
        <f>(142.7)*(10.764)</f>
        <v>1536.0227999999997</v>
      </c>
      <c r="E374" s="54">
        <v>0</v>
      </c>
      <c r="F374" s="54">
        <f>D374*(($F$225)+1)+(IF(E374&lt;101,E374,IF(E374&lt;201,E374/2,IF(E374&lt;=301,E374/3,E374/4))))</f>
        <v>2380.8353399999996</v>
      </c>
      <c r="G374" s="127" t="str">
        <f>A373</f>
        <v>22nd Floor (Part Refuge Area)</v>
      </c>
      <c r="H374" s="128"/>
      <c r="I374" s="38"/>
      <c r="L374" s="56"/>
      <c r="M374" s="56"/>
      <c r="N374" s="38"/>
    </row>
    <row r="375" spans="1:14" s="53" customFormat="1" ht="15.75" customHeight="1" x14ac:dyDescent="0.35">
      <c r="A375" s="122">
        <f t="shared" ref="A375:A377" si="37">A374+1</f>
        <v>2</v>
      </c>
      <c r="B375" s="123"/>
      <c r="C375" s="52">
        <v>3</v>
      </c>
      <c r="D375" s="59">
        <f>(107.9)*(10.764)</f>
        <v>1161.4356</v>
      </c>
      <c r="E375" s="54">
        <v>0</v>
      </c>
      <c r="F375" s="54">
        <f>D375*(($F$225)+1)+(IF(E375&lt;101,E375,IF(E375&lt;201,E375/2,IF(E375&lt;=301,E375/3,E375/4))))</f>
        <v>1800.2251800000001</v>
      </c>
      <c r="G375" s="129"/>
      <c r="H375" s="130"/>
      <c r="I375" s="38"/>
      <c r="L375" s="56"/>
      <c r="M375" s="56"/>
      <c r="N375" s="38"/>
    </row>
    <row r="376" spans="1:14" s="53" customFormat="1" ht="15.75" customHeight="1" x14ac:dyDescent="0.35">
      <c r="A376" s="122">
        <f t="shared" si="37"/>
        <v>3</v>
      </c>
      <c r="B376" s="123"/>
      <c r="C376" s="52" t="s">
        <v>287</v>
      </c>
      <c r="D376" s="59">
        <f>(81.52)*(10.764)</f>
        <v>877.48127999999986</v>
      </c>
      <c r="E376" s="54">
        <v>0</v>
      </c>
      <c r="F376" s="54">
        <f>D376*(($F$225)+1)+(IF(E376&lt;101,E376,IF(E376&lt;201,E376/2,IF(E376&lt;=301,E376/3,E376/4))))</f>
        <v>1360.0959839999998</v>
      </c>
      <c r="G376" s="129"/>
      <c r="H376" s="130"/>
      <c r="I376" s="38"/>
      <c r="L376" s="56"/>
      <c r="M376" s="56"/>
      <c r="N376" s="38"/>
    </row>
    <row r="377" spans="1:14" s="53" customFormat="1" ht="15.75" customHeight="1" x14ac:dyDescent="0.35">
      <c r="A377" s="122">
        <f t="shared" si="37"/>
        <v>4</v>
      </c>
      <c r="B377" s="123"/>
      <c r="C377" s="52" t="s">
        <v>287</v>
      </c>
      <c r="D377" s="59">
        <f>(102.19)*(10.764)</f>
        <v>1099.97316</v>
      </c>
      <c r="E377" s="54">
        <v>0</v>
      </c>
      <c r="F377" s="54">
        <f>D377*(($F$225)+1)+(IF(E377&lt;101,E377,IF(E377&lt;201,E377/2,IF(E377&lt;=301,E377/3,E377/4))))</f>
        <v>1704.958398</v>
      </c>
      <c r="G377" s="131"/>
      <c r="H377" s="132"/>
      <c r="I377" s="38"/>
      <c r="L377" s="56"/>
      <c r="M377" s="56"/>
      <c r="N377" s="38"/>
    </row>
    <row r="378" spans="1:14" s="71" customFormat="1" x14ac:dyDescent="0.35">
      <c r="A378" s="124" t="s">
        <v>286</v>
      </c>
      <c r="B378" s="125"/>
      <c r="C378" s="125"/>
      <c r="D378" s="125"/>
      <c r="E378" s="125"/>
      <c r="F378" s="125"/>
      <c r="G378" s="125"/>
      <c r="H378" s="126"/>
      <c r="J378" s="38"/>
    </row>
    <row r="379" spans="1:14" s="71" customFormat="1" ht="15.75" customHeight="1" x14ac:dyDescent="0.35">
      <c r="A379" s="122">
        <v>1</v>
      </c>
      <c r="B379" s="123"/>
      <c r="C379" s="52">
        <v>3</v>
      </c>
      <c r="D379" s="59">
        <f>(139.62)*(10.764)</f>
        <v>1502.86968</v>
      </c>
      <c r="E379" s="72">
        <v>0</v>
      </c>
      <c r="F379" s="72">
        <f>D379*(($F$225)+1)+(IF(E379&lt;101,E379,IF(E379&lt;201,E379/2,IF(E379&lt;=301,E379/3,E379/4))))</f>
        <v>2329.4480040000003</v>
      </c>
      <c r="G379" s="127" t="str">
        <f>A378</f>
        <v>23rd Floor</v>
      </c>
      <c r="H379" s="128"/>
      <c r="I379" s="38"/>
      <c r="L379" s="56"/>
      <c r="M379" s="56"/>
      <c r="N379" s="38"/>
    </row>
    <row r="380" spans="1:14" s="71" customFormat="1" ht="15.75" customHeight="1" x14ac:dyDescent="0.35">
      <c r="A380" s="122">
        <f t="shared" ref="A380:A382" si="38">A379+1</f>
        <v>2</v>
      </c>
      <c r="B380" s="123"/>
      <c r="C380" s="52">
        <v>3</v>
      </c>
      <c r="D380" s="59">
        <f>(107.89)*(10.764)</f>
        <v>1161.3279599999998</v>
      </c>
      <c r="E380" s="72">
        <v>0</v>
      </c>
      <c r="F380" s="72">
        <f>D380*(($F$225)+1)+(IF(E380&lt;101,E380,IF(E380&lt;201,E380/2,IF(E380&lt;=301,E380/3,E380/4))))</f>
        <v>1800.0583379999998</v>
      </c>
      <c r="G380" s="129"/>
      <c r="H380" s="130"/>
      <c r="I380" s="38"/>
      <c r="L380" s="56"/>
      <c r="M380" s="56"/>
      <c r="N380" s="38"/>
    </row>
    <row r="381" spans="1:14" s="71" customFormat="1" ht="15.75" customHeight="1" x14ac:dyDescent="0.35">
      <c r="A381" s="122">
        <f t="shared" si="38"/>
        <v>3</v>
      </c>
      <c r="B381" s="123"/>
      <c r="C381" s="52">
        <v>3</v>
      </c>
      <c r="D381" s="59">
        <f>(107.89)*(10.764)</f>
        <v>1161.3279599999998</v>
      </c>
      <c r="E381" s="72">
        <v>0</v>
      </c>
      <c r="F381" s="72">
        <f>D381*(($F$225)+1)+(IF(E381&lt;101,E381,IF(E381&lt;201,E381/2,IF(E381&lt;=301,E381/3,E381/4))))</f>
        <v>1800.0583379999998</v>
      </c>
      <c r="G381" s="129"/>
      <c r="H381" s="130"/>
      <c r="I381" s="38"/>
      <c r="L381" s="56"/>
      <c r="M381" s="56"/>
      <c r="N381" s="38"/>
    </row>
    <row r="382" spans="1:14" s="71" customFormat="1" ht="15.75" customHeight="1" x14ac:dyDescent="0.35">
      <c r="A382" s="122">
        <f t="shared" si="38"/>
        <v>4</v>
      </c>
      <c r="B382" s="123"/>
      <c r="C382" s="52">
        <v>3</v>
      </c>
      <c r="D382" s="59">
        <f>(139.62)*(10.764)</f>
        <v>1502.86968</v>
      </c>
      <c r="E382" s="72">
        <v>0</v>
      </c>
      <c r="F382" s="72">
        <f>D382*(($F$225)+1)+(IF(E382&lt;101,E382,IF(E382&lt;201,E382/2,IF(E382&lt;=301,E382/3,E382/4))))</f>
        <v>2329.4480040000003</v>
      </c>
      <c r="G382" s="131"/>
      <c r="H382" s="132"/>
      <c r="I382" s="38"/>
      <c r="L382" s="56"/>
      <c r="M382" s="56"/>
      <c r="N382" s="38"/>
    </row>
    <row r="383" spans="1:14" s="53" customFormat="1" x14ac:dyDescent="0.35">
      <c r="A383" s="124" t="s">
        <v>215</v>
      </c>
      <c r="B383" s="125"/>
      <c r="C383" s="125"/>
      <c r="D383" s="125"/>
      <c r="E383" s="125"/>
      <c r="F383" s="125"/>
      <c r="G383" s="125"/>
      <c r="H383" s="126"/>
      <c r="J383" s="38"/>
    </row>
    <row r="384" spans="1:14" s="53" customFormat="1" hidden="1" x14ac:dyDescent="0.35">
      <c r="A384" s="124" t="s">
        <v>278</v>
      </c>
      <c r="B384" s="125"/>
      <c r="C384" s="125"/>
      <c r="D384" s="125"/>
      <c r="E384" s="125"/>
      <c r="F384" s="125"/>
      <c r="G384" s="125"/>
      <c r="H384" s="126"/>
      <c r="J384" s="38"/>
    </row>
    <row r="385" spans="1:14" s="53" customFormat="1" ht="15.75" hidden="1" customHeight="1" x14ac:dyDescent="0.35">
      <c r="A385" s="122">
        <v>1</v>
      </c>
      <c r="B385" s="123"/>
      <c r="C385" s="52">
        <v>3</v>
      </c>
      <c r="D385" s="59">
        <f>(139.62)*(10.764)</f>
        <v>1502.86968</v>
      </c>
      <c r="E385" s="54">
        <v>0</v>
      </c>
      <c r="F385" s="54">
        <f>D385*(($F$225)+1)+(IF(E385&lt;101,E385,IF(E385&lt;201,E385/2,IF(E385&lt;=301,E385/3,E385/4))))</f>
        <v>2329.4480040000003</v>
      </c>
      <c r="G385" s="127" t="str">
        <f>A384</f>
        <v>11th, 12th, 17th &amp; 18th Floor</v>
      </c>
      <c r="H385" s="128"/>
      <c r="I385" s="38"/>
      <c r="L385" s="56"/>
      <c r="M385" s="56"/>
      <c r="N385" s="38"/>
    </row>
    <row r="386" spans="1:14" s="53" customFormat="1" ht="15.75" hidden="1" customHeight="1" x14ac:dyDescent="0.35">
      <c r="A386" s="122">
        <f t="shared" ref="A386:A388" si="39">A385+1</f>
        <v>2</v>
      </c>
      <c r="B386" s="123"/>
      <c r="C386" s="52">
        <v>3</v>
      </c>
      <c r="D386" s="59">
        <f>(107.89)*(10.764)</f>
        <v>1161.3279599999998</v>
      </c>
      <c r="E386" s="54">
        <v>0</v>
      </c>
      <c r="F386" s="54">
        <f>D386*(($F$225)+1)+(IF(E386&lt;101,E386,IF(E386&lt;201,E386/2,IF(E386&lt;=301,E386/3,E386/4))))</f>
        <v>1800.0583379999998</v>
      </c>
      <c r="G386" s="129"/>
      <c r="H386" s="130"/>
      <c r="I386" s="38"/>
      <c r="L386" s="56"/>
      <c r="M386" s="56"/>
      <c r="N386" s="38"/>
    </row>
    <row r="387" spans="1:14" s="53" customFormat="1" ht="15.75" hidden="1" customHeight="1" x14ac:dyDescent="0.35">
      <c r="A387" s="122">
        <f t="shared" si="39"/>
        <v>3</v>
      </c>
      <c r="B387" s="123"/>
      <c r="C387" s="52">
        <v>3</v>
      </c>
      <c r="D387" s="59">
        <f>(107.89)*(10.764)</f>
        <v>1161.3279599999998</v>
      </c>
      <c r="E387" s="54">
        <v>0</v>
      </c>
      <c r="F387" s="54">
        <f>D387*(($F$225)+1)+(IF(E387&lt;101,E387,IF(E387&lt;201,E387/2,IF(E387&lt;=301,E387/3,E387/4))))</f>
        <v>1800.0583379999998</v>
      </c>
      <c r="G387" s="129"/>
      <c r="H387" s="130"/>
      <c r="I387" s="38"/>
      <c r="L387" s="56"/>
      <c r="M387" s="56"/>
      <c r="N387" s="38"/>
    </row>
    <row r="388" spans="1:14" s="53" customFormat="1" ht="15.75" hidden="1" customHeight="1" x14ac:dyDescent="0.35">
      <c r="A388" s="122">
        <f t="shared" si="39"/>
        <v>4</v>
      </c>
      <c r="B388" s="123"/>
      <c r="C388" s="52">
        <v>3</v>
      </c>
      <c r="D388" s="59">
        <f>(139.62)*(10.764)</f>
        <v>1502.86968</v>
      </c>
      <c r="E388" s="54">
        <v>0</v>
      </c>
      <c r="F388" s="54">
        <f>D388*(($F$225)+1)+(IF(E388&lt;101,E388,IF(E388&lt;201,E388/2,IF(E388&lt;=301,E388/3,E388/4))))</f>
        <v>2329.4480040000003</v>
      </c>
      <c r="G388" s="131"/>
      <c r="H388" s="132"/>
      <c r="I388" s="38"/>
      <c r="L388" s="56"/>
      <c r="M388" s="56"/>
      <c r="N388" s="38"/>
    </row>
    <row r="389" spans="1:14" s="53" customFormat="1" hidden="1" x14ac:dyDescent="0.35">
      <c r="A389" s="124" t="s">
        <v>209</v>
      </c>
      <c r="B389" s="125"/>
      <c r="C389" s="125"/>
      <c r="D389" s="125"/>
      <c r="E389" s="125"/>
      <c r="F389" s="125"/>
      <c r="G389" s="125"/>
      <c r="H389" s="126"/>
      <c r="J389" s="38"/>
    </row>
    <row r="390" spans="1:14" s="53" customFormat="1" ht="15.75" hidden="1" customHeight="1" x14ac:dyDescent="0.35">
      <c r="A390" s="122">
        <v>1</v>
      </c>
      <c r="B390" s="123"/>
      <c r="C390" s="52" t="s">
        <v>208</v>
      </c>
      <c r="D390" s="59">
        <f>(122.04)*(10.764)</f>
        <v>1313.6385600000001</v>
      </c>
      <c r="E390" s="54">
        <v>0</v>
      </c>
      <c r="F390" s="54">
        <f>D390*(($F$225)+1)+(IF(E390&lt;101,E390,IF(E390&lt;201,E390/2,IF(E390&lt;=301,E390/3,E390/4))))</f>
        <v>2036.1397680000002</v>
      </c>
      <c r="G390" s="127" t="str">
        <f>A389</f>
        <v>21st Floor (Part Refuge Area)</v>
      </c>
      <c r="H390" s="128"/>
      <c r="I390" s="38"/>
      <c r="L390" s="56"/>
      <c r="M390" s="56"/>
      <c r="N390" s="38"/>
    </row>
    <row r="391" spans="1:14" s="53" customFormat="1" ht="15.75" hidden="1" customHeight="1" x14ac:dyDescent="0.35">
      <c r="A391" s="122">
        <f t="shared" ref="A391:A393" si="40">A390+1</f>
        <v>2</v>
      </c>
      <c r="B391" s="123"/>
      <c r="C391" s="52">
        <v>2</v>
      </c>
      <c r="D391" s="59">
        <f>(79.49)*(10.764)</f>
        <v>855.63035999999988</v>
      </c>
      <c r="E391" s="54">
        <v>0</v>
      </c>
      <c r="F391" s="54">
        <f>D391*(($F$225)+1)+(IF(E391&lt;101,E391,IF(E391&lt;201,E391/2,IF(E391&lt;=301,E391/3,E391/4))))</f>
        <v>1326.2270579999999</v>
      </c>
      <c r="G391" s="129"/>
      <c r="H391" s="130"/>
      <c r="I391" s="38"/>
      <c r="L391" s="56"/>
      <c r="M391" s="56"/>
      <c r="N391" s="38"/>
    </row>
    <row r="392" spans="1:14" s="53" customFormat="1" ht="15.75" hidden="1" customHeight="1" x14ac:dyDescent="0.35">
      <c r="A392" s="122">
        <f t="shared" si="40"/>
        <v>3</v>
      </c>
      <c r="B392" s="123"/>
      <c r="C392" s="52">
        <v>2</v>
      </c>
      <c r="D392" s="59">
        <f>(79.49)*(10.764)</f>
        <v>855.63035999999988</v>
      </c>
      <c r="E392" s="54">
        <v>0</v>
      </c>
      <c r="F392" s="54">
        <f>D392*(($F$225)+1)+(IF(E392&lt;101,E392,IF(E392&lt;201,E392/2,IF(E392&lt;=301,E392/3,E392/4))))</f>
        <v>1326.2270579999999</v>
      </c>
      <c r="G392" s="129"/>
      <c r="H392" s="130"/>
      <c r="I392" s="38"/>
      <c r="L392" s="56"/>
      <c r="M392" s="56"/>
      <c r="N392" s="38"/>
    </row>
    <row r="393" spans="1:14" s="53" customFormat="1" ht="15.75" hidden="1" customHeight="1" x14ac:dyDescent="0.35">
      <c r="A393" s="122">
        <f t="shared" si="40"/>
        <v>4</v>
      </c>
      <c r="B393" s="123"/>
      <c r="C393" s="52" t="s">
        <v>208</v>
      </c>
      <c r="D393" s="59">
        <f>(122.04)*(10.764)</f>
        <v>1313.6385600000001</v>
      </c>
      <c r="E393" s="54">
        <v>0</v>
      </c>
      <c r="F393" s="54">
        <f>D393*(($F$225)+1)+(IF(E393&lt;101,E393,IF(E393&lt;201,E393/2,IF(E393&lt;=301,E393/3,E393/4))))</f>
        <v>2036.1397680000002</v>
      </c>
      <c r="G393" s="131"/>
      <c r="H393" s="132"/>
      <c r="I393" s="38"/>
      <c r="L393" s="56"/>
      <c r="M393" s="56"/>
      <c r="N393" s="38"/>
    </row>
    <row r="394" spans="1:14" s="53" customFormat="1" x14ac:dyDescent="0.35">
      <c r="A394" s="146" t="s">
        <v>216</v>
      </c>
      <c r="B394" s="147"/>
      <c r="C394" s="147"/>
      <c r="D394" s="147"/>
      <c r="E394" s="147"/>
      <c r="F394" s="147"/>
      <c r="G394" s="147"/>
      <c r="H394" s="148"/>
      <c r="J394" s="38"/>
    </row>
    <row r="395" spans="1:14" s="62" customFormat="1" x14ac:dyDescent="0.35">
      <c r="A395" s="124" t="s">
        <v>248</v>
      </c>
      <c r="B395" s="125"/>
      <c r="C395" s="125"/>
      <c r="D395" s="125"/>
      <c r="E395" s="125"/>
      <c r="F395" s="125"/>
      <c r="G395" s="125"/>
      <c r="H395" s="126"/>
      <c r="J395" s="38"/>
    </row>
    <row r="396" spans="1:14" s="57" customFormat="1" x14ac:dyDescent="0.35">
      <c r="A396" s="124" t="s">
        <v>229</v>
      </c>
      <c r="B396" s="125"/>
      <c r="C396" s="125"/>
      <c r="D396" s="125"/>
      <c r="E396" s="125"/>
      <c r="F396" s="125"/>
      <c r="G396" s="125"/>
      <c r="H396" s="126"/>
      <c r="J396" s="38"/>
    </row>
    <row r="397" spans="1:14" s="53" customFormat="1" ht="15.75" customHeight="1" x14ac:dyDescent="0.35">
      <c r="A397" s="124" t="s">
        <v>196</v>
      </c>
      <c r="B397" s="125"/>
      <c r="C397" s="125"/>
      <c r="D397" s="125"/>
      <c r="E397" s="125"/>
      <c r="F397" s="125"/>
      <c r="G397" s="125"/>
      <c r="H397" s="126"/>
      <c r="J397" s="38"/>
    </row>
    <row r="398" spans="1:14" s="53" customFormat="1" ht="15.75" customHeight="1" x14ac:dyDescent="0.35">
      <c r="A398" s="122">
        <v>1</v>
      </c>
      <c r="B398" s="123"/>
      <c r="C398" s="52">
        <v>3</v>
      </c>
      <c r="D398" s="59">
        <f>(109.66)*(10.764)</f>
        <v>1180.38024</v>
      </c>
      <c r="E398" s="54">
        <v>0</v>
      </c>
      <c r="F398" s="54">
        <f t="shared" ref="F398:F403" si="41">D398*(($F$225)+1)+(IF(E398&lt;101,E398,IF(E398&lt;201,E398/2,IF(E398&lt;=301,E398/3,E398/4))))</f>
        <v>1829.5893719999999</v>
      </c>
      <c r="G398" s="127" t="str">
        <f>A397</f>
        <v>2nd Floor For Residential</v>
      </c>
      <c r="H398" s="128"/>
      <c r="I398" s="38"/>
      <c r="J398" s="59">
        <f>(108.73)*(10.764)</f>
        <v>1170.3697199999999</v>
      </c>
      <c r="L398" s="56"/>
      <c r="M398" s="56"/>
      <c r="N398" s="38"/>
    </row>
    <row r="399" spans="1:14" s="53" customFormat="1" ht="15.75" customHeight="1" x14ac:dyDescent="0.35">
      <c r="A399" s="122">
        <f t="shared" ref="A399:A403" si="42">A398+1</f>
        <v>2</v>
      </c>
      <c r="B399" s="123"/>
      <c r="C399" s="52" t="s">
        <v>208</v>
      </c>
      <c r="D399" s="59">
        <f>(86.98)*(10.764)</f>
        <v>936.25271999999995</v>
      </c>
      <c r="E399" s="54">
        <v>0</v>
      </c>
      <c r="F399" s="54">
        <f t="shared" si="41"/>
        <v>1451.191716</v>
      </c>
      <c r="G399" s="129"/>
      <c r="H399" s="130"/>
      <c r="I399" s="38"/>
      <c r="J399" s="59">
        <f>(86.7)*(10.764)</f>
        <v>933.23879999999997</v>
      </c>
      <c r="L399" s="56"/>
      <c r="M399" s="56"/>
      <c r="N399" s="38"/>
    </row>
    <row r="400" spans="1:14" s="53" customFormat="1" ht="15.75" customHeight="1" x14ac:dyDescent="0.35">
      <c r="A400" s="122">
        <f t="shared" si="42"/>
        <v>3</v>
      </c>
      <c r="B400" s="123"/>
      <c r="C400" s="52">
        <v>2</v>
      </c>
      <c r="D400" s="59">
        <f>(76.46)*(10.764)</f>
        <v>823.0154399999999</v>
      </c>
      <c r="E400" s="54">
        <v>0</v>
      </c>
      <c r="F400" s="54">
        <f t="shared" si="41"/>
        <v>1275.6739319999999</v>
      </c>
      <c r="G400" s="129"/>
      <c r="H400" s="130"/>
      <c r="I400" s="38"/>
      <c r="J400" s="59">
        <f>(72.4)*(10.764)</f>
        <v>779.31360000000006</v>
      </c>
      <c r="L400" s="56"/>
      <c r="M400" s="56"/>
      <c r="N400" s="38"/>
    </row>
    <row r="401" spans="1:14" s="53" customFormat="1" ht="15.75" customHeight="1" x14ac:dyDescent="0.35">
      <c r="A401" s="122">
        <f t="shared" si="42"/>
        <v>4</v>
      </c>
      <c r="B401" s="123"/>
      <c r="C401" s="52">
        <v>2</v>
      </c>
      <c r="D401" s="59">
        <f>(76.46)*(10.764)</f>
        <v>823.0154399999999</v>
      </c>
      <c r="E401" s="54">
        <v>0</v>
      </c>
      <c r="F401" s="54">
        <f t="shared" si="41"/>
        <v>1275.6739319999999</v>
      </c>
      <c r="G401" s="129"/>
      <c r="H401" s="130"/>
      <c r="I401" s="38"/>
      <c r="J401" s="59">
        <f>(72.4)*(10.764)</f>
        <v>779.31360000000006</v>
      </c>
      <c r="L401" s="56"/>
      <c r="M401" s="56"/>
      <c r="N401" s="38"/>
    </row>
    <row r="402" spans="1:14" s="53" customFormat="1" ht="15.75" customHeight="1" x14ac:dyDescent="0.35">
      <c r="A402" s="122">
        <f t="shared" si="42"/>
        <v>5</v>
      </c>
      <c r="B402" s="123"/>
      <c r="C402" s="52" t="s">
        <v>208</v>
      </c>
      <c r="D402" s="59">
        <f>(86.98)*(10.764)</f>
        <v>936.25271999999995</v>
      </c>
      <c r="E402" s="54">
        <v>0</v>
      </c>
      <c r="F402" s="54">
        <f t="shared" si="41"/>
        <v>1451.191716</v>
      </c>
      <c r="G402" s="129"/>
      <c r="H402" s="130"/>
      <c r="I402" s="38"/>
      <c r="J402" s="59">
        <f>(86.7)*(10.764)</f>
        <v>933.23879999999997</v>
      </c>
      <c r="L402" s="56"/>
      <c r="M402" s="56"/>
      <c r="N402" s="38"/>
    </row>
    <row r="403" spans="1:14" s="53" customFormat="1" ht="15.75" customHeight="1" x14ac:dyDescent="0.35">
      <c r="A403" s="122">
        <f t="shared" si="42"/>
        <v>6</v>
      </c>
      <c r="B403" s="123"/>
      <c r="C403" s="52">
        <v>3</v>
      </c>
      <c r="D403" s="59">
        <f>(109.66)*(10.764)</f>
        <v>1180.38024</v>
      </c>
      <c r="E403" s="54">
        <v>0</v>
      </c>
      <c r="F403" s="54">
        <f t="shared" si="41"/>
        <v>1829.5893719999999</v>
      </c>
      <c r="G403" s="131"/>
      <c r="H403" s="132"/>
      <c r="I403" s="38"/>
      <c r="J403" s="59">
        <f>(108.73)*(10.764)</f>
        <v>1170.3697199999999</v>
      </c>
      <c r="L403" s="56"/>
      <c r="M403" s="56"/>
      <c r="N403" s="38"/>
    </row>
    <row r="404" spans="1:14" s="53" customFormat="1" ht="15.75" customHeight="1" x14ac:dyDescent="0.35">
      <c r="A404" s="124" t="s">
        <v>197</v>
      </c>
      <c r="B404" s="125"/>
      <c r="C404" s="125"/>
      <c r="D404" s="125"/>
      <c r="E404" s="125"/>
      <c r="F404" s="125"/>
      <c r="G404" s="125"/>
      <c r="H404" s="126"/>
      <c r="J404" s="38"/>
    </row>
    <row r="405" spans="1:14" s="53" customFormat="1" ht="15.75" customHeight="1" x14ac:dyDescent="0.35">
      <c r="A405" s="122">
        <v>1</v>
      </c>
      <c r="B405" s="123"/>
      <c r="C405" s="52">
        <v>3</v>
      </c>
      <c r="D405" s="59">
        <f>(109.66)*(10.764)</f>
        <v>1180.38024</v>
      </c>
      <c r="E405" s="54">
        <v>0</v>
      </c>
      <c r="F405" s="54">
        <f t="shared" ref="F405:F410" si="43">D405*(($F$225)+1)+(IF(E405&lt;101,E405,IF(E405&lt;201,E405/2,IF(E405&lt;=301,E405/3,E405/4))))</f>
        <v>1829.5893719999999</v>
      </c>
      <c r="G405" s="127" t="str">
        <f>A404</f>
        <v>3rd Floor</v>
      </c>
      <c r="H405" s="128"/>
      <c r="I405" s="38"/>
      <c r="L405" s="56"/>
      <c r="M405" s="56"/>
      <c r="N405" s="38"/>
    </row>
    <row r="406" spans="1:14" s="53" customFormat="1" ht="15.75" customHeight="1" x14ac:dyDescent="0.35">
      <c r="A406" s="122">
        <f t="shared" ref="A406:A410" si="44">A405+1</f>
        <v>2</v>
      </c>
      <c r="B406" s="123"/>
      <c r="C406" s="52" t="s">
        <v>208</v>
      </c>
      <c r="D406" s="59">
        <f>(86.98)*(10.764)</f>
        <v>936.25271999999995</v>
      </c>
      <c r="E406" s="54">
        <v>0</v>
      </c>
      <c r="F406" s="54">
        <f t="shared" si="43"/>
        <v>1451.191716</v>
      </c>
      <c r="G406" s="129"/>
      <c r="H406" s="130"/>
      <c r="I406" s="38"/>
      <c r="L406" s="56"/>
      <c r="M406" s="56"/>
      <c r="N406" s="38"/>
    </row>
    <row r="407" spans="1:14" s="53" customFormat="1" ht="15.75" customHeight="1" x14ac:dyDescent="0.35">
      <c r="A407" s="122">
        <f t="shared" si="44"/>
        <v>3</v>
      </c>
      <c r="B407" s="123"/>
      <c r="C407" s="52">
        <v>2</v>
      </c>
      <c r="D407" s="59">
        <f>(76.46)*(10.764)</f>
        <v>823.0154399999999</v>
      </c>
      <c r="E407" s="54">
        <v>0</v>
      </c>
      <c r="F407" s="54">
        <f t="shared" si="43"/>
        <v>1275.6739319999999</v>
      </c>
      <c r="G407" s="129"/>
      <c r="H407" s="130"/>
      <c r="I407" s="38"/>
      <c r="L407" s="56"/>
      <c r="M407" s="56"/>
      <c r="N407" s="38"/>
    </row>
    <row r="408" spans="1:14" s="53" customFormat="1" ht="15.75" customHeight="1" x14ac:dyDescent="0.35">
      <c r="A408" s="122">
        <f t="shared" si="44"/>
        <v>4</v>
      </c>
      <c r="B408" s="123"/>
      <c r="C408" s="52">
        <v>2</v>
      </c>
      <c r="D408" s="59">
        <f>(76.46)*(10.764)</f>
        <v>823.0154399999999</v>
      </c>
      <c r="E408" s="54">
        <v>0</v>
      </c>
      <c r="F408" s="54">
        <f t="shared" si="43"/>
        <v>1275.6739319999999</v>
      </c>
      <c r="G408" s="129"/>
      <c r="H408" s="130"/>
      <c r="I408" s="38"/>
      <c r="L408" s="56"/>
      <c r="M408" s="56"/>
      <c r="N408" s="38"/>
    </row>
    <row r="409" spans="1:14" s="53" customFormat="1" ht="15.75" customHeight="1" x14ac:dyDescent="0.35">
      <c r="A409" s="122">
        <f t="shared" si="44"/>
        <v>5</v>
      </c>
      <c r="B409" s="123"/>
      <c r="C409" s="52" t="s">
        <v>208</v>
      </c>
      <c r="D409" s="59">
        <f>(86.98)*(10.764)</f>
        <v>936.25271999999995</v>
      </c>
      <c r="E409" s="54">
        <v>0</v>
      </c>
      <c r="F409" s="54">
        <f t="shared" si="43"/>
        <v>1451.191716</v>
      </c>
      <c r="G409" s="129"/>
      <c r="H409" s="130"/>
      <c r="I409" s="38"/>
      <c r="L409" s="56"/>
      <c r="M409" s="56"/>
      <c r="N409" s="38"/>
    </row>
    <row r="410" spans="1:14" s="53" customFormat="1" ht="15.75" customHeight="1" x14ac:dyDescent="0.35">
      <c r="A410" s="122">
        <f t="shared" si="44"/>
        <v>6</v>
      </c>
      <c r="B410" s="123"/>
      <c r="C410" s="52">
        <v>3</v>
      </c>
      <c r="D410" s="59">
        <f>(109.66)*(10.764)</f>
        <v>1180.38024</v>
      </c>
      <c r="E410" s="54">
        <v>0</v>
      </c>
      <c r="F410" s="54">
        <f t="shared" si="43"/>
        <v>1829.5893719999999</v>
      </c>
      <c r="G410" s="131"/>
      <c r="H410" s="132"/>
      <c r="I410" s="38"/>
      <c r="L410" s="56"/>
      <c r="M410" s="56"/>
      <c r="N410" s="38"/>
    </row>
    <row r="411" spans="1:14" s="53" customFormat="1" ht="15.75" customHeight="1" x14ac:dyDescent="0.35">
      <c r="A411" s="139" t="s">
        <v>198</v>
      </c>
      <c r="B411" s="139"/>
      <c r="C411" s="139"/>
      <c r="D411" s="139"/>
      <c r="E411" s="139"/>
      <c r="F411" s="139"/>
      <c r="G411" s="139"/>
      <c r="H411" s="139"/>
      <c r="J411" s="38"/>
    </row>
    <row r="412" spans="1:14" s="53" customFormat="1" ht="15.75" customHeight="1" x14ac:dyDescent="0.35">
      <c r="A412" s="145">
        <v>1</v>
      </c>
      <c r="B412" s="145"/>
      <c r="C412" s="52">
        <v>3</v>
      </c>
      <c r="D412" s="59">
        <f>(109.66)*(10.764)</f>
        <v>1180.38024</v>
      </c>
      <c r="E412" s="84">
        <v>0</v>
      </c>
      <c r="F412" s="84">
        <f t="shared" ref="F412:F417" si="45">D412*(($F$225)+1)+(IF(E412&lt;101,E412,IF(E412&lt;201,E412/2,IF(E412&lt;=301,E412/3,E412/4))))</f>
        <v>1829.5893719999999</v>
      </c>
      <c r="G412" s="145" t="str">
        <f>A411</f>
        <v>4th Floor</v>
      </c>
      <c r="H412" s="145"/>
      <c r="I412" s="38"/>
      <c r="L412" s="56"/>
      <c r="M412" s="56"/>
      <c r="N412" s="38"/>
    </row>
    <row r="413" spans="1:14" s="53" customFormat="1" ht="15.75" customHeight="1" x14ac:dyDescent="0.35">
      <c r="A413" s="145">
        <f t="shared" ref="A413:A417" si="46">A412+1</f>
        <v>2</v>
      </c>
      <c r="B413" s="145"/>
      <c r="C413" s="52" t="s">
        <v>208</v>
      </c>
      <c r="D413" s="59">
        <f>(86.98)*(10.764)</f>
        <v>936.25271999999995</v>
      </c>
      <c r="E413" s="84">
        <v>0</v>
      </c>
      <c r="F413" s="84">
        <f t="shared" si="45"/>
        <v>1451.191716</v>
      </c>
      <c r="G413" s="145"/>
      <c r="H413" s="145"/>
      <c r="I413" s="38"/>
      <c r="L413" s="56"/>
      <c r="M413" s="56"/>
      <c r="N413" s="38"/>
    </row>
    <row r="414" spans="1:14" s="53" customFormat="1" ht="15.75" customHeight="1" x14ac:dyDescent="0.35">
      <c r="A414" s="145">
        <f t="shared" si="46"/>
        <v>3</v>
      </c>
      <c r="B414" s="145"/>
      <c r="C414" s="52">
        <v>2</v>
      </c>
      <c r="D414" s="59">
        <f>(76.46)*(10.764)</f>
        <v>823.0154399999999</v>
      </c>
      <c r="E414" s="84">
        <v>0</v>
      </c>
      <c r="F414" s="84">
        <f t="shared" si="45"/>
        <v>1275.6739319999999</v>
      </c>
      <c r="G414" s="145"/>
      <c r="H414" s="145"/>
      <c r="I414" s="38"/>
      <c r="L414" s="56"/>
      <c r="M414" s="56"/>
      <c r="N414" s="38"/>
    </row>
    <row r="415" spans="1:14" s="53" customFormat="1" ht="15.75" customHeight="1" x14ac:dyDescent="0.35">
      <c r="A415" s="145">
        <f t="shared" si="46"/>
        <v>4</v>
      </c>
      <c r="B415" s="145"/>
      <c r="C415" s="52">
        <v>2</v>
      </c>
      <c r="D415" s="59">
        <f>(76.46)*(10.764)</f>
        <v>823.0154399999999</v>
      </c>
      <c r="E415" s="84">
        <v>0</v>
      </c>
      <c r="F415" s="84">
        <f t="shared" si="45"/>
        <v>1275.6739319999999</v>
      </c>
      <c r="G415" s="145"/>
      <c r="H415" s="145"/>
      <c r="I415" s="38"/>
      <c r="L415" s="56"/>
      <c r="M415" s="56"/>
      <c r="N415" s="38"/>
    </row>
    <row r="416" spans="1:14" s="53" customFormat="1" ht="15.75" customHeight="1" x14ac:dyDescent="0.35">
      <c r="A416" s="145">
        <f t="shared" si="46"/>
        <v>5</v>
      </c>
      <c r="B416" s="145"/>
      <c r="C416" s="52" t="s">
        <v>208</v>
      </c>
      <c r="D416" s="59">
        <f>(86.98)*(10.764)</f>
        <v>936.25271999999995</v>
      </c>
      <c r="E416" s="84">
        <v>0</v>
      </c>
      <c r="F416" s="84">
        <f t="shared" si="45"/>
        <v>1451.191716</v>
      </c>
      <c r="G416" s="145"/>
      <c r="H416" s="145"/>
      <c r="I416" s="38"/>
      <c r="L416" s="56"/>
      <c r="M416" s="56"/>
      <c r="N416" s="38"/>
    </row>
    <row r="417" spans="1:14" s="53" customFormat="1" ht="15.75" customHeight="1" x14ac:dyDescent="0.35">
      <c r="A417" s="145">
        <f t="shared" si="46"/>
        <v>6</v>
      </c>
      <c r="B417" s="145"/>
      <c r="C417" s="52">
        <v>3</v>
      </c>
      <c r="D417" s="59">
        <f>(109.66)*(10.764)</f>
        <v>1180.38024</v>
      </c>
      <c r="E417" s="84">
        <v>0</v>
      </c>
      <c r="F417" s="84">
        <f t="shared" si="45"/>
        <v>1829.5893719999999</v>
      </c>
      <c r="G417" s="145"/>
      <c r="H417" s="145"/>
      <c r="I417" s="38"/>
      <c r="L417" s="56"/>
      <c r="M417" s="56"/>
      <c r="N417" s="38"/>
    </row>
    <row r="418" spans="1:14" s="53" customFormat="1" ht="15.75" customHeight="1" x14ac:dyDescent="0.35">
      <c r="A418" s="124" t="s">
        <v>199</v>
      </c>
      <c r="B418" s="125"/>
      <c r="C418" s="125"/>
      <c r="D418" s="125"/>
      <c r="E418" s="125"/>
      <c r="F418" s="125"/>
      <c r="G418" s="125"/>
      <c r="H418" s="126"/>
      <c r="J418" s="38"/>
    </row>
    <row r="419" spans="1:14" s="53" customFormat="1" ht="15.75" customHeight="1" x14ac:dyDescent="0.35">
      <c r="A419" s="122">
        <v>1</v>
      </c>
      <c r="B419" s="123"/>
      <c r="C419" s="52">
        <v>3</v>
      </c>
      <c r="D419" s="59">
        <f>(109.66)*(10.764)</f>
        <v>1180.38024</v>
      </c>
      <c r="E419" s="54">
        <v>0</v>
      </c>
      <c r="F419" s="54">
        <f t="shared" ref="F419:F424" si="47">D419*(($F$225)+1)+(IF(E419&lt;101,E419,IF(E419&lt;201,E419/2,IF(E419&lt;=301,E419/3,E419/4))))</f>
        <v>1829.5893719999999</v>
      </c>
      <c r="G419" s="127" t="str">
        <f>A418</f>
        <v>5th Floor</v>
      </c>
      <c r="H419" s="128"/>
      <c r="I419" s="38"/>
      <c r="L419" s="56"/>
      <c r="M419" s="56"/>
      <c r="N419" s="38"/>
    </row>
    <row r="420" spans="1:14" s="53" customFormat="1" ht="15.75" customHeight="1" x14ac:dyDescent="0.35">
      <c r="A420" s="122">
        <f t="shared" ref="A420:A424" si="48">A419+1</f>
        <v>2</v>
      </c>
      <c r="B420" s="123"/>
      <c r="C420" s="52" t="s">
        <v>208</v>
      </c>
      <c r="D420" s="59">
        <f>(86.98)*(10.764)</f>
        <v>936.25271999999995</v>
      </c>
      <c r="E420" s="54">
        <v>0</v>
      </c>
      <c r="F420" s="54">
        <f t="shared" si="47"/>
        <v>1451.191716</v>
      </c>
      <c r="G420" s="129"/>
      <c r="H420" s="130"/>
      <c r="I420" s="38"/>
      <c r="L420" s="56"/>
      <c r="M420" s="56"/>
      <c r="N420" s="38"/>
    </row>
    <row r="421" spans="1:14" s="53" customFormat="1" ht="15.75" customHeight="1" x14ac:dyDescent="0.35">
      <c r="A421" s="122">
        <f t="shared" si="48"/>
        <v>3</v>
      </c>
      <c r="B421" s="123"/>
      <c r="C421" s="52">
        <v>2</v>
      </c>
      <c r="D421" s="59">
        <f>(76.46)*(10.764)</f>
        <v>823.0154399999999</v>
      </c>
      <c r="E421" s="54">
        <v>0</v>
      </c>
      <c r="F421" s="54">
        <f t="shared" si="47"/>
        <v>1275.6739319999999</v>
      </c>
      <c r="G421" s="129"/>
      <c r="H421" s="130"/>
      <c r="I421" s="38"/>
      <c r="L421" s="56"/>
      <c r="M421" s="56"/>
      <c r="N421" s="38"/>
    </row>
    <row r="422" spans="1:14" s="53" customFormat="1" ht="15.75" customHeight="1" x14ac:dyDescent="0.35">
      <c r="A422" s="122">
        <f t="shared" si="48"/>
        <v>4</v>
      </c>
      <c r="B422" s="123"/>
      <c r="C422" s="52">
        <v>2</v>
      </c>
      <c r="D422" s="59">
        <f>(76.46)*(10.764)</f>
        <v>823.0154399999999</v>
      </c>
      <c r="E422" s="54">
        <v>0</v>
      </c>
      <c r="F422" s="54">
        <f t="shared" si="47"/>
        <v>1275.6739319999999</v>
      </c>
      <c r="G422" s="129"/>
      <c r="H422" s="130"/>
      <c r="I422" s="38"/>
      <c r="L422" s="56"/>
      <c r="M422" s="56"/>
      <c r="N422" s="38"/>
    </row>
    <row r="423" spans="1:14" s="53" customFormat="1" ht="15.75" customHeight="1" x14ac:dyDescent="0.35">
      <c r="A423" s="122">
        <f t="shared" si="48"/>
        <v>5</v>
      </c>
      <c r="B423" s="123"/>
      <c r="C423" s="52" t="s">
        <v>208</v>
      </c>
      <c r="D423" s="59">
        <f>(86.98)*(10.764)</f>
        <v>936.25271999999995</v>
      </c>
      <c r="E423" s="54">
        <v>0</v>
      </c>
      <c r="F423" s="54">
        <f t="shared" si="47"/>
        <v>1451.191716</v>
      </c>
      <c r="G423" s="129"/>
      <c r="H423" s="130"/>
      <c r="I423" s="38"/>
      <c r="L423" s="56"/>
      <c r="M423" s="56"/>
      <c r="N423" s="38"/>
    </row>
    <row r="424" spans="1:14" s="53" customFormat="1" ht="15.75" customHeight="1" x14ac:dyDescent="0.35">
      <c r="A424" s="122">
        <f t="shared" si="48"/>
        <v>6</v>
      </c>
      <c r="B424" s="123"/>
      <c r="C424" s="52">
        <v>3</v>
      </c>
      <c r="D424" s="59">
        <f>(109.66)*(10.764)</f>
        <v>1180.38024</v>
      </c>
      <c r="E424" s="54">
        <v>0</v>
      </c>
      <c r="F424" s="54">
        <f t="shared" si="47"/>
        <v>1829.5893719999999</v>
      </c>
      <c r="G424" s="131"/>
      <c r="H424" s="132"/>
      <c r="I424" s="38"/>
      <c r="L424" s="56"/>
      <c r="M424" s="56"/>
      <c r="N424" s="38"/>
    </row>
    <row r="425" spans="1:14" s="53" customFormat="1" ht="15.75" customHeight="1" x14ac:dyDescent="0.35">
      <c r="A425" s="124" t="s">
        <v>200</v>
      </c>
      <c r="B425" s="125"/>
      <c r="C425" s="125"/>
      <c r="D425" s="125"/>
      <c r="E425" s="125"/>
      <c r="F425" s="125"/>
      <c r="G425" s="125"/>
      <c r="H425" s="126"/>
      <c r="J425" s="38"/>
    </row>
    <row r="426" spans="1:14" s="53" customFormat="1" ht="15.75" customHeight="1" x14ac:dyDescent="0.35">
      <c r="A426" s="122">
        <v>1</v>
      </c>
      <c r="B426" s="123"/>
      <c r="C426" s="52">
        <v>3</v>
      </c>
      <c r="D426" s="59">
        <f>(109.66)*(10.764)</f>
        <v>1180.38024</v>
      </c>
      <c r="E426" s="54">
        <v>0</v>
      </c>
      <c r="F426" s="54">
        <f t="shared" ref="F426:F431" si="49">D426*(($F$225)+1)+(IF(E426&lt;101,E426,IF(E426&lt;201,E426/2,IF(E426&lt;=301,E426/3,E426/4))))</f>
        <v>1829.5893719999999</v>
      </c>
      <c r="G426" s="127" t="str">
        <f>A425</f>
        <v>6th Floor</v>
      </c>
      <c r="H426" s="128"/>
      <c r="I426" s="38"/>
      <c r="L426" s="56"/>
      <c r="M426" s="56"/>
      <c r="N426" s="38"/>
    </row>
    <row r="427" spans="1:14" s="53" customFormat="1" ht="15.75" customHeight="1" x14ac:dyDescent="0.35">
      <c r="A427" s="122">
        <f t="shared" ref="A427:A431" si="50">A426+1</f>
        <v>2</v>
      </c>
      <c r="B427" s="123"/>
      <c r="C427" s="52" t="s">
        <v>208</v>
      </c>
      <c r="D427" s="59">
        <f>(86.98)*(10.764)</f>
        <v>936.25271999999995</v>
      </c>
      <c r="E427" s="54">
        <v>0</v>
      </c>
      <c r="F427" s="54">
        <f t="shared" si="49"/>
        <v>1451.191716</v>
      </c>
      <c r="G427" s="129"/>
      <c r="H427" s="130"/>
      <c r="I427" s="38"/>
      <c r="L427" s="56"/>
      <c r="M427" s="56"/>
      <c r="N427" s="38"/>
    </row>
    <row r="428" spans="1:14" s="53" customFormat="1" ht="15.75" customHeight="1" x14ac:dyDescent="0.35">
      <c r="A428" s="122">
        <f t="shared" si="50"/>
        <v>3</v>
      </c>
      <c r="B428" s="123"/>
      <c r="C428" s="52">
        <v>2</v>
      </c>
      <c r="D428" s="59">
        <f>(76.46)*(10.764)</f>
        <v>823.0154399999999</v>
      </c>
      <c r="E428" s="54">
        <v>0</v>
      </c>
      <c r="F428" s="54">
        <f t="shared" si="49"/>
        <v>1275.6739319999999</v>
      </c>
      <c r="G428" s="129"/>
      <c r="H428" s="130"/>
      <c r="I428" s="38"/>
      <c r="L428" s="56"/>
      <c r="M428" s="56"/>
      <c r="N428" s="38"/>
    </row>
    <row r="429" spans="1:14" s="53" customFormat="1" ht="15.75" customHeight="1" x14ac:dyDescent="0.35">
      <c r="A429" s="122">
        <f t="shared" si="50"/>
        <v>4</v>
      </c>
      <c r="B429" s="123"/>
      <c r="C429" s="52">
        <v>2</v>
      </c>
      <c r="D429" s="59">
        <f>(76.46)*(10.764)</f>
        <v>823.0154399999999</v>
      </c>
      <c r="E429" s="54">
        <v>0</v>
      </c>
      <c r="F429" s="54">
        <f t="shared" si="49"/>
        <v>1275.6739319999999</v>
      </c>
      <c r="G429" s="129"/>
      <c r="H429" s="130"/>
      <c r="I429" s="38"/>
      <c r="L429" s="56"/>
      <c r="M429" s="56"/>
      <c r="N429" s="38"/>
    </row>
    <row r="430" spans="1:14" s="53" customFormat="1" ht="15.75" customHeight="1" x14ac:dyDescent="0.35">
      <c r="A430" s="122">
        <f t="shared" si="50"/>
        <v>5</v>
      </c>
      <c r="B430" s="123"/>
      <c r="C430" s="52" t="s">
        <v>208</v>
      </c>
      <c r="D430" s="59">
        <f>(86.98)*(10.764)</f>
        <v>936.25271999999995</v>
      </c>
      <c r="E430" s="54">
        <v>0</v>
      </c>
      <c r="F430" s="54">
        <f t="shared" si="49"/>
        <v>1451.191716</v>
      </c>
      <c r="G430" s="129"/>
      <c r="H430" s="130"/>
      <c r="I430" s="38"/>
      <c r="L430" s="56"/>
      <c r="M430" s="56"/>
      <c r="N430" s="38"/>
    </row>
    <row r="431" spans="1:14" s="53" customFormat="1" ht="15.75" customHeight="1" x14ac:dyDescent="0.35">
      <c r="A431" s="122">
        <f t="shared" si="50"/>
        <v>6</v>
      </c>
      <c r="B431" s="123"/>
      <c r="C431" s="52">
        <v>3</v>
      </c>
      <c r="D431" s="59">
        <f>(109.66)*(10.764)</f>
        <v>1180.38024</v>
      </c>
      <c r="E431" s="54">
        <v>0</v>
      </c>
      <c r="F431" s="54">
        <f t="shared" si="49"/>
        <v>1829.5893719999999</v>
      </c>
      <c r="G431" s="131"/>
      <c r="H431" s="132"/>
      <c r="I431" s="38"/>
      <c r="L431" s="56"/>
      <c r="M431" s="56"/>
      <c r="N431" s="38"/>
    </row>
    <row r="432" spans="1:14" s="53" customFormat="1" ht="15.75" customHeight="1" x14ac:dyDescent="0.35">
      <c r="A432" s="124" t="s">
        <v>289</v>
      </c>
      <c r="B432" s="125"/>
      <c r="C432" s="125"/>
      <c r="D432" s="125"/>
      <c r="E432" s="125"/>
      <c r="F432" s="125"/>
      <c r="G432" s="125"/>
      <c r="H432" s="126"/>
      <c r="J432" s="38"/>
    </row>
    <row r="433" spans="1:14" s="53" customFormat="1" ht="15.75" customHeight="1" x14ac:dyDescent="0.35">
      <c r="A433" s="122">
        <v>1</v>
      </c>
      <c r="B433" s="123"/>
      <c r="C433" s="52">
        <v>3</v>
      </c>
      <c r="D433" s="59">
        <f>(109.66)*(10.764)</f>
        <v>1180.38024</v>
      </c>
      <c r="E433" s="54">
        <v>0</v>
      </c>
      <c r="F433" s="54">
        <f>D433*(($F$225)+1)+(IF(E433&lt;101,E433,IF(E433&lt;201,E433/2,IF(E433&lt;=301,E433/3,E433/4))))</f>
        <v>1829.5893719999999</v>
      </c>
      <c r="G433" s="127" t="str">
        <f>A432</f>
        <v xml:space="preserve">7th Floor </v>
      </c>
      <c r="H433" s="128"/>
      <c r="I433" s="38"/>
      <c r="L433" s="56"/>
      <c r="M433" s="56"/>
      <c r="N433" s="38"/>
    </row>
    <row r="434" spans="1:14" s="53" customFormat="1" ht="15.75" customHeight="1" x14ac:dyDescent="0.35">
      <c r="A434" s="122">
        <f t="shared" ref="A434:A438" si="51">A433+1</f>
        <v>2</v>
      </c>
      <c r="B434" s="123"/>
      <c r="C434" s="52" t="s">
        <v>208</v>
      </c>
      <c r="D434" s="59">
        <f>(86.98)*(10.764)</f>
        <v>936.25271999999995</v>
      </c>
      <c r="E434" s="54">
        <v>0</v>
      </c>
      <c r="F434" s="54">
        <f>D434*(($F$225)+1)+(IF(E434&lt;101,E434,IF(E434&lt;201,E434/2,IF(E434&lt;=301,E434/3,E434/4))))</f>
        <v>1451.191716</v>
      </c>
      <c r="G434" s="129"/>
      <c r="H434" s="130"/>
      <c r="I434" s="38"/>
      <c r="L434" s="56"/>
      <c r="M434" s="56"/>
      <c r="N434" s="38"/>
    </row>
    <row r="435" spans="1:14" s="53" customFormat="1" ht="15.75" customHeight="1" x14ac:dyDescent="0.35">
      <c r="A435" s="122">
        <f t="shared" si="51"/>
        <v>3</v>
      </c>
      <c r="B435" s="123"/>
      <c r="C435" s="52">
        <v>2</v>
      </c>
      <c r="D435" s="59">
        <f>(76.46)*(10.764)</f>
        <v>823.0154399999999</v>
      </c>
      <c r="E435" s="72">
        <v>0</v>
      </c>
      <c r="F435" s="72">
        <f t="shared" ref="F435:F436" si="52">D435*(($F$225)+1)+(IF(E435&lt;101,E435,IF(E435&lt;201,E435/2,IF(E435&lt;=301,E435/3,E435/4))))</f>
        <v>1275.6739319999999</v>
      </c>
      <c r="G435" s="129"/>
      <c r="H435" s="130"/>
      <c r="I435" s="38"/>
      <c r="L435" s="56"/>
      <c r="M435" s="56"/>
      <c r="N435" s="38"/>
    </row>
    <row r="436" spans="1:14" s="53" customFormat="1" ht="15.75" customHeight="1" x14ac:dyDescent="0.35">
      <c r="A436" s="122">
        <f t="shared" si="51"/>
        <v>4</v>
      </c>
      <c r="B436" s="123"/>
      <c r="C436" s="52">
        <v>2</v>
      </c>
      <c r="D436" s="59">
        <f>(76.46)*(10.764)</f>
        <v>823.0154399999999</v>
      </c>
      <c r="E436" s="72">
        <v>0</v>
      </c>
      <c r="F436" s="72">
        <f t="shared" si="52"/>
        <v>1275.6739319999999</v>
      </c>
      <c r="G436" s="129"/>
      <c r="H436" s="130"/>
      <c r="I436" s="38"/>
      <c r="L436" s="56"/>
      <c r="M436" s="56"/>
      <c r="N436" s="38"/>
    </row>
    <row r="437" spans="1:14" s="53" customFormat="1" ht="15.75" customHeight="1" x14ac:dyDescent="0.35">
      <c r="A437" s="122">
        <f t="shared" si="51"/>
        <v>5</v>
      </c>
      <c r="B437" s="123"/>
      <c r="C437" s="52" t="s">
        <v>208</v>
      </c>
      <c r="D437" s="59">
        <f>(86.98)*(10.764)</f>
        <v>936.25271999999995</v>
      </c>
      <c r="E437" s="54">
        <v>0</v>
      </c>
      <c r="F437" s="54">
        <f>D437*(($F$225)+1)+(IF(E437&lt;101,E437,IF(E437&lt;201,E437/2,IF(E437&lt;=301,E437/3,E437/4))))</f>
        <v>1451.191716</v>
      </c>
      <c r="G437" s="129"/>
      <c r="H437" s="130"/>
      <c r="I437" s="38"/>
      <c r="L437" s="56"/>
      <c r="M437" s="56"/>
      <c r="N437" s="38"/>
    </row>
    <row r="438" spans="1:14" s="53" customFormat="1" ht="15.75" customHeight="1" x14ac:dyDescent="0.35">
      <c r="A438" s="122">
        <f t="shared" si="51"/>
        <v>6</v>
      </c>
      <c r="B438" s="123"/>
      <c r="C438" s="52">
        <v>3</v>
      </c>
      <c r="D438" s="59">
        <f>(109.66)*(10.764)</f>
        <v>1180.38024</v>
      </c>
      <c r="E438" s="54">
        <v>0</v>
      </c>
      <c r="F438" s="54">
        <f>D438*(($F$225)+1)+(IF(E438&lt;101,E438,IF(E438&lt;201,E438/2,IF(E438&lt;=301,E438/3,E438/4))))</f>
        <v>1829.5893719999999</v>
      </c>
      <c r="G438" s="131"/>
      <c r="H438" s="132"/>
      <c r="I438" s="38"/>
      <c r="L438" s="56"/>
      <c r="M438" s="56"/>
      <c r="N438" s="38"/>
    </row>
    <row r="439" spans="1:14" s="53" customFormat="1" ht="15.75" customHeight="1" x14ac:dyDescent="0.35">
      <c r="A439" s="124" t="s">
        <v>204</v>
      </c>
      <c r="B439" s="125"/>
      <c r="C439" s="125"/>
      <c r="D439" s="125"/>
      <c r="E439" s="125"/>
      <c r="F439" s="125"/>
      <c r="G439" s="125"/>
      <c r="H439" s="126"/>
      <c r="J439" s="38"/>
    </row>
    <row r="440" spans="1:14" s="53" customFormat="1" ht="15.75" customHeight="1" x14ac:dyDescent="0.35">
      <c r="A440" s="122">
        <v>1</v>
      </c>
      <c r="B440" s="123"/>
      <c r="C440" s="52">
        <v>3</v>
      </c>
      <c r="D440" s="59">
        <f>(109.66)*(10.764)</f>
        <v>1180.38024</v>
      </c>
      <c r="E440" s="54">
        <v>0</v>
      </c>
      <c r="F440" s="54">
        <f t="shared" ref="F440:F445" si="53">D440*(($F$225)+1)+(IF(E440&lt;101,E440,IF(E440&lt;201,E440/2,IF(E440&lt;=301,E440/3,E440/4))))</f>
        <v>1829.5893719999999</v>
      </c>
      <c r="G440" s="127" t="str">
        <f>A439</f>
        <v>8th Floor (Part Refuge Area)</v>
      </c>
      <c r="H440" s="128"/>
      <c r="I440" s="38"/>
      <c r="L440" s="56"/>
      <c r="M440" s="56"/>
      <c r="N440" s="38"/>
    </row>
    <row r="441" spans="1:14" s="53" customFormat="1" ht="15.75" customHeight="1" x14ac:dyDescent="0.35">
      <c r="A441" s="122">
        <f t="shared" ref="A441:A445" si="54">A440+1</f>
        <v>2</v>
      </c>
      <c r="B441" s="123"/>
      <c r="C441" s="52" t="s">
        <v>208</v>
      </c>
      <c r="D441" s="59">
        <f>(86.98)*(10.764)</f>
        <v>936.25271999999995</v>
      </c>
      <c r="E441" s="54">
        <v>0</v>
      </c>
      <c r="F441" s="54">
        <f t="shared" si="53"/>
        <v>1451.191716</v>
      </c>
      <c r="G441" s="129"/>
      <c r="H441" s="130"/>
      <c r="I441" s="38"/>
      <c r="L441" s="56"/>
      <c r="M441" s="56"/>
      <c r="N441" s="38"/>
    </row>
    <row r="442" spans="1:14" s="53" customFormat="1" ht="15.75" customHeight="1" x14ac:dyDescent="0.35">
      <c r="A442" s="122">
        <f t="shared" si="54"/>
        <v>3</v>
      </c>
      <c r="B442" s="123"/>
      <c r="C442" s="133" t="s">
        <v>202</v>
      </c>
      <c r="D442" s="134"/>
      <c r="E442" s="134"/>
      <c r="F442" s="135"/>
      <c r="G442" s="129"/>
      <c r="H442" s="130"/>
      <c r="I442" s="38"/>
      <c r="L442" s="56"/>
      <c r="M442" s="56"/>
      <c r="N442" s="38"/>
    </row>
    <row r="443" spans="1:14" s="53" customFormat="1" ht="15.75" customHeight="1" x14ac:dyDescent="0.35">
      <c r="A443" s="122">
        <f t="shared" si="54"/>
        <v>4</v>
      </c>
      <c r="B443" s="123"/>
      <c r="C443" s="136"/>
      <c r="D443" s="137"/>
      <c r="E443" s="137"/>
      <c r="F443" s="138"/>
      <c r="G443" s="129"/>
      <c r="H443" s="130"/>
      <c r="I443" s="38"/>
      <c r="L443" s="56"/>
      <c r="M443" s="56"/>
      <c r="N443" s="38"/>
    </row>
    <row r="444" spans="1:14" s="53" customFormat="1" ht="15.75" customHeight="1" x14ac:dyDescent="0.35">
      <c r="A444" s="122">
        <f t="shared" si="54"/>
        <v>5</v>
      </c>
      <c r="B444" s="123"/>
      <c r="C444" s="52" t="s">
        <v>208</v>
      </c>
      <c r="D444" s="59">
        <f>(86.98)*(10.764)</f>
        <v>936.25271999999995</v>
      </c>
      <c r="E444" s="54">
        <v>0</v>
      </c>
      <c r="F444" s="54">
        <f t="shared" si="53"/>
        <v>1451.191716</v>
      </c>
      <c r="G444" s="129"/>
      <c r="H444" s="130"/>
      <c r="I444" s="38"/>
      <c r="L444" s="56"/>
      <c r="M444" s="56"/>
      <c r="N444" s="38"/>
    </row>
    <row r="445" spans="1:14" s="53" customFormat="1" ht="15.75" customHeight="1" x14ac:dyDescent="0.35">
      <c r="A445" s="122">
        <f t="shared" si="54"/>
        <v>6</v>
      </c>
      <c r="B445" s="123"/>
      <c r="C445" s="52">
        <v>3</v>
      </c>
      <c r="D445" s="59">
        <f>(109.66)*(10.764)</f>
        <v>1180.38024</v>
      </c>
      <c r="E445" s="54">
        <v>0</v>
      </c>
      <c r="F445" s="54">
        <f t="shared" si="53"/>
        <v>1829.5893719999999</v>
      </c>
      <c r="G445" s="131"/>
      <c r="H445" s="132"/>
      <c r="I445" s="38"/>
      <c r="L445" s="56"/>
      <c r="M445" s="56"/>
      <c r="N445" s="38"/>
    </row>
    <row r="446" spans="1:14" s="53" customFormat="1" ht="15.75" hidden="1" customHeight="1" x14ac:dyDescent="0.35">
      <c r="A446" s="124" t="s">
        <v>205</v>
      </c>
      <c r="B446" s="125"/>
      <c r="C446" s="125"/>
      <c r="D446" s="125"/>
      <c r="E446" s="125"/>
      <c r="F446" s="125"/>
      <c r="G446" s="125"/>
      <c r="H446" s="126"/>
      <c r="J446" s="38"/>
    </row>
    <row r="447" spans="1:14" s="53" customFormat="1" ht="15.75" hidden="1" customHeight="1" x14ac:dyDescent="0.35">
      <c r="A447" s="122">
        <v>1</v>
      </c>
      <c r="B447" s="123"/>
      <c r="C447" s="52">
        <v>3</v>
      </c>
      <c r="D447" s="59">
        <f>(108.73)*(10.764)</f>
        <v>1170.3697199999999</v>
      </c>
      <c r="E447" s="54">
        <v>0</v>
      </c>
      <c r="F447" s="54">
        <f t="shared" ref="F447:F452" si="55">D447*(($F$225)+1)+(IF(E447&lt;101,E447,IF(E447&lt;201,E447/2,IF(E447&lt;=301,E447/3,E447/4))))</f>
        <v>1814.0730659999999</v>
      </c>
      <c r="G447" s="127" t="str">
        <f>A446</f>
        <v>9th, 11th, 12th, 17th &amp; 18th Floor</v>
      </c>
      <c r="H447" s="128"/>
      <c r="I447" s="38"/>
      <c r="L447" s="56"/>
      <c r="M447" s="56"/>
      <c r="N447" s="38"/>
    </row>
    <row r="448" spans="1:14" s="53" customFormat="1" ht="15.75" hidden="1" customHeight="1" x14ac:dyDescent="0.35">
      <c r="A448" s="122">
        <f t="shared" ref="A448:A452" si="56">A447+1</f>
        <v>2</v>
      </c>
      <c r="B448" s="123"/>
      <c r="C448" s="52" t="s">
        <v>208</v>
      </c>
      <c r="D448" s="59">
        <f>(86.7)*(10.764)</f>
        <v>933.23879999999997</v>
      </c>
      <c r="E448" s="54">
        <v>0</v>
      </c>
      <c r="F448" s="54">
        <f t="shared" si="55"/>
        <v>1446.5201400000001</v>
      </c>
      <c r="G448" s="129"/>
      <c r="H448" s="130"/>
      <c r="I448" s="38"/>
      <c r="L448" s="56"/>
      <c r="M448" s="56"/>
      <c r="N448" s="38"/>
    </row>
    <row r="449" spans="1:14" s="53" customFormat="1" ht="15.75" hidden="1" customHeight="1" x14ac:dyDescent="0.35">
      <c r="A449" s="122">
        <f t="shared" si="56"/>
        <v>3</v>
      </c>
      <c r="B449" s="123"/>
      <c r="C449" s="52">
        <v>2</v>
      </c>
      <c r="D449" s="59">
        <f>(72.4)*(10.764)</f>
        <v>779.31360000000006</v>
      </c>
      <c r="E449" s="54">
        <v>0</v>
      </c>
      <c r="F449" s="54">
        <f t="shared" si="55"/>
        <v>1207.9360800000002</v>
      </c>
      <c r="G449" s="129"/>
      <c r="H449" s="130"/>
      <c r="I449" s="38"/>
      <c r="L449" s="56"/>
      <c r="M449" s="56"/>
      <c r="N449" s="38"/>
    </row>
    <row r="450" spans="1:14" s="53" customFormat="1" ht="15.75" hidden="1" customHeight="1" x14ac:dyDescent="0.35">
      <c r="A450" s="122">
        <f t="shared" si="56"/>
        <v>4</v>
      </c>
      <c r="B450" s="123"/>
      <c r="C450" s="52">
        <v>2</v>
      </c>
      <c r="D450" s="59">
        <f>(72.4)*(10.764)</f>
        <v>779.31360000000006</v>
      </c>
      <c r="E450" s="54">
        <v>0</v>
      </c>
      <c r="F450" s="54">
        <f t="shared" si="55"/>
        <v>1207.9360800000002</v>
      </c>
      <c r="G450" s="129"/>
      <c r="H450" s="130"/>
      <c r="I450" s="38"/>
      <c r="L450" s="56"/>
      <c r="M450" s="56"/>
      <c r="N450" s="38"/>
    </row>
    <row r="451" spans="1:14" s="53" customFormat="1" ht="15.75" hidden="1" customHeight="1" x14ac:dyDescent="0.35">
      <c r="A451" s="122">
        <f t="shared" si="56"/>
        <v>5</v>
      </c>
      <c r="B451" s="123"/>
      <c r="C451" s="52" t="s">
        <v>208</v>
      </c>
      <c r="D451" s="59">
        <f>(86.7)*(10.764)</f>
        <v>933.23879999999997</v>
      </c>
      <c r="E451" s="54">
        <v>0</v>
      </c>
      <c r="F451" s="54">
        <f t="shared" si="55"/>
        <v>1446.5201400000001</v>
      </c>
      <c r="G451" s="129"/>
      <c r="H451" s="130"/>
      <c r="I451" s="38"/>
      <c r="L451" s="56"/>
      <c r="M451" s="56"/>
      <c r="N451" s="38"/>
    </row>
    <row r="452" spans="1:14" s="53" customFormat="1" ht="15.75" hidden="1" customHeight="1" x14ac:dyDescent="0.35">
      <c r="A452" s="122">
        <f t="shared" si="56"/>
        <v>6</v>
      </c>
      <c r="B452" s="123"/>
      <c r="C452" s="52">
        <v>3</v>
      </c>
      <c r="D452" s="59">
        <f>(108.73)*(10.764)</f>
        <v>1170.3697199999999</v>
      </c>
      <c r="E452" s="54">
        <v>0</v>
      </c>
      <c r="F452" s="54">
        <f t="shared" si="55"/>
        <v>1814.0730659999999</v>
      </c>
      <c r="G452" s="131"/>
      <c r="H452" s="132"/>
      <c r="I452" s="38"/>
      <c r="L452" s="56"/>
      <c r="M452" s="56"/>
      <c r="N452" s="38"/>
    </row>
    <row r="453" spans="1:14" s="71" customFormat="1" ht="15.75" customHeight="1" x14ac:dyDescent="0.35">
      <c r="A453" s="124" t="s">
        <v>290</v>
      </c>
      <c r="B453" s="125"/>
      <c r="C453" s="125"/>
      <c r="D453" s="125"/>
      <c r="E453" s="125"/>
      <c r="F453" s="125"/>
      <c r="G453" s="125"/>
      <c r="H453" s="126"/>
      <c r="J453" s="38"/>
    </row>
    <row r="454" spans="1:14" s="71" customFormat="1" ht="15.75" customHeight="1" x14ac:dyDescent="0.35">
      <c r="A454" s="122">
        <v>1</v>
      </c>
      <c r="B454" s="123"/>
      <c r="C454" s="52">
        <v>3</v>
      </c>
      <c r="D454" s="59">
        <f>(109.66)*(10.764)</f>
        <v>1180.38024</v>
      </c>
      <c r="E454" s="72">
        <v>0</v>
      </c>
      <c r="F454" s="72">
        <f>D454*(($F$225)+1)+(IF(E454&lt;101,E454,IF(E454&lt;201,E454/2,IF(E454&lt;=301,E454/3,E454/4))))</f>
        <v>1829.5893719999999</v>
      </c>
      <c r="G454" s="127" t="str">
        <f>A453</f>
        <v xml:space="preserve">9th Floor </v>
      </c>
      <c r="H454" s="128"/>
      <c r="I454" s="38"/>
      <c r="L454" s="56"/>
      <c r="M454" s="56"/>
      <c r="N454" s="38"/>
    </row>
    <row r="455" spans="1:14" s="71" customFormat="1" ht="15.75" customHeight="1" x14ac:dyDescent="0.35">
      <c r="A455" s="122">
        <f t="shared" ref="A455:A459" si="57">A454+1</f>
        <v>2</v>
      </c>
      <c r="B455" s="123"/>
      <c r="C455" s="52" t="s">
        <v>208</v>
      </c>
      <c r="D455" s="59">
        <f>(86.98)*(10.764)</f>
        <v>936.25271999999995</v>
      </c>
      <c r="E455" s="72">
        <v>0</v>
      </c>
      <c r="F455" s="72">
        <f>D455*(($F$225)+1)+(IF(E455&lt;101,E455,IF(E455&lt;201,E455/2,IF(E455&lt;=301,E455/3,E455/4))))</f>
        <v>1451.191716</v>
      </c>
      <c r="G455" s="129"/>
      <c r="H455" s="130"/>
      <c r="I455" s="38"/>
      <c r="L455" s="56"/>
      <c r="M455" s="56"/>
      <c r="N455" s="38"/>
    </row>
    <row r="456" spans="1:14" s="71" customFormat="1" ht="15.75" customHeight="1" x14ac:dyDescent="0.35">
      <c r="A456" s="122">
        <f t="shared" si="57"/>
        <v>3</v>
      </c>
      <c r="B456" s="123"/>
      <c r="C456" s="52">
        <v>2</v>
      </c>
      <c r="D456" s="59">
        <f>(76.46)*(10.764)</f>
        <v>823.0154399999999</v>
      </c>
      <c r="E456" s="72">
        <v>0</v>
      </c>
      <c r="F456" s="72">
        <f t="shared" ref="F456:F457" si="58">D456*(($F$225)+1)+(IF(E456&lt;101,E456,IF(E456&lt;201,E456/2,IF(E456&lt;=301,E456/3,E456/4))))</f>
        <v>1275.6739319999999</v>
      </c>
      <c r="G456" s="129"/>
      <c r="H456" s="130"/>
      <c r="I456" s="38"/>
      <c r="L456" s="56"/>
      <c r="M456" s="56"/>
      <c r="N456" s="38"/>
    </row>
    <row r="457" spans="1:14" s="71" customFormat="1" ht="15.75" customHeight="1" x14ac:dyDescent="0.35">
      <c r="A457" s="122">
        <f t="shared" si="57"/>
        <v>4</v>
      </c>
      <c r="B457" s="123"/>
      <c r="C457" s="52">
        <v>2</v>
      </c>
      <c r="D457" s="59">
        <f>(76.46)*(10.764)</f>
        <v>823.0154399999999</v>
      </c>
      <c r="E457" s="72">
        <v>0</v>
      </c>
      <c r="F457" s="72">
        <f t="shared" si="58"/>
        <v>1275.6739319999999</v>
      </c>
      <c r="G457" s="129"/>
      <c r="H457" s="130"/>
      <c r="I457" s="38"/>
      <c r="L457" s="56"/>
      <c r="M457" s="56"/>
      <c r="N457" s="38"/>
    </row>
    <row r="458" spans="1:14" s="71" customFormat="1" ht="15.75" customHeight="1" x14ac:dyDescent="0.35">
      <c r="A458" s="122">
        <f t="shared" si="57"/>
        <v>5</v>
      </c>
      <c r="B458" s="123"/>
      <c r="C458" s="52" t="s">
        <v>208</v>
      </c>
      <c r="D458" s="59">
        <f>(86.98)*(10.764)</f>
        <v>936.25271999999995</v>
      </c>
      <c r="E458" s="72">
        <v>0</v>
      </c>
      <c r="F458" s="72">
        <f>D458*(($F$225)+1)+(IF(E458&lt;101,E458,IF(E458&lt;201,E458/2,IF(E458&lt;=301,E458/3,E458/4))))</f>
        <v>1451.191716</v>
      </c>
      <c r="G458" s="129"/>
      <c r="H458" s="130"/>
      <c r="I458" s="38"/>
      <c r="L458" s="56"/>
      <c r="M458" s="56"/>
      <c r="N458" s="38"/>
    </row>
    <row r="459" spans="1:14" s="71" customFormat="1" ht="15.75" customHeight="1" x14ac:dyDescent="0.35">
      <c r="A459" s="122">
        <f t="shared" si="57"/>
        <v>6</v>
      </c>
      <c r="B459" s="123"/>
      <c r="C459" s="52">
        <v>3</v>
      </c>
      <c r="D459" s="59">
        <f>(109.66)*(10.764)</f>
        <v>1180.38024</v>
      </c>
      <c r="E459" s="72">
        <v>0</v>
      </c>
      <c r="F459" s="72">
        <f>D459*(($F$225)+1)+(IF(E459&lt;101,E459,IF(E459&lt;201,E459/2,IF(E459&lt;=301,E459/3,E459/4))))</f>
        <v>1829.5893719999999</v>
      </c>
      <c r="G459" s="131"/>
      <c r="H459" s="132"/>
      <c r="I459" s="38"/>
      <c r="L459" s="56"/>
      <c r="M459" s="56"/>
      <c r="N459" s="38"/>
    </row>
    <row r="460" spans="1:14" s="53" customFormat="1" ht="15.75" customHeight="1" x14ac:dyDescent="0.35">
      <c r="A460" s="139" t="s">
        <v>285</v>
      </c>
      <c r="B460" s="139"/>
      <c r="C460" s="139"/>
      <c r="D460" s="139"/>
      <c r="E460" s="139"/>
      <c r="F460" s="139"/>
      <c r="G460" s="139"/>
      <c r="H460" s="139"/>
      <c r="J460" s="38"/>
    </row>
    <row r="461" spans="1:14" s="53" customFormat="1" ht="15.75" customHeight="1" x14ac:dyDescent="0.35">
      <c r="A461" s="145">
        <v>1</v>
      </c>
      <c r="B461" s="145"/>
      <c r="C461" s="52">
        <v>3</v>
      </c>
      <c r="D461" s="59">
        <f>(108.73)*(10.764)</f>
        <v>1170.3697199999999</v>
      </c>
      <c r="E461" s="84">
        <v>0</v>
      </c>
      <c r="F461" s="84">
        <f t="shared" ref="F461:F466" si="59">D461*(($F$225)+1)+(IF(E461&lt;101,E461,IF(E461&lt;201,E461/2,IF(E461&lt;=301,E461/3,E461/4))))</f>
        <v>1814.0730659999999</v>
      </c>
      <c r="G461" s="145" t="str">
        <f>A460</f>
        <v>10th to 14th &amp; 17th to 19th Floor</v>
      </c>
      <c r="H461" s="145"/>
      <c r="I461" s="38"/>
      <c r="L461" s="56"/>
      <c r="M461" s="56"/>
      <c r="N461" s="38"/>
    </row>
    <row r="462" spans="1:14" s="53" customFormat="1" ht="15.75" customHeight="1" x14ac:dyDescent="0.35">
      <c r="A462" s="145">
        <f t="shared" ref="A462:A466" si="60">A461+1</f>
        <v>2</v>
      </c>
      <c r="B462" s="145"/>
      <c r="C462" s="52" t="s">
        <v>208</v>
      </c>
      <c r="D462" s="59">
        <f>(86.7)*(10.764)</f>
        <v>933.23879999999997</v>
      </c>
      <c r="E462" s="84">
        <v>0</v>
      </c>
      <c r="F462" s="84">
        <f t="shared" si="59"/>
        <v>1446.5201400000001</v>
      </c>
      <c r="G462" s="145"/>
      <c r="H462" s="145"/>
      <c r="I462" s="38"/>
      <c r="L462" s="56"/>
      <c r="M462" s="56"/>
      <c r="N462" s="38"/>
    </row>
    <row r="463" spans="1:14" s="53" customFormat="1" ht="15.75" customHeight="1" x14ac:dyDescent="0.35">
      <c r="A463" s="145">
        <f t="shared" si="60"/>
        <v>3</v>
      </c>
      <c r="B463" s="145"/>
      <c r="C463" s="52">
        <v>2</v>
      </c>
      <c r="D463" s="59">
        <f>(72.4)*(10.764)</f>
        <v>779.31360000000006</v>
      </c>
      <c r="E463" s="84">
        <v>0</v>
      </c>
      <c r="F463" s="84">
        <f t="shared" si="59"/>
        <v>1207.9360800000002</v>
      </c>
      <c r="G463" s="145"/>
      <c r="H463" s="145"/>
      <c r="I463" s="38"/>
      <c r="L463" s="56"/>
      <c r="M463" s="56"/>
      <c r="N463" s="38"/>
    </row>
    <row r="464" spans="1:14" s="53" customFormat="1" ht="15.75" customHeight="1" x14ac:dyDescent="0.35">
      <c r="A464" s="145">
        <f t="shared" si="60"/>
        <v>4</v>
      </c>
      <c r="B464" s="145"/>
      <c r="C464" s="52">
        <v>2</v>
      </c>
      <c r="D464" s="59">
        <f>(72.4)*(10.764)</f>
        <v>779.31360000000006</v>
      </c>
      <c r="E464" s="84">
        <v>0</v>
      </c>
      <c r="F464" s="84">
        <f t="shared" si="59"/>
        <v>1207.9360800000002</v>
      </c>
      <c r="G464" s="145"/>
      <c r="H464" s="145"/>
      <c r="I464" s="38"/>
      <c r="L464" s="56"/>
      <c r="M464" s="56"/>
      <c r="N464" s="38"/>
    </row>
    <row r="465" spans="1:14" s="53" customFormat="1" ht="15.75" customHeight="1" x14ac:dyDescent="0.35">
      <c r="A465" s="145">
        <f t="shared" si="60"/>
        <v>5</v>
      </c>
      <c r="B465" s="145"/>
      <c r="C465" s="52" t="s">
        <v>208</v>
      </c>
      <c r="D465" s="59">
        <f>(86.7)*(10.764)</f>
        <v>933.23879999999997</v>
      </c>
      <c r="E465" s="84">
        <v>0</v>
      </c>
      <c r="F465" s="84">
        <f t="shared" si="59"/>
        <v>1446.5201400000001</v>
      </c>
      <c r="G465" s="145"/>
      <c r="H465" s="145"/>
      <c r="I465" s="38"/>
      <c r="L465" s="56"/>
      <c r="M465" s="56"/>
      <c r="N465" s="38"/>
    </row>
    <row r="466" spans="1:14" s="53" customFormat="1" ht="15.75" customHeight="1" x14ac:dyDescent="0.35">
      <c r="A466" s="145">
        <f t="shared" si="60"/>
        <v>6</v>
      </c>
      <c r="B466" s="145"/>
      <c r="C466" s="52">
        <v>3</v>
      </c>
      <c r="D466" s="59">
        <f>(108.73)*(10.764)</f>
        <v>1170.3697199999999</v>
      </c>
      <c r="E466" s="84">
        <v>0</v>
      </c>
      <c r="F466" s="84">
        <f t="shared" si="59"/>
        <v>1814.0730659999999</v>
      </c>
      <c r="G466" s="145"/>
      <c r="H466" s="145"/>
      <c r="I466" s="38"/>
      <c r="L466" s="56"/>
      <c r="M466" s="56"/>
      <c r="N466" s="38"/>
    </row>
    <row r="467" spans="1:14" s="53" customFormat="1" ht="15.75" customHeight="1" x14ac:dyDescent="0.35">
      <c r="A467" s="139" t="s">
        <v>220</v>
      </c>
      <c r="B467" s="139"/>
      <c r="C467" s="139"/>
      <c r="D467" s="139"/>
      <c r="E467" s="139"/>
      <c r="F467" s="139"/>
      <c r="G467" s="139"/>
      <c r="H467" s="139"/>
      <c r="J467" s="38"/>
    </row>
    <row r="468" spans="1:14" s="53" customFormat="1" ht="15.75" customHeight="1" x14ac:dyDescent="0.35">
      <c r="A468" s="145">
        <v>1</v>
      </c>
      <c r="B468" s="145"/>
      <c r="C468" s="52">
        <v>3</v>
      </c>
      <c r="D468" s="59">
        <f>(109.67)*(10.764)</f>
        <v>1180.4878799999999</v>
      </c>
      <c r="E468" s="84">
        <v>0</v>
      </c>
      <c r="F468" s="84">
        <f>D468*(($F$225)+1)+(IF(E468&lt;101,E468,IF(E468&lt;201,E468/2,IF(E468&lt;=301,E468/3,E468/4))))</f>
        <v>1829.756214</v>
      </c>
      <c r="G468" s="145" t="str">
        <f>A467</f>
        <v>15th Floor (Part Refuge Area)</v>
      </c>
      <c r="H468" s="145"/>
      <c r="I468" s="38"/>
      <c r="L468" s="56"/>
      <c r="M468" s="56"/>
      <c r="N468" s="38"/>
    </row>
    <row r="469" spans="1:14" s="53" customFormat="1" ht="15.75" customHeight="1" x14ac:dyDescent="0.35">
      <c r="A469" s="145">
        <f t="shared" ref="A469:A473" si="61">A468+1</f>
        <v>2</v>
      </c>
      <c r="B469" s="145"/>
      <c r="C469" s="52" t="s">
        <v>208</v>
      </c>
      <c r="D469" s="59">
        <f>(86.98)*(10.764)</f>
        <v>936.25271999999995</v>
      </c>
      <c r="E469" s="84">
        <v>0</v>
      </c>
      <c r="F469" s="84">
        <f>D469*(($F$225)+1)+(IF(E469&lt;101,E469,IF(E469&lt;201,E469/2,IF(E469&lt;=301,E469/3,E469/4))))</f>
        <v>1451.191716</v>
      </c>
      <c r="G469" s="145"/>
      <c r="H469" s="145"/>
      <c r="I469" s="38"/>
      <c r="L469" s="56"/>
      <c r="M469" s="56"/>
      <c r="N469" s="38"/>
    </row>
    <row r="470" spans="1:14" s="53" customFormat="1" ht="15.75" customHeight="1" x14ac:dyDescent="0.35">
      <c r="A470" s="145">
        <f t="shared" si="61"/>
        <v>3</v>
      </c>
      <c r="B470" s="145"/>
      <c r="C470" s="149" t="s">
        <v>202</v>
      </c>
      <c r="D470" s="149"/>
      <c r="E470" s="149"/>
      <c r="F470" s="149"/>
      <c r="G470" s="145"/>
      <c r="H470" s="145"/>
      <c r="I470" s="38"/>
      <c r="L470" s="56"/>
      <c r="M470" s="56"/>
      <c r="N470" s="38"/>
    </row>
    <row r="471" spans="1:14" s="53" customFormat="1" ht="15.75" customHeight="1" x14ac:dyDescent="0.35">
      <c r="A471" s="145">
        <f t="shared" si="61"/>
        <v>4</v>
      </c>
      <c r="B471" s="145"/>
      <c r="C471" s="149"/>
      <c r="D471" s="149"/>
      <c r="E471" s="149"/>
      <c r="F471" s="149"/>
      <c r="G471" s="145"/>
      <c r="H471" s="145"/>
      <c r="I471" s="38"/>
      <c r="L471" s="56"/>
      <c r="M471" s="56"/>
      <c r="N471" s="38"/>
    </row>
    <row r="472" spans="1:14" s="53" customFormat="1" ht="15.75" customHeight="1" x14ac:dyDescent="0.35">
      <c r="A472" s="145">
        <f t="shared" si="61"/>
        <v>5</v>
      </c>
      <c r="B472" s="145"/>
      <c r="C472" s="52" t="s">
        <v>208</v>
      </c>
      <c r="D472" s="59">
        <f>(86.98)*(10.764)</f>
        <v>936.25271999999995</v>
      </c>
      <c r="E472" s="84">
        <v>0</v>
      </c>
      <c r="F472" s="84">
        <f>D472*(($F$225)+1)+(IF(E472&lt;101,E472,IF(E472&lt;201,E472/2,IF(E472&lt;=301,E472/3,E472/4))))</f>
        <v>1451.191716</v>
      </c>
      <c r="G472" s="145"/>
      <c r="H472" s="145"/>
      <c r="I472" s="38"/>
      <c r="L472" s="56"/>
      <c r="M472" s="56"/>
      <c r="N472" s="38"/>
    </row>
    <row r="473" spans="1:14" s="53" customFormat="1" ht="15.75" customHeight="1" x14ac:dyDescent="0.35">
      <c r="A473" s="145">
        <f t="shared" si="61"/>
        <v>6</v>
      </c>
      <c r="B473" s="145"/>
      <c r="C473" s="52">
        <v>3</v>
      </c>
      <c r="D473" s="59">
        <f>(109.67)*(10.764)</f>
        <v>1180.4878799999999</v>
      </c>
      <c r="E473" s="84">
        <v>0</v>
      </c>
      <c r="F473" s="84">
        <f>D473*(($F$225)+1)+(IF(E473&lt;101,E473,IF(E473&lt;201,E473/2,IF(E473&lt;=301,E473/3,E473/4))))</f>
        <v>1829.756214</v>
      </c>
      <c r="G473" s="145"/>
      <c r="H473" s="145"/>
      <c r="I473" s="38"/>
      <c r="L473" s="56"/>
      <c r="M473" s="56"/>
      <c r="N473" s="38"/>
    </row>
    <row r="474" spans="1:14" s="71" customFormat="1" ht="15.75" customHeight="1" x14ac:dyDescent="0.35">
      <c r="A474" s="124" t="s">
        <v>281</v>
      </c>
      <c r="B474" s="125"/>
      <c r="C474" s="125"/>
      <c r="D474" s="125"/>
      <c r="E474" s="125"/>
      <c r="F474" s="125"/>
      <c r="G474" s="125"/>
      <c r="H474" s="126"/>
      <c r="J474" s="38"/>
    </row>
    <row r="475" spans="1:14" s="71" customFormat="1" ht="15.75" customHeight="1" x14ac:dyDescent="0.35">
      <c r="A475" s="122">
        <v>1</v>
      </c>
      <c r="B475" s="123"/>
      <c r="C475" s="52">
        <v>3</v>
      </c>
      <c r="D475" s="59">
        <f>(109.66)*(10.764)</f>
        <v>1180.38024</v>
      </c>
      <c r="E475" s="72">
        <v>0</v>
      </c>
      <c r="F475" s="72">
        <f t="shared" ref="F475:F480" si="62">D475*(($F$225)+1)+(IF(E475&lt;101,E475,IF(E475&lt;201,E475/2,IF(E475&lt;=301,E475/3,E475/4))))</f>
        <v>1829.5893719999999</v>
      </c>
      <c r="G475" s="127" t="str">
        <f>A474</f>
        <v>16th Floor</v>
      </c>
      <c r="H475" s="128"/>
      <c r="I475" s="38"/>
      <c r="L475" s="56"/>
      <c r="M475" s="56"/>
      <c r="N475" s="38"/>
    </row>
    <row r="476" spans="1:14" s="71" customFormat="1" ht="15.75" customHeight="1" x14ac:dyDescent="0.35">
      <c r="A476" s="122">
        <f t="shared" ref="A476:A480" si="63">A475+1</f>
        <v>2</v>
      </c>
      <c r="B476" s="123"/>
      <c r="C476" s="52" t="s">
        <v>208</v>
      </c>
      <c r="D476" s="59">
        <f>(86.98)*(10.764)</f>
        <v>936.25271999999995</v>
      </c>
      <c r="E476" s="72">
        <v>0</v>
      </c>
      <c r="F476" s="72">
        <f t="shared" si="62"/>
        <v>1451.191716</v>
      </c>
      <c r="G476" s="129"/>
      <c r="H476" s="130"/>
      <c r="I476" s="38"/>
      <c r="L476" s="56"/>
      <c r="M476" s="56"/>
      <c r="N476" s="38"/>
    </row>
    <row r="477" spans="1:14" s="71" customFormat="1" ht="15.75" customHeight="1" x14ac:dyDescent="0.35">
      <c r="A477" s="122">
        <f t="shared" si="63"/>
        <v>3</v>
      </c>
      <c r="B477" s="123"/>
      <c r="C477" s="52">
        <v>2</v>
      </c>
      <c r="D477" s="59">
        <f>(76.46)*(10.764)</f>
        <v>823.0154399999999</v>
      </c>
      <c r="E477" s="72">
        <v>0</v>
      </c>
      <c r="F477" s="72">
        <f t="shared" si="62"/>
        <v>1275.6739319999999</v>
      </c>
      <c r="G477" s="129"/>
      <c r="H477" s="130"/>
      <c r="I477" s="38"/>
      <c r="L477" s="56"/>
      <c r="M477" s="56"/>
      <c r="N477" s="38"/>
    </row>
    <row r="478" spans="1:14" s="71" customFormat="1" ht="15.75" customHeight="1" x14ac:dyDescent="0.35">
      <c r="A478" s="122">
        <f t="shared" si="63"/>
        <v>4</v>
      </c>
      <c r="B478" s="123"/>
      <c r="C478" s="52">
        <v>2</v>
      </c>
      <c r="D478" s="59">
        <f>(76.46)*(10.764)</f>
        <v>823.0154399999999</v>
      </c>
      <c r="E478" s="72">
        <v>0</v>
      </c>
      <c r="F478" s="72">
        <f t="shared" si="62"/>
        <v>1275.6739319999999</v>
      </c>
      <c r="G478" s="129"/>
      <c r="H478" s="130"/>
      <c r="I478" s="38"/>
      <c r="L478" s="56"/>
      <c r="M478" s="56"/>
      <c r="N478" s="38"/>
    </row>
    <row r="479" spans="1:14" s="71" customFormat="1" ht="15.75" customHeight="1" x14ac:dyDescent="0.35">
      <c r="A479" s="122">
        <f t="shared" si="63"/>
        <v>5</v>
      </c>
      <c r="B479" s="123"/>
      <c r="C479" s="52" t="s">
        <v>208</v>
      </c>
      <c r="D479" s="59">
        <f>(86.98)*(10.764)</f>
        <v>936.25271999999995</v>
      </c>
      <c r="E479" s="72">
        <v>0</v>
      </c>
      <c r="F479" s="72">
        <f t="shared" si="62"/>
        <v>1451.191716</v>
      </c>
      <c r="G479" s="129"/>
      <c r="H479" s="130"/>
      <c r="I479" s="38"/>
      <c r="L479" s="56"/>
      <c r="M479" s="56"/>
      <c r="N479" s="38"/>
    </row>
    <row r="480" spans="1:14" s="71" customFormat="1" ht="15.75" customHeight="1" x14ac:dyDescent="0.35">
      <c r="A480" s="122">
        <f t="shared" si="63"/>
        <v>6</v>
      </c>
      <c r="B480" s="123"/>
      <c r="C480" s="52">
        <v>3</v>
      </c>
      <c r="D480" s="59">
        <f>(109.66)*(10.764)</f>
        <v>1180.38024</v>
      </c>
      <c r="E480" s="72">
        <v>0</v>
      </c>
      <c r="F480" s="72">
        <f t="shared" si="62"/>
        <v>1829.5893719999999</v>
      </c>
      <c r="G480" s="131"/>
      <c r="H480" s="132"/>
      <c r="I480" s="38"/>
      <c r="L480" s="56"/>
      <c r="M480" s="56"/>
      <c r="N480" s="38"/>
    </row>
    <row r="481" spans="1:14" s="53" customFormat="1" ht="15.75" customHeight="1" x14ac:dyDescent="0.35">
      <c r="A481" s="124" t="s">
        <v>280</v>
      </c>
      <c r="B481" s="125"/>
      <c r="C481" s="125"/>
      <c r="D481" s="125"/>
      <c r="E481" s="125"/>
      <c r="F481" s="125"/>
      <c r="G481" s="125"/>
      <c r="H481" s="126"/>
      <c r="J481" s="38"/>
    </row>
    <row r="482" spans="1:14" s="53" customFormat="1" ht="15.75" customHeight="1" x14ac:dyDescent="0.35">
      <c r="A482" s="122">
        <v>1</v>
      </c>
      <c r="B482" s="123"/>
      <c r="C482" s="52">
        <v>3</v>
      </c>
      <c r="D482" s="59">
        <f>(109.66)*(10.764)</f>
        <v>1180.38024</v>
      </c>
      <c r="E482" s="54">
        <v>0</v>
      </c>
      <c r="F482" s="54">
        <f t="shared" ref="F482:F487" si="64">D482*(($F$225)+1)+(IF(E482&lt;101,E482,IF(E482&lt;201,E482/2,IF(E482&lt;=301,E482/3,E482/4))))</f>
        <v>1829.5893719999999</v>
      </c>
      <c r="G482" s="127" t="str">
        <f>A481</f>
        <v>20th, 21st &amp; 24th Floor</v>
      </c>
      <c r="H482" s="128"/>
      <c r="I482" s="38"/>
      <c r="L482" s="56"/>
      <c r="M482" s="56"/>
      <c r="N482" s="38"/>
    </row>
    <row r="483" spans="1:14" s="53" customFormat="1" ht="15.75" customHeight="1" x14ac:dyDescent="0.35">
      <c r="A483" s="122">
        <f t="shared" ref="A483:A487" si="65">A482+1</f>
        <v>2</v>
      </c>
      <c r="B483" s="123"/>
      <c r="C483" s="52" t="s">
        <v>208</v>
      </c>
      <c r="D483" s="59">
        <f>(86.98)*(10.764)</f>
        <v>936.25271999999995</v>
      </c>
      <c r="E483" s="54">
        <v>0</v>
      </c>
      <c r="F483" s="54">
        <f t="shared" si="64"/>
        <v>1451.191716</v>
      </c>
      <c r="G483" s="129"/>
      <c r="H483" s="130"/>
      <c r="I483" s="38"/>
      <c r="L483" s="56"/>
      <c r="M483" s="56"/>
      <c r="N483" s="38"/>
    </row>
    <row r="484" spans="1:14" s="53" customFormat="1" ht="15.75" customHeight="1" x14ac:dyDescent="0.35">
      <c r="A484" s="122">
        <f t="shared" si="65"/>
        <v>3</v>
      </c>
      <c r="B484" s="123"/>
      <c r="C484" s="52">
        <v>2</v>
      </c>
      <c r="D484" s="59">
        <f>(76.46)*(10.764)</f>
        <v>823.0154399999999</v>
      </c>
      <c r="E484" s="54">
        <v>0</v>
      </c>
      <c r="F484" s="54">
        <f t="shared" si="64"/>
        <v>1275.6739319999999</v>
      </c>
      <c r="G484" s="129"/>
      <c r="H484" s="130"/>
      <c r="I484" s="38"/>
      <c r="L484" s="56"/>
      <c r="M484" s="56"/>
      <c r="N484" s="38"/>
    </row>
    <row r="485" spans="1:14" s="53" customFormat="1" ht="15.75" customHeight="1" x14ac:dyDescent="0.35">
      <c r="A485" s="122">
        <f t="shared" si="65"/>
        <v>4</v>
      </c>
      <c r="B485" s="123"/>
      <c r="C485" s="52">
        <v>2</v>
      </c>
      <c r="D485" s="59">
        <f>(76.46)*(10.764)</f>
        <v>823.0154399999999</v>
      </c>
      <c r="E485" s="54">
        <v>0</v>
      </c>
      <c r="F485" s="54">
        <f t="shared" si="64"/>
        <v>1275.6739319999999</v>
      </c>
      <c r="G485" s="129"/>
      <c r="H485" s="130"/>
      <c r="I485" s="38"/>
      <c r="L485" s="56"/>
      <c r="M485" s="56"/>
      <c r="N485" s="38"/>
    </row>
    <row r="486" spans="1:14" s="53" customFormat="1" ht="15.75" customHeight="1" x14ac:dyDescent="0.35">
      <c r="A486" s="122">
        <f t="shared" si="65"/>
        <v>5</v>
      </c>
      <c r="B486" s="123"/>
      <c r="C486" s="52" t="s">
        <v>208</v>
      </c>
      <c r="D486" s="59">
        <f>(86.98)*(10.764)</f>
        <v>936.25271999999995</v>
      </c>
      <c r="E486" s="54">
        <v>0</v>
      </c>
      <c r="F486" s="54">
        <f t="shared" si="64"/>
        <v>1451.191716</v>
      </c>
      <c r="G486" s="129"/>
      <c r="H486" s="130"/>
      <c r="I486" s="38"/>
      <c r="L486" s="56"/>
      <c r="M486" s="56"/>
      <c r="N486" s="38"/>
    </row>
    <row r="487" spans="1:14" s="53" customFormat="1" ht="15.75" customHeight="1" x14ac:dyDescent="0.35">
      <c r="A487" s="122">
        <f t="shared" si="65"/>
        <v>6</v>
      </c>
      <c r="B487" s="123"/>
      <c r="C487" s="52">
        <v>3</v>
      </c>
      <c r="D487" s="59">
        <f>(109.66)*(10.764)</f>
        <v>1180.38024</v>
      </c>
      <c r="E487" s="54">
        <v>0</v>
      </c>
      <c r="F487" s="54">
        <f t="shared" si="64"/>
        <v>1829.5893719999999</v>
      </c>
      <c r="G487" s="131"/>
      <c r="H487" s="132"/>
      <c r="I487" s="38"/>
      <c r="L487" s="56"/>
      <c r="M487" s="56"/>
      <c r="N487" s="38"/>
    </row>
    <row r="488" spans="1:14" s="53" customFormat="1" ht="15.75" customHeight="1" x14ac:dyDescent="0.35">
      <c r="A488" s="124" t="s">
        <v>221</v>
      </c>
      <c r="B488" s="125"/>
      <c r="C488" s="125"/>
      <c r="D488" s="125"/>
      <c r="E488" s="125"/>
      <c r="F488" s="125"/>
      <c r="G488" s="125"/>
      <c r="H488" s="126"/>
      <c r="J488" s="38"/>
    </row>
    <row r="489" spans="1:14" s="53" customFormat="1" ht="15.75" customHeight="1" x14ac:dyDescent="0.35">
      <c r="A489" s="122">
        <v>1</v>
      </c>
      <c r="B489" s="123"/>
      <c r="C489" s="52">
        <v>3</v>
      </c>
      <c r="D489" s="59">
        <f>(109.66)*(10.764)</f>
        <v>1180.38024</v>
      </c>
      <c r="E489" s="54">
        <v>0</v>
      </c>
      <c r="F489" s="54">
        <f t="shared" ref="F489:F494" si="66">D489*(($F$225)+1)+(IF(E489&lt;101,E489,IF(E489&lt;201,E489/2,IF(E489&lt;=301,E489/3,E489/4))))</f>
        <v>1829.5893719999999</v>
      </c>
      <c r="G489" s="127" t="str">
        <f>A488</f>
        <v>22nd Floor (Part Refuge Area)</v>
      </c>
      <c r="H489" s="128"/>
      <c r="I489" s="38"/>
      <c r="L489" s="56"/>
      <c r="M489" s="56"/>
      <c r="N489" s="38"/>
    </row>
    <row r="490" spans="1:14" s="53" customFormat="1" ht="15.75" customHeight="1" x14ac:dyDescent="0.35">
      <c r="A490" s="122">
        <f t="shared" ref="A490:A494" si="67">A489+1</f>
        <v>2</v>
      </c>
      <c r="B490" s="123"/>
      <c r="C490" s="52" t="s">
        <v>208</v>
      </c>
      <c r="D490" s="59">
        <f>(86.98)*(10.764)</f>
        <v>936.25271999999995</v>
      </c>
      <c r="E490" s="54">
        <v>0</v>
      </c>
      <c r="F490" s="54">
        <f t="shared" si="66"/>
        <v>1451.191716</v>
      </c>
      <c r="G490" s="129"/>
      <c r="H490" s="130"/>
      <c r="I490" s="38"/>
      <c r="L490" s="56"/>
      <c r="M490" s="56"/>
      <c r="N490" s="38"/>
    </row>
    <row r="491" spans="1:14" s="53" customFormat="1" ht="15.75" customHeight="1" x14ac:dyDescent="0.35">
      <c r="A491" s="122">
        <f t="shared" si="67"/>
        <v>3</v>
      </c>
      <c r="B491" s="123"/>
      <c r="C491" s="52">
        <v>2</v>
      </c>
      <c r="D491" s="59">
        <f>(76.46)*(10.764)</f>
        <v>823.0154399999999</v>
      </c>
      <c r="E491" s="54">
        <v>0</v>
      </c>
      <c r="F491" s="54">
        <f t="shared" si="66"/>
        <v>1275.6739319999999</v>
      </c>
      <c r="G491" s="129"/>
      <c r="H491" s="130"/>
      <c r="I491" s="38"/>
      <c r="L491" s="56"/>
      <c r="M491" s="56"/>
      <c r="N491" s="38"/>
    </row>
    <row r="492" spans="1:14" s="53" customFormat="1" ht="15.75" customHeight="1" x14ac:dyDescent="0.35">
      <c r="A492" s="122">
        <f t="shared" si="67"/>
        <v>4</v>
      </c>
      <c r="B492" s="123"/>
      <c r="C492" s="141" t="s">
        <v>202</v>
      </c>
      <c r="D492" s="142"/>
      <c r="E492" s="142"/>
      <c r="F492" s="143"/>
      <c r="G492" s="129"/>
      <c r="H492" s="130"/>
      <c r="I492" s="38"/>
      <c r="L492" s="56"/>
      <c r="M492" s="56"/>
      <c r="N492" s="38"/>
    </row>
    <row r="493" spans="1:14" s="53" customFormat="1" ht="15.75" customHeight="1" x14ac:dyDescent="0.35">
      <c r="A493" s="122">
        <f t="shared" si="67"/>
        <v>5</v>
      </c>
      <c r="B493" s="123"/>
      <c r="C493" s="52" t="s">
        <v>208</v>
      </c>
      <c r="D493" s="59">
        <f>(86.98)*(10.764)</f>
        <v>936.25271999999995</v>
      </c>
      <c r="E493" s="54">
        <v>0</v>
      </c>
      <c r="F493" s="54">
        <f t="shared" si="66"/>
        <v>1451.191716</v>
      </c>
      <c r="G493" s="129"/>
      <c r="H493" s="130"/>
      <c r="I493" s="38"/>
      <c r="L493" s="56"/>
      <c r="M493" s="56"/>
      <c r="N493" s="38"/>
    </row>
    <row r="494" spans="1:14" s="53" customFormat="1" ht="15.75" customHeight="1" x14ac:dyDescent="0.35">
      <c r="A494" s="122">
        <f t="shared" si="67"/>
        <v>6</v>
      </c>
      <c r="B494" s="123"/>
      <c r="C494" s="52">
        <v>3</v>
      </c>
      <c r="D494" s="59">
        <f>(109.66)*(10.764)</f>
        <v>1180.38024</v>
      </c>
      <c r="E494" s="54">
        <v>0</v>
      </c>
      <c r="F494" s="54">
        <f t="shared" si="66"/>
        <v>1829.5893719999999</v>
      </c>
      <c r="G494" s="131"/>
      <c r="H494" s="132"/>
      <c r="I494" s="38"/>
      <c r="L494" s="56"/>
      <c r="M494" s="56"/>
      <c r="N494" s="38"/>
    </row>
    <row r="495" spans="1:14" s="53" customFormat="1" ht="15.75" customHeight="1" x14ac:dyDescent="0.35">
      <c r="A495" s="124" t="s">
        <v>288</v>
      </c>
      <c r="B495" s="125"/>
      <c r="C495" s="125"/>
      <c r="D495" s="125"/>
      <c r="E495" s="125"/>
      <c r="F495" s="125"/>
      <c r="G495" s="125"/>
      <c r="H495" s="126"/>
      <c r="J495" s="38"/>
    </row>
    <row r="496" spans="1:14" s="53" customFormat="1" ht="15.75" customHeight="1" x14ac:dyDescent="0.35">
      <c r="A496" s="122">
        <v>1</v>
      </c>
      <c r="B496" s="123"/>
      <c r="C496" s="52">
        <v>3</v>
      </c>
      <c r="D496" s="59">
        <f>(109.66)*(10.764)</f>
        <v>1180.38024</v>
      </c>
      <c r="E496" s="54">
        <v>0</v>
      </c>
      <c r="F496" s="54">
        <f t="shared" ref="F496:F501" si="68">D496*(($F$225)+1)+(IF(E496&lt;101,E496,IF(E496&lt;201,E496/2,IF(E496&lt;=301,E496/3,E496/4))))</f>
        <v>1829.5893719999999</v>
      </c>
      <c r="G496" s="127" t="str">
        <f>A495</f>
        <v xml:space="preserve"> 23rd Floor</v>
      </c>
      <c r="H496" s="128"/>
      <c r="I496" s="38"/>
      <c r="L496" s="56"/>
      <c r="M496" s="56"/>
      <c r="N496" s="38"/>
    </row>
    <row r="497" spans="1:14" s="53" customFormat="1" ht="15.75" customHeight="1" x14ac:dyDescent="0.35">
      <c r="A497" s="122">
        <f t="shared" ref="A497:A501" si="69">A496+1</f>
        <v>2</v>
      </c>
      <c r="B497" s="123"/>
      <c r="C497" s="52" t="s">
        <v>208</v>
      </c>
      <c r="D497" s="59">
        <f>(86.98)*(10.764)</f>
        <v>936.25271999999995</v>
      </c>
      <c r="E497" s="54">
        <v>0</v>
      </c>
      <c r="F497" s="54">
        <f t="shared" si="68"/>
        <v>1451.191716</v>
      </c>
      <c r="G497" s="129"/>
      <c r="H497" s="130"/>
      <c r="I497" s="38"/>
      <c r="L497" s="56"/>
      <c r="M497" s="56"/>
      <c r="N497" s="38"/>
    </row>
    <row r="498" spans="1:14" s="53" customFormat="1" ht="15.75" customHeight="1" x14ac:dyDescent="0.35">
      <c r="A498" s="122">
        <f t="shared" si="69"/>
        <v>3</v>
      </c>
      <c r="B498" s="123"/>
      <c r="C498" s="52">
        <v>2</v>
      </c>
      <c r="D498" s="59">
        <f>(76.46)*(10.764)</f>
        <v>823.0154399999999</v>
      </c>
      <c r="E498" s="54">
        <v>0</v>
      </c>
      <c r="F498" s="54">
        <f t="shared" si="68"/>
        <v>1275.6739319999999</v>
      </c>
      <c r="G498" s="129"/>
      <c r="H498" s="130"/>
      <c r="I498" s="38"/>
      <c r="L498" s="56"/>
      <c r="M498" s="56"/>
      <c r="N498" s="38"/>
    </row>
    <row r="499" spans="1:14" s="53" customFormat="1" ht="15.75" customHeight="1" x14ac:dyDescent="0.35">
      <c r="A499" s="122">
        <f t="shared" si="69"/>
        <v>4</v>
      </c>
      <c r="B499" s="123"/>
      <c r="C499" s="52">
        <v>2</v>
      </c>
      <c r="D499" s="59">
        <f>(76.46)*(10.764)</f>
        <v>823.0154399999999</v>
      </c>
      <c r="E499" s="54">
        <v>0</v>
      </c>
      <c r="F499" s="54">
        <f t="shared" si="68"/>
        <v>1275.6739319999999</v>
      </c>
      <c r="G499" s="129"/>
      <c r="H499" s="130"/>
      <c r="I499" s="38"/>
      <c r="L499" s="56"/>
      <c r="M499" s="56"/>
      <c r="N499" s="38"/>
    </row>
    <row r="500" spans="1:14" s="53" customFormat="1" ht="15.75" customHeight="1" x14ac:dyDescent="0.35">
      <c r="A500" s="122">
        <f t="shared" si="69"/>
        <v>5</v>
      </c>
      <c r="B500" s="123"/>
      <c r="C500" s="52" t="s">
        <v>208</v>
      </c>
      <c r="D500" s="59">
        <f>(86.98)*(10.764)</f>
        <v>936.25271999999995</v>
      </c>
      <c r="E500" s="54">
        <v>0</v>
      </c>
      <c r="F500" s="54">
        <f t="shared" si="68"/>
        <v>1451.191716</v>
      </c>
      <c r="G500" s="129"/>
      <c r="H500" s="130"/>
      <c r="I500" s="38"/>
      <c r="L500" s="56"/>
      <c r="M500" s="56"/>
      <c r="N500" s="38"/>
    </row>
    <row r="501" spans="1:14" s="53" customFormat="1" ht="15.75" customHeight="1" x14ac:dyDescent="0.35">
      <c r="A501" s="122">
        <f t="shared" si="69"/>
        <v>6</v>
      </c>
      <c r="B501" s="123"/>
      <c r="C501" s="52">
        <v>3</v>
      </c>
      <c r="D501" s="59">
        <f>(109.66)*(10.764)</f>
        <v>1180.38024</v>
      </c>
      <c r="E501" s="54">
        <v>0</v>
      </c>
      <c r="F501" s="54">
        <f t="shared" si="68"/>
        <v>1829.5893719999999</v>
      </c>
      <c r="G501" s="131"/>
      <c r="H501" s="132"/>
      <c r="I501" s="38"/>
      <c r="L501" s="56"/>
      <c r="M501" s="56"/>
      <c r="N501" s="38"/>
    </row>
    <row r="502" spans="1:14" s="53" customFormat="1" x14ac:dyDescent="0.35">
      <c r="A502" s="124" t="s">
        <v>212</v>
      </c>
      <c r="B502" s="125"/>
      <c r="C502" s="125"/>
      <c r="D502" s="125"/>
      <c r="E502" s="125"/>
      <c r="F502" s="125"/>
      <c r="G502" s="125"/>
      <c r="H502" s="126"/>
      <c r="J502" s="38"/>
    </row>
    <row r="503" spans="1:14" s="53" customFormat="1" ht="15.75" hidden="1" customHeight="1" x14ac:dyDescent="0.35">
      <c r="A503" s="124" t="s">
        <v>209</v>
      </c>
      <c r="B503" s="125"/>
      <c r="C503" s="125"/>
      <c r="D503" s="125"/>
      <c r="E503" s="125"/>
      <c r="F503" s="125"/>
      <c r="G503" s="125"/>
      <c r="H503" s="126"/>
      <c r="J503" s="38"/>
    </row>
    <row r="504" spans="1:14" s="53" customFormat="1" ht="15.75" hidden="1" customHeight="1" x14ac:dyDescent="0.35">
      <c r="A504" s="122">
        <v>1</v>
      </c>
      <c r="B504" s="123"/>
      <c r="C504" s="52">
        <v>3</v>
      </c>
      <c r="D504" s="59">
        <f>(108.73)*(10.764)</f>
        <v>1170.3697199999999</v>
      </c>
      <c r="E504" s="54">
        <v>0</v>
      </c>
      <c r="F504" s="54">
        <f>D504*(($F$225)+1)+(IF(E504&lt;101,E504,IF(E504&lt;201,E504/2,IF(E504&lt;=301,E504/3,E504/4))))</f>
        <v>1814.0730659999999</v>
      </c>
      <c r="G504" s="127" t="str">
        <f>A503</f>
        <v>21st Floor (Part Refuge Area)</v>
      </c>
      <c r="H504" s="128"/>
      <c r="I504" s="38"/>
      <c r="L504" s="56"/>
      <c r="M504" s="56"/>
      <c r="N504" s="38"/>
    </row>
    <row r="505" spans="1:14" s="53" customFormat="1" ht="15.75" hidden="1" customHeight="1" x14ac:dyDescent="0.35">
      <c r="A505" s="122">
        <f t="shared" ref="A505:A509" si="70">A504+1</f>
        <v>2</v>
      </c>
      <c r="B505" s="123"/>
      <c r="C505" s="52" t="s">
        <v>208</v>
      </c>
      <c r="D505" s="59">
        <f>(86.7)*(10.764)</f>
        <v>933.23879999999997</v>
      </c>
      <c r="E505" s="54">
        <v>0</v>
      </c>
      <c r="F505" s="54">
        <f>D505*(($F$225)+1)+(IF(E505&lt;101,E505,IF(E505&lt;201,E505/2,IF(E505&lt;=301,E505/3,E505/4))))</f>
        <v>1446.5201400000001</v>
      </c>
      <c r="G505" s="129"/>
      <c r="H505" s="130"/>
      <c r="I505" s="38"/>
      <c r="L505" s="56"/>
      <c r="M505" s="56"/>
      <c r="N505" s="38"/>
    </row>
    <row r="506" spans="1:14" s="53" customFormat="1" ht="15.75" hidden="1" customHeight="1" x14ac:dyDescent="0.35">
      <c r="A506" s="122">
        <f t="shared" si="70"/>
        <v>3</v>
      </c>
      <c r="B506" s="123"/>
      <c r="C506" s="52">
        <v>2</v>
      </c>
      <c r="D506" s="59">
        <f>(72.4)*(10.764)</f>
        <v>779.31360000000006</v>
      </c>
      <c r="E506" s="54">
        <v>0</v>
      </c>
      <c r="F506" s="54">
        <f>D506*(($F$225)+1)+(IF(E506&lt;101,E506,IF(E506&lt;201,E506/2,IF(E506&lt;=301,E506/3,E506/4))))</f>
        <v>1207.9360800000002</v>
      </c>
      <c r="G506" s="129"/>
      <c r="H506" s="130"/>
      <c r="I506" s="38"/>
      <c r="L506" s="56"/>
      <c r="M506" s="56"/>
      <c r="N506" s="38"/>
    </row>
    <row r="507" spans="1:14" s="53" customFormat="1" ht="15.75" hidden="1" customHeight="1" x14ac:dyDescent="0.35">
      <c r="A507" s="122">
        <f t="shared" si="70"/>
        <v>4</v>
      </c>
      <c r="B507" s="123"/>
      <c r="C507" s="141" t="s">
        <v>202</v>
      </c>
      <c r="D507" s="142"/>
      <c r="E507" s="142"/>
      <c r="F507" s="143"/>
      <c r="G507" s="129"/>
      <c r="H507" s="130"/>
      <c r="I507" s="38"/>
      <c r="L507" s="56"/>
      <c r="M507" s="56"/>
      <c r="N507" s="38"/>
    </row>
    <row r="508" spans="1:14" s="53" customFormat="1" ht="15.75" hidden="1" customHeight="1" x14ac:dyDescent="0.35">
      <c r="A508" s="122">
        <f t="shared" si="70"/>
        <v>5</v>
      </c>
      <c r="B508" s="123"/>
      <c r="C508" s="52" t="s">
        <v>208</v>
      </c>
      <c r="D508" s="59">
        <f>(86.7)*(10.764)</f>
        <v>933.23879999999997</v>
      </c>
      <c r="E508" s="54">
        <v>0</v>
      </c>
      <c r="F508" s="54">
        <f>D508*(($F$225)+1)+(IF(E508&lt;101,E508,IF(E508&lt;201,E508/2,IF(E508&lt;=301,E508/3,E508/4))))</f>
        <v>1446.5201400000001</v>
      </c>
      <c r="G508" s="129"/>
      <c r="H508" s="130"/>
      <c r="I508" s="38"/>
      <c r="L508" s="56"/>
      <c r="M508" s="56"/>
      <c r="N508" s="38"/>
    </row>
    <row r="509" spans="1:14" s="53" customFormat="1" ht="15.75" hidden="1" customHeight="1" x14ac:dyDescent="0.35">
      <c r="A509" s="122">
        <f t="shared" si="70"/>
        <v>6</v>
      </c>
      <c r="B509" s="123"/>
      <c r="C509" s="52">
        <v>3</v>
      </c>
      <c r="D509" s="59">
        <f>(108.73)*(10.764)</f>
        <v>1170.3697199999999</v>
      </c>
      <c r="E509" s="54">
        <v>0</v>
      </c>
      <c r="F509" s="54">
        <f>D509*(($F$225)+1)+(IF(E509&lt;101,E509,IF(E509&lt;201,E509/2,IF(E509&lt;=301,E509/3,E509/4))))</f>
        <v>1814.0730659999999</v>
      </c>
      <c r="G509" s="131"/>
      <c r="H509" s="132"/>
      <c r="I509" s="38"/>
      <c r="L509" s="56"/>
      <c r="M509" s="56"/>
      <c r="N509" s="38"/>
    </row>
    <row r="510" spans="1:14" s="53" customFormat="1" x14ac:dyDescent="0.35">
      <c r="A510" s="146" t="s">
        <v>217</v>
      </c>
      <c r="B510" s="147"/>
      <c r="C510" s="147"/>
      <c r="D510" s="147"/>
      <c r="E510" s="147"/>
      <c r="F510" s="147"/>
      <c r="G510" s="147"/>
      <c r="H510" s="148"/>
      <c r="J510" s="38"/>
    </row>
    <row r="511" spans="1:14" s="53" customFormat="1" x14ac:dyDescent="0.35">
      <c r="A511" s="124" t="s">
        <v>196</v>
      </c>
      <c r="B511" s="125"/>
      <c r="C511" s="125"/>
      <c r="D511" s="125"/>
      <c r="E511" s="125"/>
      <c r="F511" s="125"/>
      <c r="G511" s="125"/>
      <c r="H511" s="126"/>
      <c r="J511" s="38"/>
    </row>
    <row r="512" spans="1:14" s="53" customFormat="1" ht="15.75" customHeight="1" x14ac:dyDescent="0.35">
      <c r="A512" s="122">
        <v>1</v>
      </c>
      <c r="B512" s="123"/>
      <c r="C512" s="52">
        <v>3</v>
      </c>
      <c r="D512" s="59">
        <f>(142.7)*(10.764)</f>
        <v>1536.0227999999997</v>
      </c>
      <c r="E512" s="54">
        <v>0</v>
      </c>
      <c r="F512" s="54">
        <f>D512*(($F$225)+1)+(IF(E512&lt;101,E512,IF(E512&lt;201,E512/2,IF(E512&lt;=301,E512/3,E512/4))))</f>
        <v>2380.8353399999996</v>
      </c>
      <c r="G512" s="127" t="str">
        <f>A511</f>
        <v>2nd Floor For Residential</v>
      </c>
      <c r="H512" s="128"/>
      <c r="I512" s="38"/>
      <c r="L512" s="56"/>
      <c r="M512" s="56"/>
      <c r="N512" s="38"/>
    </row>
    <row r="513" spans="1:14" s="53" customFormat="1" ht="15.75" customHeight="1" x14ac:dyDescent="0.35">
      <c r="A513" s="122">
        <f t="shared" ref="A513:A515" si="71">A512+1</f>
        <v>2</v>
      </c>
      <c r="B513" s="123"/>
      <c r="C513" s="52">
        <v>3</v>
      </c>
      <c r="D513" s="59">
        <f>(102.9)*(10.764)</f>
        <v>1107.6156000000001</v>
      </c>
      <c r="E513" s="54">
        <v>0</v>
      </c>
      <c r="F513" s="54">
        <f>D513*(($F$225)+1)+(IF(E513&lt;101,E513,IF(E513&lt;201,E513/2,IF(E513&lt;=301,E513/3,E513/4))))</f>
        <v>1716.8041800000001</v>
      </c>
      <c r="G513" s="129"/>
      <c r="H513" s="130"/>
      <c r="I513" s="38"/>
      <c r="L513" s="56"/>
      <c r="M513" s="56"/>
      <c r="N513" s="38"/>
    </row>
    <row r="514" spans="1:14" s="53" customFormat="1" ht="15.75" customHeight="1" x14ac:dyDescent="0.35">
      <c r="A514" s="122">
        <f t="shared" si="71"/>
        <v>3</v>
      </c>
      <c r="B514" s="123"/>
      <c r="C514" s="52">
        <v>3</v>
      </c>
      <c r="D514" s="59">
        <f>(102.9)*(10.764)</f>
        <v>1107.6156000000001</v>
      </c>
      <c r="E514" s="54">
        <v>0</v>
      </c>
      <c r="F514" s="54">
        <f>D514*(($F$225)+1)+(IF(E514&lt;101,E514,IF(E514&lt;201,E514/2,IF(E514&lt;=301,E514/3,E514/4))))</f>
        <v>1716.8041800000001</v>
      </c>
      <c r="G514" s="129"/>
      <c r="H514" s="130"/>
      <c r="I514" s="38"/>
      <c r="L514" s="56"/>
      <c r="M514" s="56"/>
      <c r="N514" s="38"/>
    </row>
    <row r="515" spans="1:14" s="53" customFormat="1" ht="15.75" customHeight="1" x14ac:dyDescent="0.35">
      <c r="A515" s="122">
        <f t="shared" si="71"/>
        <v>4</v>
      </c>
      <c r="B515" s="123"/>
      <c r="C515" s="52">
        <v>3</v>
      </c>
      <c r="D515" s="59">
        <f>(142.7)*(10.764)</f>
        <v>1536.0227999999997</v>
      </c>
      <c r="E515" s="54">
        <v>0</v>
      </c>
      <c r="F515" s="54">
        <f>D515*(($F$225)+1)+(IF(E515&lt;101,E515,IF(E515&lt;201,E515/2,IF(E515&lt;=301,E515/3,E515/4))))</f>
        <v>2380.8353399999996</v>
      </c>
      <c r="G515" s="131"/>
      <c r="H515" s="132"/>
      <c r="I515" s="38"/>
      <c r="L515" s="56"/>
      <c r="M515" s="56"/>
      <c r="N515" s="38"/>
    </row>
    <row r="516" spans="1:14" s="53" customFormat="1" x14ac:dyDescent="0.35">
      <c r="A516" s="139" t="s">
        <v>197</v>
      </c>
      <c r="B516" s="139"/>
      <c r="C516" s="139"/>
      <c r="D516" s="139"/>
      <c r="E516" s="139"/>
      <c r="F516" s="139"/>
      <c r="G516" s="139"/>
      <c r="H516" s="139"/>
      <c r="J516" s="38"/>
    </row>
    <row r="517" spans="1:14" s="53" customFormat="1" ht="15.75" customHeight="1" x14ac:dyDescent="0.35">
      <c r="A517" s="145">
        <v>1</v>
      </c>
      <c r="B517" s="145"/>
      <c r="C517" s="52">
        <v>3</v>
      </c>
      <c r="D517" s="59">
        <f>(142.7)*(10.764)</f>
        <v>1536.0227999999997</v>
      </c>
      <c r="E517" s="84">
        <v>0</v>
      </c>
      <c r="F517" s="84">
        <f>D517*(($F$225)+1)+(IF(E517&lt;101,E517,IF(E517&lt;201,E517/2,IF(E517&lt;=301,E517/3,E517/4))))</f>
        <v>2380.8353399999996</v>
      </c>
      <c r="G517" s="145" t="str">
        <f>A516</f>
        <v>3rd Floor</v>
      </c>
      <c r="H517" s="145"/>
      <c r="I517" s="38"/>
      <c r="L517" s="56"/>
      <c r="M517" s="56"/>
      <c r="N517" s="38"/>
    </row>
    <row r="518" spans="1:14" s="53" customFormat="1" ht="15.75" customHeight="1" x14ac:dyDescent="0.35">
      <c r="A518" s="145">
        <f t="shared" ref="A518:A520" si="72">A517+1</f>
        <v>2</v>
      </c>
      <c r="B518" s="145"/>
      <c r="C518" s="52">
        <v>3</v>
      </c>
      <c r="D518" s="59">
        <f>(102.9)*(10.764)</f>
        <v>1107.6156000000001</v>
      </c>
      <c r="E518" s="84">
        <v>0</v>
      </c>
      <c r="F518" s="84">
        <f>D518*(($F$225)+1)+(IF(E518&lt;101,E518,IF(E518&lt;201,E518/2,IF(E518&lt;=301,E518/3,E518/4))))</f>
        <v>1716.8041800000001</v>
      </c>
      <c r="G518" s="145"/>
      <c r="H518" s="145"/>
      <c r="I518" s="38"/>
      <c r="L518" s="56"/>
      <c r="M518" s="56"/>
      <c r="N518" s="38"/>
    </row>
    <row r="519" spans="1:14" s="53" customFormat="1" ht="15.75" customHeight="1" x14ac:dyDescent="0.35">
      <c r="A519" s="145">
        <f t="shared" si="72"/>
        <v>3</v>
      </c>
      <c r="B519" s="145"/>
      <c r="C519" s="52">
        <v>3</v>
      </c>
      <c r="D519" s="59">
        <f>(102.9)*(10.764)</f>
        <v>1107.6156000000001</v>
      </c>
      <c r="E519" s="84">
        <v>0</v>
      </c>
      <c r="F519" s="84">
        <f>D519*(($F$225)+1)+(IF(E519&lt;101,E519,IF(E519&lt;201,E519/2,IF(E519&lt;=301,E519/3,E519/4))))</f>
        <v>1716.8041800000001</v>
      </c>
      <c r="G519" s="145"/>
      <c r="H519" s="145"/>
      <c r="I519" s="38"/>
      <c r="L519" s="56"/>
      <c r="M519" s="56"/>
      <c r="N519" s="38"/>
    </row>
    <row r="520" spans="1:14" s="53" customFormat="1" ht="15.75" customHeight="1" x14ac:dyDescent="0.35">
      <c r="A520" s="145">
        <f t="shared" si="72"/>
        <v>4</v>
      </c>
      <c r="B520" s="145"/>
      <c r="C520" s="52">
        <v>3</v>
      </c>
      <c r="D520" s="59">
        <f>(142.7)*(10.764)</f>
        <v>1536.0227999999997</v>
      </c>
      <c r="E520" s="84">
        <v>0</v>
      </c>
      <c r="F520" s="84">
        <f>D520*(($F$225)+1)+(IF(E520&lt;101,E520,IF(E520&lt;201,E520/2,IF(E520&lt;=301,E520/3,E520/4))))</f>
        <v>2380.8353399999996</v>
      </c>
      <c r="G520" s="145"/>
      <c r="H520" s="145"/>
      <c r="I520" s="38"/>
      <c r="L520" s="56"/>
      <c r="M520" s="56"/>
      <c r="N520" s="38"/>
    </row>
    <row r="521" spans="1:14" s="53" customFormat="1" ht="15.75" customHeight="1" x14ac:dyDescent="0.35">
      <c r="A521" s="139" t="s">
        <v>198</v>
      </c>
      <c r="B521" s="139"/>
      <c r="C521" s="139"/>
      <c r="D521" s="139"/>
      <c r="E521" s="139"/>
      <c r="F521" s="139"/>
      <c r="G521" s="139"/>
      <c r="H521" s="139"/>
      <c r="J521" s="38"/>
    </row>
    <row r="522" spans="1:14" s="53" customFormat="1" ht="15.75" customHeight="1" x14ac:dyDescent="0.35">
      <c r="A522" s="122">
        <v>1</v>
      </c>
      <c r="B522" s="123"/>
      <c r="C522" s="52">
        <v>3</v>
      </c>
      <c r="D522" s="59">
        <f>(142.7)*(10.764)</f>
        <v>1536.0227999999997</v>
      </c>
      <c r="E522" s="54">
        <v>0</v>
      </c>
      <c r="F522" s="54">
        <f>D522*(($F$225)+1)+(IF(E522&lt;101,E522,IF(E522&lt;201,E522/2,IF(E522&lt;=301,E522/3,E522/4))))</f>
        <v>2380.8353399999996</v>
      </c>
      <c r="G522" s="127" t="str">
        <f>A521</f>
        <v>4th Floor</v>
      </c>
      <c r="H522" s="128"/>
      <c r="I522" s="38"/>
      <c r="L522" s="56"/>
      <c r="M522" s="56"/>
      <c r="N522" s="38"/>
    </row>
    <row r="523" spans="1:14" s="53" customFormat="1" ht="15.75" customHeight="1" x14ac:dyDescent="0.35">
      <c r="A523" s="122">
        <f t="shared" ref="A523:A525" si="73">A522+1</f>
        <v>2</v>
      </c>
      <c r="B523" s="123"/>
      <c r="C523" s="52">
        <v>3</v>
      </c>
      <c r="D523" s="59">
        <f>(102.9)*(10.764)</f>
        <v>1107.6156000000001</v>
      </c>
      <c r="E523" s="54">
        <v>0</v>
      </c>
      <c r="F523" s="54">
        <f>D523*(($F$225)+1)+(IF(E523&lt;101,E523,IF(E523&lt;201,E523/2,IF(E523&lt;=301,E523/3,E523/4))))</f>
        <v>1716.8041800000001</v>
      </c>
      <c r="G523" s="129"/>
      <c r="H523" s="130"/>
      <c r="I523" s="38"/>
      <c r="L523" s="56"/>
      <c r="M523" s="56"/>
      <c r="N523" s="38"/>
    </row>
    <row r="524" spans="1:14" s="53" customFormat="1" ht="15.75" customHeight="1" x14ac:dyDescent="0.35">
      <c r="A524" s="122">
        <f t="shared" si="73"/>
        <v>3</v>
      </c>
      <c r="B524" s="123"/>
      <c r="C524" s="52">
        <v>3</v>
      </c>
      <c r="D524" s="59">
        <f>(102.9)*(10.764)</f>
        <v>1107.6156000000001</v>
      </c>
      <c r="E524" s="54">
        <v>0</v>
      </c>
      <c r="F524" s="54">
        <f>D524*(($F$225)+1)+(IF(E524&lt;101,E524,IF(E524&lt;201,E524/2,IF(E524&lt;=301,E524/3,E524/4))))</f>
        <v>1716.8041800000001</v>
      </c>
      <c r="G524" s="129"/>
      <c r="H524" s="130"/>
      <c r="I524" s="38"/>
      <c r="L524" s="56"/>
      <c r="M524" s="56"/>
      <c r="N524" s="38"/>
    </row>
    <row r="525" spans="1:14" s="53" customFormat="1" ht="15.75" customHeight="1" x14ac:dyDescent="0.35">
      <c r="A525" s="122">
        <f t="shared" si="73"/>
        <v>4</v>
      </c>
      <c r="B525" s="123"/>
      <c r="C525" s="52">
        <v>3</v>
      </c>
      <c r="D525" s="59">
        <f>(142.7)*(10.764)</f>
        <v>1536.0227999999997</v>
      </c>
      <c r="E525" s="54">
        <v>0</v>
      </c>
      <c r="F525" s="54">
        <f>D525*(($F$225)+1)+(IF(E525&lt;101,E525,IF(E525&lt;201,E525/2,IF(E525&lt;=301,E525/3,E525/4))))</f>
        <v>2380.8353399999996</v>
      </c>
      <c r="G525" s="131"/>
      <c r="H525" s="132"/>
      <c r="I525" s="38"/>
      <c r="L525" s="56"/>
      <c r="M525" s="56"/>
      <c r="N525" s="38"/>
    </row>
    <row r="526" spans="1:14" s="53" customFormat="1" ht="15.75" customHeight="1" x14ac:dyDescent="0.35">
      <c r="A526" s="124" t="s">
        <v>199</v>
      </c>
      <c r="B526" s="125"/>
      <c r="C526" s="125"/>
      <c r="D526" s="125"/>
      <c r="E526" s="125"/>
      <c r="F526" s="125"/>
      <c r="G526" s="125"/>
      <c r="H526" s="126"/>
      <c r="J526" s="38"/>
    </row>
    <row r="527" spans="1:14" s="53" customFormat="1" ht="15.75" customHeight="1" x14ac:dyDescent="0.35">
      <c r="A527" s="122">
        <v>1</v>
      </c>
      <c r="B527" s="123"/>
      <c r="C527" s="52">
        <v>3</v>
      </c>
      <c r="D527" s="59">
        <f>(142.7)*(10.764)</f>
        <v>1536.0227999999997</v>
      </c>
      <c r="E527" s="54">
        <v>0</v>
      </c>
      <c r="F527" s="54">
        <f>D527*(($F$225)+1)+(IF(E527&lt;101,E527,IF(E527&lt;201,E527/2,IF(E527&lt;=301,E527/3,E527/4))))</f>
        <v>2380.8353399999996</v>
      </c>
      <c r="G527" s="127" t="str">
        <f>A526</f>
        <v>5th Floor</v>
      </c>
      <c r="H527" s="128"/>
      <c r="I527" s="38"/>
      <c r="L527" s="56"/>
      <c r="M527" s="56"/>
      <c r="N527" s="38"/>
    </row>
    <row r="528" spans="1:14" s="53" customFormat="1" ht="15.75" customHeight="1" x14ac:dyDescent="0.35">
      <c r="A528" s="122">
        <f t="shared" ref="A528:A530" si="74">A527+1</f>
        <v>2</v>
      </c>
      <c r="B528" s="123"/>
      <c r="C528" s="52">
        <v>3</v>
      </c>
      <c r="D528" s="59">
        <f>(102.9)*(10.764)</f>
        <v>1107.6156000000001</v>
      </c>
      <c r="E528" s="54">
        <v>0</v>
      </c>
      <c r="F528" s="54">
        <f>D528*(($F$225)+1)+(IF(E528&lt;101,E528,IF(E528&lt;201,E528/2,IF(E528&lt;=301,E528/3,E528/4))))</f>
        <v>1716.8041800000001</v>
      </c>
      <c r="G528" s="129"/>
      <c r="H528" s="130"/>
      <c r="I528" s="38"/>
      <c r="L528" s="56"/>
      <c r="M528" s="56"/>
      <c r="N528" s="38"/>
    </row>
    <row r="529" spans="1:14" s="53" customFormat="1" ht="15.75" customHeight="1" x14ac:dyDescent="0.35">
      <c r="A529" s="122">
        <f t="shared" si="74"/>
        <v>3</v>
      </c>
      <c r="B529" s="123"/>
      <c r="C529" s="52">
        <v>3</v>
      </c>
      <c r="D529" s="59">
        <f>(102.9)*(10.764)</f>
        <v>1107.6156000000001</v>
      </c>
      <c r="E529" s="54">
        <v>0</v>
      </c>
      <c r="F529" s="54">
        <f>D529*(($F$225)+1)+(IF(E529&lt;101,E529,IF(E529&lt;201,E529/2,IF(E529&lt;=301,E529/3,E529/4))))</f>
        <v>1716.8041800000001</v>
      </c>
      <c r="G529" s="129"/>
      <c r="H529" s="130"/>
      <c r="I529" s="38"/>
      <c r="L529" s="56"/>
      <c r="M529" s="56"/>
      <c r="N529" s="38"/>
    </row>
    <row r="530" spans="1:14" s="53" customFormat="1" ht="15.75" customHeight="1" x14ac:dyDescent="0.35">
      <c r="A530" s="122">
        <f t="shared" si="74"/>
        <v>4</v>
      </c>
      <c r="B530" s="123"/>
      <c r="C530" s="52">
        <v>3</v>
      </c>
      <c r="D530" s="59">
        <f>(142.7)*(10.764)</f>
        <v>1536.0227999999997</v>
      </c>
      <c r="E530" s="54">
        <v>0</v>
      </c>
      <c r="F530" s="54">
        <f>D530*(($F$225)+1)+(IF(E530&lt;101,E530,IF(E530&lt;201,E530/2,IF(E530&lt;=301,E530/3,E530/4))))</f>
        <v>2380.8353399999996</v>
      </c>
      <c r="G530" s="131"/>
      <c r="H530" s="132"/>
      <c r="I530" s="38"/>
      <c r="L530" s="56"/>
      <c r="M530" s="56"/>
      <c r="N530" s="38"/>
    </row>
    <row r="531" spans="1:14" s="53" customFormat="1" ht="15.75" customHeight="1" x14ac:dyDescent="0.35">
      <c r="A531" s="124" t="s">
        <v>200</v>
      </c>
      <c r="B531" s="125"/>
      <c r="C531" s="125"/>
      <c r="D531" s="125"/>
      <c r="E531" s="125"/>
      <c r="F531" s="125"/>
      <c r="G531" s="125"/>
      <c r="H531" s="126"/>
      <c r="J531" s="38"/>
    </row>
    <row r="532" spans="1:14" s="53" customFormat="1" ht="15.75" customHeight="1" x14ac:dyDescent="0.35">
      <c r="A532" s="122">
        <v>1</v>
      </c>
      <c r="B532" s="123"/>
      <c r="C532" s="52">
        <v>3</v>
      </c>
      <c r="D532" s="59">
        <f>(142.7)*(10.764)</f>
        <v>1536.0227999999997</v>
      </c>
      <c r="E532" s="54">
        <v>0</v>
      </c>
      <c r="F532" s="54">
        <f>D532*(($F$225)+1)+(IF(E532&lt;101,E532,IF(E532&lt;201,E532/2,IF(E532&lt;=301,E532/3,E532/4))))</f>
        <v>2380.8353399999996</v>
      </c>
      <c r="G532" s="127" t="str">
        <f>A531</f>
        <v>6th Floor</v>
      </c>
      <c r="H532" s="128"/>
      <c r="I532" s="38"/>
      <c r="L532" s="56"/>
      <c r="M532" s="56"/>
      <c r="N532" s="38"/>
    </row>
    <row r="533" spans="1:14" s="53" customFormat="1" ht="15.75" customHeight="1" x14ac:dyDescent="0.35">
      <c r="A533" s="122">
        <f t="shared" ref="A533:A535" si="75">A532+1</f>
        <v>2</v>
      </c>
      <c r="B533" s="123"/>
      <c r="C533" s="52">
        <v>3</v>
      </c>
      <c r="D533" s="59">
        <f>(102.9)*(10.764)</f>
        <v>1107.6156000000001</v>
      </c>
      <c r="E533" s="54">
        <v>0</v>
      </c>
      <c r="F533" s="54">
        <f>D533*(($F$225)+1)+(IF(E533&lt;101,E533,IF(E533&lt;201,E533/2,IF(E533&lt;=301,E533/3,E533/4))))</f>
        <v>1716.8041800000001</v>
      </c>
      <c r="G533" s="129"/>
      <c r="H533" s="130"/>
      <c r="I533" s="38"/>
      <c r="L533" s="56"/>
      <c r="M533" s="56"/>
      <c r="N533" s="38"/>
    </row>
    <row r="534" spans="1:14" s="53" customFormat="1" ht="15.75" customHeight="1" x14ac:dyDescent="0.35">
      <c r="A534" s="122">
        <f t="shared" si="75"/>
        <v>3</v>
      </c>
      <c r="B534" s="123"/>
      <c r="C534" s="52">
        <v>3</v>
      </c>
      <c r="D534" s="59">
        <f>(102.9)*(10.764)</f>
        <v>1107.6156000000001</v>
      </c>
      <c r="E534" s="54">
        <v>0</v>
      </c>
      <c r="F534" s="54">
        <f>D534*(($F$225)+1)+(IF(E534&lt;101,E534,IF(E534&lt;201,E534/2,IF(E534&lt;=301,E534/3,E534/4))))</f>
        <v>1716.8041800000001</v>
      </c>
      <c r="G534" s="129"/>
      <c r="H534" s="130"/>
      <c r="I534" s="38"/>
      <c r="L534" s="56"/>
      <c r="M534" s="56"/>
      <c r="N534" s="38"/>
    </row>
    <row r="535" spans="1:14" s="53" customFormat="1" ht="15.75" customHeight="1" x14ac:dyDescent="0.35">
      <c r="A535" s="122">
        <f t="shared" si="75"/>
        <v>4</v>
      </c>
      <c r="B535" s="123"/>
      <c r="C535" s="52">
        <v>3</v>
      </c>
      <c r="D535" s="59">
        <f>(142.7)*(10.764)</f>
        <v>1536.0227999999997</v>
      </c>
      <c r="E535" s="54">
        <v>0</v>
      </c>
      <c r="F535" s="54">
        <f>D535*(($F$225)+1)+(IF(E535&lt;101,E535,IF(E535&lt;201,E535/2,IF(E535&lt;=301,E535/3,E535/4))))</f>
        <v>2380.8353399999996</v>
      </c>
      <c r="G535" s="131"/>
      <c r="H535" s="132"/>
      <c r="I535" s="38"/>
      <c r="L535" s="56"/>
      <c r="M535" s="56"/>
      <c r="N535" s="38"/>
    </row>
    <row r="536" spans="1:14" s="53" customFormat="1" ht="15.75" customHeight="1" x14ac:dyDescent="0.35">
      <c r="A536" s="124" t="s">
        <v>275</v>
      </c>
      <c r="B536" s="125"/>
      <c r="C536" s="125"/>
      <c r="D536" s="125"/>
      <c r="E536" s="125"/>
      <c r="F536" s="125"/>
      <c r="G536" s="125"/>
      <c r="H536" s="126"/>
      <c r="J536" s="38"/>
    </row>
    <row r="537" spans="1:14" s="53" customFormat="1" ht="15.75" customHeight="1" x14ac:dyDescent="0.35">
      <c r="A537" s="122">
        <v>1</v>
      </c>
      <c r="B537" s="123"/>
      <c r="C537" s="52">
        <v>3</v>
      </c>
      <c r="D537" s="59">
        <f>(142.7)*(10.764)</f>
        <v>1536.0227999999997</v>
      </c>
      <c r="E537" s="72">
        <v>0</v>
      </c>
      <c r="F537" s="72">
        <f>D537*(($F$225)+1)+(IF(E537&lt;101,E537,IF(E537&lt;201,E537/2,IF(E537&lt;=301,E537/3,E537/4))))</f>
        <v>2380.8353399999996</v>
      </c>
      <c r="G537" s="127" t="str">
        <f>A536</f>
        <v>7th Floor</v>
      </c>
      <c r="H537" s="128"/>
      <c r="I537" s="38"/>
      <c r="L537" s="56"/>
      <c r="M537" s="56"/>
      <c r="N537" s="38"/>
    </row>
    <row r="538" spans="1:14" s="53" customFormat="1" ht="15.75" customHeight="1" x14ac:dyDescent="0.35">
      <c r="A538" s="122">
        <f t="shared" ref="A538:A540" si="76">A537+1</f>
        <v>2</v>
      </c>
      <c r="B538" s="123"/>
      <c r="C538" s="52">
        <v>3</v>
      </c>
      <c r="D538" s="59">
        <f>(102.9)*(10.764)</f>
        <v>1107.6156000000001</v>
      </c>
      <c r="E538" s="54">
        <v>0</v>
      </c>
      <c r="F538" s="54">
        <f>D538*(($F$225)+1)+(IF(E538&lt;101,E538,IF(E538&lt;201,E538/2,IF(E538&lt;=301,E538/3,E538/4))))</f>
        <v>1716.8041800000001</v>
      </c>
      <c r="G538" s="129"/>
      <c r="H538" s="130"/>
      <c r="I538" s="38"/>
      <c r="L538" s="56"/>
      <c r="M538" s="56"/>
      <c r="N538" s="38"/>
    </row>
    <row r="539" spans="1:14" s="53" customFormat="1" ht="15.75" customHeight="1" x14ac:dyDescent="0.35">
      <c r="A539" s="122">
        <f t="shared" si="76"/>
        <v>3</v>
      </c>
      <c r="B539" s="123"/>
      <c r="C539" s="52">
        <v>3</v>
      </c>
      <c r="D539" s="59">
        <f>(102.9)*(10.764)</f>
        <v>1107.6156000000001</v>
      </c>
      <c r="E539" s="54">
        <v>0</v>
      </c>
      <c r="F539" s="54">
        <f>D539*(($F$225)+1)+(IF(E539&lt;101,E539,IF(E539&lt;201,E539/2,IF(E539&lt;=301,E539/3,E539/4))))</f>
        <v>1716.8041800000001</v>
      </c>
      <c r="G539" s="129"/>
      <c r="H539" s="130"/>
      <c r="I539" s="38"/>
      <c r="L539" s="56"/>
      <c r="M539" s="56"/>
      <c r="N539" s="38"/>
    </row>
    <row r="540" spans="1:14" s="53" customFormat="1" ht="15.75" customHeight="1" x14ac:dyDescent="0.35">
      <c r="A540" s="122">
        <f t="shared" si="76"/>
        <v>4</v>
      </c>
      <c r="B540" s="123"/>
      <c r="C540" s="52">
        <v>3</v>
      </c>
      <c r="D540" s="59">
        <f>(142.7)*(10.764)</f>
        <v>1536.0227999999997</v>
      </c>
      <c r="E540" s="54">
        <v>0</v>
      </c>
      <c r="F540" s="54">
        <f>D540*(($F$225)+1)+(IF(E540&lt;101,E540,IF(E540&lt;201,E540/2,IF(E540&lt;=301,E540/3,E540/4))))</f>
        <v>2380.8353399999996</v>
      </c>
      <c r="G540" s="131"/>
      <c r="H540" s="132"/>
      <c r="I540" s="38"/>
      <c r="L540" s="56"/>
      <c r="M540" s="56"/>
      <c r="N540" s="38"/>
    </row>
    <row r="541" spans="1:14" s="53" customFormat="1" ht="15.75" customHeight="1" x14ac:dyDescent="0.35">
      <c r="A541" s="124" t="s">
        <v>204</v>
      </c>
      <c r="B541" s="125"/>
      <c r="C541" s="125"/>
      <c r="D541" s="125"/>
      <c r="E541" s="125"/>
      <c r="F541" s="125"/>
      <c r="G541" s="125"/>
      <c r="H541" s="126"/>
      <c r="J541" s="38"/>
    </row>
    <row r="542" spans="1:14" s="53" customFormat="1" ht="15.75" customHeight="1" x14ac:dyDescent="0.35">
      <c r="A542" s="122">
        <v>1</v>
      </c>
      <c r="B542" s="123"/>
      <c r="C542" s="141" t="s">
        <v>202</v>
      </c>
      <c r="D542" s="142"/>
      <c r="E542" s="142"/>
      <c r="F542" s="143"/>
      <c r="G542" s="127" t="str">
        <f>A541</f>
        <v>8th Floor (Part Refuge Area)</v>
      </c>
      <c r="H542" s="128"/>
      <c r="I542" s="38"/>
      <c r="L542" s="56"/>
      <c r="M542" s="56"/>
      <c r="N542" s="38"/>
    </row>
    <row r="543" spans="1:14" s="53" customFormat="1" ht="15.75" customHeight="1" x14ac:dyDescent="0.35">
      <c r="A543" s="122">
        <f t="shared" ref="A543:A545" si="77">A542+1</f>
        <v>2</v>
      </c>
      <c r="B543" s="123"/>
      <c r="C543" s="52">
        <v>4</v>
      </c>
      <c r="D543" s="59">
        <f>(137.29)*(10.764)</f>
        <v>1477.7895599999999</v>
      </c>
      <c r="E543" s="54">
        <v>0</v>
      </c>
      <c r="F543" s="54">
        <f>D543*(($F$225)+1)+(IF(E543&lt;101,E543,IF(E543&lt;201,E543/2,IF(E543&lt;=301,E543/3,E543/4))))</f>
        <v>2290.5738179999998</v>
      </c>
      <c r="G543" s="129"/>
      <c r="H543" s="130"/>
      <c r="I543" s="38">
        <f>3.38*4.85+3.355*2.51+3.34*4.275+3.33*3.125+2.95*3.35+3.35*3.95+2.35*1.525+1.525*2.59+1.525*2.5+2.34*1.825+2.45*1.05+1.51*2.065+1.18*1.625+1.44*1.05+1.15*0.575+0.5*1.05+3.455*1.75+1.715*3.09+2.825*1.815+1.275*(7.1+3.25)</f>
        <v>128.20592500000001</v>
      </c>
      <c r="L543" s="56"/>
      <c r="M543" s="56"/>
      <c r="N543" s="38"/>
    </row>
    <row r="544" spans="1:14" s="53" customFormat="1" ht="15.75" customHeight="1" x14ac:dyDescent="0.35">
      <c r="A544" s="122">
        <f t="shared" si="77"/>
        <v>3</v>
      </c>
      <c r="B544" s="123"/>
      <c r="C544" s="52">
        <v>3</v>
      </c>
      <c r="D544" s="59">
        <f>(107.42)*(10.764)</f>
        <v>1156.2688799999999</v>
      </c>
      <c r="E544" s="54">
        <v>0</v>
      </c>
      <c r="F544" s="54">
        <f>D544*(($F$225)+1)+(IF(E544&lt;101,E544,IF(E544&lt;201,E544/2,IF(E544&lt;=301,E544/3,E544/4))))</f>
        <v>1792.2167639999998</v>
      </c>
      <c r="G544" s="129"/>
      <c r="H544" s="130"/>
      <c r="I544" s="38"/>
      <c r="L544" s="56"/>
      <c r="M544" s="56"/>
      <c r="N544" s="38"/>
    </row>
    <row r="545" spans="1:14" s="53" customFormat="1" ht="15.75" customHeight="1" x14ac:dyDescent="0.35">
      <c r="A545" s="122">
        <f t="shared" si="77"/>
        <v>4</v>
      </c>
      <c r="B545" s="123"/>
      <c r="C545" s="52">
        <v>2</v>
      </c>
      <c r="D545" s="59">
        <f>(113.37)*(10.764)</f>
        <v>1220.31468</v>
      </c>
      <c r="E545" s="54">
        <v>0</v>
      </c>
      <c r="F545" s="54">
        <f>D545*(($F$225)+1)+(IF(E545&lt;101,E545,IF(E545&lt;201,E545/2,IF(E545&lt;=301,E545/3,E545/4))))</f>
        <v>1891.487754</v>
      </c>
      <c r="G545" s="131"/>
      <c r="H545" s="132"/>
      <c r="I545" s="38">
        <f>3.6*6.395+3.65*2.77+(3.59+3.37)*4.275+1.525*(2.59+2.59)+4.775*2.67+1.625*2+1.85*0.87+1.25*1.05+1.15*1.67+1.05*1.628+1.275*7.45+2.59*1.57</f>
        <v>106.90220000000001</v>
      </c>
      <c r="L545" s="56"/>
      <c r="M545" s="56"/>
      <c r="N545" s="38"/>
    </row>
    <row r="546" spans="1:14" s="71" customFormat="1" ht="15.75" customHeight="1" x14ac:dyDescent="0.35">
      <c r="A546" s="124" t="s">
        <v>277</v>
      </c>
      <c r="B546" s="125"/>
      <c r="C546" s="125"/>
      <c r="D546" s="125"/>
      <c r="E546" s="125"/>
      <c r="F546" s="125"/>
      <c r="G546" s="125"/>
      <c r="H546" s="126"/>
      <c r="J546" s="38"/>
    </row>
    <row r="547" spans="1:14" s="71" customFormat="1" ht="15.75" customHeight="1" x14ac:dyDescent="0.35">
      <c r="A547" s="122">
        <v>1</v>
      </c>
      <c r="B547" s="123"/>
      <c r="C547" s="141" t="s">
        <v>214</v>
      </c>
      <c r="D547" s="142"/>
      <c r="E547" s="142"/>
      <c r="F547" s="143"/>
      <c r="G547" s="127" t="str">
        <f>A546</f>
        <v>9th Floor (Double Height Refuge Area on 8th Floor)</v>
      </c>
      <c r="H547" s="128"/>
      <c r="I547" s="38"/>
      <c r="L547" s="56"/>
      <c r="M547" s="56"/>
      <c r="N547" s="38"/>
    </row>
    <row r="548" spans="1:14" s="71" customFormat="1" ht="15.75" customHeight="1" x14ac:dyDescent="0.35">
      <c r="A548" s="122">
        <f t="shared" ref="A548:A550" si="78">A547+1</f>
        <v>2</v>
      </c>
      <c r="B548" s="123"/>
      <c r="C548" s="52">
        <v>3</v>
      </c>
      <c r="D548" s="59">
        <f>(107.89)*(10.764)</f>
        <v>1161.3279599999998</v>
      </c>
      <c r="E548" s="72">
        <v>0</v>
      </c>
      <c r="F548" s="72">
        <f>D548*(($F$225)+1)+(IF(E548&lt;101,E548,IF(E548&lt;201,E548/2,IF(E548&lt;=301,E548/3,E548/4))))</f>
        <v>1800.0583379999998</v>
      </c>
      <c r="G548" s="129"/>
      <c r="H548" s="130"/>
      <c r="I548" s="38"/>
      <c r="L548" s="56"/>
      <c r="M548" s="56"/>
      <c r="N548" s="38"/>
    </row>
    <row r="549" spans="1:14" s="71" customFormat="1" ht="15.75" customHeight="1" x14ac:dyDescent="0.35">
      <c r="A549" s="122">
        <f t="shared" si="78"/>
        <v>3</v>
      </c>
      <c r="B549" s="123"/>
      <c r="C549" s="52">
        <v>3</v>
      </c>
      <c r="D549" s="59">
        <f>(107.89)*(10.764)</f>
        <v>1161.3279599999998</v>
      </c>
      <c r="E549" s="72">
        <v>0</v>
      </c>
      <c r="F549" s="72">
        <f>D549*(($F$225)+1)+(IF(E549&lt;101,E549,IF(E549&lt;201,E549/2,IF(E549&lt;=301,E549/3,E549/4))))</f>
        <v>1800.0583379999998</v>
      </c>
      <c r="G549" s="129"/>
      <c r="H549" s="130"/>
      <c r="I549" s="38"/>
      <c r="L549" s="56"/>
      <c r="M549" s="56"/>
      <c r="N549" s="38"/>
    </row>
    <row r="550" spans="1:14" s="71" customFormat="1" ht="15.75" customHeight="1" x14ac:dyDescent="0.35">
      <c r="A550" s="122">
        <f t="shared" si="78"/>
        <v>4</v>
      </c>
      <c r="B550" s="123"/>
      <c r="C550" s="52">
        <v>3</v>
      </c>
      <c r="D550" s="59">
        <f>(139.62)*(10.764)</f>
        <v>1502.86968</v>
      </c>
      <c r="E550" s="72">
        <v>0</v>
      </c>
      <c r="F550" s="72">
        <f>D550*(($F$225)+1)+(IF(E550&lt;101,E550,IF(E550&lt;201,E550/2,IF(E550&lt;=301,E550/3,E550/4))))</f>
        <v>2329.4480040000003</v>
      </c>
      <c r="G550" s="131"/>
      <c r="H550" s="132"/>
      <c r="I550" s="38"/>
      <c r="L550" s="56"/>
      <c r="M550" s="56"/>
      <c r="N550" s="38"/>
    </row>
    <row r="551" spans="1:14" s="53" customFormat="1" ht="15.75" customHeight="1" x14ac:dyDescent="0.35">
      <c r="A551" s="124" t="s">
        <v>279</v>
      </c>
      <c r="B551" s="125"/>
      <c r="C551" s="125"/>
      <c r="D551" s="125"/>
      <c r="E551" s="125"/>
      <c r="F551" s="125"/>
      <c r="G551" s="125"/>
      <c r="H551" s="126"/>
      <c r="J551" s="38"/>
    </row>
    <row r="552" spans="1:14" s="53" customFormat="1" ht="15.75" customHeight="1" x14ac:dyDescent="0.35">
      <c r="A552" s="122">
        <v>1</v>
      </c>
      <c r="B552" s="123"/>
      <c r="C552" s="52">
        <v>3</v>
      </c>
      <c r="D552" s="59">
        <f>(142.7)*(10.764)</f>
        <v>1536.0227999999997</v>
      </c>
      <c r="E552" s="54">
        <v>0</v>
      </c>
      <c r="F552" s="54">
        <f>D552*(($F$225)+1)+(IF(E552&lt;101,E552,IF(E552&lt;201,E552/2,IF(E552&lt;=301,E552/3,E552/4))))</f>
        <v>2380.8353399999996</v>
      </c>
      <c r="G552" s="127" t="str">
        <f>A551</f>
        <v>10th to 14th, 17th to 19th Floor</v>
      </c>
      <c r="H552" s="128"/>
      <c r="I552" s="38"/>
      <c r="L552" s="56"/>
      <c r="M552" s="56"/>
      <c r="N552" s="38"/>
    </row>
    <row r="553" spans="1:14" s="53" customFormat="1" ht="15.75" customHeight="1" x14ac:dyDescent="0.35">
      <c r="A553" s="122">
        <f t="shared" ref="A553:A555" si="79">A552+1</f>
        <v>2</v>
      </c>
      <c r="B553" s="123"/>
      <c r="C553" s="52">
        <v>3</v>
      </c>
      <c r="D553" s="59">
        <f>(102.9)*(10.764)</f>
        <v>1107.6156000000001</v>
      </c>
      <c r="E553" s="54">
        <v>0</v>
      </c>
      <c r="F553" s="54">
        <f>D553*(($F$225)+1)+(IF(E553&lt;101,E553,IF(E553&lt;201,E553/2,IF(E553&lt;=301,E553/3,E553/4))))</f>
        <v>1716.8041800000001</v>
      </c>
      <c r="G553" s="129"/>
      <c r="H553" s="130"/>
      <c r="I553" s="38"/>
      <c r="L553" s="56"/>
      <c r="M553" s="56"/>
      <c r="N553" s="38"/>
    </row>
    <row r="554" spans="1:14" s="53" customFormat="1" ht="15.75" customHeight="1" x14ac:dyDescent="0.35">
      <c r="A554" s="122">
        <f t="shared" si="79"/>
        <v>3</v>
      </c>
      <c r="B554" s="123"/>
      <c r="C554" s="52">
        <v>3</v>
      </c>
      <c r="D554" s="59">
        <f>(102.9)*(10.764)</f>
        <v>1107.6156000000001</v>
      </c>
      <c r="E554" s="54">
        <v>0</v>
      </c>
      <c r="F554" s="54">
        <f>D554*(($F$225)+1)+(IF(E554&lt;101,E554,IF(E554&lt;201,E554/2,IF(E554&lt;=301,E554/3,E554/4))))</f>
        <v>1716.8041800000001</v>
      </c>
      <c r="G554" s="129"/>
      <c r="H554" s="130"/>
      <c r="I554" s="38"/>
      <c r="L554" s="56"/>
      <c r="M554" s="56"/>
      <c r="N554" s="38"/>
    </row>
    <row r="555" spans="1:14" s="53" customFormat="1" ht="15.75" customHeight="1" x14ac:dyDescent="0.35">
      <c r="A555" s="122">
        <f t="shared" si="79"/>
        <v>4</v>
      </c>
      <c r="B555" s="123"/>
      <c r="C555" s="52">
        <v>3</v>
      </c>
      <c r="D555" s="59">
        <f>(142.7)*(10.764)</f>
        <v>1536.0227999999997</v>
      </c>
      <c r="E555" s="54">
        <v>0</v>
      </c>
      <c r="F555" s="54">
        <f>D555*(($F$225)+1)+(IF(E555&lt;101,E555,IF(E555&lt;201,E555/2,IF(E555&lt;=301,E555/3,E555/4))))</f>
        <v>2380.8353399999996</v>
      </c>
      <c r="G555" s="131"/>
      <c r="H555" s="132"/>
      <c r="I555" s="38"/>
      <c r="L555" s="56"/>
      <c r="M555" s="56"/>
      <c r="N555" s="38"/>
    </row>
    <row r="556" spans="1:14" s="53" customFormat="1" ht="15.75" customHeight="1" x14ac:dyDescent="0.35">
      <c r="A556" s="124" t="s">
        <v>291</v>
      </c>
      <c r="B556" s="125"/>
      <c r="C556" s="125"/>
      <c r="D556" s="125"/>
      <c r="E556" s="125"/>
      <c r="F556" s="125"/>
      <c r="G556" s="125"/>
      <c r="H556" s="126"/>
      <c r="J556" s="38"/>
    </row>
    <row r="557" spans="1:14" s="53" customFormat="1" ht="15.75" customHeight="1" x14ac:dyDescent="0.35">
      <c r="A557" s="122">
        <v>1</v>
      </c>
      <c r="B557" s="123"/>
      <c r="C557" s="52">
        <v>4</v>
      </c>
      <c r="D557" s="59">
        <f>(170.87)*(10.764)</f>
        <v>1839.24468</v>
      </c>
      <c r="E557" s="54">
        <v>0</v>
      </c>
      <c r="F557" s="54">
        <f>D557*(($F$225)+1)+(IF(E557&lt;101,E557,IF(E557&lt;201,E557/2,IF(E557&lt;=301,E557/3,E557/4))))</f>
        <v>2850.8292540000002</v>
      </c>
      <c r="G557" s="127" t="str">
        <f>A556</f>
        <v>15th Floor (Double Height Refuge Area)</v>
      </c>
      <c r="H557" s="128"/>
      <c r="I557" s="38"/>
      <c r="L557" s="56"/>
      <c r="M557" s="56"/>
      <c r="N557" s="38"/>
    </row>
    <row r="558" spans="1:14" s="53" customFormat="1" ht="15.75" customHeight="1" x14ac:dyDescent="0.35">
      <c r="A558" s="122">
        <f t="shared" ref="A558:A560" si="80">A557+1</f>
        <v>2</v>
      </c>
      <c r="B558" s="123"/>
      <c r="C558" s="133" t="s">
        <v>202</v>
      </c>
      <c r="D558" s="134"/>
      <c r="E558" s="134"/>
      <c r="F558" s="135"/>
      <c r="G558" s="129"/>
      <c r="H558" s="130"/>
      <c r="I558" s="38"/>
      <c r="L558" s="56"/>
      <c r="M558" s="56"/>
      <c r="N558" s="38"/>
    </row>
    <row r="559" spans="1:14" s="53" customFormat="1" ht="15.75" customHeight="1" x14ac:dyDescent="0.35">
      <c r="A559" s="122">
        <f t="shared" si="80"/>
        <v>3</v>
      </c>
      <c r="B559" s="123"/>
      <c r="C559" s="136"/>
      <c r="D559" s="137"/>
      <c r="E559" s="137"/>
      <c r="F559" s="138"/>
      <c r="G559" s="129"/>
      <c r="H559" s="130"/>
      <c r="I559" s="38"/>
      <c r="L559" s="56"/>
      <c r="M559" s="56"/>
      <c r="N559" s="38"/>
    </row>
    <row r="560" spans="1:14" s="53" customFormat="1" ht="15.75" customHeight="1" x14ac:dyDescent="0.35">
      <c r="A560" s="122">
        <f t="shared" si="80"/>
        <v>4</v>
      </c>
      <c r="B560" s="123"/>
      <c r="C560" s="52">
        <v>4</v>
      </c>
      <c r="D560" s="59">
        <f>(170.87)*(10.764)</f>
        <v>1839.24468</v>
      </c>
      <c r="E560" s="54">
        <v>0</v>
      </c>
      <c r="F560" s="54">
        <f>D560*(($F$225)+1)+(IF(E560&lt;101,E560,IF(E560&lt;201,E560/2,IF(E560&lt;=301,E560/3,E560/4))))</f>
        <v>2850.8292540000002</v>
      </c>
      <c r="G560" s="131"/>
      <c r="H560" s="132"/>
      <c r="I560" s="38"/>
      <c r="L560" s="56"/>
      <c r="M560" s="56"/>
      <c r="N560" s="38"/>
    </row>
    <row r="561" spans="1:14" s="53" customFormat="1" ht="15.75" customHeight="1" x14ac:dyDescent="0.35">
      <c r="A561" s="124" t="s">
        <v>292</v>
      </c>
      <c r="B561" s="125"/>
      <c r="C561" s="125"/>
      <c r="D561" s="125"/>
      <c r="E561" s="125"/>
      <c r="F561" s="125"/>
      <c r="G561" s="125"/>
      <c r="H561" s="126"/>
      <c r="J561" s="38"/>
    </row>
    <row r="562" spans="1:14" s="53" customFormat="1" ht="15.75" customHeight="1" x14ac:dyDescent="0.35">
      <c r="A562" s="122">
        <v>1</v>
      </c>
      <c r="B562" s="123"/>
      <c r="C562" s="52">
        <v>4</v>
      </c>
      <c r="D562" s="59">
        <f>(170.87)*(10.764)</f>
        <v>1839.24468</v>
      </c>
      <c r="E562" s="54">
        <v>0</v>
      </c>
      <c r="F562" s="54">
        <f>D562*(($F$225)+1)+(IF(E562&lt;101,E562,IF(E562&lt;201,E562/2,IF(E562&lt;=301,E562/3,E562/4))))</f>
        <v>2850.8292540000002</v>
      </c>
      <c r="G562" s="127" t="str">
        <f>A561</f>
        <v>16th Floor  (Double Height Refuge Area on 15th Floor)</v>
      </c>
      <c r="H562" s="128"/>
      <c r="I562" s="38"/>
      <c r="L562" s="56"/>
      <c r="M562" s="56"/>
      <c r="N562" s="38"/>
    </row>
    <row r="563" spans="1:14" s="53" customFormat="1" ht="15.75" customHeight="1" x14ac:dyDescent="0.35">
      <c r="A563" s="122">
        <f t="shared" ref="A563:A565" si="81">A562+1</f>
        <v>2</v>
      </c>
      <c r="B563" s="123"/>
      <c r="C563" s="133" t="s">
        <v>202</v>
      </c>
      <c r="D563" s="134"/>
      <c r="E563" s="134"/>
      <c r="F563" s="135"/>
      <c r="G563" s="129"/>
      <c r="H563" s="130"/>
      <c r="I563" s="38"/>
      <c r="L563" s="56"/>
      <c r="M563" s="56"/>
      <c r="N563" s="38"/>
    </row>
    <row r="564" spans="1:14" s="53" customFormat="1" ht="15.75" customHeight="1" x14ac:dyDescent="0.35">
      <c r="A564" s="122">
        <f t="shared" si="81"/>
        <v>3</v>
      </c>
      <c r="B564" s="123"/>
      <c r="C564" s="136"/>
      <c r="D564" s="137"/>
      <c r="E564" s="137"/>
      <c r="F564" s="138"/>
      <c r="G564" s="129"/>
      <c r="H564" s="130"/>
      <c r="I564" s="38"/>
      <c r="L564" s="56"/>
      <c r="M564" s="56"/>
      <c r="N564" s="38"/>
    </row>
    <row r="565" spans="1:14" s="53" customFormat="1" ht="15.75" customHeight="1" x14ac:dyDescent="0.35">
      <c r="A565" s="122">
        <f t="shared" si="81"/>
        <v>4</v>
      </c>
      <c r="B565" s="123"/>
      <c r="C565" s="52">
        <v>4</v>
      </c>
      <c r="D565" s="59">
        <f>(170.87)*(10.764)</f>
        <v>1839.24468</v>
      </c>
      <c r="E565" s="54">
        <v>0</v>
      </c>
      <c r="F565" s="54">
        <f>D565*(($F$225)+1)+(IF(E565&lt;101,E565,IF(E565&lt;201,E565/2,IF(E565&lt;=301,E565/3,E565/4))))</f>
        <v>2850.8292540000002</v>
      </c>
      <c r="G565" s="131"/>
      <c r="H565" s="132"/>
      <c r="I565" s="38"/>
      <c r="L565" s="56"/>
      <c r="M565" s="56"/>
      <c r="N565" s="38"/>
    </row>
    <row r="566" spans="1:14" s="71" customFormat="1" ht="15.75" customHeight="1" x14ac:dyDescent="0.35">
      <c r="A566" s="139" t="s">
        <v>280</v>
      </c>
      <c r="B566" s="139"/>
      <c r="C566" s="139"/>
      <c r="D566" s="139"/>
      <c r="E566" s="139"/>
      <c r="F566" s="139"/>
      <c r="G566" s="139"/>
      <c r="H566" s="139"/>
      <c r="J566" s="38"/>
    </row>
    <row r="567" spans="1:14" s="71" customFormat="1" ht="15.75" customHeight="1" x14ac:dyDescent="0.35">
      <c r="A567" s="145">
        <v>1</v>
      </c>
      <c r="B567" s="145"/>
      <c r="C567" s="52">
        <v>3</v>
      </c>
      <c r="D567" s="59">
        <f>(142.7)*(10.764)</f>
        <v>1536.0227999999997</v>
      </c>
      <c r="E567" s="84">
        <v>0</v>
      </c>
      <c r="F567" s="84">
        <f>D567*(($F$225)+1)+(IF(E567&lt;101,E567,IF(E567&lt;201,E567/2,IF(E567&lt;=301,E567/3,E567/4))))</f>
        <v>2380.8353399999996</v>
      </c>
      <c r="G567" s="145" t="str">
        <f>A566</f>
        <v>20th, 21st &amp; 24th Floor</v>
      </c>
      <c r="H567" s="145"/>
      <c r="I567" s="38"/>
      <c r="L567" s="56"/>
      <c r="M567" s="56"/>
      <c r="N567" s="38"/>
    </row>
    <row r="568" spans="1:14" s="71" customFormat="1" ht="15.75" customHeight="1" x14ac:dyDescent="0.35">
      <c r="A568" s="145">
        <f t="shared" ref="A568:A570" si="82">A567+1</f>
        <v>2</v>
      </c>
      <c r="B568" s="145"/>
      <c r="C568" s="52">
        <v>3</v>
      </c>
      <c r="D568" s="59">
        <f>(102.9)*(10.764)</f>
        <v>1107.6156000000001</v>
      </c>
      <c r="E568" s="84">
        <v>0</v>
      </c>
      <c r="F568" s="84">
        <f>D568*(($F$225)+1)+(IF(E568&lt;101,E568,IF(E568&lt;201,E568/2,IF(E568&lt;=301,E568/3,E568/4))))</f>
        <v>1716.8041800000001</v>
      </c>
      <c r="G568" s="145"/>
      <c r="H568" s="145"/>
      <c r="I568" s="38"/>
      <c r="L568" s="56"/>
      <c r="M568" s="56"/>
      <c r="N568" s="38"/>
    </row>
    <row r="569" spans="1:14" s="71" customFormat="1" ht="15.75" customHeight="1" x14ac:dyDescent="0.35">
      <c r="A569" s="145">
        <f t="shared" si="82"/>
        <v>3</v>
      </c>
      <c r="B569" s="145"/>
      <c r="C569" s="52">
        <v>3</v>
      </c>
      <c r="D569" s="59">
        <f>(102.9)*(10.764)</f>
        <v>1107.6156000000001</v>
      </c>
      <c r="E569" s="84">
        <v>0</v>
      </c>
      <c r="F569" s="84">
        <f>D569*(($F$225)+1)+(IF(E569&lt;101,E569,IF(E569&lt;201,E569/2,IF(E569&lt;=301,E569/3,E569/4))))</f>
        <v>1716.8041800000001</v>
      </c>
      <c r="G569" s="145"/>
      <c r="H569" s="145"/>
      <c r="I569" s="38"/>
      <c r="L569" s="56"/>
      <c r="M569" s="56"/>
      <c r="N569" s="38"/>
    </row>
    <row r="570" spans="1:14" s="71" customFormat="1" ht="15.75" customHeight="1" x14ac:dyDescent="0.35">
      <c r="A570" s="145">
        <f t="shared" si="82"/>
        <v>4</v>
      </c>
      <c r="B570" s="145"/>
      <c r="C570" s="52">
        <v>3</v>
      </c>
      <c r="D570" s="59">
        <f>(142.7)*(10.764)</f>
        <v>1536.0227999999997</v>
      </c>
      <c r="E570" s="84">
        <v>0</v>
      </c>
      <c r="F570" s="84">
        <f>D570*(($F$225)+1)+(IF(E570&lt;101,E570,IF(E570&lt;201,E570/2,IF(E570&lt;=301,E570/3,E570/4))))</f>
        <v>2380.8353399999996</v>
      </c>
      <c r="G570" s="145"/>
      <c r="H570" s="145"/>
      <c r="I570" s="38"/>
      <c r="L570" s="56"/>
      <c r="M570" s="56"/>
      <c r="N570" s="38"/>
    </row>
    <row r="571" spans="1:14" s="53" customFormat="1" ht="15.75" hidden="1" customHeight="1" x14ac:dyDescent="0.35">
      <c r="A571" s="124" t="s">
        <v>278</v>
      </c>
      <c r="B571" s="125"/>
      <c r="C571" s="125"/>
      <c r="D571" s="125"/>
      <c r="E571" s="125"/>
      <c r="F571" s="125"/>
      <c r="G571" s="125"/>
      <c r="H571" s="126"/>
      <c r="J571" s="38"/>
    </row>
    <row r="572" spans="1:14" s="53" customFormat="1" ht="15.75" hidden="1" customHeight="1" x14ac:dyDescent="0.35">
      <c r="A572" s="122">
        <v>1</v>
      </c>
      <c r="B572" s="123"/>
      <c r="C572" s="52">
        <v>3</v>
      </c>
      <c r="D572" s="59">
        <f>(139.62)*(10.764)</f>
        <v>1502.86968</v>
      </c>
      <c r="E572" s="54">
        <v>0</v>
      </c>
      <c r="F572" s="54">
        <f>D572*(($F$225)+1)+(IF(E572&lt;101,E572,IF(E572&lt;201,E572/2,IF(E572&lt;=301,E572/3,E572/4))))</f>
        <v>2329.4480040000003</v>
      </c>
      <c r="G572" s="127" t="str">
        <f>A571</f>
        <v>11th, 12th, 17th &amp; 18th Floor</v>
      </c>
      <c r="H572" s="128"/>
      <c r="I572" s="38"/>
      <c r="L572" s="56"/>
      <c r="M572" s="56"/>
      <c r="N572" s="38"/>
    </row>
    <row r="573" spans="1:14" s="53" customFormat="1" ht="15.75" hidden="1" customHeight="1" x14ac:dyDescent="0.35">
      <c r="A573" s="122">
        <f t="shared" ref="A573:A575" si="83">A572+1</f>
        <v>2</v>
      </c>
      <c r="B573" s="123"/>
      <c r="C573" s="52">
        <v>3</v>
      </c>
      <c r="D573" s="59">
        <f>(107.89)*(10.764)</f>
        <v>1161.3279599999998</v>
      </c>
      <c r="E573" s="54">
        <v>0</v>
      </c>
      <c r="F573" s="54">
        <f>D573*(($F$225)+1)+(IF(E573&lt;101,E573,IF(E573&lt;201,E573/2,IF(E573&lt;=301,E573/3,E573/4))))</f>
        <v>1800.0583379999998</v>
      </c>
      <c r="G573" s="129"/>
      <c r="H573" s="130"/>
      <c r="I573" s="38"/>
      <c r="L573" s="56"/>
      <c r="M573" s="56"/>
      <c r="N573" s="38"/>
    </row>
    <row r="574" spans="1:14" s="53" customFormat="1" ht="15.75" hidden="1" customHeight="1" x14ac:dyDescent="0.35">
      <c r="A574" s="122">
        <f t="shared" si="83"/>
        <v>3</v>
      </c>
      <c r="B574" s="123"/>
      <c r="C574" s="52">
        <v>3</v>
      </c>
      <c r="D574" s="59">
        <f>(107.89)*(10.764)</f>
        <v>1161.3279599999998</v>
      </c>
      <c r="E574" s="54">
        <v>0</v>
      </c>
      <c r="F574" s="54">
        <f>D574*(($F$225)+1)+(IF(E574&lt;101,E574,IF(E574&lt;201,E574/2,IF(E574&lt;=301,E574/3,E574/4))))</f>
        <v>1800.0583379999998</v>
      </c>
      <c r="G574" s="129"/>
      <c r="H574" s="130"/>
      <c r="I574" s="38"/>
      <c r="L574" s="56"/>
      <c r="M574" s="56"/>
      <c r="N574" s="38"/>
    </row>
    <row r="575" spans="1:14" s="53" customFormat="1" ht="15.75" hidden="1" customHeight="1" x14ac:dyDescent="0.35">
      <c r="A575" s="122">
        <f t="shared" si="83"/>
        <v>4</v>
      </c>
      <c r="B575" s="123"/>
      <c r="C575" s="52">
        <v>3</v>
      </c>
      <c r="D575" s="59">
        <f>(139.62)*(10.764)</f>
        <v>1502.86968</v>
      </c>
      <c r="E575" s="54">
        <v>0</v>
      </c>
      <c r="F575" s="54">
        <f>D575*(($F$225)+1)+(IF(E575&lt;101,E575,IF(E575&lt;201,E575/2,IF(E575&lt;=301,E575/3,E575/4))))</f>
        <v>2329.4480040000003</v>
      </c>
      <c r="G575" s="131"/>
      <c r="H575" s="132"/>
      <c r="I575" s="38"/>
      <c r="L575" s="56"/>
      <c r="M575" s="56"/>
      <c r="N575" s="38"/>
    </row>
    <row r="576" spans="1:14" s="53" customFormat="1" ht="15.75" hidden="1" customHeight="1" x14ac:dyDescent="0.35">
      <c r="A576" s="124" t="s">
        <v>209</v>
      </c>
      <c r="B576" s="125"/>
      <c r="C576" s="125"/>
      <c r="D576" s="125"/>
      <c r="E576" s="125"/>
      <c r="F576" s="125"/>
      <c r="G576" s="125"/>
      <c r="H576" s="126"/>
      <c r="J576" s="38"/>
    </row>
    <row r="577" spans="1:14" s="53" customFormat="1" ht="15.75" hidden="1" customHeight="1" x14ac:dyDescent="0.35">
      <c r="A577" s="122">
        <v>1</v>
      </c>
      <c r="B577" s="123"/>
      <c r="C577" s="52" t="s">
        <v>208</v>
      </c>
      <c r="D577" s="59">
        <f>(120.01)*(10.764)</f>
        <v>1291.78764</v>
      </c>
      <c r="E577" s="54">
        <v>0</v>
      </c>
      <c r="F577" s="54">
        <f>D577*(($F$225)+1)+(IF(E577&lt;101,E577,IF(E577&lt;201,E577/2,IF(E577&lt;=301,E577/3,E577/4))))</f>
        <v>2002.2708420000001</v>
      </c>
      <c r="G577" s="127" t="str">
        <f>A576</f>
        <v>21st Floor (Part Refuge Area)</v>
      </c>
      <c r="H577" s="128"/>
      <c r="I577" s="38"/>
      <c r="L577" s="56"/>
      <c r="M577" s="56"/>
      <c r="N577" s="38"/>
    </row>
    <row r="578" spans="1:14" s="53" customFormat="1" ht="15.75" hidden="1" customHeight="1" x14ac:dyDescent="0.35">
      <c r="A578" s="122">
        <f t="shared" ref="A578:A580" si="84">A577+1</f>
        <v>2</v>
      </c>
      <c r="B578" s="123"/>
      <c r="C578" s="52">
        <v>2</v>
      </c>
      <c r="D578" s="59">
        <f>(79.02)*(10.764)</f>
        <v>850.57127999999989</v>
      </c>
      <c r="E578" s="54">
        <v>0</v>
      </c>
      <c r="F578" s="54">
        <f>D578*(($F$225)+1)+(IF(E578&lt;101,E578,IF(E578&lt;201,E578/2,IF(E578&lt;=301,E578/3,E578/4))))</f>
        <v>1318.3854839999999</v>
      </c>
      <c r="G578" s="129"/>
      <c r="H578" s="130"/>
      <c r="I578" s="38"/>
      <c r="L578" s="56"/>
      <c r="M578" s="56"/>
      <c r="N578" s="38"/>
    </row>
    <row r="579" spans="1:14" s="53" customFormat="1" ht="15.75" hidden="1" customHeight="1" x14ac:dyDescent="0.35">
      <c r="A579" s="122">
        <f t="shared" si="84"/>
        <v>3</v>
      </c>
      <c r="B579" s="123"/>
      <c r="C579" s="52">
        <v>2</v>
      </c>
      <c r="D579" s="59">
        <f>(79.02)*(10.764)</f>
        <v>850.57127999999989</v>
      </c>
      <c r="E579" s="54">
        <v>0</v>
      </c>
      <c r="F579" s="54">
        <f>D579*(($F$225)+1)+(IF(E579&lt;101,E579,IF(E579&lt;201,E579/2,IF(E579&lt;=301,E579/3,E579/4))))</f>
        <v>1318.3854839999999</v>
      </c>
      <c r="G579" s="129"/>
      <c r="H579" s="130"/>
      <c r="I579" s="38"/>
      <c r="L579" s="56"/>
      <c r="M579" s="56"/>
      <c r="N579" s="38"/>
    </row>
    <row r="580" spans="1:14" s="53" customFormat="1" ht="15.75" hidden="1" customHeight="1" x14ac:dyDescent="0.35">
      <c r="A580" s="122">
        <f t="shared" si="84"/>
        <v>4</v>
      </c>
      <c r="B580" s="123"/>
      <c r="C580" s="52" t="s">
        <v>208</v>
      </c>
      <c r="D580" s="59">
        <f>(120.01)*(10.764)</f>
        <v>1291.78764</v>
      </c>
      <c r="E580" s="54">
        <v>0</v>
      </c>
      <c r="F580" s="54">
        <f>D580*(($F$225)+1)+(IF(E580&lt;101,E580,IF(E580&lt;201,E580/2,IF(E580&lt;=301,E580/3,E580/4))))</f>
        <v>2002.2708420000001</v>
      </c>
      <c r="G580" s="131"/>
      <c r="H580" s="132"/>
      <c r="I580" s="38"/>
      <c r="L580" s="56"/>
      <c r="M580" s="56"/>
      <c r="N580" s="38"/>
    </row>
    <row r="581" spans="1:14" s="53" customFormat="1" ht="15.75" customHeight="1" x14ac:dyDescent="0.35">
      <c r="A581" s="124" t="s">
        <v>221</v>
      </c>
      <c r="B581" s="125"/>
      <c r="C581" s="125"/>
      <c r="D581" s="125"/>
      <c r="E581" s="125"/>
      <c r="F581" s="125"/>
      <c r="G581" s="125"/>
      <c r="H581" s="126"/>
      <c r="J581" s="38"/>
    </row>
    <row r="582" spans="1:14" s="53" customFormat="1" ht="15.75" customHeight="1" x14ac:dyDescent="0.35">
      <c r="A582" s="122">
        <v>1</v>
      </c>
      <c r="B582" s="123"/>
      <c r="C582" s="52" t="s">
        <v>283</v>
      </c>
      <c r="D582" s="59">
        <f>(142.38)*(10.764)</f>
        <v>1532.5783199999998</v>
      </c>
      <c r="E582" s="54">
        <v>0</v>
      </c>
      <c r="F582" s="54">
        <f>D582*(($F$225)+1)+(IF(E582&lt;101,E582,IF(E582&lt;201,E582/2,IF(E582&lt;=301,E582/3,E582/4))))</f>
        <v>2375.496396</v>
      </c>
      <c r="G582" s="127" t="str">
        <f>A581</f>
        <v>22nd Floor (Part Refuge Area)</v>
      </c>
      <c r="H582" s="128"/>
      <c r="I582" s="38"/>
      <c r="L582" s="56"/>
      <c r="M582" s="56"/>
      <c r="N582" s="38"/>
    </row>
    <row r="583" spans="1:14" s="53" customFormat="1" ht="15.75" customHeight="1" x14ac:dyDescent="0.35">
      <c r="A583" s="122">
        <f t="shared" ref="A583:A584" si="85">A582+1</f>
        <v>2</v>
      </c>
      <c r="B583" s="123"/>
      <c r="C583" s="52" t="s">
        <v>283</v>
      </c>
      <c r="D583" s="59">
        <f>(107.9)*(10.764)</f>
        <v>1161.4356</v>
      </c>
      <c r="E583" s="54">
        <v>0</v>
      </c>
      <c r="F583" s="54">
        <f>D583*(($F$225)+1)+(IF(E583&lt;101,E583,IF(E583&lt;201,E583/2,IF(E583&lt;=301,E583/3,E583/4))))</f>
        <v>1800.2251800000001</v>
      </c>
      <c r="G583" s="129"/>
      <c r="H583" s="130"/>
      <c r="I583" s="38"/>
      <c r="L583" s="56"/>
      <c r="M583" s="56"/>
      <c r="N583" s="38"/>
    </row>
    <row r="584" spans="1:14" s="53" customFormat="1" ht="15.75" customHeight="1" x14ac:dyDescent="0.35">
      <c r="A584" s="122">
        <f t="shared" si="85"/>
        <v>3</v>
      </c>
      <c r="B584" s="123"/>
      <c r="C584" s="52">
        <v>2</v>
      </c>
      <c r="D584" s="59">
        <f>(81.32)*(10.764)</f>
        <v>875.3284799999999</v>
      </c>
      <c r="E584" s="54">
        <v>0</v>
      </c>
      <c r="F584" s="54">
        <f>D584*(($F$225)+1)+(IF(E584&lt;101,E584,IF(E584&lt;201,E584/2,IF(E584&lt;=301,E584/3,E584/4))))</f>
        <v>1356.7591439999999</v>
      </c>
      <c r="G584" s="129"/>
      <c r="H584" s="130"/>
      <c r="I584" s="38"/>
      <c r="L584" s="56"/>
      <c r="M584" s="56"/>
      <c r="N584" s="38"/>
    </row>
    <row r="585" spans="1:14" s="71" customFormat="1" ht="15.75" customHeight="1" x14ac:dyDescent="0.35">
      <c r="A585" s="122" t="s">
        <v>282</v>
      </c>
      <c r="B585" s="123"/>
      <c r="C585" s="141" t="s">
        <v>202</v>
      </c>
      <c r="D585" s="142"/>
      <c r="E585" s="142"/>
      <c r="F585" s="143"/>
      <c r="G585" s="129"/>
      <c r="H585" s="130"/>
      <c r="I585" s="38"/>
      <c r="L585" s="56"/>
      <c r="M585" s="56"/>
      <c r="N585" s="38"/>
    </row>
    <row r="586" spans="1:14" s="53" customFormat="1" ht="15.75" customHeight="1" x14ac:dyDescent="0.35">
      <c r="A586" s="122">
        <f>A584+1</f>
        <v>4</v>
      </c>
      <c r="B586" s="123"/>
      <c r="C586" s="52" t="s">
        <v>287</v>
      </c>
      <c r="D586" s="59">
        <f>(105.86)*(10.764)</f>
        <v>1139.47704</v>
      </c>
      <c r="E586" s="54">
        <v>0</v>
      </c>
      <c r="F586" s="54">
        <f>D586*(($F$225)+1)+(IF(E586&lt;101,E586,IF(E586&lt;201,E586/2,IF(E586&lt;=301,E586/3,E586/4))))</f>
        <v>1766.1894119999999</v>
      </c>
      <c r="G586" s="131"/>
      <c r="H586" s="132"/>
      <c r="I586" s="73">
        <f>98.17+2.16+1.17+0.31+4.05</f>
        <v>105.86</v>
      </c>
      <c r="L586" s="56"/>
      <c r="M586" s="56"/>
      <c r="N586" s="38"/>
    </row>
    <row r="587" spans="1:14" s="53" customFormat="1" ht="15.75" customHeight="1" x14ac:dyDescent="0.35">
      <c r="A587" s="124" t="s">
        <v>293</v>
      </c>
      <c r="B587" s="125"/>
      <c r="C587" s="125"/>
      <c r="D587" s="125"/>
      <c r="E587" s="125"/>
      <c r="F587" s="125"/>
      <c r="G587" s="125"/>
      <c r="H587" s="126"/>
      <c r="J587" s="38"/>
    </row>
    <row r="588" spans="1:14" s="53" customFormat="1" ht="15.75" customHeight="1" x14ac:dyDescent="0.35">
      <c r="A588" s="122">
        <v>1</v>
      </c>
      <c r="B588" s="123"/>
      <c r="C588" s="52">
        <v>3</v>
      </c>
      <c r="D588" s="59">
        <f>(142.38)*(10.764)</f>
        <v>1532.5783199999998</v>
      </c>
      <c r="E588" s="54">
        <v>0</v>
      </c>
      <c r="F588" s="54">
        <f>D588*(($F$225)+1)+(IF(E588&lt;101,E588,IF(E588&lt;201,E588/2,IF(E588&lt;=301,E588/3,E588/4))))</f>
        <v>2375.496396</v>
      </c>
      <c r="G588" s="127" t="str">
        <f>A587</f>
        <v>23rd  Floor</v>
      </c>
      <c r="H588" s="128"/>
      <c r="I588" s="38"/>
      <c r="L588" s="56"/>
      <c r="M588" s="56"/>
      <c r="N588" s="38"/>
    </row>
    <row r="589" spans="1:14" s="53" customFormat="1" ht="15.75" customHeight="1" x14ac:dyDescent="0.35">
      <c r="A589" s="122">
        <f t="shared" ref="A589:A591" si="86">A588+1</f>
        <v>2</v>
      </c>
      <c r="B589" s="123"/>
      <c r="C589" s="52">
        <v>3</v>
      </c>
      <c r="D589" s="59">
        <f>(107.9)*(10.764)</f>
        <v>1161.4356</v>
      </c>
      <c r="E589" s="54">
        <v>0</v>
      </c>
      <c r="F589" s="54">
        <f>D589*(($F$225)+1)+(IF(E589&lt;101,E589,IF(E589&lt;201,E589/2,IF(E589&lt;=301,E589/3,E589/4))))</f>
        <v>1800.2251800000001</v>
      </c>
      <c r="G589" s="129"/>
      <c r="H589" s="130"/>
      <c r="I589" s="38"/>
      <c r="L589" s="56"/>
      <c r="M589" s="56"/>
      <c r="N589" s="38"/>
    </row>
    <row r="590" spans="1:14" s="53" customFormat="1" ht="15.75" customHeight="1" x14ac:dyDescent="0.35">
      <c r="A590" s="122">
        <f t="shared" si="86"/>
        <v>3</v>
      </c>
      <c r="B590" s="123"/>
      <c r="C590" s="52">
        <v>3</v>
      </c>
      <c r="D590" s="59">
        <f>(81.32)*(10.764)</f>
        <v>875.3284799999999</v>
      </c>
      <c r="E590" s="54">
        <v>0</v>
      </c>
      <c r="F590" s="54">
        <f>D590*(($F$225)+1)+(IF(E590&lt;101,E590,IF(E590&lt;201,E590/2,IF(E590&lt;=301,E590/3,E590/4))))</f>
        <v>1356.7591439999999</v>
      </c>
      <c r="G590" s="129"/>
      <c r="H590" s="130"/>
      <c r="I590" s="38"/>
      <c r="L590" s="56"/>
      <c r="M590" s="56"/>
      <c r="N590" s="38"/>
    </row>
    <row r="591" spans="1:14" s="53" customFormat="1" ht="15.75" customHeight="1" x14ac:dyDescent="0.35">
      <c r="A591" s="122">
        <f t="shared" si="86"/>
        <v>4</v>
      </c>
      <c r="B591" s="123"/>
      <c r="C591" s="52">
        <v>3</v>
      </c>
      <c r="D591" s="59">
        <f>(105.86)*(10.764)</f>
        <v>1139.47704</v>
      </c>
      <c r="E591" s="54">
        <v>0</v>
      </c>
      <c r="F591" s="54">
        <f>D591*(($F$225)+1)+(IF(E591&lt;101,E591,IF(E591&lt;201,E591/2,IF(E591&lt;=301,E591/3,E591/4))))</f>
        <v>1766.1894119999999</v>
      </c>
      <c r="G591" s="131"/>
      <c r="H591" s="132"/>
      <c r="I591" s="38"/>
      <c r="L591" s="56"/>
      <c r="M591" s="56"/>
      <c r="N591" s="38"/>
    </row>
    <row r="592" spans="1:14" s="57" customFormat="1" x14ac:dyDescent="0.35">
      <c r="A592" s="124" t="s">
        <v>212</v>
      </c>
      <c r="B592" s="125"/>
      <c r="C592" s="125"/>
      <c r="D592" s="125"/>
      <c r="E592" s="125"/>
      <c r="F592" s="125"/>
      <c r="G592" s="125"/>
      <c r="H592" s="126"/>
      <c r="J592" s="38"/>
    </row>
    <row r="593" spans="1:14" s="53" customFormat="1" x14ac:dyDescent="0.35">
      <c r="A593" s="146" t="s">
        <v>218</v>
      </c>
      <c r="B593" s="147"/>
      <c r="C593" s="147"/>
      <c r="D593" s="147"/>
      <c r="E593" s="147"/>
      <c r="F593" s="147"/>
      <c r="G593" s="147"/>
      <c r="H593" s="148"/>
      <c r="J593" s="38"/>
    </row>
    <row r="594" spans="1:14" s="53" customFormat="1" x14ac:dyDescent="0.35">
      <c r="A594" s="124" t="s">
        <v>196</v>
      </c>
      <c r="B594" s="125"/>
      <c r="C594" s="125"/>
      <c r="D594" s="125"/>
      <c r="E594" s="125"/>
      <c r="F594" s="125"/>
      <c r="G594" s="125"/>
      <c r="H594" s="126"/>
      <c r="J594" s="38"/>
    </row>
    <row r="595" spans="1:14" s="53" customFormat="1" ht="15.75" customHeight="1" x14ac:dyDescent="0.35">
      <c r="A595" s="122">
        <v>1</v>
      </c>
      <c r="B595" s="123"/>
      <c r="C595" s="52">
        <v>3</v>
      </c>
      <c r="D595" s="59">
        <f>(166.14)*(10.764)</f>
        <v>1788.3309599999998</v>
      </c>
      <c r="E595" s="54">
        <v>0</v>
      </c>
      <c r="F595" s="54">
        <f>D595*(($F$225)+1)+(IF(E595&lt;101,E595,IF(E595&lt;201,E595/2,IF(E595&lt;=301,E595/3,E595/4))))</f>
        <v>2771.9129879999996</v>
      </c>
      <c r="G595" s="127" t="str">
        <f>A594</f>
        <v>2nd Floor For Residential</v>
      </c>
      <c r="H595" s="128"/>
      <c r="I595" s="73">
        <f>149.7+16.44</f>
        <v>166.14</v>
      </c>
      <c r="L595" s="56"/>
      <c r="M595" s="56"/>
      <c r="N595" s="38"/>
    </row>
    <row r="596" spans="1:14" s="53" customFormat="1" ht="15.75" customHeight="1" x14ac:dyDescent="0.35">
      <c r="A596" s="122">
        <f t="shared" ref="A596:A598" si="87">A595+1</f>
        <v>2</v>
      </c>
      <c r="B596" s="123"/>
      <c r="C596" s="52">
        <v>3</v>
      </c>
      <c r="D596" s="59">
        <f>(84.49)*(10.764)</f>
        <v>909.45035999999993</v>
      </c>
      <c r="E596" s="54">
        <v>0</v>
      </c>
      <c r="F596" s="54">
        <f>D596*(($F$225)+1)+(IF(E596&lt;101,E596,IF(E596&lt;201,E596/2,IF(E596&lt;=301,E596/3,E596/4))))</f>
        <v>1409.648058</v>
      </c>
      <c r="G596" s="129"/>
      <c r="H596" s="130"/>
      <c r="I596" s="38"/>
      <c r="L596" s="56"/>
      <c r="M596" s="56"/>
      <c r="N596" s="38"/>
    </row>
    <row r="597" spans="1:14" s="53" customFormat="1" ht="15.75" customHeight="1" x14ac:dyDescent="0.35">
      <c r="A597" s="122">
        <f t="shared" si="87"/>
        <v>3</v>
      </c>
      <c r="B597" s="123"/>
      <c r="C597" s="52">
        <v>3</v>
      </c>
      <c r="D597" s="59">
        <f>(84.49)*(10.764)</f>
        <v>909.45035999999993</v>
      </c>
      <c r="E597" s="54">
        <v>0</v>
      </c>
      <c r="F597" s="54">
        <f>D597*(($F$225)+1)+(IF(E597&lt;101,E597,IF(E597&lt;201,E597/2,IF(E597&lt;=301,E597/3,E597/4))))</f>
        <v>1409.648058</v>
      </c>
      <c r="G597" s="129"/>
      <c r="H597" s="130"/>
      <c r="I597" s="38"/>
      <c r="L597" s="56"/>
      <c r="M597" s="56"/>
      <c r="N597" s="38"/>
    </row>
    <row r="598" spans="1:14" s="53" customFormat="1" ht="15.75" customHeight="1" x14ac:dyDescent="0.35">
      <c r="A598" s="122">
        <f t="shared" si="87"/>
        <v>4</v>
      </c>
      <c r="B598" s="123"/>
      <c r="C598" s="52">
        <v>3</v>
      </c>
      <c r="D598" s="59">
        <f>(166.14)*(10.764)</f>
        <v>1788.3309599999998</v>
      </c>
      <c r="E598" s="54">
        <v>0</v>
      </c>
      <c r="F598" s="54">
        <f>D598*(($F$225)+1)+(IF(E598&lt;101,E598,IF(E598&lt;201,E598/2,IF(E598&lt;=301,E598/3,E598/4))))</f>
        <v>2771.9129879999996</v>
      </c>
      <c r="G598" s="131"/>
      <c r="H598" s="132"/>
      <c r="I598" s="38"/>
      <c r="L598" s="56"/>
      <c r="M598" s="56"/>
      <c r="N598" s="38"/>
    </row>
    <row r="599" spans="1:14" s="53" customFormat="1" x14ac:dyDescent="0.35">
      <c r="A599" s="124" t="s">
        <v>197</v>
      </c>
      <c r="B599" s="125"/>
      <c r="C599" s="125"/>
      <c r="D599" s="125"/>
      <c r="E599" s="125"/>
      <c r="F599" s="125"/>
      <c r="G599" s="125"/>
      <c r="H599" s="126"/>
      <c r="J599" s="38"/>
    </row>
    <row r="600" spans="1:14" s="53" customFormat="1" ht="15.75" customHeight="1" x14ac:dyDescent="0.35">
      <c r="A600" s="122">
        <v>1</v>
      </c>
      <c r="B600" s="123"/>
      <c r="C600" s="52">
        <v>3</v>
      </c>
      <c r="D600" s="59">
        <f>(166.14)*(10.764)</f>
        <v>1788.3309599999998</v>
      </c>
      <c r="E600" s="54">
        <v>0</v>
      </c>
      <c r="F600" s="54">
        <f>D600*(($F$225)+1)+(IF(E600&lt;101,E600,IF(E600&lt;201,E600/2,IF(E600&lt;=301,E600/3,E600/4))))</f>
        <v>2771.9129879999996</v>
      </c>
      <c r="G600" s="127" t="str">
        <f>A599</f>
        <v>3rd Floor</v>
      </c>
      <c r="H600" s="128"/>
      <c r="I600" s="38"/>
      <c r="L600" s="56"/>
      <c r="M600" s="56"/>
      <c r="N600" s="38"/>
    </row>
    <row r="601" spans="1:14" s="53" customFormat="1" ht="15.75" customHeight="1" x14ac:dyDescent="0.35">
      <c r="A601" s="122">
        <f t="shared" ref="A601:A603" si="88">A600+1</f>
        <v>2</v>
      </c>
      <c r="B601" s="123"/>
      <c r="C601" s="52">
        <v>3</v>
      </c>
      <c r="D601" s="59">
        <f>(84.49)*(10.764)</f>
        <v>909.45035999999993</v>
      </c>
      <c r="E601" s="54">
        <v>0</v>
      </c>
      <c r="F601" s="54">
        <f>D601*(($F$225)+1)+(IF(E601&lt;101,E601,IF(E601&lt;201,E601/2,IF(E601&lt;=301,E601/3,E601/4))))</f>
        <v>1409.648058</v>
      </c>
      <c r="G601" s="129"/>
      <c r="H601" s="130"/>
      <c r="I601" s="38"/>
      <c r="L601" s="56"/>
      <c r="M601" s="56"/>
      <c r="N601" s="38"/>
    </row>
    <row r="602" spans="1:14" s="53" customFormat="1" ht="15.75" customHeight="1" x14ac:dyDescent="0.35">
      <c r="A602" s="122">
        <f t="shared" si="88"/>
        <v>3</v>
      </c>
      <c r="B602" s="123"/>
      <c r="C602" s="52">
        <v>3</v>
      </c>
      <c r="D602" s="59">
        <f>(84.49)*(10.764)</f>
        <v>909.45035999999993</v>
      </c>
      <c r="E602" s="54">
        <v>0</v>
      </c>
      <c r="F602" s="54">
        <f>D602*(($F$225)+1)+(IF(E602&lt;101,E602,IF(E602&lt;201,E602/2,IF(E602&lt;=301,E602/3,E602/4))))</f>
        <v>1409.648058</v>
      </c>
      <c r="G602" s="129"/>
      <c r="H602" s="130"/>
      <c r="I602" s="38"/>
      <c r="L602" s="56"/>
      <c r="M602" s="56"/>
      <c r="N602" s="38"/>
    </row>
    <row r="603" spans="1:14" s="53" customFormat="1" ht="15.75" customHeight="1" x14ac:dyDescent="0.35">
      <c r="A603" s="122">
        <f t="shared" si="88"/>
        <v>4</v>
      </c>
      <c r="B603" s="123"/>
      <c r="C603" s="52">
        <v>3</v>
      </c>
      <c r="D603" s="59">
        <f>(166.14)*(10.764)</f>
        <v>1788.3309599999998</v>
      </c>
      <c r="E603" s="54">
        <v>0</v>
      </c>
      <c r="F603" s="54">
        <f>D603*(($F$225)+1)+(IF(E603&lt;101,E603,IF(E603&lt;201,E603/2,IF(E603&lt;=301,E603/3,E603/4))))</f>
        <v>2771.9129879999996</v>
      </c>
      <c r="G603" s="131"/>
      <c r="H603" s="132"/>
      <c r="I603" s="38"/>
      <c r="L603" s="56"/>
      <c r="M603" s="56"/>
      <c r="N603" s="38"/>
    </row>
    <row r="604" spans="1:14" s="53" customFormat="1" ht="15.75" customHeight="1" x14ac:dyDescent="0.35">
      <c r="A604" s="124" t="s">
        <v>198</v>
      </c>
      <c r="B604" s="125"/>
      <c r="C604" s="125"/>
      <c r="D604" s="125"/>
      <c r="E604" s="125"/>
      <c r="F604" s="125"/>
      <c r="G604" s="125"/>
      <c r="H604" s="126"/>
      <c r="J604" s="38"/>
    </row>
    <row r="605" spans="1:14" s="53" customFormat="1" ht="15.75" customHeight="1" x14ac:dyDescent="0.35">
      <c r="A605" s="122">
        <v>1</v>
      </c>
      <c r="B605" s="123"/>
      <c r="C605" s="52">
        <v>3</v>
      </c>
      <c r="D605" s="59">
        <f>(166.14)*(10.764)</f>
        <v>1788.3309599999998</v>
      </c>
      <c r="E605" s="54">
        <v>0</v>
      </c>
      <c r="F605" s="54">
        <f>D605*(($F$225)+1)+(IF(E605&lt;101,E605,IF(E605&lt;201,E605/2,IF(E605&lt;=301,E605/3,E605/4))))</f>
        <v>2771.9129879999996</v>
      </c>
      <c r="G605" s="127" t="str">
        <f>A604</f>
        <v>4th Floor</v>
      </c>
      <c r="H605" s="128"/>
      <c r="I605" s="38"/>
      <c r="L605" s="56"/>
      <c r="M605" s="56"/>
      <c r="N605" s="38"/>
    </row>
    <row r="606" spans="1:14" s="53" customFormat="1" ht="15.75" customHeight="1" x14ac:dyDescent="0.35">
      <c r="A606" s="122">
        <f t="shared" ref="A606:A608" si="89">A605+1</f>
        <v>2</v>
      </c>
      <c r="B606" s="123"/>
      <c r="C606" s="52">
        <v>3</v>
      </c>
      <c r="D606" s="59">
        <f>(84.49)*(10.764)</f>
        <v>909.45035999999993</v>
      </c>
      <c r="E606" s="54">
        <v>0</v>
      </c>
      <c r="F606" s="54">
        <f>D606*(($F$225)+1)+(IF(E606&lt;101,E606,IF(E606&lt;201,E606/2,IF(E606&lt;=301,E606/3,E606/4))))</f>
        <v>1409.648058</v>
      </c>
      <c r="G606" s="129"/>
      <c r="H606" s="130"/>
      <c r="I606" s="38"/>
      <c r="L606" s="56"/>
      <c r="M606" s="56"/>
      <c r="N606" s="38"/>
    </row>
    <row r="607" spans="1:14" s="53" customFormat="1" ht="15.75" customHeight="1" x14ac:dyDescent="0.35">
      <c r="A607" s="122">
        <f t="shared" si="89"/>
        <v>3</v>
      </c>
      <c r="B607" s="123"/>
      <c r="C607" s="52">
        <v>3</v>
      </c>
      <c r="D607" s="59">
        <f>(84.49)*(10.764)</f>
        <v>909.45035999999993</v>
      </c>
      <c r="E607" s="54">
        <v>0</v>
      </c>
      <c r="F607" s="54">
        <f>D607*(($F$225)+1)+(IF(E607&lt;101,E607,IF(E607&lt;201,E607/2,IF(E607&lt;=301,E607/3,E607/4))))</f>
        <v>1409.648058</v>
      </c>
      <c r="G607" s="129"/>
      <c r="H607" s="130"/>
      <c r="I607" s="38"/>
      <c r="L607" s="56"/>
      <c r="M607" s="56"/>
      <c r="N607" s="38"/>
    </row>
    <row r="608" spans="1:14" s="53" customFormat="1" ht="15.75" customHeight="1" x14ac:dyDescent="0.35">
      <c r="A608" s="122">
        <f t="shared" si="89"/>
        <v>4</v>
      </c>
      <c r="B608" s="123"/>
      <c r="C608" s="52">
        <v>3</v>
      </c>
      <c r="D608" s="59">
        <f>(166.14)*(10.764)</f>
        <v>1788.3309599999998</v>
      </c>
      <c r="E608" s="54">
        <v>0</v>
      </c>
      <c r="F608" s="54">
        <f>D608*(($F$225)+1)+(IF(E608&lt;101,E608,IF(E608&lt;201,E608/2,IF(E608&lt;=301,E608/3,E608/4))))</f>
        <v>2771.9129879999996</v>
      </c>
      <c r="G608" s="131"/>
      <c r="H608" s="132"/>
      <c r="I608" s="38"/>
      <c r="L608" s="56"/>
      <c r="M608" s="56"/>
      <c r="N608" s="38"/>
    </row>
    <row r="609" spans="1:14" s="53" customFormat="1" ht="15.75" customHeight="1" x14ac:dyDescent="0.35">
      <c r="A609" s="124" t="s">
        <v>199</v>
      </c>
      <c r="B609" s="125"/>
      <c r="C609" s="125"/>
      <c r="D609" s="125"/>
      <c r="E609" s="125"/>
      <c r="F609" s="125"/>
      <c r="G609" s="125"/>
      <c r="H609" s="126"/>
      <c r="J609" s="38"/>
    </row>
    <row r="610" spans="1:14" s="53" customFormat="1" ht="15.75" customHeight="1" x14ac:dyDescent="0.35">
      <c r="A610" s="122">
        <v>1</v>
      </c>
      <c r="B610" s="123"/>
      <c r="C610" s="52">
        <v>3</v>
      </c>
      <c r="D610" s="59">
        <f>(166.14)*(10.764)</f>
        <v>1788.3309599999998</v>
      </c>
      <c r="E610" s="54">
        <v>0</v>
      </c>
      <c r="F610" s="54">
        <f>D610*(($F$225)+1)+(IF(E610&lt;101,E610,IF(E610&lt;201,E610/2,IF(E610&lt;=301,E610/3,E610/4))))</f>
        <v>2771.9129879999996</v>
      </c>
      <c r="G610" s="127" t="str">
        <f>A609</f>
        <v>5th Floor</v>
      </c>
      <c r="H610" s="128"/>
      <c r="I610" s="38"/>
      <c r="L610" s="56"/>
      <c r="M610" s="56"/>
      <c r="N610" s="38"/>
    </row>
    <row r="611" spans="1:14" s="53" customFormat="1" ht="15.75" customHeight="1" x14ac:dyDescent="0.35">
      <c r="A611" s="122">
        <f t="shared" ref="A611:A613" si="90">A610+1</f>
        <v>2</v>
      </c>
      <c r="B611" s="123"/>
      <c r="C611" s="52">
        <v>3</v>
      </c>
      <c r="D611" s="59">
        <f>(84.49)*(10.764)</f>
        <v>909.45035999999993</v>
      </c>
      <c r="E611" s="54">
        <v>0</v>
      </c>
      <c r="F611" s="54">
        <f>D611*(($F$225)+1)+(IF(E611&lt;101,E611,IF(E611&lt;201,E611/2,IF(E611&lt;=301,E611/3,E611/4))))</f>
        <v>1409.648058</v>
      </c>
      <c r="G611" s="129"/>
      <c r="H611" s="130"/>
      <c r="I611" s="38"/>
      <c r="L611" s="56"/>
      <c r="M611" s="56"/>
      <c r="N611" s="38"/>
    </row>
    <row r="612" spans="1:14" s="53" customFormat="1" ht="15.75" customHeight="1" x14ac:dyDescent="0.35">
      <c r="A612" s="122">
        <f t="shared" si="90"/>
        <v>3</v>
      </c>
      <c r="B612" s="123"/>
      <c r="C612" s="52">
        <v>3</v>
      </c>
      <c r="D612" s="59">
        <f>(84.49)*(10.764)</f>
        <v>909.45035999999993</v>
      </c>
      <c r="E612" s="54">
        <v>0</v>
      </c>
      <c r="F612" s="54">
        <f>D612*(($F$225)+1)+(IF(E612&lt;101,E612,IF(E612&lt;201,E612/2,IF(E612&lt;=301,E612/3,E612/4))))</f>
        <v>1409.648058</v>
      </c>
      <c r="G612" s="129"/>
      <c r="H612" s="130"/>
      <c r="I612" s="38"/>
      <c r="L612" s="56"/>
      <c r="M612" s="56"/>
      <c r="N612" s="38"/>
    </row>
    <row r="613" spans="1:14" s="53" customFormat="1" ht="15.75" customHeight="1" x14ac:dyDescent="0.35">
      <c r="A613" s="122">
        <f t="shared" si="90"/>
        <v>4</v>
      </c>
      <c r="B613" s="123"/>
      <c r="C613" s="52">
        <v>3</v>
      </c>
      <c r="D613" s="59">
        <f>(166.14)*(10.764)</f>
        <v>1788.3309599999998</v>
      </c>
      <c r="E613" s="54">
        <v>0</v>
      </c>
      <c r="F613" s="54">
        <f>D613*(($F$225)+1)+(IF(E613&lt;101,E613,IF(E613&lt;201,E613/2,IF(E613&lt;=301,E613/3,E613/4))))</f>
        <v>2771.9129879999996</v>
      </c>
      <c r="G613" s="131"/>
      <c r="H613" s="132"/>
      <c r="I613" s="38"/>
      <c r="L613" s="56"/>
      <c r="M613" s="56"/>
      <c r="N613" s="38"/>
    </row>
    <row r="614" spans="1:14" s="53" customFormat="1" ht="15.75" customHeight="1" x14ac:dyDescent="0.35">
      <c r="A614" s="124" t="s">
        <v>200</v>
      </c>
      <c r="B614" s="125"/>
      <c r="C614" s="125"/>
      <c r="D614" s="125"/>
      <c r="E614" s="125"/>
      <c r="F614" s="125"/>
      <c r="G614" s="125"/>
      <c r="H614" s="126"/>
      <c r="J614" s="38"/>
    </row>
    <row r="615" spans="1:14" s="53" customFormat="1" ht="15.75" customHeight="1" x14ac:dyDescent="0.35">
      <c r="A615" s="122">
        <v>1</v>
      </c>
      <c r="B615" s="123"/>
      <c r="C615" s="52">
        <v>3</v>
      </c>
      <c r="D615" s="59">
        <f>(166.14)*(10.764)</f>
        <v>1788.3309599999998</v>
      </c>
      <c r="E615" s="54">
        <v>0</v>
      </c>
      <c r="F615" s="54">
        <f>D615*(($F$225)+1)+(IF(E615&lt;101,E615,IF(E615&lt;201,E615/2,IF(E615&lt;=301,E615/3,E615/4))))</f>
        <v>2771.9129879999996</v>
      </c>
      <c r="G615" s="127" t="str">
        <f>A614</f>
        <v>6th Floor</v>
      </c>
      <c r="H615" s="128"/>
      <c r="I615" s="38"/>
      <c r="L615" s="56"/>
      <c r="M615" s="56"/>
      <c r="N615" s="38"/>
    </row>
    <row r="616" spans="1:14" s="53" customFormat="1" ht="15.75" customHeight="1" x14ac:dyDescent="0.35">
      <c r="A616" s="122">
        <f t="shared" ref="A616:A618" si="91">A615+1</f>
        <v>2</v>
      </c>
      <c r="B616" s="123"/>
      <c r="C616" s="52">
        <v>3</v>
      </c>
      <c r="D616" s="59">
        <f>(84.49)*(10.764)</f>
        <v>909.45035999999993</v>
      </c>
      <c r="E616" s="54">
        <v>0</v>
      </c>
      <c r="F616" s="54">
        <f>D616*(($F$225)+1)+(IF(E616&lt;101,E616,IF(E616&lt;201,E616/2,IF(E616&lt;=301,E616/3,E616/4))))</f>
        <v>1409.648058</v>
      </c>
      <c r="G616" s="129"/>
      <c r="H616" s="130"/>
      <c r="I616" s="38"/>
      <c r="L616" s="56"/>
      <c r="M616" s="56"/>
      <c r="N616" s="38"/>
    </row>
    <row r="617" spans="1:14" s="53" customFormat="1" ht="15.75" customHeight="1" x14ac:dyDescent="0.35">
      <c r="A617" s="122">
        <f t="shared" si="91"/>
        <v>3</v>
      </c>
      <c r="B617" s="123"/>
      <c r="C617" s="52">
        <v>3</v>
      </c>
      <c r="D617" s="59">
        <f>(84.49)*(10.764)</f>
        <v>909.45035999999993</v>
      </c>
      <c r="E617" s="54">
        <v>0</v>
      </c>
      <c r="F617" s="54">
        <f>D617*(($F$225)+1)+(IF(E617&lt;101,E617,IF(E617&lt;201,E617/2,IF(E617&lt;=301,E617/3,E617/4))))</f>
        <v>1409.648058</v>
      </c>
      <c r="G617" s="129"/>
      <c r="H617" s="130"/>
      <c r="I617" s="38"/>
      <c r="L617" s="56"/>
      <c r="M617" s="56"/>
      <c r="N617" s="38"/>
    </row>
    <row r="618" spans="1:14" s="53" customFormat="1" ht="15.75" customHeight="1" x14ac:dyDescent="0.35">
      <c r="A618" s="122">
        <f t="shared" si="91"/>
        <v>4</v>
      </c>
      <c r="B618" s="123"/>
      <c r="C618" s="52">
        <v>3</v>
      </c>
      <c r="D618" s="59">
        <f>(166.14)*(10.764)</f>
        <v>1788.3309599999998</v>
      </c>
      <c r="E618" s="54">
        <v>0</v>
      </c>
      <c r="F618" s="54">
        <f>D618*(($F$225)+1)+(IF(E618&lt;101,E618,IF(E618&lt;201,E618/2,IF(E618&lt;=301,E618/3,E618/4))))</f>
        <v>2771.9129879999996</v>
      </c>
      <c r="G618" s="131"/>
      <c r="H618" s="132"/>
      <c r="I618" s="38"/>
      <c r="L618" s="56"/>
      <c r="M618" s="56"/>
      <c r="N618" s="38"/>
    </row>
    <row r="619" spans="1:14" s="71" customFormat="1" ht="15.75" customHeight="1" x14ac:dyDescent="0.35">
      <c r="A619" s="139" t="s">
        <v>275</v>
      </c>
      <c r="B619" s="139"/>
      <c r="C619" s="139"/>
      <c r="D619" s="139"/>
      <c r="E619" s="139"/>
      <c r="F619" s="139"/>
      <c r="G619" s="139"/>
      <c r="H619" s="139"/>
      <c r="J619" s="38"/>
    </row>
    <row r="620" spans="1:14" s="71" customFormat="1" ht="15.75" customHeight="1" x14ac:dyDescent="0.35">
      <c r="A620" s="145">
        <v>1</v>
      </c>
      <c r="B620" s="145"/>
      <c r="C620" s="52">
        <v>3</v>
      </c>
      <c r="D620" s="59">
        <f>(166.14)*(10.764)</f>
        <v>1788.3309599999998</v>
      </c>
      <c r="E620" s="84">
        <v>0</v>
      </c>
      <c r="F620" s="84">
        <f>D620*(($F$225)+1)+(IF(E620&lt;101,E620,IF(E620&lt;201,E620/2,IF(E620&lt;=301,E620/3,E620/4))))</f>
        <v>2771.9129879999996</v>
      </c>
      <c r="G620" s="145" t="str">
        <f>A619</f>
        <v>7th Floor</v>
      </c>
      <c r="H620" s="145"/>
      <c r="I620" s="38"/>
      <c r="L620" s="56"/>
      <c r="M620" s="56"/>
      <c r="N620" s="38"/>
    </row>
    <row r="621" spans="1:14" s="71" customFormat="1" ht="15.75" customHeight="1" x14ac:dyDescent="0.35">
      <c r="A621" s="145">
        <f t="shared" ref="A621:A623" si="92">A620+1</f>
        <v>2</v>
      </c>
      <c r="B621" s="145"/>
      <c r="C621" s="52">
        <v>3</v>
      </c>
      <c r="D621" s="59">
        <f>(84.49)*(10.764)</f>
        <v>909.45035999999993</v>
      </c>
      <c r="E621" s="84">
        <v>0</v>
      </c>
      <c r="F621" s="84">
        <f>D621*(($F$225)+1)+(IF(E621&lt;101,E621,IF(E621&lt;201,E621/2,IF(E621&lt;=301,E621/3,E621/4))))</f>
        <v>1409.648058</v>
      </c>
      <c r="G621" s="145"/>
      <c r="H621" s="145"/>
      <c r="I621" s="38"/>
      <c r="L621" s="56"/>
      <c r="M621" s="56"/>
      <c r="N621" s="38"/>
    </row>
    <row r="622" spans="1:14" s="71" customFormat="1" ht="15.75" customHeight="1" x14ac:dyDescent="0.35">
      <c r="A622" s="145">
        <f t="shared" si="92"/>
        <v>3</v>
      </c>
      <c r="B622" s="145"/>
      <c r="C622" s="52">
        <v>3</v>
      </c>
      <c r="D622" s="59">
        <f>(84.49)*(10.764)</f>
        <v>909.45035999999993</v>
      </c>
      <c r="E622" s="84">
        <v>0</v>
      </c>
      <c r="F622" s="84">
        <f>D622*(($F$225)+1)+(IF(E622&lt;101,E622,IF(E622&lt;201,E622/2,IF(E622&lt;=301,E622/3,E622/4))))</f>
        <v>1409.648058</v>
      </c>
      <c r="G622" s="145"/>
      <c r="H622" s="145"/>
      <c r="I622" s="38"/>
      <c r="L622" s="56"/>
      <c r="M622" s="56"/>
      <c r="N622" s="38"/>
    </row>
    <row r="623" spans="1:14" s="71" customFormat="1" ht="15.75" customHeight="1" x14ac:dyDescent="0.35">
      <c r="A623" s="145">
        <f t="shared" si="92"/>
        <v>4</v>
      </c>
      <c r="B623" s="145"/>
      <c r="C623" s="52">
        <v>3</v>
      </c>
      <c r="D623" s="59">
        <f>(166.14)*(10.764)</f>
        <v>1788.3309599999998</v>
      </c>
      <c r="E623" s="84">
        <v>0</v>
      </c>
      <c r="F623" s="84">
        <f>D623*(($F$225)+1)+(IF(E623&lt;101,E623,IF(E623&lt;201,E623/2,IF(E623&lt;=301,E623/3,E623/4))))</f>
        <v>2771.9129879999996</v>
      </c>
      <c r="G623" s="145"/>
      <c r="H623" s="145"/>
      <c r="I623" s="38"/>
      <c r="L623" s="56"/>
      <c r="M623" s="56"/>
      <c r="N623" s="38"/>
    </row>
    <row r="624" spans="1:14" s="53" customFormat="1" ht="15.75" customHeight="1" x14ac:dyDescent="0.35">
      <c r="A624" s="124" t="s">
        <v>294</v>
      </c>
      <c r="B624" s="125"/>
      <c r="C624" s="125"/>
      <c r="D624" s="125"/>
      <c r="E624" s="125"/>
      <c r="F624" s="125"/>
      <c r="G624" s="125"/>
      <c r="H624" s="126"/>
      <c r="J624" s="38"/>
    </row>
    <row r="625" spans="1:14" s="53" customFormat="1" ht="15.75" customHeight="1" x14ac:dyDescent="0.35">
      <c r="A625" s="122">
        <v>1</v>
      </c>
      <c r="B625" s="123"/>
      <c r="C625" s="141" t="s">
        <v>296</v>
      </c>
      <c r="D625" s="142"/>
      <c r="E625" s="142"/>
      <c r="F625" s="143"/>
      <c r="G625" s="127" t="str">
        <f>A624</f>
        <v>8th Floor (Double Height Refuge Area)</v>
      </c>
      <c r="H625" s="128"/>
      <c r="I625" s="38"/>
      <c r="L625" s="56"/>
      <c r="M625" s="56"/>
      <c r="N625" s="38"/>
    </row>
    <row r="626" spans="1:14" s="53" customFormat="1" ht="15.75" customHeight="1" x14ac:dyDescent="0.35">
      <c r="A626" s="122">
        <f t="shared" ref="A626:A628" si="93">A625+1</f>
        <v>2</v>
      </c>
      <c r="B626" s="123"/>
      <c r="C626" s="52">
        <v>4</v>
      </c>
      <c r="D626" s="59">
        <f>(136.42)*(10.764)</f>
        <v>1468.4248799999998</v>
      </c>
      <c r="E626" s="54">
        <v>0</v>
      </c>
      <c r="F626" s="54">
        <f>D626*(($F$225)+1)+(IF(E626&lt;101,E626,IF(E626&lt;201,E626/2,IF(E626&lt;=301,E626/3,E626/4))))</f>
        <v>2276.0585639999999</v>
      </c>
      <c r="G626" s="129"/>
      <c r="H626" s="130"/>
      <c r="I626" s="38"/>
      <c r="L626" s="56"/>
      <c r="M626" s="56"/>
      <c r="N626" s="38"/>
    </row>
    <row r="627" spans="1:14" s="53" customFormat="1" ht="15.75" customHeight="1" x14ac:dyDescent="0.35">
      <c r="A627" s="122">
        <f t="shared" si="93"/>
        <v>3</v>
      </c>
      <c r="B627" s="123"/>
      <c r="C627" s="52">
        <v>4</v>
      </c>
      <c r="D627" s="59">
        <f>(136.42)*(10.764)</f>
        <v>1468.4248799999998</v>
      </c>
      <c r="E627" s="54">
        <v>0</v>
      </c>
      <c r="F627" s="54">
        <f>D627*(($F$225)+1)+(IF(E627&lt;101,E627,IF(E627&lt;201,E627/2,IF(E627&lt;=301,E627/3,E627/4))))</f>
        <v>2276.0585639999999</v>
      </c>
      <c r="G627" s="129"/>
      <c r="H627" s="130"/>
      <c r="I627" s="38"/>
      <c r="L627" s="56"/>
      <c r="M627" s="56"/>
      <c r="N627" s="38"/>
    </row>
    <row r="628" spans="1:14" s="53" customFormat="1" ht="15.75" customHeight="1" x14ac:dyDescent="0.35">
      <c r="A628" s="122">
        <f t="shared" si="93"/>
        <v>4</v>
      </c>
      <c r="B628" s="123"/>
      <c r="C628" s="141" t="s">
        <v>296</v>
      </c>
      <c r="D628" s="142"/>
      <c r="E628" s="142"/>
      <c r="F628" s="143"/>
      <c r="G628" s="131"/>
      <c r="H628" s="132"/>
      <c r="I628" s="38"/>
      <c r="L628" s="56"/>
      <c r="M628" s="56"/>
      <c r="N628" s="38"/>
    </row>
    <row r="629" spans="1:14" s="53" customFormat="1" ht="15.75" customHeight="1" x14ac:dyDescent="0.35">
      <c r="A629" s="124" t="s">
        <v>204</v>
      </c>
      <c r="B629" s="125"/>
      <c r="C629" s="125"/>
      <c r="D629" s="125"/>
      <c r="E629" s="125"/>
      <c r="F629" s="125"/>
      <c r="G629" s="125"/>
      <c r="H629" s="126"/>
      <c r="J629" s="38"/>
    </row>
    <row r="630" spans="1:14" s="53" customFormat="1" ht="15.75" customHeight="1" x14ac:dyDescent="0.35">
      <c r="A630" s="122">
        <v>1</v>
      </c>
      <c r="B630" s="123"/>
      <c r="C630" s="141" t="s">
        <v>202</v>
      </c>
      <c r="D630" s="142"/>
      <c r="E630" s="142"/>
      <c r="F630" s="143"/>
      <c r="G630" s="127" t="str">
        <f>A629</f>
        <v>8th Floor (Part Refuge Area)</v>
      </c>
      <c r="H630" s="128"/>
      <c r="I630" s="38"/>
      <c r="L630" s="56"/>
      <c r="M630" s="56"/>
      <c r="N630" s="38"/>
    </row>
    <row r="631" spans="1:14" s="53" customFormat="1" ht="15.75" customHeight="1" x14ac:dyDescent="0.35">
      <c r="A631" s="122">
        <f t="shared" ref="A631:A633" si="94">A630+1</f>
        <v>2</v>
      </c>
      <c r="B631" s="123"/>
      <c r="C631" s="52">
        <v>4</v>
      </c>
      <c r="D631" s="59">
        <f>(136.42)*(10.764)</f>
        <v>1468.4248799999998</v>
      </c>
      <c r="E631" s="54">
        <v>0</v>
      </c>
      <c r="F631" s="54">
        <f>D631*(($F$225)+1)+(IF(E631&lt;101,E631,IF(E631&lt;201,E631/2,IF(E631&lt;=301,E631/3,E631/4))))</f>
        <v>2276.0585639999999</v>
      </c>
      <c r="G631" s="129"/>
      <c r="H631" s="130"/>
      <c r="I631" s="38"/>
      <c r="L631" s="56"/>
      <c r="M631" s="56"/>
      <c r="N631" s="38"/>
    </row>
    <row r="632" spans="1:14" s="53" customFormat="1" ht="15.75" customHeight="1" x14ac:dyDescent="0.35">
      <c r="A632" s="122">
        <f t="shared" si="94"/>
        <v>3</v>
      </c>
      <c r="B632" s="123"/>
      <c r="C632" s="52">
        <v>4</v>
      </c>
      <c r="D632" s="59">
        <f>(136.42)*(10.764)</f>
        <v>1468.4248799999998</v>
      </c>
      <c r="E632" s="54">
        <v>0</v>
      </c>
      <c r="F632" s="54">
        <f>D632*(($F$225)+1)+(IF(E632&lt;101,E632,IF(E632&lt;201,E632/2,IF(E632&lt;=301,E632/3,E632/4))))</f>
        <v>2276.0585639999999</v>
      </c>
      <c r="G632" s="129"/>
      <c r="H632" s="130"/>
      <c r="I632" s="38"/>
      <c r="L632" s="56"/>
      <c r="M632" s="56"/>
      <c r="N632" s="38"/>
    </row>
    <row r="633" spans="1:14" s="53" customFormat="1" ht="15.75" customHeight="1" x14ac:dyDescent="0.35">
      <c r="A633" s="122">
        <f t="shared" si="94"/>
        <v>4</v>
      </c>
      <c r="B633" s="123"/>
      <c r="C633" s="141" t="s">
        <v>202</v>
      </c>
      <c r="D633" s="142"/>
      <c r="E633" s="142"/>
      <c r="F633" s="143"/>
      <c r="G633" s="131"/>
      <c r="H633" s="132"/>
      <c r="I633" s="38"/>
      <c r="L633" s="56"/>
      <c r="M633" s="56"/>
      <c r="N633" s="38"/>
    </row>
    <row r="634" spans="1:14" s="71" customFormat="1" ht="15.75" customHeight="1" x14ac:dyDescent="0.35">
      <c r="A634" s="124" t="s">
        <v>285</v>
      </c>
      <c r="B634" s="125"/>
      <c r="C634" s="125"/>
      <c r="D634" s="125"/>
      <c r="E634" s="125"/>
      <c r="F634" s="125"/>
      <c r="G634" s="125"/>
      <c r="H634" s="126"/>
      <c r="J634" s="38"/>
    </row>
    <row r="635" spans="1:14" s="71" customFormat="1" ht="15.75" customHeight="1" x14ac:dyDescent="0.35">
      <c r="A635" s="122">
        <v>1</v>
      </c>
      <c r="B635" s="123"/>
      <c r="C635" s="52">
        <v>3</v>
      </c>
      <c r="D635" s="59">
        <f>(166.14)*(10.764)</f>
        <v>1788.3309599999998</v>
      </c>
      <c r="E635" s="72">
        <v>0</v>
      </c>
      <c r="F635" s="72">
        <f>D635*(($F$225)+1)+(IF(E635&lt;101,E635,IF(E635&lt;201,E635/2,IF(E635&lt;=301,E635/3,E635/4))))</f>
        <v>2771.9129879999996</v>
      </c>
      <c r="G635" s="127" t="str">
        <f>A634</f>
        <v>10th to 14th &amp; 17th to 19th Floor</v>
      </c>
      <c r="H635" s="128"/>
      <c r="I635" s="38"/>
      <c r="L635" s="56"/>
      <c r="M635" s="56"/>
      <c r="N635" s="38"/>
    </row>
    <row r="636" spans="1:14" s="71" customFormat="1" ht="15.75" customHeight="1" x14ac:dyDescent="0.35">
      <c r="A636" s="122">
        <f t="shared" ref="A636:A638" si="95">A635+1</f>
        <v>2</v>
      </c>
      <c r="B636" s="123"/>
      <c r="C636" s="52">
        <v>3</v>
      </c>
      <c r="D636" s="59">
        <f>(84.49)*(10.764)</f>
        <v>909.45035999999993</v>
      </c>
      <c r="E636" s="72">
        <v>0</v>
      </c>
      <c r="F636" s="72">
        <f>D636*(($F$225)+1)+(IF(E636&lt;101,E636,IF(E636&lt;201,E636/2,IF(E636&lt;=301,E636/3,E636/4))))</f>
        <v>1409.648058</v>
      </c>
      <c r="G636" s="129"/>
      <c r="H636" s="130"/>
      <c r="I636" s="38"/>
      <c r="L636" s="56"/>
      <c r="M636" s="56"/>
      <c r="N636" s="38"/>
    </row>
    <row r="637" spans="1:14" s="71" customFormat="1" ht="15.75" customHeight="1" x14ac:dyDescent="0.35">
      <c r="A637" s="122">
        <f t="shared" si="95"/>
        <v>3</v>
      </c>
      <c r="B637" s="123"/>
      <c r="C637" s="52">
        <v>3</v>
      </c>
      <c r="D637" s="59">
        <f>(84.49)*(10.764)</f>
        <v>909.45035999999993</v>
      </c>
      <c r="E637" s="72">
        <v>0</v>
      </c>
      <c r="F637" s="72">
        <f>D637*(($F$225)+1)+(IF(E637&lt;101,E637,IF(E637&lt;201,E637/2,IF(E637&lt;=301,E637/3,E637/4))))</f>
        <v>1409.648058</v>
      </c>
      <c r="G637" s="129"/>
      <c r="H637" s="130"/>
      <c r="I637" s="38"/>
      <c r="L637" s="56"/>
      <c r="M637" s="56"/>
      <c r="N637" s="38"/>
    </row>
    <row r="638" spans="1:14" s="71" customFormat="1" ht="15.75" customHeight="1" x14ac:dyDescent="0.35">
      <c r="A638" s="122">
        <f t="shared" si="95"/>
        <v>4</v>
      </c>
      <c r="B638" s="123"/>
      <c r="C638" s="52">
        <v>3</v>
      </c>
      <c r="D638" s="59">
        <f>(166.14)*(10.764)</f>
        <v>1788.3309599999998</v>
      </c>
      <c r="E638" s="72">
        <v>0</v>
      </c>
      <c r="F638" s="72">
        <f>D638*(($F$225)+1)+(IF(E638&lt;101,E638,IF(E638&lt;201,E638/2,IF(E638&lt;=301,E638/3,E638/4))))</f>
        <v>2771.9129879999996</v>
      </c>
      <c r="G638" s="131"/>
      <c r="H638" s="132"/>
      <c r="I638" s="38"/>
      <c r="L638" s="56"/>
      <c r="M638" s="56"/>
      <c r="N638" s="38"/>
    </row>
    <row r="639" spans="1:14" s="53" customFormat="1" ht="15.75" hidden="1" customHeight="1" x14ac:dyDescent="0.35">
      <c r="A639" s="124" t="s">
        <v>205</v>
      </c>
      <c r="B639" s="125"/>
      <c r="C639" s="125"/>
      <c r="D639" s="125"/>
      <c r="E639" s="125"/>
      <c r="F639" s="125"/>
      <c r="G639" s="125"/>
      <c r="H639" s="126"/>
      <c r="J639" s="38"/>
    </row>
    <row r="640" spans="1:14" s="53" customFormat="1" ht="15.75" hidden="1" customHeight="1" x14ac:dyDescent="0.35">
      <c r="A640" s="122">
        <v>1</v>
      </c>
      <c r="B640" s="123"/>
      <c r="C640" s="52">
        <v>3</v>
      </c>
      <c r="D640" s="59">
        <f>(139.62)*(10.764)</f>
        <v>1502.86968</v>
      </c>
      <c r="E640" s="54">
        <v>0</v>
      </c>
      <c r="F640" s="54">
        <f>D640*(($F$225)+1)+(IF(E640&lt;101,E640,IF(E640&lt;201,E640/2,IF(E640&lt;=301,E640/3,E640/4))))</f>
        <v>2329.4480040000003</v>
      </c>
      <c r="G640" s="127" t="str">
        <f>A639</f>
        <v>9th, 11th, 12th, 17th &amp; 18th Floor</v>
      </c>
      <c r="H640" s="128"/>
      <c r="I640" s="38"/>
      <c r="L640" s="56"/>
      <c r="M640" s="56"/>
      <c r="N640" s="38"/>
    </row>
    <row r="641" spans="1:14" s="53" customFormat="1" ht="15.75" hidden="1" customHeight="1" x14ac:dyDescent="0.35">
      <c r="A641" s="122">
        <f t="shared" ref="A641:A643" si="96">A640+1</f>
        <v>2</v>
      </c>
      <c r="B641" s="123"/>
      <c r="C641" s="52">
        <v>3</v>
      </c>
      <c r="D641" s="59">
        <f>(107.89)*(10.764)</f>
        <v>1161.3279599999998</v>
      </c>
      <c r="E641" s="54">
        <v>0</v>
      </c>
      <c r="F641" s="54">
        <f>D641*(($F$225)+1)+(IF(E641&lt;101,E641,IF(E641&lt;201,E641/2,IF(E641&lt;=301,E641/3,E641/4))))</f>
        <v>1800.0583379999998</v>
      </c>
      <c r="G641" s="129"/>
      <c r="H641" s="130"/>
      <c r="I641" s="38"/>
      <c r="L641" s="56"/>
      <c r="M641" s="56"/>
      <c r="N641" s="38"/>
    </row>
    <row r="642" spans="1:14" s="53" customFormat="1" ht="15.75" hidden="1" customHeight="1" x14ac:dyDescent="0.35">
      <c r="A642" s="122">
        <f t="shared" si="96"/>
        <v>3</v>
      </c>
      <c r="B642" s="123"/>
      <c r="C642" s="52">
        <v>3</v>
      </c>
      <c r="D642" s="59">
        <f>(107.89)*(10.764)</f>
        <v>1161.3279599999998</v>
      </c>
      <c r="E642" s="54">
        <v>0</v>
      </c>
      <c r="F642" s="54">
        <f>D642*(($F$225)+1)+(IF(E642&lt;101,E642,IF(E642&lt;201,E642/2,IF(E642&lt;=301,E642/3,E642/4))))</f>
        <v>1800.0583379999998</v>
      </c>
      <c r="G642" s="129"/>
      <c r="H642" s="130"/>
      <c r="I642" s="38"/>
      <c r="L642" s="56"/>
      <c r="M642" s="56"/>
      <c r="N642" s="38"/>
    </row>
    <row r="643" spans="1:14" s="53" customFormat="1" ht="15.75" hidden="1" customHeight="1" x14ac:dyDescent="0.35">
      <c r="A643" s="122">
        <f t="shared" si="96"/>
        <v>4</v>
      </c>
      <c r="B643" s="123"/>
      <c r="C643" s="52">
        <v>3</v>
      </c>
      <c r="D643" s="59">
        <f>(139.62)*(10.764)</f>
        <v>1502.86968</v>
      </c>
      <c r="E643" s="54">
        <v>0</v>
      </c>
      <c r="F643" s="54">
        <f>D643*(($F$225)+1)+(IF(E643&lt;101,E643,IF(E643&lt;201,E643/2,IF(E643&lt;=301,E643/3,E643/4))))</f>
        <v>2329.4480040000003</v>
      </c>
      <c r="G643" s="131"/>
      <c r="H643" s="132"/>
      <c r="I643" s="38"/>
      <c r="L643" s="56"/>
      <c r="M643" s="56"/>
      <c r="N643" s="38"/>
    </row>
    <row r="644" spans="1:14" s="53" customFormat="1" ht="15.75" hidden="1" customHeight="1" x14ac:dyDescent="0.35">
      <c r="A644" s="124" t="s">
        <v>206</v>
      </c>
      <c r="B644" s="125"/>
      <c r="C644" s="125"/>
      <c r="D644" s="125"/>
      <c r="E644" s="125"/>
      <c r="F644" s="125"/>
      <c r="G644" s="125"/>
      <c r="H644" s="126"/>
      <c r="J644" s="38"/>
    </row>
    <row r="645" spans="1:14" s="53" customFormat="1" ht="15.75" hidden="1" customHeight="1" x14ac:dyDescent="0.35">
      <c r="A645" s="122">
        <v>1</v>
      </c>
      <c r="B645" s="123"/>
      <c r="C645" s="52">
        <v>3</v>
      </c>
      <c r="D645" s="59">
        <f>(139.62)*(10.764)</f>
        <v>1502.86968</v>
      </c>
      <c r="E645" s="54">
        <v>0</v>
      </c>
      <c r="F645" s="54">
        <f>D645*(($F$225)+1)+(IF(E645&lt;101,E645,IF(E645&lt;201,E645/2,IF(E645&lt;=301,E645/3,E645/4))))</f>
        <v>2329.4480040000003</v>
      </c>
      <c r="G645" s="127" t="str">
        <f>A644</f>
        <v>10th, 13th, 16th &amp; 19th Floor</v>
      </c>
      <c r="H645" s="128"/>
      <c r="I645" s="38"/>
      <c r="L645" s="56"/>
      <c r="M645" s="56"/>
      <c r="N645" s="38"/>
    </row>
    <row r="646" spans="1:14" s="53" customFormat="1" ht="15.75" hidden="1" customHeight="1" x14ac:dyDescent="0.35">
      <c r="A646" s="122">
        <f t="shared" ref="A646:A648" si="97">A645+1</f>
        <v>2</v>
      </c>
      <c r="B646" s="123"/>
      <c r="C646" s="52">
        <v>3</v>
      </c>
      <c r="D646" s="59">
        <f>(107.89)*(10.764)</f>
        <v>1161.3279599999998</v>
      </c>
      <c r="E646" s="54">
        <v>0</v>
      </c>
      <c r="F646" s="54">
        <f>D646*(($F$225)+1)+(IF(E646&lt;101,E646,IF(E646&lt;201,E646/2,IF(E646&lt;=301,E646/3,E646/4))))</f>
        <v>1800.0583379999998</v>
      </c>
      <c r="G646" s="129"/>
      <c r="H646" s="130"/>
      <c r="I646" s="38"/>
      <c r="L646" s="56"/>
      <c r="M646" s="56"/>
      <c r="N646" s="38"/>
    </row>
    <row r="647" spans="1:14" s="53" customFormat="1" ht="15.75" hidden="1" customHeight="1" x14ac:dyDescent="0.35">
      <c r="A647" s="122">
        <f t="shared" si="97"/>
        <v>3</v>
      </c>
      <c r="B647" s="123"/>
      <c r="C647" s="52">
        <v>3</v>
      </c>
      <c r="D647" s="59">
        <f>(107.89)*(10.764)</f>
        <v>1161.3279599999998</v>
      </c>
      <c r="E647" s="54">
        <v>0</v>
      </c>
      <c r="F647" s="54">
        <f>D647*(($F$225)+1)+(IF(E647&lt;101,E647,IF(E647&lt;201,E647/2,IF(E647&lt;=301,E647/3,E647/4))))</f>
        <v>1800.0583379999998</v>
      </c>
      <c r="G647" s="129"/>
      <c r="H647" s="130"/>
      <c r="I647" s="38"/>
      <c r="L647" s="56"/>
      <c r="M647" s="56"/>
      <c r="N647" s="38"/>
    </row>
    <row r="648" spans="1:14" s="53" customFormat="1" ht="15.75" hidden="1" customHeight="1" x14ac:dyDescent="0.35">
      <c r="A648" s="122">
        <f t="shared" si="97"/>
        <v>4</v>
      </c>
      <c r="B648" s="123"/>
      <c r="C648" s="52">
        <v>3</v>
      </c>
      <c r="D648" s="59">
        <f>(139.62)*(10.764)</f>
        <v>1502.86968</v>
      </c>
      <c r="E648" s="54">
        <v>0</v>
      </c>
      <c r="F648" s="54">
        <f>D648*(($F$225)+1)+(IF(E648&lt;101,E648,IF(E648&lt;201,E648/2,IF(E648&lt;=301,E648/3,E648/4))))</f>
        <v>2329.4480040000003</v>
      </c>
      <c r="G648" s="131"/>
      <c r="H648" s="132"/>
      <c r="I648" s="38"/>
      <c r="L648" s="56"/>
      <c r="M648" s="56"/>
      <c r="N648" s="38"/>
    </row>
    <row r="649" spans="1:14" s="53" customFormat="1" ht="15.75" customHeight="1" x14ac:dyDescent="0.35">
      <c r="A649" s="124" t="s">
        <v>291</v>
      </c>
      <c r="B649" s="125"/>
      <c r="C649" s="125"/>
      <c r="D649" s="125"/>
      <c r="E649" s="125"/>
      <c r="F649" s="125"/>
      <c r="G649" s="125"/>
      <c r="H649" s="126"/>
      <c r="J649" s="38"/>
    </row>
    <row r="650" spans="1:14" s="53" customFormat="1" ht="15.75" customHeight="1" x14ac:dyDescent="0.35">
      <c r="A650" s="122">
        <v>1</v>
      </c>
      <c r="B650" s="123"/>
      <c r="C650" s="52">
        <v>4</v>
      </c>
      <c r="D650" s="59">
        <f>(172.4)*(10.764)</f>
        <v>1855.7136</v>
      </c>
      <c r="E650" s="54">
        <v>0</v>
      </c>
      <c r="F650" s="54">
        <f>D650*(($F$225)+1)+(IF(E650&lt;101,E650,IF(E650&lt;201,E650/2,IF(E650&lt;=301,E650/3,E650/4))))</f>
        <v>2876.35608</v>
      </c>
      <c r="G650" s="127" t="str">
        <f>A649</f>
        <v>15th Floor (Double Height Refuge Area)</v>
      </c>
      <c r="H650" s="128"/>
      <c r="I650" s="38"/>
      <c r="L650" s="56"/>
      <c r="M650" s="56"/>
      <c r="N650" s="38"/>
    </row>
    <row r="651" spans="1:14" s="53" customFormat="1" ht="15.75" customHeight="1" x14ac:dyDescent="0.35">
      <c r="A651" s="122">
        <f t="shared" ref="A651:A653" si="98">A650+1</f>
        <v>2</v>
      </c>
      <c r="B651" s="123"/>
      <c r="C651" s="133" t="s">
        <v>202</v>
      </c>
      <c r="D651" s="134"/>
      <c r="E651" s="134"/>
      <c r="F651" s="135"/>
      <c r="G651" s="129"/>
      <c r="H651" s="130"/>
      <c r="I651" s="38"/>
      <c r="L651" s="56"/>
      <c r="M651" s="56"/>
      <c r="N651" s="38"/>
    </row>
    <row r="652" spans="1:14" s="53" customFormat="1" ht="15.75" customHeight="1" x14ac:dyDescent="0.35">
      <c r="A652" s="122">
        <f t="shared" si="98"/>
        <v>3</v>
      </c>
      <c r="B652" s="123"/>
      <c r="C652" s="136"/>
      <c r="D652" s="137"/>
      <c r="E652" s="137"/>
      <c r="F652" s="138"/>
      <c r="G652" s="129"/>
      <c r="H652" s="130"/>
      <c r="I652" s="38"/>
      <c r="L652" s="56"/>
      <c r="M652" s="56"/>
      <c r="N652" s="38"/>
    </row>
    <row r="653" spans="1:14" s="53" customFormat="1" ht="15.75" customHeight="1" x14ac:dyDescent="0.35">
      <c r="A653" s="122">
        <f t="shared" si="98"/>
        <v>4</v>
      </c>
      <c r="B653" s="123"/>
      <c r="C653" s="52">
        <v>4</v>
      </c>
      <c r="D653" s="59">
        <f>(172.4)*(10.764)</f>
        <v>1855.7136</v>
      </c>
      <c r="E653" s="54">
        <v>0</v>
      </c>
      <c r="F653" s="54">
        <f>D653*(($F$225)+1)+(IF(E653&lt;101,E653,IF(E653&lt;201,E653/2,IF(E653&lt;=301,E653/3,E653/4))))</f>
        <v>2876.35608</v>
      </c>
      <c r="G653" s="131"/>
      <c r="H653" s="132"/>
      <c r="I653" s="38"/>
      <c r="L653" s="56"/>
      <c r="M653" s="56"/>
      <c r="N653" s="38"/>
    </row>
    <row r="654" spans="1:14" s="53" customFormat="1" ht="15.75" customHeight="1" x14ac:dyDescent="0.35">
      <c r="A654" s="124" t="s">
        <v>300</v>
      </c>
      <c r="B654" s="125"/>
      <c r="C654" s="125"/>
      <c r="D654" s="125"/>
      <c r="E654" s="125"/>
      <c r="F654" s="125"/>
      <c r="G654" s="125"/>
      <c r="H654" s="126"/>
      <c r="J654" s="38"/>
    </row>
    <row r="655" spans="1:14" s="53" customFormat="1" ht="15.75" customHeight="1" x14ac:dyDescent="0.35">
      <c r="A655" s="122">
        <v>1</v>
      </c>
      <c r="B655" s="123"/>
      <c r="C655" s="52">
        <v>4</v>
      </c>
      <c r="D655" s="59">
        <f>(172.4)*(10.764)</f>
        <v>1855.7136</v>
      </c>
      <c r="E655" s="54">
        <v>0</v>
      </c>
      <c r="F655" s="54">
        <f>D655*(($F$225)+1)+(IF(E655&lt;101,E655,IF(E655&lt;201,E655/2,IF(E655&lt;=301,E655/3,E655/4))))</f>
        <v>2876.35608</v>
      </c>
      <c r="G655" s="127" t="str">
        <f>A654</f>
        <v>16th Floor (Double Height Refuge Area on 15th Floor)</v>
      </c>
      <c r="H655" s="128"/>
      <c r="I655" s="38"/>
      <c r="L655" s="56"/>
      <c r="M655" s="56"/>
      <c r="N655" s="38"/>
    </row>
    <row r="656" spans="1:14" s="53" customFormat="1" ht="15.75" customHeight="1" x14ac:dyDescent="0.35">
      <c r="A656" s="122">
        <f t="shared" ref="A656:A658" si="99">A655+1</f>
        <v>2</v>
      </c>
      <c r="B656" s="123"/>
      <c r="C656" s="133" t="s">
        <v>202</v>
      </c>
      <c r="D656" s="134"/>
      <c r="E656" s="134"/>
      <c r="F656" s="135"/>
      <c r="G656" s="129"/>
      <c r="H656" s="130"/>
      <c r="I656" s="38"/>
      <c r="L656" s="56"/>
      <c r="M656" s="56"/>
      <c r="N656" s="38"/>
    </row>
    <row r="657" spans="1:14" s="53" customFormat="1" ht="15.75" customHeight="1" x14ac:dyDescent="0.35">
      <c r="A657" s="122">
        <f t="shared" si="99"/>
        <v>3</v>
      </c>
      <c r="B657" s="123"/>
      <c r="C657" s="136"/>
      <c r="D657" s="137"/>
      <c r="E657" s="137"/>
      <c r="F657" s="138"/>
      <c r="G657" s="129"/>
      <c r="H657" s="130"/>
      <c r="I657" s="38"/>
      <c r="L657" s="56"/>
      <c r="M657" s="56"/>
      <c r="N657" s="38"/>
    </row>
    <row r="658" spans="1:14" s="53" customFormat="1" ht="15.75" customHeight="1" x14ac:dyDescent="0.35">
      <c r="A658" s="122">
        <f t="shared" si="99"/>
        <v>4</v>
      </c>
      <c r="B658" s="123"/>
      <c r="C658" s="52">
        <v>4</v>
      </c>
      <c r="D658" s="59">
        <f>(172.4)*(10.764)</f>
        <v>1855.7136</v>
      </c>
      <c r="E658" s="54">
        <v>0</v>
      </c>
      <c r="F658" s="54">
        <f>D658*(($F$225)+1)+(IF(E658&lt;101,E658,IF(E658&lt;201,E658/2,IF(E658&lt;=301,E658/3,E658/4))))</f>
        <v>2876.35608</v>
      </c>
      <c r="G658" s="131"/>
      <c r="H658" s="132"/>
      <c r="I658" s="38"/>
      <c r="L658" s="56"/>
      <c r="M658" s="56"/>
      <c r="N658" s="38"/>
    </row>
    <row r="659" spans="1:14" s="53" customFormat="1" ht="15.75" customHeight="1" x14ac:dyDescent="0.35">
      <c r="A659" s="124" t="s">
        <v>280</v>
      </c>
      <c r="B659" s="125"/>
      <c r="C659" s="125"/>
      <c r="D659" s="125"/>
      <c r="E659" s="125"/>
      <c r="F659" s="125"/>
      <c r="G659" s="125"/>
      <c r="H659" s="126"/>
      <c r="J659" s="38"/>
    </row>
    <row r="660" spans="1:14" s="53" customFormat="1" ht="15.75" customHeight="1" x14ac:dyDescent="0.35">
      <c r="A660" s="122">
        <v>1</v>
      </c>
      <c r="B660" s="123"/>
      <c r="C660" s="52" t="s">
        <v>208</v>
      </c>
      <c r="D660" s="59">
        <f>(142.69)*(10.764)</f>
        <v>1535.9151599999998</v>
      </c>
      <c r="E660" s="54">
        <v>0</v>
      </c>
      <c r="F660" s="54">
        <f>D660*(($F$225)+1)+(IF(E660&lt;101,E660,IF(E660&lt;201,E660/2,IF(E660&lt;=301,E660/3,E660/4))))</f>
        <v>2380.6684979999995</v>
      </c>
      <c r="G660" s="127" t="str">
        <f>A659</f>
        <v>20th, 21st &amp; 24th Floor</v>
      </c>
      <c r="H660" s="128"/>
      <c r="I660" s="38"/>
      <c r="L660" s="56"/>
      <c r="M660" s="56"/>
      <c r="N660" s="38"/>
    </row>
    <row r="661" spans="1:14" s="53" customFormat="1" ht="15.75" customHeight="1" x14ac:dyDescent="0.35">
      <c r="A661" s="122">
        <f t="shared" ref="A661:A663" si="100">A660+1</f>
        <v>2</v>
      </c>
      <c r="B661" s="123"/>
      <c r="C661" s="52">
        <v>2</v>
      </c>
      <c r="D661" s="59">
        <f>(107.9)*(10.764)</f>
        <v>1161.4356</v>
      </c>
      <c r="E661" s="54">
        <v>0</v>
      </c>
      <c r="F661" s="54">
        <f>D661*(($F$225)+1)+(IF(E661&lt;101,E661,IF(E661&lt;201,E661/2,IF(E661&lt;=301,E661/3,E661/4))))</f>
        <v>1800.2251800000001</v>
      </c>
      <c r="G661" s="129"/>
      <c r="H661" s="130"/>
      <c r="I661" s="38"/>
      <c r="L661" s="56"/>
      <c r="M661" s="56"/>
      <c r="N661" s="38"/>
    </row>
    <row r="662" spans="1:14" s="53" customFormat="1" ht="15.75" customHeight="1" x14ac:dyDescent="0.35">
      <c r="A662" s="122">
        <f t="shared" si="100"/>
        <v>3</v>
      </c>
      <c r="B662" s="123"/>
      <c r="C662" s="52">
        <v>2</v>
      </c>
      <c r="D662" s="59">
        <f>(107.9)*(10.764)</f>
        <v>1161.4356</v>
      </c>
      <c r="E662" s="54">
        <v>0</v>
      </c>
      <c r="F662" s="54">
        <f>D662*(($F$225)+1)+(IF(E662&lt;101,E662,IF(E662&lt;201,E662/2,IF(E662&lt;=301,E662/3,E662/4))))</f>
        <v>1800.2251800000001</v>
      </c>
      <c r="G662" s="129"/>
      <c r="H662" s="130"/>
      <c r="I662" s="38"/>
      <c r="L662" s="56"/>
      <c r="M662" s="56"/>
      <c r="N662" s="38"/>
    </row>
    <row r="663" spans="1:14" s="53" customFormat="1" ht="15.75" customHeight="1" x14ac:dyDescent="0.35">
      <c r="A663" s="122">
        <f t="shared" si="100"/>
        <v>4</v>
      </c>
      <c r="B663" s="123"/>
      <c r="C663" s="52" t="s">
        <v>208</v>
      </c>
      <c r="D663" s="59">
        <f>(142.69)*(10.764)</f>
        <v>1535.9151599999998</v>
      </c>
      <c r="E663" s="54">
        <v>0</v>
      </c>
      <c r="F663" s="54">
        <f>D663*(($F$225)+1)+(IF(E663&lt;101,E663,IF(E663&lt;201,E663/2,IF(E663&lt;=301,E663/3,E663/4))))</f>
        <v>2380.6684979999995</v>
      </c>
      <c r="G663" s="131"/>
      <c r="H663" s="132"/>
      <c r="I663" s="38"/>
      <c r="L663" s="56"/>
      <c r="M663" s="56"/>
      <c r="N663" s="38"/>
    </row>
    <row r="664" spans="1:14" s="53" customFormat="1" ht="15.75" customHeight="1" x14ac:dyDescent="0.35">
      <c r="A664" s="124" t="s">
        <v>297</v>
      </c>
      <c r="B664" s="125"/>
      <c r="C664" s="125"/>
      <c r="D664" s="125"/>
      <c r="E664" s="125"/>
      <c r="F664" s="125"/>
      <c r="G664" s="125"/>
      <c r="H664" s="126"/>
      <c r="J664" s="38"/>
    </row>
    <row r="665" spans="1:14" s="53" customFormat="1" ht="15.75" customHeight="1" x14ac:dyDescent="0.35">
      <c r="A665" s="122">
        <v>1</v>
      </c>
      <c r="B665" s="123"/>
      <c r="C665" s="52" t="s">
        <v>284</v>
      </c>
      <c r="D665" s="59">
        <f>(122.04)*(10.764)</f>
        <v>1313.6385600000001</v>
      </c>
      <c r="E665" s="54">
        <v>0</v>
      </c>
      <c r="F665" s="54">
        <f>D665*(($F$225)+1)+(IF(E665&lt;101,E665,IF(E665&lt;201,E665/2,IF(E665&lt;=301,E665/3,E665/4))))</f>
        <v>2036.1397680000002</v>
      </c>
      <c r="G665" s="127" t="str">
        <f>A664</f>
        <v>22nd Floor ( Double Height Refuge Area)</v>
      </c>
      <c r="H665" s="128"/>
      <c r="I665" s="38"/>
      <c r="L665" s="56"/>
      <c r="M665" s="56"/>
      <c r="N665" s="38"/>
    </row>
    <row r="666" spans="1:14" s="53" customFormat="1" ht="15.75" customHeight="1" x14ac:dyDescent="0.35">
      <c r="A666" s="122">
        <f t="shared" ref="A666:A667" si="101">A665+1</f>
        <v>2</v>
      </c>
      <c r="B666" s="123"/>
      <c r="C666" s="52">
        <v>2</v>
      </c>
      <c r="D666" s="59">
        <f>(79.49)*(10.764)</f>
        <v>855.63035999999988</v>
      </c>
      <c r="E666" s="54">
        <v>0</v>
      </c>
      <c r="F666" s="54">
        <f>D666*(($F$225)+1)+(IF(E666&lt;101,E666,IF(E666&lt;201,E666/2,IF(E666&lt;=301,E666/3,E666/4))))</f>
        <v>1326.2270579999999</v>
      </c>
      <c r="G666" s="129"/>
      <c r="H666" s="130"/>
      <c r="I666" s="38"/>
      <c r="L666" s="56"/>
      <c r="M666" s="56"/>
      <c r="N666" s="38"/>
    </row>
    <row r="667" spans="1:14" s="53" customFormat="1" ht="15.75" customHeight="1" x14ac:dyDescent="0.35">
      <c r="A667" s="122">
        <f t="shared" si="101"/>
        <v>3</v>
      </c>
      <c r="B667" s="123"/>
      <c r="C667" s="52">
        <v>2</v>
      </c>
      <c r="D667" s="59">
        <f>(79.49)*(10.764)</f>
        <v>855.63035999999988</v>
      </c>
      <c r="E667" s="54">
        <v>0</v>
      </c>
      <c r="F667" s="54">
        <f>D667*(($F$225)+1)+(IF(E667&lt;101,E667,IF(E667&lt;201,E667/2,IF(E667&lt;=301,E667/3,E667/4))))</f>
        <v>1326.2270579999999</v>
      </c>
      <c r="G667" s="129"/>
      <c r="H667" s="130"/>
      <c r="I667" s="38"/>
      <c r="L667" s="56"/>
      <c r="M667" s="56"/>
      <c r="N667" s="38"/>
    </row>
    <row r="668" spans="1:14" s="71" customFormat="1" ht="15.75" customHeight="1" x14ac:dyDescent="0.35">
      <c r="A668" s="122" t="s">
        <v>282</v>
      </c>
      <c r="B668" s="123"/>
      <c r="C668" s="141" t="s">
        <v>296</v>
      </c>
      <c r="D668" s="142"/>
      <c r="E668" s="142"/>
      <c r="F668" s="143"/>
      <c r="G668" s="129"/>
      <c r="H668" s="130"/>
      <c r="I668" s="38"/>
      <c r="L668" s="56"/>
      <c r="M668" s="56"/>
      <c r="N668" s="38"/>
    </row>
    <row r="669" spans="1:14" s="53" customFormat="1" ht="15.75" customHeight="1" x14ac:dyDescent="0.35">
      <c r="A669" s="122">
        <f>A667+1</f>
        <v>4</v>
      </c>
      <c r="B669" s="123"/>
      <c r="C669" s="52" t="s">
        <v>287</v>
      </c>
      <c r="D669" s="59">
        <f>(122.04)*(10.764)</f>
        <v>1313.6385600000001</v>
      </c>
      <c r="E669" s="54">
        <v>0</v>
      </c>
      <c r="F669" s="54">
        <f>D669*(($F$225)+1)+(IF(E669&lt;101,E669,IF(E669&lt;201,E669/2,IF(E669&lt;=301,E669/3,E669/4))))</f>
        <v>2036.1397680000002</v>
      </c>
      <c r="G669" s="131"/>
      <c r="H669" s="132"/>
      <c r="I669" s="38"/>
      <c r="L669" s="56"/>
      <c r="M669" s="56"/>
      <c r="N669" s="38"/>
    </row>
    <row r="670" spans="1:14" s="53" customFormat="1" ht="15.75" customHeight="1" x14ac:dyDescent="0.35">
      <c r="A670" s="124" t="s">
        <v>298</v>
      </c>
      <c r="B670" s="125"/>
      <c r="C670" s="125"/>
      <c r="D670" s="125"/>
      <c r="E670" s="125"/>
      <c r="F670" s="125"/>
      <c r="G670" s="125"/>
      <c r="H670" s="126"/>
      <c r="J670" s="38"/>
    </row>
    <row r="671" spans="1:14" s="53" customFormat="1" ht="15.75" customHeight="1" x14ac:dyDescent="0.35">
      <c r="A671" s="122">
        <v>1</v>
      </c>
      <c r="B671" s="123"/>
      <c r="C671" s="52" t="s">
        <v>284</v>
      </c>
      <c r="D671" s="59">
        <f>(122.04)*(10.764)</f>
        <v>1313.6385600000001</v>
      </c>
      <c r="E671" s="54">
        <v>0</v>
      </c>
      <c r="F671" s="54">
        <f>D671*(($F$225)+1)+(IF(E671&lt;101,E671,IF(E671&lt;201,E671/2,IF(E671&lt;=301,E671/3,E671/4))))</f>
        <v>2036.1397680000002</v>
      </c>
      <c r="G671" s="127" t="str">
        <f>A670</f>
        <v xml:space="preserve"> 23rd Floor (Double Height Refuge Area on 22nd Floor)</v>
      </c>
      <c r="H671" s="128"/>
      <c r="I671" s="38"/>
      <c r="L671" s="56"/>
      <c r="M671" s="56"/>
      <c r="N671" s="38"/>
    </row>
    <row r="672" spans="1:14" s="53" customFormat="1" ht="15.75" customHeight="1" x14ac:dyDescent="0.35">
      <c r="A672" s="122">
        <f t="shared" ref="A672:A673" si="102">A671+1</f>
        <v>2</v>
      </c>
      <c r="B672" s="123"/>
      <c r="C672" s="52">
        <v>2</v>
      </c>
      <c r="D672" s="59">
        <f>(79.49)*(10.764)</f>
        <v>855.63035999999988</v>
      </c>
      <c r="E672" s="54">
        <v>0</v>
      </c>
      <c r="F672" s="54">
        <f>D672*(($F$225)+1)+(IF(E672&lt;101,E672,IF(E672&lt;201,E672/2,IF(E672&lt;=301,E672/3,E672/4))))</f>
        <v>1326.2270579999999</v>
      </c>
      <c r="G672" s="129"/>
      <c r="H672" s="130"/>
      <c r="I672" s="38"/>
      <c r="L672" s="56"/>
      <c r="M672" s="56"/>
      <c r="N672" s="38"/>
    </row>
    <row r="673" spans="1:14" s="53" customFormat="1" ht="15.75" customHeight="1" x14ac:dyDescent="0.35">
      <c r="A673" s="122">
        <f t="shared" si="102"/>
        <v>3</v>
      </c>
      <c r="B673" s="123"/>
      <c r="C673" s="52">
        <v>2</v>
      </c>
      <c r="D673" s="59">
        <f>(79.49)*(10.764)</f>
        <v>855.63035999999988</v>
      </c>
      <c r="E673" s="54">
        <v>0</v>
      </c>
      <c r="F673" s="54">
        <f>D673*(($F$225)+1)+(IF(E673&lt;101,E673,IF(E673&lt;201,E673/2,IF(E673&lt;=301,E673/3,E673/4))))</f>
        <v>1326.2270579999999</v>
      </c>
      <c r="G673" s="129"/>
      <c r="H673" s="130"/>
      <c r="I673" s="38"/>
      <c r="L673" s="56"/>
      <c r="M673" s="56"/>
      <c r="N673" s="38"/>
    </row>
    <row r="674" spans="1:14" s="71" customFormat="1" ht="15.75" customHeight="1" x14ac:dyDescent="0.35">
      <c r="A674" s="122" t="s">
        <v>282</v>
      </c>
      <c r="B674" s="123"/>
      <c r="C674" s="141" t="s">
        <v>296</v>
      </c>
      <c r="D674" s="142"/>
      <c r="E674" s="142"/>
      <c r="F674" s="143"/>
      <c r="G674" s="129"/>
      <c r="H674" s="130"/>
      <c r="I674" s="38"/>
      <c r="L674" s="56"/>
      <c r="M674" s="56"/>
      <c r="N674" s="38"/>
    </row>
    <row r="675" spans="1:14" s="53" customFormat="1" ht="15.75" customHeight="1" x14ac:dyDescent="0.35">
      <c r="A675" s="122">
        <f>A673+1</f>
        <v>4</v>
      </c>
      <c r="B675" s="123"/>
      <c r="C675" s="52">
        <v>2</v>
      </c>
      <c r="D675" s="59">
        <f>(139.87)*(10.764)</f>
        <v>1505.56068</v>
      </c>
      <c r="E675" s="54">
        <v>0</v>
      </c>
      <c r="F675" s="54">
        <f>D675*(($F$225)+1)+(IF(E675&lt;101,E675,IF(E675&lt;201,E675/2,IF(E675&lt;=301,E675/3,E675/4))))</f>
        <v>2333.6190540000002</v>
      </c>
      <c r="G675" s="131"/>
      <c r="H675" s="132"/>
      <c r="I675" s="38"/>
      <c r="L675" s="56"/>
      <c r="M675" s="56"/>
      <c r="N675" s="38"/>
    </row>
    <row r="676" spans="1:14" s="57" customFormat="1" x14ac:dyDescent="0.35">
      <c r="A676" s="139" t="s">
        <v>212</v>
      </c>
      <c r="B676" s="139"/>
      <c r="C676" s="139"/>
      <c r="D676" s="139"/>
      <c r="E676" s="139"/>
      <c r="F676" s="139"/>
      <c r="G676" s="139"/>
      <c r="H676" s="139"/>
      <c r="J676" s="38"/>
    </row>
    <row r="677" spans="1:14" s="53" customFormat="1" x14ac:dyDescent="0.35">
      <c r="A677" s="144" t="s">
        <v>219</v>
      </c>
      <c r="B677" s="144"/>
      <c r="C677" s="144"/>
      <c r="D677" s="144"/>
      <c r="E677" s="144"/>
      <c r="F677" s="144"/>
      <c r="G677" s="144"/>
      <c r="H677" s="144"/>
      <c r="J677" s="38"/>
    </row>
    <row r="678" spans="1:14" s="53" customFormat="1" x14ac:dyDescent="0.35">
      <c r="A678" s="139" t="s">
        <v>196</v>
      </c>
      <c r="B678" s="139"/>
      <c r="C678" s="139"/>
      <c r="D678" s="139"/>
      <c r="E678" s="139"/>
      <c r="F678" s="139"/>
      <c r="G678" s="139"/>
      <c r="H678" s="139"/>
      <c r="J678" s="38"/>
    </row>
    <row r="679" spans="1:14" s="53" customFormat="1" ht="15.75" customHeight="1" x14ac:dyDescent="0.35">
      <c r="A679" s="145">
        <v>1</v>
      </c>
      <c r="B679" s="145"/>
      <c r="C679" s="52">
        <v>3</v>
      </c>
      <c r="D679" s="59">
        <f>(142.7)*(10.764)</f>
        <v>1536.0227999999997</v>
      </c>
      <c r="E679" s="84">
        <v>0</v>
      </c>
      <c r="F679" s="84">
        <f>D679*(($F$225)+1)+(IF(E679&lt;101,E679,IF(E679&lt;201,E679/2,IF(E679&lt;=301,E679/3,E679/4))))</f>
        <v>2380.8353399999996</v>
      </c>
      <c r="G679" s="145" t="str">
        <f>A678</f>
        <v>2nd Floor For Residential</v>
      </c>
      <c r="H679" s="145"/>
      <c r="I679" s="38"/>
      <c r="L679" s="56"/>
      <c r="M679" s="56"/>
      <c r="N679" s="38"/>
    </row>
    <row r="680" spans="1:14" s="53" customFormat="1" ht="15.75" customHeight="1" x14ac:dyDescent="0.35">
      <c r="A680" s="145">
        <f t="shared" ref="A680:A682" si="103">A679+1</f>
        <v>2</v>
      </c>
      <c r="B680" s="145"/>
      <c r="C680" s="52">
        <v>3</v>
      </c>
      <c r="D680" s="59">
        <f>(102.9)*(10.764)</f>
        <v>1107.6156000000001</v>
      </c>
      <c r="E680" s="84">
        <v>0</v>
      </c>
      <c r="F680" s="84">
        <f>D680*(($F$225)+1)+(IF(E680&lt;101,E680,IF(E680&lt;201,E680/2,IF(E680&lt;=301,E680/3,E680/4))))</f>
        <v>1716.8041800000001</v>
      </c>
      <c r="G680" s="145"/>
      <c r="H680" s="145"/>
      <c r="I680" s="38"/>
      <c r="L680" s="56"/>
      <c r="M680" s="56"/>
      <c r="N680" s="38"/>
    </row>
    <row r="681" spans="1:14" s="53" customFormat="1" ht="15.75" customHeight="1" x14ac:dyDescent="0.35">
      <c r="A681" s="145">
        <f t="shared" si="103"/>
        <v>3</v>
      </c>
      <c r="B681" s="145"/>
      <c r="C681" s="52">
        <v>3</v>
      </c>
      <c r="D681" s="59">
        <f>(102.9)*(10.764)</f>
        <v>1107.6156000000001</v>
      </c>
      <c r="E681" s="84">
        <v>0</v>
      </c>
      <c r="F681" s="84">
        <f>D681*(($F$225)+1)+(IF(E681&lt;101,E681,IF(E681&lt;201,E681/2,IF(E681&lt;=301,E681/3,E681/4))))</f>
        <v>1716.8041800000001</v>
      </c>
      <c r="G681" s="145"/>
      <c r="H681" s="145"/>
      <c r="I681" s="38"/>
      <c r="L681" s="56"/>
      <c r="M681" s="56"/>
      <c r="N681" s="38"/>
    </row>
    <row r="682" spans="1:14" s="53" customFormat="1" ht="15.75" customHeight="1" x14ac:dyDescent="0.35">
      <c r="A682" s="145">
        <f t="shared" si="103"/>
        <v>4</v>
      </c>
      <c r="B682" s="145"/>
      <c r="C682" s="52">
        <v>3</v>
      </c>
      <c r="D682" s="59">
        <f>(142.7)*(10.764)</f>
        <v>1536.0227999999997</v>
      </c>
      <c r="E682" s="84">
        <v>0</v>
      </c>
      <c r="F682" s="84">
        <f>D682*(($F$225)+1)+(IF(E682&lt;101,E682,IF(E682&lt;201,E682/2,IF(E682&lt;=301,E682/3,E682/4))))</f>
        <v>2380.8353399999996</v>
      </c>
      <c r="G682" s="145"/>
      <c r="H682" s="145"/>
      <c r="I682" s="38"/>
      <c r="L682" s="56"/>
      <c r="M682" s="56"/>
      <c r="N682" s="38"/>
    </row>
    <row r="683" spans="1:14" s="53" customFormat="1" x14ac:dyDescent="0.35">
      <c r="A683" s="124" t="s">
        <v>197</v>
      </c>
      <c r="B683" s="125"/>
      <c r="C683" s="125"/>
      <c r="D683" s="125"/>
      <c r="E683" s="125"/>
      <c r="F683" s="125"/>
      <c r="G683" s="125"/>
      <c r="H683" s="126"/>
      <c r="J683" s="38"/>
    </row>
    <row r="684" spans="1:14" s="53" customFormat="1" ht="15.75" customHeight="1" x14ac:dyDescent="0.35">
      <c r="A684" s="122">
        <v>1</v>
      </c>
      <c r="B684" s="123"/>
      <c r="C684" s="52">
        <v>3</v>
      </c>
      <c r="D684" s="59">
        <f>(142.7)*(10.764)</f>
        <v>1536.0227999999997</v>
      </c>
      <c r="E684" s="54">
        <v>0</v>
      </c>
      <c r="F684" s="54">
        <f>D684*(($F$225)+1)+(IF(E684&lt;101,E684,IF(E684&lt;201,E684/2,IF(E684&lt;=301,E684/3,E684/4))))</f>
        <v>2380.8353399999996</v>
      </c>
      <c r="G684" s="127" t="str">
        <f>A683</f>
        <v>3rd Floor</v>
      </c>
      <c r="H684" s="128"/>
      <c r="I684" s="38"/>
      <c r="L684" s="56"/>
      <c r="M684" s="56"/>
      <c r="N684" s="38"/>
    </row>
    <row r="685" spans="1:14" s="53" customFormat="1" ht="15.75" customHeight="1" x14ac:dyDescent="0.35">
      <c r="A685" s="122">
        <f t="shared" ref="A685:A687" si="104">A684+1</f>
        <v>2</v>
      </c>
      <c r="B685" s="123"/>
      <c r="C685" s="52">
        <v>3</v>
      </c>
      <c r="D685" s="59">
        <f>(102.9)*(10.764)</f>
        <v>1107.6156000000001</v>
      </c>
      <c r="E685" s="54">
        <v>0</v>
      </c>
      <c r="F685" s="54">
        <f>D685*(($F$225)+1)+(IF(E685&lt;101,E685,IF(E685&lt;201,E685/2,IF(E685&lt;=301,E685/3,E685/4))))</f>
        <v>1716.8041800000001</v>
      </c>
      <c r="G685" s="129"/>
      <c r="H685" s="130"/>
      <c r="I685" s="38"/>
      <c r="L685" s="56"/>
      <c r="M685" s="56"/>
      <c r="N685" s="38"/>
    </row>
    <row r="686" spans="1:14" s="53" customFormat="1" ht="15.75" customHeight="1" x14ac:dyDescent="0.35">
      <c r="A686" s="122">
        <f t="shared" si="104"/>
        <v>3</v>
      </c>
      <c r="B686" s="123"/>
      <c r="C686" s="52">
        <v>3</v>
      </c>
      <c r="D686" s="59">
        <f>(102.9)*(10.764)</f>
        <v>1107.6156000000001</v>
      </c>
      <c r="E686" s="54">
        <v>0</v>
      </c>
      <c r="F686" s="54">
        <f>D686*(($F$225)+1)+(IF(E686&lt;101,E686,IF(E686&lt;201,E686/2,IF(E686&lt;=301,E686/3,E686/4))))</f>
        <v>1716.8041800000001</v>
      </c>
      <c r="G686" s="129"/>
      <c r="H686" s="130"/>
      <c r="I686" s="38"/>
      <c r="L686" s="56"/>
      <c r="M686" s="56"/>
      <c r="N686" s="38"/>
    </row>
    <row r="687" spans="1:14" s="53" customFormat="1" ht="15.75" customHeight="1" x14ac:dyDescent="0.35">
      <c r="A687" s="122">
        <f t="shared" si="104"/>
        <v>4</v>
      </c>
      <c r="B687" s="123"/>
      <c r="C687" s="52">
        <v>3</v>
      </c>
      <c r="D687" s="59">
        <f>(142.7)*(10.764)</f>
        <v>1536.0227999999997</v>
      </c>
      <c r="E687" s="54">
        <v>0</v>
      </c>
      <c r="F687" s="54">
        <f>D687*(($F$225)+1)+(IF(E687&lt;101,E687,IF(E687&lt;201,E687/2,IF(E687&lt;=301,E687/3,E687/4))))</f>
        <v>2380.8353399999996</v>
      </c>
      <c r="G687" s="131"/>
      <c r="H687" s="132"/>
      <c r="I687" s="38"/>
      <c r="L687" s="56"/>
      <c r="M687" s="56"/>
      <c r="N687" s="38"/>
    </row>
    <row r="688" spans="1:14" s="53" customFormat="1" ht="15.75" customHeight="1" x14ac:dyDescent="0.35">
      <c r="A688" s="124" t="s">
        <v>198</v>
      </c>
      <c r="B688" s="125"/>
      <c r="C688" s="125"/>
      <c r="D688" s="125"/>
      <c r="E688" s="125"/>
      <c r="F688" s="125"/>
      <c r="G688" s="125"/>
      <c r="H688" s="126"/>
      <c r="J688" s="38"/>
    </row>
    <row r="689" spans="1:14" s="53" customFormat="1" ht="15.75" customHeight="1" x14ac:dyDescent="0.35">
      <c r="A689" s="122">
        <v>1</v>
      </c>
      <c r="B689" s="123"/>
      <c r="C689" s="52">
        <v>3</v>
      </c>
      <c r="D689" s="59">
        <f>(142.7)*(10.764)</f>
        <v>1536.0227999999997</v>
      </c>
      <c r="E689" s="54">
        <v>0</v>
      </c>
      <c r="F689" s="54">
        <f>D689*(($F$225)+1)+(IF(E689&lt;101,E689,IF(E689&lt;201,E689/2,IF(E689&lt;=301,E689/3,E689/4))))</f>
        <v>2380.8353399999996</v>
      </c>
      <c r="G689" s="127" t="str">
        <f>A688</f>
        <v>4th Floor</v>
      </c>
      <c r="H689" s="128"/>
      <c r="I689" s="38"/>
      <c r="L689" s="56"/>
      <c r="M689" s="56"/>
      <c r="N689" s="38"/>
    </row>
    <row r="690" spans="1:14" s="53" customFormat="1" ht="15.75" customHeight="1" x14ac:dyDescent="0.35">
      <c r="A690" s="122">
        <f t="shared" ref="A690:A692" si="105">A689+1</f>
        <v>2</v>
      </c>
      <c r="B690" s="123"/>
      <c r="C690" s="52">
        <v>3</v>
      </c>
      <c r="D690" s="59">
        <f>(102.9)*(10.764)</f>
        <v>1107.6156000000001</v>
      </c>
      <c r="E690" s="54">
        <v>0</v>
      </c>
      <c r="F690" s="54">
        <f>D690*(($F$225)+1)+(IF(E690&lt;101,E690,IF(E690&lt;201,E690/2,IF(E690&lt;=301,E690/3,E690/4))))</f>
        <v>1716.8041800000001</v>
      </c>
      <c r="G690" s="129"/>
      <c r="H690" s="130"/>
      <c r="I690" s="38"/>
      <c r="L690" s="56"/>
      <c r="M690" s="56"/>
      <c r="N690" s="38"/>
    </row>
    <row r="691" spans="1:14" s="53" customFormat="1" ht="15.75" customHeight="1" x14ac:dyDescent="0.35">
      <c r="A691" s="122">
        <f t="shared" si="105"/>
        <v>3</v>
      </c>
      <c r="B691" s="123"/>
      <c r="C691" s="52">
        <v>3</v>
      </c>
      <c r="D691" s="59">
        <f>(102.9)*(10.764)</f>
        <v>1107.6156000000001</v>
      </c>
      <c r="E691" s="54">
        <v>0</v>
      </c>
      <c r="F691" s="54">
        <f>D691*(($F$225)+1)+(IF(E691&lt;101,E691,IF(E691&lt;201,E691/2,IF(E691&lt;=301,E691/3,E691/4))))</f>
        <v>1716.8041800000001</v>
      </c>
      <c r="G691" s="129"/>
      <c r="H691" s="130"/>
      <c r="I691" s="38"/>
      <c r="L691" s="56"/>
      <c r="M691" s="56"/>
      <c r="N691" s="38"/>
    </row>
    <row r="692" spans="1:14" s="53" customFormat="1" ht="15.75" customHeight="1" x14ac:dyDescent="0.35">
      <c r="A692" s="122">
        <f t="shared" si="105"/>
        <v>4</v>
      </c>
      <c r="B692" s="123"/>
      <c r="C692" s="52">
        <v>3</v>
      </c>
      <c r="D692" s="59">
        <f>(142.7)*(10.764)</f>
        <v>1536.0227999999997</v>
      </c>
      <c r="E692" s="54">
        <v>0</v>
      </c>
      <c r="F692" s="54">
        <f>D692*(($F$225)+1)+(IF(E692&lt;101,E692,IF(E692&lt;201,E692/2,IF(E692&lt;=301,E692/3,E692/4))))</f>
        <v>2380.8353399999996</v>
      </c>
      <c r="G692" s="131"/>
      <c r="H692" s="132"/>
      <c r="I692" s="38"/>
      <c r="L692" s="56"/>
      <c r="M692" s="56"/>
      <c r="N692" s="38"/>
    </row>
    <row r="693" spans="1:14" s="53" customFormat="1" ht="15.75" customHeight="1" x14ac:dyDescent="0.35">
      <c r="A693" s="124" t="s">
        <v>199</v>
      </c>
      <c r="B693" s="125"/>
      <c r="C693" s="125"/>
      <c r="D693" s="125"/>
      <c r="E693" s="125"/>
      <c r="F693" s="125"/>
      <c r="G693" s="125"/>
      <c r="H693" s="126"/>
      <c r="J693" s="38"/>
    </row>
    <row r="694" spans="1:14" s="53" customFormat="1" ht="15.75" customHeight="1" x14ac:dyDescent="0.35">
      <c r="A694" s="122">
        <v>1</v>
      </c>
      <c r="B694" s="123"/>
      <c r="C694" s="52">
        <v>3</v>
      </c>
      <c r="D694" s="59">
        <f>(142.7)*(10.764)</f>
        <v>1536.0227999999997</v>
      </c>
      <c r="E694" s="54">
        <v>0</v>
      </c>
      <c r="F694" s="54">
        <f>D694*(($F$225)+1)+(IF(E694&lt;101,E694,IF(E694&lt;201,E694/2,IF(E694&lt;=301,E694/3,E694/4))))</f>
        <v>2380.8353399999996</v>
      </c>
      <c r="G694" s="127" t="str">
        <f>A693</f>
        <v>5th Floor</v>
      </c>
      <c r="H694" s="128"/>
      <c r="I694" s="38"/>
      <c r="L694" s="56"/>
      <c r="M694" s="56"/>
      <c r="N694" s="38"/>
    </row>
    <row r="695" spans="1:14" s="53" customFormat="1" ht="15.75" customHeight="1" x14ac:dyDescent="0.35">
      <c r="A695" s="122">
        <f t="shared" ref="A695:A697" si="106">A694+1</f>
        <v>2</v>
      </c>
      <c r="B695" s="123"/>
      <c r="C695" s="52">
        <v>3</v>
      </c>
      <c r="D695" s="59">
        <f>(102.9)*(10.764)</f>
        <v>1107.6156000000001</v>
      </c>
      <c r="E695" s="54">
        <v>0</v>
      </c>
      <c r="F695" s="54">
        <f>D695*(($F$225)+1)+(IF(E695&lt;101,E695,IF(E695&lt;201,E695/2,IF(E695&lt;=301,E695/3,E695/4))))</f>
        <v>1716.8041800000001</v>
      </c>
      <c r="G695" s="129"/>
      <c r="H695" s="130"/>
      <c r="I695" s="38"/>
      <c r="L695" s="56"/>
      <c r="M695" s="56"/>
      <c r="N695" s="38"/>
    </row>
    <row r="696" spans="1:14" s="53" customFormat="1" ht="15.75" customHeight="1" x14ac:dyDescent="0.35">
      <c r="A696" s="122">
        <f t="shared" si="106"/>
        <v>3</v>
      </c>
      <c r="B696" s="123"/>
      <c r="C696" s="52">
        <v>3</v>
      </c>
      <c r="D696" s="59">
        <f>(102.9)*(10.764)</f>
        <v>1107.6156000000001</v>
      </c>
      <c r="E696" s="54">
        <v>0</v>
      </c>
      <c r="F696" s="54">
        <f>D696*(($F$225)+1)+(IF(E696&lt;101,E696,IF(E696&lt;201,E696/2,IF(E696&lt;=301,E696/3,E696/4))))</f>
        <v>1716.8041800000001</v>
      </c>
      <c r="G696" s="129"/>
      <c r="H696" s="130"/>
      <c r="I696" s="38"/>
      <c r="L696" s="56"/>
      <c r="M696" s="56"/>
      <c r="N696" s="38"/>
    </row>
    <row r="697" spans="1:14" s="53" customFormat="1" ht="15.75" customHeight="1" x14ac:dyDescent="0.35">
      <c r="A697" s="122">
        <f t="shared" si="106"/>
        <v>4</v>
      </c>
      <c r="B697" s="123"/>
      <c r="C697" s="52">
        <v>3</v>
      </c>
      <c r="D697" s="59">
        <f>(142.7)*(10.764)</f>
        <v>1536.0227999999997</v>
      </c>
      <c r="E697" s="54">
        <v>0</v>
      </c>
      <c r="F697" s="54">
        <f>D697*(($F$225)+1)+(IF(E697&lt;101,E697,IF(E697&lt;201,E697/2,IF(E697&lt;=301,E697/3,E697/4))))</f>
        <v>2380.8353399999996</v>
      </c>
      <c r="G697" s="131"/>
      <c r="H697" s="132"/>
      <c r="I697" s="38"/>
      <c r="L697" s="56"/>
      <c r="M697" s="56"/>
      <c r="N697" s="38"/>
    </row>
    <row r="698" spans="1:14" s="53" customFormat="1" ht="15.75" customHeight="1" x14ac:dyDescent="0.35">
      <c r="A698" s="124" t="s">
        <v>200</v>
      </c>
      <c r="B698" s="125"/>
      <c r="C698" s="125"/>
      <c r="D698" s="125"/>
      <c r="E698" s="125"/>
      <c r="F698" s="125"/>
      <c r="G698" s="125"/>
      <c r="H698" s="126"/>
      <c r="J698" s="38"/>
    </row>
    <row r="699" spans="1:14" s="53" customFormat="1" ht="15.75" customHeight="1" x14ac:dyDescent="0.35">
      <c r="A699" s="122">
        <v>1</v>
      </c>
      <c r="B699" s="123"/>
      <c r="C699" s="52">
        <v>3</v>
      </c>
      <c r="D699" s="59">
        <f>(142.7)*(10.764)</f>
        <v>1536.0227999999997</v>
      </c>
      <c r="E699" s="54">
        <v>0</v>
      </c>
      <c r="F699" s="54">
        <f>D699*(($F$225)+1)+(IF(E699&lt;101,E699,IF(E699&lt;201,E699/2,IF(E699&lt;=301,E699/3,E699/4))))</f>
        <v>2380.8353399999996</v>
      </c>
      <c r="G699" s="127" t="str">
        <f>A698</f>
        <v>6th Floor</v>
      </c>
      <c r="H699" s="128"/>
      <c r="I699" s="38"/>
      <c r="L699" s="56"/>
      <c r="M699" s="56"/>
      <c r="N699" s="38"/>
    </row>
    <row r="700" spans="1:14" s="53" customFormat="1" ht="15.75" customHeight="1" x14ac:dyDescent="0.35">
      <c r="A700" s="122">
        <f t="shared" ref="A700:A702" si="107">A699+1</f>
        <v>2</v>
      </c>
      <c r="B700" s="123"/>
      <c r="C700" s="52">
        <v>3</v>
      </c>
      <c r="D700" s="59">
        <f>(102.9)*(10.764)</f>
        <v>1107.6156000000001</v>
      </c>
      <c r="E700" s="54">
        <v>0</v>
      </c>
      <c r="F700" s="54">
        <f>D700*(($F$225)+1)+(IF(E700&lt;101,E700,IF(E700&lt;201,E700/2,IF(E700&lt;=301,E700/3,E700/4))))</f>
        <v>1716.8041800000001</v>
      </c>
      <c r="G700" s="129"/>
      <c r="H700" s="130"/>
      <c r="I700" s="38"/>
      <c r="L700" s="56"/>
      <c r="M700" s="56"/>
      <c r="N700" s="38"/>
    </row>
    <row r="701" spans="1:14" s="53" customFormat="1" ht="15.75" customHeight="1" x14ac:dyDescent="0.35">
      <c r="A701" s="122">
        <f t="shared" si="107"/>
        <v>3</v>
      </c>
      <c r="B701" s="123"/>
      <c r="C701" s="52">
        <v>3</v>
      </c>
      <c r="D701" s="59">
        <f>(102.9)*(10.764)</f>
        <v>1107.6156000000001</v>
      </c>
      <c r="E701" s="54">
        <v>0</v>
      </c>
      <c r="F701" s="54">
        <f>D701*(($F$225)+1)+(IF(E701&lt;101,E701,IF(E701&lt;201,E701/2,IF(E701&lt;=301,E701/3,E701/4))))</f>
        <v>1716.8041800000001</v>
      </c>
      <c r="G701" s="129"/>
      <c r="H701" s="130"/>
      <c r="I701" s="38"/>
      <c r="L701" s="56"/>
      <c r="M701" s="56"/>
      <c r="N701" s="38"/>
    </row>
    <row r="702" spans="1:14" s="53" customFormat="1" ht="15.75" customHeight="1" x14ac:dyDescent="0.35">
      <c r="A702" s="122">
        <f t="shared" si="107"/>
        <v>4</v>
      </c>
      <c r="B702" s="123"/>
      <c r="C702" s="52">
        <v>3</v>
      </c>
      <c r="D702" s="59">
        <f>(142.7)*(10.764)</f>
        <v>1536.0227999999997</v>
      </c>
      <c r="E702" s="54">
        <v>0</v>
      </c>
      <c r="F702" s="54">
        <f>D702*(($F$225)+1)+(IF(E702&lt;101,E702,IF(E702&lt;201,E702/2,IF(E702&lt;=301,E702/3,E702/4))))</f>
        <v>2380.8353399999996</v>
      </c>
      <c r="G702" s="131"/>
      <c r="H702" s="132"/>
      <c r="I702" s="38"/>
      <c r="L702" s="56"/>
      <c r="M702" s="56"/>
      <c r="N702" s="38"/>
    </row>
    <row r="703" spans="1:14" s="71" customFormat="1" ht="15.75" customHeight="1" x14ac:dyDescent="0.35">
      <c r="A703" s="124" t="s">
        <v>275</v>
      </c>
      <c r="B703" s="125"/>
      <c r="C703" s="125"/>
      <c r="D703" s="125"/>
      <c r="E703" s="125"/>
      <c r="F703" s="125"/>
      <c r="G703" s="125"/>
      <c r="H703" s="126"/>
      <c r="J703" s="38"/>
    </row>
    <row r="704" spans="1:14" s="71" customFormat="1" ht="15.75" customHeight="1" x14ac:dyDescent="0.35">
      <c r="A704" s="122">
        <v>1</v>
      </c>
      <c r="B704" s="123"/>
      <c r="C704" s="52">
        <v>3</v>
      </c>
      <c r="D704" s="59">
        <f>(142.7)*(10.764)</f>
        <v>1536.0227999999997</v>
      </c>
      <c r="E704" s="72">
        <v>0</v>
      </c>
      <c r="F704" s="72">
        <f>D704*(($F$225)+1)+(IF(E704&lt;101,E704,IF(E704&lt;201,E704/2,IF(E704&lt;=301,E704/3,E704/4))))</f>
        <v>2380.8353399999996</v>
      </c>
      <c r="G704" s="127" t="str">
        <f>A703</f>
        <v>7th Floor</v>
      </c>
      <c r="H704" s="128"/>
      <c r="I704" s="38"/>
      <c r="L704" s="56"/>
      <c r="M704" s="56"/>
      <c r="N704" s="38"/>
    </row>
    <row r="705" spans="1:14" s="71" customFormat="1" ht="15.75" customHeight="1" x14ac:dyDescent="0.35">
      <c r="A705" s="122">
        <f t="shared" ref="A705:A707" si="108">A704+1</f>
        <v>2</v>
      </c>
      <c r="B705" s="123"/>
      <c r="C705" s="52">
        <v>3</v>
      </c>
      <c r="D705" s="59">
        <f>(102.9)*(10.764)</f>
        <v>1107.6156000000001</v>
      </c>
      <c r="E705" s="72">
        <v>0</v>
      </c>
      <c r="F705" s="72">
        <f>D705*(($F$225)+1)+(IF(E705&lt;101,E705,IF(E705&lt;201,E705/2,IF(E705&lt;=301,E705/3,E705/4))))</f>
        <v>1716.8041800000001</v>
      </c>
      <c r="G705" s="129"/>
      <c r="H705" s="130"/>
      <c r="I705" s="38"/>
      <c r="L705" s="56"/>
      <c r="M705" s="56"/>
      <c r="N705" s="38"/>
    </row>
    <row r="706" spans="1:14" s="71" customFormat="1" ht="15.75" customHeight="1" x14ac:dyDescent="0.35">
      <c r="A706" s="122">
        <f t="shared" si="108"/>
        <v>3</v>
      </c>
      <c r="B706" s="123"/>
      <c r="C706" s="52">
        <v>3</v>
      </c>
      <c r="D706" s="59">
        <f>(102.9)*(10.764)</f>
        <v>1107.6156000000001</v>
      </c>
      <c r="E706" s="72">
        <v>0</v>
      </c>
      <c r="F706" s="72">
        <f>D706*(($F$225)+1)+(IF(E706&lt;101,E706,IF(E706&lt;201,E706/2,IF(E706&lt;=301,E706/3,E706/4))))</f>
        <v>1716.8041800000001</v>
      </c>
      <c r="G706" s="129"/>
      <c r="H706" s="130"/>
      <c r="I706" s="38"/>
      <c r="L706" s="56"/>
      <c r="M706" s="56"/>
      <c r="N706" s="38"/>
    </row>
    <row r="707" spans="1:14" s="71" customFormat="1" ht="15.75" customHeight="1" x14ac:dyDescent="0.35">
      <c r="A707" s="122">
        <f t="shared" si="108"/>
        <v>4</v>
      </c>
      <c r="B707" s="123"/>
      <c r="C707" s="52">
        <v>3</v>
      </c>
      <c r="D707" s="59">
        <f>(142.7)*(10.764)</f>
        <v>1536.0227999999997</v>
      </c>
      <c r="E707" s="72">
        <v>0</v>
      </c>
      <c r="F707" s="72">
        <f>D707*(($F$225)+1)+(IF(E707&lt;101,E707,IF(E707&lt;201,E707/2,IF(E707&lt;=301,E707/3,E707/4))))</f>
        <v>2380.8353399999996</v>
      </c>
      <c r="G707" s="131"/>
      <c r="H707" s="132"/>
      <c r="I707" s="38"/>
      <c r="L707" s="56"/>
      <c r="M707" s="56"/>
      <c r="N707" s="38"/>
    </row>
    <row r="708" spans="1:14" s="53" customFormat="1" ht="15.75" hidden="1" customHeight="1" x14ac:dyDescent="0.35">
      <c r="A708" s="124" t="s">
        <v>201</v>
      </c>
      <c r="B708" s="125"/>
      <c r="C708" s="125"/>
      <c r="D708" s="125"/>
      <c r="E708" s="125"/>
      <c r="F708" s="125"/>
      <c r="G708" s="125"/>
      <c r="H708" s="126"/>
      <c r="J708" s="38"/>
    </row>
    <row r="709" spans="1:14" s="53" customFormat="1" ht="15.75" hidden="1" customHeight="1" x14ac:dyDescent="0.35">
      <c r="A709" s="122">
        <v>1</v>
      </c>
      <c r="B709" s="123"/>
      <c r="C709" s="141" t="s">
        <v>202</v>
      </c>
      <c r="D709" s="142"/>
      <c r="E709" s="142"/>
      <c r="F709" s="143"/>
      <c r="G709" s="127" t="str">
        <f>A708</f>
        <v>7th Floor (Part Refuge Area)</v>
      </c>
      <c r="H709" s="128"/>
      <c r="I709" s="38"/>
      <c r="L709" s="56"/>
      <c r="M709" s="56"/>
      <c r="N709" s="38"/>
    </row>
    <row r="710" spans="1:14" s="53" customFormat="1" ht="15.75" hidden="1" customHeight="1" x14ac:dyDescent="0.35">
      <c r="A710" s="122">
        <f t="shared" ref="A710:A712" si="109">A709+1</f>
        <v>2</v>
      </c>
      <c r="B710" s="123"/>
      <c r="C710" s="52">
        <v>4</v>
      </c>
      <c r="D710" s="59">
        <f>(136.42)*(10.764)</f>
        <v>1468.4248799999998</v>
      </c>
      <c r="E710" s="54">
        <v>0</v>
      </c>
      <c r="F710" s="54">
        <f>D710*(($F$225)+1)+(IF(E710&lt;101,E710,IF(E710&lt;201,E710/2,IF(E710&lt;=301,E710/3,E710/4))))</f>
        <v>2276.0585639999999</v>
      </c>
      <c r="G710" s="129"/>
      <c r="H710" s="130"/>
      <c r="I710" s="38"/>
      <c r="L710" s="56"/>
      <c r="M710" s="56"/>
      <c r="N710" s="38"/>
    </row>
    <row r="711" spans="1:14" s="53" customFormat="1" ht="15.75" hidden="1" customHeight="1" x14ac:dyDescent="0.35">
      <c r="A711" s="122">
        <f t="shared" si="109"/>
        <v>3</v>
      </c>
      <c r="B711" s="123"/>
      <c r="C711" s="52">
        <v>3</v>
      </c>
      <c r="D711" s="59">
        <f>(107.89)*(10.764)</f>
        <v>1161.3279599999998</v>
      </c>
      <c r="E711" s="54">
        <v>0</v>
      </c>
      <c r="F711" s="54">
        <f>D711*(($F$225)+1)+(IF(E711&lt;101,E711,IF(E711&lt;201,E711/2,IF(E711&lt;=301,E711/3,E711/4))))</f>
        <v>1800.0583379999998</v>
      </c>
      <c r="G711" s="129"/>
      <c r="H711" s="130"/>
      <c r="I711" s="38"/>
      <c r="L711" s="56"/>
      <c r="M711" s="56"/>
      <c r="N711" s="38"/>
    </row>
    <row r="712" spans="1:14" s="53" customFormat="1" ht="15.75" hidden="1" customHeight="1" x14ac:dyDescent="0.35">
      <c r="A712" s="122">
        <f t="shared" si="109"/>
        <v>4</v>
      </c>
      <c r="B712" s="123"/>
      <c r="C712" s="52">
        <v>2</v>
      </c>
      <c r="D712" s="59">
        <f>(113.36)*(10.764)</f>
        <v>1220.20704</v>
      </c>
      <c r="E712" s="54">
        <v>0</v>
      </c>
      <c r="F712" s="54">
        <f>D712*(($F$225)+1)+(IF(E712&lt;101,E712,IF(E712&lt;201,E712/2,IF(E712&lt;=301,E712/3,E712/4))))</f>
        <v>1891.3209120000001</v>
      </c>
      <c r="G712" s="131"/>
      <c r="H712" s="132"/>
      <c r="I712" s="38"/>
      <c r="L712" s="56"/>
      <c r="M712" s="56"/>
      <c r="N712" s="38"/>
    </row>
    <row r="713" spans="1:14" s="53" customFormat="1" ht="15.75" customHeight="1" x14ac:dyDescent="0.35">
      <c r="A713" s="124" t="s">
        <v>294</v>
      </c>
      <c r="B713" s="125"/>
      <c r="C713" s="125"/>
      <c r="D713" s="125"/>
      <c r="E713" s="125"/>
      <c r="F713" s="125"/>
      <c r="G713" s="125"/>
      <c r="H713" s="126"/>
      <c r="J713" s="38"/>
    </row>
    <row r="714" spans="1:14" s="53" customFormat="1" ht="15.75" customHeight="1" x14ac:dyDescent="0.35">
      <c r="A714" s="122">
        <v>1</v>
      </c>
      <c r="B714" s="123"/>
      <c r="C714" s="52" t="s">
        <v>287</v>
      </c>
      <c r="D714" s="59">
        <f>(113.37)*(10.764)</f>
        <v>1220.31468</v>
      </c>
      <c r="E714" s="72">
        <v>0</v>
      </c>
      <c r="F714" s="72">
        <f>D714*(($F$225)+1)+(IF(E714&lt;101,E714,IF(E714&lt;201,E714/2,IF(E714&lt;=301,E714/3,E714/4))))</f>
        <v>1891.487754</v>
      </c>
      <c r="G714" s="127" t="str">
        <f>A713</f>
        <v>8th Floor (Double Height Refuge Area)</v>
      </c>
      <c r="H714" s="128"/>
      <c r="I714" s="38"/>
      <c r="L714" s="56"/>
      <c r="M714" s="56"/>
      <c r="N714" s="38"/>
    </row>
    <row r="715" spans="1:14" s="53" customFormat="1" ht="15.75" customHeight="1" x14ac:dyDescent="0.35">
      <c r="A715" s="122">
        <f t="shared" ref="A715:A717" si="110">A714+1</f>
        <v>2</v>
      </c>
      <c r="B715" s="123"/>
      <c r="C715" s="52" t="s">
        <v>283</v>
      </c>
      <c r="D715" s="59">
        <f>(136.42)*(10.764)</f>
        <v>1468.4248799999998</v>
      </c>
      <c r="E715" s="54">
        <v>0</v>
      </c>
      <c r="F715" s="54">
        <f>D715*(($F$225)+1)+(IF(E715&lt;101,E715,IF(E715&lt;201,E715/2,IF(E715&lt;=301,E715/3,E715/4))))</f>
        <v>2276.0585639999999</v>
      </c>
      <c r="G715" s="129"/>
      <c r="H715" s="130"/>
      <c r="I715" s="38"/>
      <c r="L715" s="56"/>
      <c r="M715" s="56"/>
      <c r="N715" s="38"/>
    </row>
    <row r="716" spans="1:14" s="53" customFormat="1" ht="15.75" customHeight="1" x14ac:dyDescent="0.35">
      <c r="A716" s="122">
        <f t="shared" si="110"/>
        <v>3</v>
      </c>
      <c r="B716" s="123"/>
      <c r="C716" s="52">
        <v>4</v>
      </c>
      <c r="D716" s="59">
        <f>(107.89)*(10.764)</f>
        <v>1161.3279599999998</v>
      </c>
      <c r="E716" s="54">
        <v>0</v>
      </c>
      <c r="F716" s="54">
        <f>D716*(($F$225)+1)+(IF(E716&lt;101,E716,IF(E716&lt;201,E716/2,IF(E716&lt;=301,E716/3,E716/4))))</f>
        <v>1800.0583379999998</v>
      </c>
      <c r="G716" s="129"/>
      <c r="H716" s="130"/>
      <c r="I716" s="38"/>
      <c r="L716" s="56"/>
      <c r="M716" s="56"/>
      <c r="N716" s="38"/>
    </row>
    <row r="717" spans="1:14" s="53" customFormat="1" ht="15.75" customHeight="1" x14ac:dyDescent="0.35">
      <c r="A717" s="122">
        <f t="shared" si="110"/>
        <v>4</v>
      </c>
      <c r="B717" s="123"/>
      <c r="C717" s="141" t="s">
        <v>202</v>
      </c>
      <c r="D717" s="142"/>
      <c r="E717" s="142"/>
      <c r="F717" s="143"/>
      <c r="G717" s="131"/>
      <c r="H717" s="132"/>
      <c r="I717" s="38"/>
      <c r="L717" s="56"/>
      <c r="M717" s="56"/>
      <c r="N717" s="38"/>
    </row>
    <row r="718" spans="1:14" s="71" customFormat="1" ht="15.75" customHeight="1" x14ac:dyDescent="0.35">
      <c r="A718" s="124" t="s">
        <v>277</v>
      </c>
      <c r="B718" s="125"/>
      <c r="C718" s="125"/>
      <c r="D718" s="125"/>
      <c r="E718" s="125"/>
      <c r="F718" s="125"/>
      <c r="G718" s="125"/>
      <c r="H718" s="126"/>
      <c r="J718" s="38"/>
    </row>
    <row r="719" spans="1:14" s="71" customFormat="1" ht="15.75" customHeight="1" x14ac:dyDescent="0.35">
      <c r="A719" s="122">
        <v>1</v>
      </c>
      <c r="B719" s="123"/>
      <c r="C719" s="52">
        <v>3</v>
      </c>
      <c r="D719" s="59">
        <f>(143.08)*(10.764)</f>
        <v>1540.11312</v>
      </c>
      <c r="E719" s="72">
        <v>0</v>
      </c>
      <c r="F719" s="72">
        <f>D719*(($F$225)+1)+(IF(E719&lt;101,E719,IF(E719&lt;201,E719/2,IF(E719&lt;=301,E719/3,E719/4))))</f>
        <v>2387.1753360000002</v>
      </c>
      <c r="G719" s="127" t="str">
        <f>A718</f>
        <v>9th Floor (Double Height Refuge Area on 8th Floor)</v>
      </c>
      <c r="H719" s="128"/>
      <c r="I719" s="74">
        <f>131+12.08</f>
        <v>143.08000000000001</v>
      </c>
      <c r="L719" s="56"/>
      <c r="M719" s="56"/>
      <c r="N719" s="38"/>
    </row>
    <row r="720" spans="1:14" s="71" customFormat="1" ht="15.75" customHeight="1" x14ac:dyDescent="0.35">
      <c r="A720" s="122">
        <f t="shared" ref="A720:A722" si="111">A719+1</f>
        <v>2</v>
      </c>
      <c r="B720" s="123"/>
      <c r="C720" s="52">
        <v>3</v>
      </c>
      <c r="D720" s="59">
        <f>(107.9)*(10.764)</f>
        <v>1161.4356</v>
      </c>
      <c r="E720" s="72">
        <v>0</v>
      </c>
      <c r="F720" s="72">
        <f>D720*(($F$225)+1)+(IF(E720&lt;101,E720,IF(E720&lt;201,E720/2,IF(E720&lt;=301,E720/3,E720/4))))</f>
        <v>1800.2251800000001</v>
      </c>
      <c r="G720" s="129"/>
      <c r="H720" s="130"/>
      <c r="I720" s="38"/>
      <c r="L720" s="56"/>
      <c r="M720" s="56"/>
      <c r="N720" s="38"/>
    </row>
    <row r="721" spans="1:14" s="71" customFormat="1" ht="15.75" customHeight="1" x14ac:dyDescent="0.35">
      <c r="A721" s="122">
        <f t="shared" si="111"/>
        <v>3</v>
      </c>
      <c r="B721" s="123"/>
      <c r="C721" s="52" t="s">
        <v>284</v>
      </c>
      <c r="D721" s="59">
        <f>(137.29)*(10.764)</f>
        <v>1477.7895599999999</v>
      </c>
      <c r="E721" s="72">
        <v>0</v>
      </c>
      <c r="F721" s="72">
        <f>D721*(($F$225)+1)+(IF(E721&lt;101,E721,IF(E721&lt;201,E721/2,IF(E721&lt;=301,E721/3,E721/4))))</f>
        <v>2290.5738179999998</v>
      </c>
      <c r="G721" s="129"/>
      <c r="H721" s="130"/>
      <c r="I721" s="38"/>
      <c r="L721" s="56"/>
      <c r="M721" s="56"/>
      <c r="N721" s="38"/>
    </row>
    <row r="722" spans="1:14" s="71" customFormat="1" ht="15.75" customHeight="1" x14ac:dyDescent="0.35">
      <c r="A722" s="122">
        <f t="shared" si="111"/>
        <v>4</v>
      </c>
      <c r="B722" s="123"/>
      <c r="C722" s="141" t="s">
        <v>214</v>
      </c>
      <c r="D722" s="142"/>
      <c r="E722" s="142"/>
      <c r="F722" s="143"/>
      <c r="G722" s="131"/>
      <c r="H722" s="132"/>
      <c r="I722" s="38"/>
      <c r="L722" s="56"/>
      <c r="M722" s="56"/>
      <c r="N722" s="38"/>
    </row>
    <row r="723" spans="1:14" s="53" customFormat="1" ht="15.75" customHeight="1" x14ac:dyDescent="0.35">
      <c r="A723" s="124" t="s">
        <v>285</v>
      </c>
      <c r="B723" s="125"/>
      <c r="C723" s="125"/>
      <c r="D723" s="125"/>
      <c r="E723" s="125"/>
      <c r="F723" s="125"/>
      <c r="G723" s="125"/>
      <c r="H723" s="126"/>
      <c r="J723" s="38"/>
    </row>
    <row r="724" spans="1:14" s="53" customFormat="1" ht="15.75" customHeight="1" x14ac:dyDescent="0.35">
      <c r="A724" s="122">
        <v>1</v>
      </c>
      <c r="B724" s="123"/>
      <c r="C724" s="52">
        <v>3</v>
      </c>
      <c r="D724" s="59">
        <f>(142.7)*(10.764)</f>
        <v>1536.0227999999997</v>
      </c>
      <c r="E724" s="54">
        <v>0</v>
      </c>
      <c r="F724" s="54">
        <f>D724*(($F$225)+1)+(IF(E724&lt;101,E724,IF(E724&lt;201,E724/2,IF(E724&lt;=301,E724/3,E724/4))))</f>
        <v>2380.8353399999996</v>
      </c>
      <c r="G724" s="127" t="str">
        <f>A723</f>
        <v>10th to 14th &amp; 17th to 19th Floor</v>
      </c>
      <c r="H724" s="128"/>
      <c r="I724" s="38"/>
      <c r="L724" s="56"/>
      <c r="M724" s="56"/>
      <c r="N724" s="38"/>
    </row>
    <row r="725" spans="1:14" s="53" customFormat="1" ht="15.75" customHeight="1" x14ac:dyDescent="0.35">
      <c r="A725" s="122">
        <f t="shared" ref="A725:A727" si="112">A724+1</f>
        <v>2</v>
      </c>
      <c r="B725" s="123"/>
      <c r="C725" s="52">
        <v>3</v>
      </c>
      <c r="D725" s="59">
        <f>(102.9)*(10.764)</f>
        <v>1107.6156000000001</v>
      </c>
      <c r="E725" s="54">
        <v>0</v>
      </c>
      <c r="F725" s="54">
        <f>D725*(($F$225)+1)+(IF(E725&lt;101,E725,IF(E725&lt;201,E725/2,IF(E725&lt;=301,E725/3,E725/4))))</f>
        <v>1716.8041800000001</v>
      </c>
      <c r="G725" s="129"/>
      <c r="H725" s="130"/>
      <c r="I725" s="38"/>
      <c r="L725" s="56"/>
      <c r="M725" s="56"/>
      <c r="N725" s="38"/>
    </row>
    <row r="726" spans="1:14" s="53" customFormat="1" ht="15.75" customHeight="1" x14ac:dyDescent="0.35">
      <c r="A726" s="122">
        <f t="shared" si="112"/>
        <v>3</v>
      </c>
      <c r="B726" s="123"/>
      <c r="C726" s="52">
        <v>3</v>
      </c>
      <c r="D726" s="59">
        <f>(102.9)*(10.764)</f>
        <v>1107.6156000000001</v>
      </c>
      <c r="E726" s="54">
        <v>0</v>
      </c>
      <c r="F726" s="54">
        <f>D726*(($F$225)+1)+(IF(E726&lt;101,E726,IF(E726&lt;201,E726/2,IF(E726&lt;=301,E726/3,E726/4))))</f>
        <v>1716.8041800000001</v>
      </c>
      <c r="G726" s="129"/>
      <c r="H726" s="130"/>
      <c r="I726" s="38"/>
      <c r="L726" s="56"/>
      <c r="M726" s="56"/>
      <c r="N726" s="38"/>
    </row>
    <row r="727" spans="1:14" s="53" customFormat="1" ht="15.75" customHeight="1" x14ac:dyDescent="0.35">
      <c r="A727" s="122">
        <f t="shared" si="112"/>
        <v>4</v>
      </c>
      <c r="B727" s="123"/>
      <c r="C727" s="52">
        <v>3</v>
      </c>
      <c r="D727" s="59">
        <f>(142.7)*(10.764)</f>
        <v>1536.0227999999997</v>
      </c>
      <c r="E727" s="54">
        <v>0</v>
      </c>
      <c r="F727" s="54">
        <f>D727*(($F$225)+1)+(IF(E727&lt;101,E727,IF(E727&lt;201,E727/2,IF(E727&lt;=301,E727/3,E727/4))))</f>
        <v>2380.8353399999996</v>
      </c>
      <c r="G727" s="131"/>
      <c r="H727" s="132"/>
      <c r="I727" s="38"/>
      <c r="L727" s="56"/>
      <c r="M727" s="56"/>
      <c r="N727" s="38"/>
    </row>
    <row r="728" spans="1:14" s="71" customFormat="1" ht="15.75" customHeight="1" x14ac:dyDescent="0.35">
      <c r="A728" s="139" t="s">
        <v>291</v>
      </c>
      <c r="B728" s="139"/>
      <c r="C728" s="139"/>
      <c r="D728" s="139"/>
      <c r="E728" s="139"/>
      <c r="F728" s="139"/>
      <c r="G728" s="139"/>
      <c r="H728" s="139"/>
      <c r="J728" s="38"/>
    </row>
    <row r="729" spans="1:14" s="71" customFormat="1" ht="15.75" customHeight="1" x14ac:dyDescent="0.35">
      <c r="A729" s="145">
        <v>1</v>
      </c>
      <c r="B729" s="145"/>
      <c r="C729" s="52">
        <v>4</v>
      </c>
      <c r="D729" s="59">
        <f>(170.87)*(10.764)</f>
        <v>1839.24468</v>
      </c>
      <c r="E729" s="84">
        <v>0</v>
      </c>
      <c r="F729" s="84">
        <f>D729*(($F$225)+1)+(IF(E729&lt;101,E729,IF(E729&lt;201,E729/2,IF(E729&lt;=301,E729/3,E729/4))))</f>
        <v>2850.8292540000002</v>
      </c>
      <c r="G729" s="145" t="str">
        <f>A728</f>
        <v>15th Floor (Double Height Refuge Area)</v>
      </c>
      <c r="H729" s="145"/>
      <c r="I729" s="38"/>
      <c r="L729" s="56"/>
      <c r="M729" s="56"/>
      <c r="N729" s="38"/>
    </row>
    <row r="730" spans="1:14" s="71" customFormat="1" ht="15.75" customHeight="1" x14ac:dyDescent="0.35">
      <c r="A730" s="145">
        <f t="shared" ref="A730:A732" si="113">A729+1</f>
        <v>2</v>
      </c>
      <c r="B730" s="145"/>
      <c r="C730" s="149" t="s">
        <v>202</v>
      </c>
      <c r="D730" s="149"/>
      <c r="E730" s="149"/>
      <c r="F730" s="149"/>
      <c r="G730" s="145"/>
      <c r="H730" s="145"/>
      <c r="I730" s="38"/>
      <c r="L730" s="56"/>
      <c r="M730" s="56"/>
      <c r="N730" s="38"/>
    </row>
    <row r="731" spans="1:14" s="71" customFormat="1" ht="15.75" customHeight="1" x14ac:dyDescent="0.35">
      <c r="A731" s="145">
        <f t="shared" si="113"/>
        <v>3</v>
      </c>
      <c r="B731" s="145"/>
      <c r="C731" s="149"/>
      <c r="D731" s="149"/>
      <c r="E731" s="149"/>
      <c r="F731" s="149"/>
      <c r="G731" s="145"/>
      <c r="H731" s="145"/>
      <c r="I731" s="38"/>
      <c r="L731" s="56"/>
      <c r="M731" s="56"/>
      <c r="N731" s="38"/>
    </row>
    <row r="732" spans="1:14" s="71" customFormat="1" ht="15.75" customHeight="1" x14ac:dyDescent="0.35">
      <c r="A732" s="145">
        <f t="shared" si="113"/>
        <v>4</v>
      </c>
      <c r="B732" s="145"/>
      <c r="C732" s="52">
        <v>4</v>
      </c>
      <c r="D732" s="59">
        <f>(170.87)*(10.764)</f>
        <v>1839.24468</v>
      </c>
      <c r="E732" s="84">
        <v>0</v>
      </c>
      <c r="F732" s="84">
        <f>D732*(($F$225)+1)+(IF(E732&lt;101,E732,IF(E732&lt;201,E732/2,IF(E732&lt;=301,E732/3,E732/4))))</f>
        <v>2850.8292540000002</v>
      </c>
      <c r="G732" s="145"/>
      <c r="H732" s="145"/>
      <c r="I732" s="38"/>
      <c r="L732" s="56"/>
      <c r="M732" s="56"/>
      <c r="N732" s="38"/>
    </row>
    <row r="733" spans="1:14" s="71" customFormat="1" ht="15.75" customHeight="1" x14ac:dyDescent="0.35">
      <c r="A733" s="124" t="s">
        <v>292</v>
      </c>
      <c r="B733" s="125"/>
      <c r="C733" s="125"/>
      <c r="D733" s="125"/>
      <c r="E733" s="125"/>
      <c r="F733" s="125"/>
      <c r="G733" s="125"/>
      <c r="H733" s="126"/>
      <c r="J733" s="38"/>
    </row>
    <row r="734" spans="1:14" s="71" customFormat="1" ht="15.75" customHeight="1" x14ac:dyDescent="0.35">
      <c r="A734" s="122">
        <v>1</v>
      </c>
      <c r="B734" s="123"/>
      <c r="C734" s="52">
        <v>4</v>
      </c>
      <c r="D734" s="59">
        <f>(170.87)*(10.764)</f>
        <v>1839.24468</v>
      </c>
      <c r="E734" s="72">
        <v>0</v>
      </c>
      <c r="F734" s="72">
        <f>D734*(($F$225)+1)+(IF(E734&lt;101,E734,IF(E734&lt;201,E734/2,IF(E734&lt;=301,E734/3,E734/4))))</f>
        <v>2850.8292540000002</v>
      </c>
      <c r="G734" s="127" t="str">
        <f>A733</f>
        <v>16th Floor  (Double Height Refuge Area on 15th Floor)</v>
      </c>
      <c r="H734" s="128"/>
      <c r="I734" s="38"/>
      <c r="L734" s="56"/>
      <c r="M734" s="56"/>
      <c r="N734" s="38"/>
    </row>
    <row r="735" spans="1:14" s="71" customFormat="1" ht="15.75" customHeight="1" x14ac:dyDescent="0.35">
      <c r="A735" s="122">
        <f t="shared" ref="A735:A737" si="114">A734+1</f>
        <v>2</v>
      </c>
      <c r="B735" s="123"/>
      <c r="C735" s="133" t="s">
        <v>202</v>
      </c>
      <c r="D735" s="134"/>
      <c r="E735" s="134"/>
      <c r="F735" s="135"/>
      <c r="G735" s="129"/>
      <c r="H735" s="130"/>
      <c r="I735" s="38"/>
      <c r="L735" s="56"/>
      <c r="M735" s="56"/>
      <c r="N735" s="38"/>
    </row>
    <row r="736" spans="1:14" s="71" customFormat="1" ht="15.75" customHeight="1" x14ac:dyDescent="0.35">
      <c r="A736" s="122">
        <f t="shared" si="114"/>
        <v>3</v>
      </c>
      <c r="B736" s="123"/>
      <c r="C736" s="136"/>
      <c r="D736" s="137"/>
      <c r="E736" s="137"/>
      <c r="F736" s="138"/>
      <c r="G736" s="129"/>
      <c r="H736" s="130"/>
      <c r="I736" s="38"/>
      <c r="L736" s="56"/>
      <c r="M736" s="56"/>
      <c r="N736" s="38"/>
    </row>
    <row r="737" spans="1:14" s="71" customFormat="1" ht="15.75" customHeight="1" x14ac:dyDescent="0.35">
      <c r="A737" s="122">
        <f t="shared" si="114"/>
        <v>4</v>
      </c>
      <c r="B737" s="123"/>
      <c r="C737" s="52">
        <v>4</v>
      </c>
      <c r="D737" s="59">
        <f>(170.87)*(10.764)</f>
        <v>1839.24468</v>
      </c>
      <c r="E737" s="72">
        <v>0</v>
      </c>
      <c r="F737" s="72">
        <f>D737*(($F$225)+1)+(IF(E737&lt;101,E737,IF(E737&lt;201,E737/2,IF(E737&lt;=301,E737/3,E737/4))))</f>
        <v>2850.8292540000002</v>
      </c>
      <c r="G737" s="131"/>
      <c r="H737" s="132"/>
      <c r="I737" s="38"/>
      <c r="L737" s="56"/>
      <c r="M737" s="56"/>
      <c r="N737" s="38"/>
    </row>
    <row r="738" spans="1:14" s="53" customFormat="1" ht="15.75" customHeight="1" x14ac:dyDescent="0.35">
      <c r="A738" s="124" t="s">
        <v>295</v>
      </c>
      <c r="B738" s="125"/>
      <c r="C738" s="125"/>
      <c r="D738" s="125"/>
      <c r="E738" s="125"/>
      <c r="F738" s="125"/>
      <c r="G738" s="125"/>
      <c r="H738" s="126"/>
      <c r="J738" s="38"/>
    </row>
    <row r="739" spans="1:14" s="53" customFormat="1" ht="15.75" customHeight="1" x14ac:dyDescent="0.35">
      <c r="A739" s="122">
        <v>1</v>
      </c>
      <c r="B739" s="123"/>
      <c r="C739" s="52" t="s">
        <v>283</v>
      </c>
      <c r="D739" s="59">
        <f>(142.69)*(10.764)</f>
        <v>1535.9151599999998</v>
      </c>
      <c r="E739" s="54">
        <v>0</v>
      </c>
      <c r="F739" s="54">
        <f>D739*(($F$225)+1)+(IF(E739&lt;101,E739,IF(E739&lt;201,E739/2,IF(E739&lt;=301,E739/3,E739/4))))</f>
        <v>2380.6684979999995</v>
      </c>
      <c r="G739" s="127" t="str">
        <f>A738</f>
        <v>20th, 21st Floor</v>
      </c>
      <c r="H739" s="128"/>
      <c r="I739" s="38"/>
      <c r="L739" s="56"/>
      <c r="M739" s="56"/>
      <c r="N739" s="38"/>
    </row>
    <row r="740" spans="1:14" s="53" customFormat="1" ht="15.75" customHeight="1" x14ac:dyDescent="0.35">
      <c r="A740" s="122">
        <f t="shared" ref="A740:A742" si="115">A739+1</f>
        <v>2</v>
      </c>
      <c r="B740" s="123"/>
      <c r="C740" s="52" t="s">
        <v>283</v>
      </c>
      <c r="D740" s="59">
        <f>(107.9)*(10.764)</f>
        <v>1161.4356</v>
      </c>
      <c r="E740" s="54">
        <v>0</v>
      </c>
      <c r="F740" s="54">
        <f>D740*(($F$225)+1)+(IF(E740&lt;101,E740,IF(E740&lt;201,E740/2,IF(E740&lt;=301,E740/3,E740/4))))</f>
        <v>1800.2251800000001</v>
      </c>
      <c r="G740" s="129"/>
      <c r="H740" s="130"/>
      <c r="I740" s="38"/>
      <c r="L740" s="56"/>
      <c r="M740" s="56"/>
      <c r="N740" s="38"/>
    </row>
    <row r="741" spans="1:14" s="53" customFormat="1" ht="15.75" customHeight="1" x14ac:dyDescent="0.35">
      <c r="A741" s="122">
        <f t="shared" si="115"/>
        <v>3</v>
      </c>
      <c r="B741" s="123"/>
      <c r="C741" s="52" t="s">
        <v>283</v>
      </c>
      <c r="D741" s="59">
        <f>(107.9)*(10.764)</f>
        <v>1161.4356</v>
      </c>
      <c r="E741" s="54">
        <v>0</v>
      </c>
      <c r="F741" s="54">
        <f>D741*(($F$225)+1)+(IF(E741&lt;101,E741,IF(E741&lt;201,E741/2,IF(E741&lt;=301,E741/3,E741/4))))</f>
        <v>1800.2251800000001</v>
      </c>
      <c r="G741" s="129"/>
      <c r="H741" s="130"/>
      <c r="I741" s="38"/>
      <c r="L741" s="56"/>
      <c r="M741" s="56"/>
      <c r="N741" s="38"/>
    </row>
    <row r="742" spans="1:14" s="53" customFormat="1" ht="15.75" customHeight="1" x14ac:dyDescent="0.35">
      <c r="A742" s="122">
        <f t="shared" si="115"/>
        <v>4</v>
      </c>
      <c r="B742" s="123"/>
      <c r="C742" s="52" t="s">
        <v>283</v>
      </c>
      <c r="D742" s="59">
        <f>(142.69)*(10.764)</f>
        <v>1535.9151599999998</v>
      </c>
      <c r="E742" s="54">
        <v>0</v>
      </c>
      <c r="F742" s="54">
        <f>D742*(($F$225)+1)+(IF(E742&lt;101,E742,IF(E742&lt;201,E742/2,IF(E742&lt;=301,E742/3,E742/4))))</f>
        <v>2380.6684979999995</v>
      </c>
      <c r="G742" s="131"/>
      <c r="H742" s="132"/>
      <c r="I742" s="38"/>
      <c r="L742" s="56"/>
      <c r="M742" s="56"/>
      <c r="N742" s="38"/>
    </row>
    <row r="743" spans="1:14" s="53" customFormat="1" ht="15.75" hidden="1" customHeight="1" x14ac:dyDescent="0.35">
      <c r="A743" s="124" t="s">
        <v>221</v>
      </c>
      <c r="B743" s="125"/>
      <c r="C743" s="125"/>
      <c r="D743" s="125"/>
      <c r="E743" s="125"/>
      <c r="F743" s="125"/>
      <c r="G743" s="125"/>
      <c r="H743" s="126"/>
      <c r="J743" s="38"/>
    </row>
    <row r="744" spans="1:14" s="53" customFormat="1" ht="15.75" hidden="1" customHeight="1" x14ac:dyDescent="0.35">
      <c r="A744" s="122">
        <v>1</v>
      </c>
      <c r="B744" s="123"/>
      <c r="C744" s="52" t="s">
        <v>208</v>
      </c>
      <c r="D744" s="59">
        <f>(142.58)*(10.764)</f>
        <v>1534.7311200000001</v>
      </c>
      <c r="E744" s="54">
        <v>0</v>
      </c>
      <c r="F744" s="54">
        <f>D744*(($F$225)+1)+(IF(E744&lt;101,E744,IF(E744&lt;201,E744/2,IF(E744&lt;=301,E744/3,E744/4))))</f>
        <v>2378.8332360000004</v>
      </c>
      <c r="G744" s="127" t="str">
        <f>A743</f>
        <v>22nd Floor (Part Refuge Area)</v>
      </c>
      <c r="H744" s="128"/>
      <c r="I744" s="38"/>
      <c r="L744" s="56"/>
      <c r="M744" s="56"/>
      <c r="N744" s="38"/>
    </row>
    <row r="745" spans="1:14" s="53" customFormat="1" ht="15.75" hidden="1" customHeight="1" x14ac:dyDescent="0.35">
      <c r="A745" s="122">
        <f t="shared" ref="A745:A747" si="116">A744+1</f>
        <v>2</v>
      </c>
      <c r="B745" s="123"/>
      <c r="C745" s="52">
        <v>2</v>
      </c>
      <c r="D745" s="59">
        <f>(79.49)*(10.764)</f>
        <v>855.63035999999988</v>
      </c>
      <c r="E745" s="54">
        <v>0</v>
      </c>
      <c r="F745" s="54">
        <f>D745*(($F$225)+1)+(IF(E745&lt;101,E745,IF(E745&lt;201,E745/2,IF(E745&lt;=301,E745/3,E745/4))))</f>
        <v>1326.2270579999999</v>
      </c>
      <c r="G745" s="129"/>
      <c r="H745" s="130"/>
      <c r="I745" s="38"/>
      <c r="L745" s="56"/>
      <c r="M745" s="56"/>
      <c r="N745" s="38"/>
    </row>
    <row r="746" spans="1:14" s="53" customFormat="1" ht="15.75" hidden="1" customHeight="1" x14ac:dyDescent="0.35">
      <c r="A746" s="122">
        <f t="shared" si="116"/>
        <v>3</v>
      </c>
      <c r="B746" s="123"/>
      <c r="C746" s="52">
        <v>2</v>
      </c>
      <c r="D746" s="59">
        <f>(79.49)*(10.764)</f>
        <v>855.63035999999988</v>
      </c>
      <c r="E746" s="54">
        <v>0</v>
      </c>
      <c r="F746" s="54">
        <f>D746*(($F$225)+1)+(IF(E746&lt;101,E746,IF(E746&lt;201,E746/2,IF(E746&lt;=301,E746/3,E746/4))))</f>
        <v>1326.2270579999999</v>
      </c>
      <c r="G746" s="129"/>
      <c r="H746" s="130"/>
      <c r="I746" s="38"/>
      <c r="L746" s="56"/>
      <c r="M746" s="56"/>
      <c r="N746" s="38"/>
    </row>
    <row r="747" spans="1:14" s="53" customFormat="1" ht="15.75" hidden="1" customHeight="1" x14ac:dyDescent="0.35">
      <c r="A747" s="122">
        <f t="shared" si="116"/>
        <v>4</v>
      </c>
      <c r="B747" s="123"/>
      <c r="C747" s="52" t="s">
        <v>208</v>
      </c>
      <c r="D747" s="59">
        <f>(120.01)*(10.764)</f>
        <v>1291.78764</v>
      </c>
      <c r="E747" s="54">
        <v>0</v>
      </c>
      <c r="F747" s="54">
        <f>D747*(($F$225)+1)+(IF(E747&lt;101,E747,IF(E747&lt;201,E747/2,IF(E747&lt;=301,E747/3,E747/4))))</f>
        <v>2002.2708420000001</v>
      </c>
      <c r="G747" s="131"/>
      <c r="H747" s="132"/>
      <c r="I747" s="38"/>
      <c r="L747" s="56"/>
      <c r="M747" s="56"/>
      <c r="N747" s="38"/>
    </row>
    <row r="748" spans="1:14" s="53" customFormat="1" ht="15.75" hidden="1" customHeight="1" x14ac:dyDescent="0.35">
      <c r="A748" s="124" t="s">
        <v>211</v>
      </c>
      <c r="B748" s="125"/>
      <c r="C748" s="125"/>
      <c r="D748" s="125"/>
      <c r="E748" s="125"/>
      <c r="F748" s="125"/>
      <c r="G748" s="125"/>
      <c r="H748" s="126"/>
      <c r="J748" s="38"/>
    </row>
    <row r="749" spans="1:14" s="53" customFormat="1" ht="15.75" hidden="1" customHeight="1" x14ac:dyDescent="0.35">
      <c r="A749" s="122">
        <v>1</v>
      </c>
      <c r="B749" s="123"/>
      <c r="C749" s="52">
        <v>3</v>
      </c>
      <c r="D749" s="59">
        <f>(139.87)*(10.764)</f>
        <v>1505.56068</v>
      </c>
      <c r="E749" s="54">
        <v>0</v>
      </c>
      <c r="F749" s="54">
        <f>D749*(($F$225)+1)+(IF(E749&lt;101,E749,IF(E749&lt;201,E749/2,IF(E749&lt;=301,E749/3,E749/4))))</f>
        <v>2333.6190540000002</v>
      </c>
      <c r="G749" s="127" t="str">
        <f>A748</f>
        <v>20th, 23rd &amp; 24th Floor</v>
      </c>
      <c r="H749" s="128"/>
      <c r="I749" s="38"/>
      <c r="L749" s="56"/>
      <c r="M749" s="56"/>
      <c r="N749" s="38"/>
    </row>
    <row r="750" spans="1:14" s="53" customFormat="1" ht="15.75" hidden="1" customHeight="1" x14ac:dyDescent="0.35">
      <c r="A750" s="122">
        <f t="shared" ref="A750:A752" si="117">A749+1</f>
        <v>2</v>
      </c>
      <c r="B750" s="123"/>
      <c r="C750" s="52">
        <v>3</v>
      </c>
      <c r="D750" s="59">
        <f>(107.89)*(10.764)</f>
        <v>1161.3279599999998</v>
      </c>
      <c r="E750" s="54">
        <v>0</v>
      </c>
      <c r="F750" s="54">
        <f>D750*(($F$225)+1)+(IF(E750&lt;101,E750,IF(E750&lt;201,E750/2,IF(E750&lt;=301,E750/3,E750/4))))</f>
        <v>1800.0583379999998</v>
      </c>
      <c r="G750" s="129"/>
      <c r="H750" s="130"/>
      <c r="I750" s="38"/>
      <c r="L750" s="56"/>
      <c r="M750" s="56"/>
      <c r="N750" s="38"/>
    </row>
    <row r="751" spans="1:14" s="53" customFormat="1" ht="15.75" hidden="1" customHeight="1" x14ac:dyDescent="0.35">
      <c r="A751" s="122">
        <f t="shared" si="117"/>
        <v>3</v>
      </c>
      <c r="B751" s="123"/>
      <c r="C751" s="52">
        <v>3</v>
      </c>
      <c r="D751" s="59">
        <f>(107.89)*(10.764)</f>
        <v>1161.3279599999998</v>
      </c>
      <c r="E751" s="54">
        <v>0</v>
      </c>
      <c r="F751" s="54">
        <f>D751*(($F$225)+1)+(IF(E751&lt;101,E751,IF(E751&lt;201,E751/2,IF(E751&lt;=301,E751/3,E751/4))))</f>
        <v>1800.0583379999998</v>
      </c>
      <c r="G751" s="129"/>
      <c r="H751" s="130"/>
      <c r="I751" s="38"/>
      <c r="L751" s="56"/>
      <c r="M751" s="56"/>
      <c r="N751" s="38"/>
    </row>
    <row r="752" spans="1:14" s="53" customFormat="1" ht="15.75" hidden="1" customHeight="1" x14ac:dyDescent="0.35">
      <c r="A752" s="122">
        <f t="shared" si="117"/>
        <v>4</v>
      </c>
      <c r="B752" s="123"/>
      <c r="C752" s="52">
        <v>3</v>
      </c>
      <c r="D752" s="59">
        <f>(139.87)*(10.764)</f>
        <v>1505.56068</v>
      </c>
      <c r="E752" s="54">
        <v>0</v>
      </c>
      <c r="F752" s="54">
        <f>D752*(($F$225)+1)+(IF(E752&lt;101,E752,IF(E752&lt;201,E752/2,IF(E752&lt;=301,E752/3,E752/4))))</f>
        <v>2333.6190540000002</v>
      </c>
      <c r="G752" s="131"/>
      <c r="H752" s="132"/>
      <c r="I752" s="38"/>
      <c r="L752" s="56"/>
      <c r="M752" s="56"/>
      <c r="N752" s="38"/>
    </row>
    <row r="753" spans="1:16" s="57" customFormat="1" hidden="1" x14ac:dyDescent="0.35">
      <c r="A753" s="124" t="s">
        <v>230</v>
      </c>
      <c r="B753" s="125"/>
      <c r="C753" s="125"/>
      <c r="D753" s="125"/>
      <c r="E753" s="125"/>
      <c r="F753" s="125"/>
      <c r="G753" s="125"/>
      <c r="H753" s="126"/>
      <c r="J753" s="38"/>
    </row>
    <row r="754" spans="1:16" s="55" customFormat="1" hidden="1" x14ac:dyDescent="0.35">
      <c r="A754" s="124" t="s">
        <v>123</v>
      </c>
      <c r="B754" s="125"/>
      <c r="C754" s="125"/>
      <c r="D754" s="125"/>
      <c r="E754" s="125"/>
      <c r="F754" s="125"/>
      <c r="G754" s="125"/>
      <c r="H754" s="126"/>
      <c r="J754" s="38"/>
    </row>
    <row r="755" spans="1:16" s="47" customFormat="1" hidden="1" x14ac:dyDescent="0.35">
      <c r="A755" s="124" t="s">
        <v>123</v>
      </c>
      <c r="B755" s="125"/>
      <c r="C755" s="125"/>
      <c r="D755" s="125"/>
      <c r="E755" s="125"/>
      <c r="F755" s="125"/>
      <c r="G755" s="125"/>
      <c r="H755" s="126"/>
      <c r="J755" s="38"/>
      <c r="L755" s="53"/>
      <c r="M755" s="53"/>
    </row>
    <row r="756" spans="1:16" s="47" customFormat="1" ht="15.75" hidden="1" customHeight="1" x14ac:dyDescent="0.35">
      <c r="A756" s="122">
        <v>1</v>
      </c>
      <c r="B756" s="123"/>
      <c r="C756" s="52"/>
      <c r="D756" s="44"/>
      <c r="E756" s="44">
        <v>0</v>
      </c>
      <c r="F756" s="44">
        <f>D756*(($F$225)+1)+(IF(E756&lt;101,E756,IF(E756&lt;201,E756/2,IF(E756&lt;=301,E756/3,E756/4))))</f>
        <v>0</v>
      </c>
      <c r="G756" s="127" t="str">
        <f>A755</f>
        <v>Ground Floor</v>
      </c>
      <c r="H756" s="128"/>
      <c r="I756" s="38"/>
      <c r="L756" s="56"/>
      <c r="M756" s="56"/>
      <c r="N756" s="38"/>
    </row>
    <row r="757" spans="1:16" s="47" customFormat="1" ht="15.75" hidden="1" customHeight="1" x14ac:dyDescent="0.35">
      <c r="A757" s="122">
        <f t="shared" ref="A757:A759" si="118">A756+1</f>
        <v>2</v>
      </c>
      <c r="B757" s="123"/>
      <c r="C757" s="52"/>
      <c r="D757" s="44"/>
      <c r="E757" s="44">
        <v>0</v>
      </c>
      <c r="F757" s="44">
        <f>D757*(($F$225)+1)+(IF(E757&lt;101,E757,IF(E757&lt;201,E757/2,IF(E757&lt;=301,E757/3,E757/4))))</f>
        <v>0</v>
      </c>
      <c r="G757" s="129"/>
      <c r="H757" s="130"/>
      <c r="I757" s="38"/>
      <c r="L757" s="56"/>
      <c r="M757" s="56"/>
      <c r="N757" s="38"/>
    </row>
    <row r="758" spans="1:16" s="47" customFormat="1" ht="15.75" hidden="1" customHeight="1" x14ac:dyDescent="0.35">
      <c r="A758" s="122">
        <f t="shared" si="118"/>
        <v>3</v>
      </c>
      <c r="B758" s="123"/>
      <c r="C758" s="52"/>
      <c r="D758" s="44"/>
      <c r="E758" s="44">
        <v>0</v>
      </c>
      <c r="F758" s="44">
        <f>D758*(($F$225)+1)+(IF(E758&lt;101,E758,IF(E758&lt;201,E758/2,IF(E758&lt;=301,E758/3,E758/4))))</f>
        <v>0</v>
      </c>
      <c r="G758" s="129"/>
      <c r="H758" s="130"/>
      <c r="I758" s="38"/>
      <c r="L758" s="56"/>
      <c r="M758" s="56"/>
      <c r="N758" s="38"/>
    </row>
    <row r="759" spans="1:16" s="47" customFormat="1" ht="15.75" hidden="1" customHeight="1" x14ac:dyDescent="0.35">
      <c r="A759" s="122">
        <f t="shared" si="118"/>
        <v>4</v>
      </c>
      <c r="B759" s="123"/>
      <c r="C759" s="52"/>
      <c r="D759" s="44"/>
      <c r="E759" s="44">
        <v>0</v>
      </c>
      <c r="F759" s="44">
        <f>D759*(($F$225)+1)+(IF(E759&lt;101,E759,IF(E759&lt;201,E759/2,IF(E759&lt;=301,E759/3,E759/4))))</f>
        <v>0</v>
      </c>
      <c r="G759" s="131"/>
      <c r="H759" s="132"/>
      <c r="I759" s="38"/>
      <c r="L759" s="56"/>
      <c r="M759" s="56"/>
      <c r="N759" s="38"/>
    </row>
    <row r="760" spans="1:16" s="47" customFormat="1" hidden="1" x14ac:dyDescent="0.35">
      <c r="A760" s="139" t="s">
        <v>124</v>
      </c>
      <c r="B760" s="139"/>
      <c r="C760" s="139"/>
      <c r="D760" s="139"/>
      <c r="E760" s="139"/>
      <c r="F760" s="139"/>
      <c r="G760" s="139"/>
      <c r="H760" s="139"/>
      <c r="I760" s="38"/>
      <c r="L760" s="56"/>
      <c r="M760" s="56"/>
    </row>
    <row r="761" spans="1:16" s="47" customFormat="1" hidden="1" x14ac:dyDescent="0.35">
      <c r="A761" s="145">
        <f>LEFT(A760,SUM(LEN(A760)-LEN(SUBSTITUTE(A760,{"0","1","2","3","4","5","6","7","8","9"},""))))*100+1</f>
        <v>201</v>
      </c>
      <c r="B761" s="145"/>
      <c r="C761" s="52"/>
      <c r="D761" s="44"/>
      <c r="E761" s="44">
        <v>0</v>
      </c>
      <c r="F761" s="44">
        <f t="shared" ref="F761:F762" si="119">D761*(($F$225)+1)+(IF(E761&lt;101,E761,IF(E761&lt;201,E761/2,IF(E761&lt;=301,E761/3,E761/4))))</f>
        <v>0</v>
      </c>
      <c r="G761" s="127" t="str">
        <f>A760</f>
        <v>2nd Floor</v>
      </c>
      <c r="H761" s="128"/>
      <c r="I761" s="38"/>
      <c r="N761" s="38"/>
    </row>
    <row r="762" spans="1:16" s="47" customFormat="1" hidden="1" x14ac:dyDescent="0.35">
      <c r="A762" s="145">
        <f>A761+1</f>
        <v>202</v>
      </c>
      <c r="B762" s="145"/>
      <c r="C762" s="52"/>
      <c r="D762" s="44"/>
      <c r="E762" s="44">
        <v>0</v>
      </c>
      <c r="F762" s="44">
        <f t="shared" si="119"/>
        <v>0</v>
      </c>
      <c r="G762" s="129"/>
      <c r="H762" s="130"/>
      <c r="I762" s="38"/>
      <c r="N762" s="38"/>
    </row>
    <row r="763" spans="1:16" s="47" customFormat="1" hidden="1" x14ac:dyDescent="0.35">
      <c r="A763" s="145">
        <f>A762+1</f>
        <v>203</v>
      </c>
      <c r="B763" s="145"/>
      <c r="C763" s="52"/>
      <c r="D763" s="44"/>
      <c r="E763" s="44">
        <v>0</v>
      </c>
      <c r="F763" s="44">
        <f>D763*(($F$225)+1)+(IF(E763&lt;101,E763,IF(E763&lt;201,E763/2,IF(E763&lt;=301,E763/3,E763/4))))</f>
        <v>0</v>
      </c>
      <c r="G763" s="129"/>
      <c r="H763" s="130"/>
      <c r="I763" s="38"/>
      <c r="N763" s="38"/>
    </row>
    <row r="764" spans="1:16" s="47" customFormat="1" hidden="1" x14ac:dyDescent="0.35">
      <c r="A764" s="145">
        <f>A763+1</f>
        <v>204</v>
      </c>
      <c r="B764" s="145"/>
      <c r="C764" s="52"/>
      <c r="D764" s="44"/>
      <c r="E764" s="44">
        <v>0</v>
      </c>
      <c r="F764" s="44">
        <f>D764*(($F$225)+1)+(IF(E764&lt;101,E764,IF(E764&lt;201,E764/2,IF(E764&lt;=301,E764/3,E764/4))))</f>
        <v>0</v>
      </c>
      <c r="G764" s="129"/>
      <c r="H764" s="130"/>
      <c r="I764" s="38"/>
      <c r="N764" s="38"/>
    </row>
    <row r="765" spans="1:16" s="47" customFormat="1" hidden="1" x14ac:dyDescent="0.35">
      <c r="A765" s="145">
        <f>A764+1</f>
        <v>205</v>
      </c>
      <c r="B765" s="145"/>
      <c r="C765" s="52"/>
      <c r="D765" s="44"/>
      <c r="E765" s="44">
        <v>0</v>
      </c>
      <c r="F765" s="44">
        <f>D765*(($F$225)+1)+(IF(E765&lt;101,E765,IF(E765&lt;201,E765/2,IF(E765&lt;=301,E765/3,E765/4))))</f>
        <v>0</v>
      </c>
      <c r="G765" s="131"/>
      <c r="H765" s="132"/>
      <c r="I765" s="38"/>
      <c r="N765" s="38"/>
    </row>
    <row r="766" spans="1:16" s="47" customFormat="1" ht="15.75" hidden="1" customHeight="1" x14ac:dyDescent="0.35">
      <c r="A766" s="124" t="s">
        <v>159</v>
      </c>
      <c r="B766" s="125"/>
      <c r="C766" s="125"/>
      <c r="D766" s="125"/>
      <c r="E766" s="125"/>
      <c r="F766" s="125"/>
      <c r="G766" s="125"/>
      <c r="H766" s="126"/>
      <c r="I766" s="38"/>
      <c r="P766" s="39"/>
    </row>
    <row r="767" spans="1:16" s="47" customFormat="1" ht="15.75" hidden="1" customHeight="1" x14ac:dyDescent="0.35">
      <c r="A767" s="122" t="str">
        <f ca="1">(SUMPRODUCT(MID(0&amp;(LEFT(A766,SUM(LEN(A766)-LEN(SUBSTITUTE(A766,{"0","1","2"},""))))), LARGE(INDEX(ISNUMBER(--MID((LEFT(A766,SUM(LEN(A766)-LEN(SUBSTITUTE(A766,{"0","1","2"},""))))), ROW(INDIRECT("1:"&amp;LEN((LEFT(A766,SUM(LEN(A766)-LEN(SUBSTITUTE(A766,{"0","1","2"},"")))))))), 1)) * ROW(INDIRECT("1:"&amp;LEN((LEFT(A766,SUM(LEN(A766)-LEN(SUBSTITUTE(A766,{"0","1","2"},"")))))))), 0), ROW(INDIRECT("1:"&amp;LEN((LEFT(A766,SUM(LEN(A766)-LEN(SUBSTITUTE(A766,{"0","1","2"},"")))))))))+1, 1) * 10^ROW(INDIRECT("1:"&amp;LEN((LEFT(A766,SUM(LEN(A766)-LEN(SUBSTITUTE(A766,{"0","1","2"},""))))))))/10))*100+1&amp;""&amp;" ,.., "&amp;""&amp;(SUMPRODUCT(MID(0&amp;(--TRIM(RIGHT(SUBSTITUTE(LEFT(A766,_xlfn.AGGREGATE(16,6,FIND({0,1,2,3,4,5,6,7,8,9},A766,ROW(INDIRECT("1:"&amp;LEN(A766)))),1))," ",REPT(" ",LEN(A766))),LEN(A766)))), LARGE(INDEX(ISNUMBER(--MID((--TRIM(RIGHT(SUBSTITUTE(LEFT(A766,_xlfn.AGGREGATE(16,6,FIND({0,1,2,3,4,5,6,7,8,9},A766,ROW(INDIRECT("1:"&amp;LEN(A766)))),1))," ",REPT(" ",LEN(A766))),LEN(A766)))), ROW(INDIRECT("1:"&amp;LEN((--TRIM(RIGHT(SUBSTITUTE(LEFT(A766,_xlfn.AGGREGATE(16,6,FIND({0,1,2,3,4,5,6,7,8,9},A766,ROW(INDIRECT("1:"&amp;LEN(A766)))),1))," ",REPT(" ",LEN(A766))),LEN(A766))))))), 1)) * ROW(INDIRECT("1:"&amp;LEN((--TRIM(RIGHT(SUBSTITUTE(LEFT(A766,_xlfn.AGGREGATE(16,6,FIND({0,1,2,3,4,5,6,7,8,9},A766,ROW(INDIRECT("1:"&amp;LEN(A766)))),1))," ",REPT(" ",LEN(A766))),LEN(A766))))))), 0), ROW(INDIRECT("1:"&amp;LEN((--TRIM(RIGHT(SUBSTITUTE(LEFT(A766,_xlfn.AGGREGATE(16,6,FIND({0,1,2,3,4,5,6,7,8,9},A766,ROW(INDIRECT("1:"&amp;LEN(A766)))),1))," ",REPT(" ",LEN(A766))),LEN(A766))))))))+1, 1) * 10^ROW(INDIRECT("1:"&amp;LEN((--TRIM(RIGHT(SUBSTITUTE(LEFT(A766,_xlfn.AGGREGATE(16,6,FIND({0,1,2,3,4,5,6,7,8,9},A766,ROW(INDIRECT("1:"&amp;LEN(A766)))),1))," ",REPT(" ",LEN(A766))),LEN(A766)))))))/10))*100+1</f>
        <v>301 ,.., 1501</v>
      </c>
      <c r="B767" s="123"/>
      <c r="C767" s="52"/>
      <c r="D767" s="44"/>
      <c r="E767" s="44">
        <v>0</v>
      </c>
      <c r="F767" s="44">
        <f>D767*(($F$225)+1)+(IF(E767&lt;101,E767,IF(E767&lt;201,E767/2,IF(E767&lt;=301,E767/3,E767/4))))</f>
        <v>0</v>
      </c>
      <c r="G767" s="127" t="str">
        <f>A766</f>
        <v>3rd, 5th, 7th, 9th, 11th, 13th, 15th Floor</v>
      </c>
      <c r="H767" s="128"/>
      <c r="I767" s="38"/>
    </row>
    <row r="768" spans="1:16" s="47" customFormat="1" ht="15.75" hidden="1" customHeight="1" x14ac:dyDescent="0.35">
      <c r="A768" s="122" t="str">
        <f ca="1">(SUMPRODUCT(MID(0&amp;(LEFT(A767,SUM(LEN(A767)-LEN(SUBSTITUTE(A767,{"0","1","2"},""))))), LARGE(INDEX(ISNUMBER(--MID((LEFT(A767,SUM(LEN(A767)-LEN(SUBSTITUTE(A767,{"0","1","2"},""))))), ROW(INDIRECT("1:"&amp;LEN((LEFT(A767,SUM(LEN(A767)-LEN(SUBSTITUTE(A767,{"0","1","2"},"")))))))), 1)) * ROW(INDIRECT("1:"&amp;LEN((LEFT(A767,SUM(LEN(A767)-LEN(SUBSTITUTE(A767,{"0","1","2"},"")))))))), 0), ROW(INDIRECT("1:"&amp;LEN((LEFT(A767,SUM(LEN(A767)-LEN(SUBSTITUTE(A767,{"0","1","2"},"")))))))))+1, 1) * 10^ROW(INDIRECT("1:"&amp;LEN((LEFT(A767,SUM(LEN(A767)-LEN(SUBSTITUTE(A767,{"0","1","2"},""))))))))/10))*1+1&amp;""&amp;" ,.., "&amp;""&amp;(SUMPRODUCT(MID(0&amp;(--TRIM(RIGHT(SUBSTITUTE(LEFT(A767,_xlfn.AGGREGATE(16,6,FIND({0,1,2,3,4,5,6,7,8,9},A767,ROW(INDIRECT("1:"&amp;LEN(A767)))),1))," ",REPT(" ",LEN(A767))),LEN(A767)))), LARGE(INDEX(ISNUMBER(--MID((--TRIM(RIGHT(SUBSTITUTE(LEFT(A767,_xlfn.AGGREGATE(16,6,FIND({0,1,2,3,4,5,6,7,8,9},A767,ROW(INDIRECT("1:"&amp;LEN(A767)))),1))," ",REPT(" ",LEN(A767))),LEN(A767)))), ROW(INDIRECT("1:"&amp;LEN((--TRIM(RIGHT(SUBSTITUTE(LEFT(A767,_xlfn.AGGREGATE(16,6,FIND({0,1,2,3,4,5,6,7,8,9},A767,ROW(INDIRECT("1:"&amp;LEN(A767)))),1))," ",REPT(" ",LEN(A767))),LEN(A767))))))), 1)) * ROW(INDIRECT("1:"&amp;LEN((--TRIM(RIGHT(SUBSTITUTE(LEFT(A767,_xlfn.AGGREGATE(16,6,FIND({0,1,2,3,4,5,6,7,8,9},A767,ROW(INDIRECT("1:"&amp;LEN(A767)))),1))," ",REPT(" ",LEN(A767))),LEN(A767))))))), 0), ROW(INDIRECT("1:"&amp;LEN((--TRIM(RIGHT(SUBSTITUTE(LEFT(A767,_xlfn.AGGREGATE(16,6,FIND({0,1,2,3,4,5,6,7,8,9},A767,ROW(INDIRECT("1:"&amp;LEN(A767)))),1))," ",REPT(" ",LEN(A767))),LEN(A767))))))))+1, 1) * 10^ROW(INDIRECT("1:"&amp;LEN((--TRIM(RIGHT(SUBSTITUTE(LEFT(A767,_xlfn.AGGREGATE(16,6,FIND({0,1,2,3,4,5,6,7,8,9},A767,ROW(INDIRECT("1:"&amp;LEN(A767)))),1))," ",REPT(" ",LEN(A767))),LEN(A767)))))))/10))*1+1</f>
        <v>302 ,.., 1502</v>
      </c>
      <c r="B768" s="123"/>
      <c r="C768" s="52"/>
      <c r="D768" s="44"/>
      <c r="E768" s="44">
        <v>0</v>
      </c>
      <c r="F768" s="44">
        <f>D768*(($F$225)+1)+(IF(E768&lt;101,E768,IF(E768&lt;201,E768/2,IF(E768&lt;=301,E768/3,E768/4))))</f>
        <v>0</v>
      </c>
      <c r="G768" s="129"/>
      <c r="H768" s="130"/>
      <c r="I768" s="38"/>
    </row>
    <row r="769" spans="1:16" s="47" customFormat="1" ht="15.75" hidden="1" customHeight="1" x14ac:dyDescent="0.35">
      <c r="A769" s="122" t="str">
        <f ca="1">(SUMPRODUCT(MID(0&amp;(LEFT(A768,SUM(LEN(A768)-LEN(SUBSTITUTE(A768,{"0","1","2"},""))))), LARGE(INDEX(ISNUMBER(--MID((LEFT(A768,SUM(LEN(A768)-LEN(SUBSTITUTE(A768,{"0","1","2"},""))))), ROW(INDIRECT("1:"&amp;LEN((LEFT(A768,SUM(LEN(A768)-LEN(SUBSTITUTE(A768,{"0","1","2"},"")))))))), 1)) * ROW(INDIRECT("1:"&amp;LEN((LEFT(A768,SUM(LEN(A768)-LEN(SUBSTITUTE(A768,{"0","1","2"},"")))))))), 0), ROW(INDIRECT("1:"&amp;LEN((LEFT(A768,SUM(LEN(A768)-LEN(SUBSTITUTE(A768,{"0","1","2"},"")))))))))+1, 1) * 10^ROW(INDIRECT("1:"&amp;LEN((LEFT(A768,SUM(LEN(A768)-LEN(SUBSTITUTE(A768,{"0","1","2"},""))))))))/10))*1+1&amp;""&amp;" ,.., "&amp;""&amp;(SUMPRODUCT(MID(0&amp;(--TRIM(RIGHT(SUBSTITUTE(LEFT(A768,_xlfn.AGGREGATE(16,6,FIND({0,1,2,3,4,5,6,7,8,9},A768,ROW(INDIRECT("1:"&amp;LEN(A768)))),1))," ",REPT(" ",LEN(A768))),LEN(A768)))), LARGE(INDEX(ISNUMBER(--MID((--TRIM(RIGHT(SUBSTITUTE(LEFT(A768,_xlfn.AGGREGATE(16,6,FIND({0,1,2,3,4,5,6,7,8,9},A768,ROW(INDIRECT("1:"&amp;LEN(A768)))),1))," ",REPT(" ",LEN(A768))),LEN(A768)))), ROW(INDIRECT("1:"&amp;LEN((--TRIM(RIGHT(SUBSTITUTE(LEFT(A768,_xlfn.AGGREGATE(16,6,FIND({0,1,2,3,4,5,6,7,8,9},A768,ROW(INDIRECT("1:"&amp;LEN(A768)))),1))," ",REPT(" ",LEN(A768))),LEN(A768))))))), 1)) * ROW(INDIRECT("1:"&amp;LEN((--TRIM(RIGHT(SUBSTITUTE(LEFT(A768,_xlfn.AGGREGATE(16,6,FIND({0,1,2,3,4,5,6,7,8,9},A768,ROW(INDIRECT("1:"&amp;LEN(A768)))),1))," ",REPT(" ",LEN(A768))),LEN(A768))))))), 0), ROW(INDIRECT("1:"&amp;LEN((--TRIM(RIGHT(SUBSTITUTE(LEFT(A768,_xlfn.AGGREGATE(16,6,FIND({0,1,2,3,4,5,6,7,8,9},A768,ROW(INDIRECT("1:"&amp;LEN(A768)))),1))," ",REPT(" ",LEN(A768))),LEN(A768))))))))+1, 1) * 10^ROW(INDIRECT("1:"&amp;LEN((--TRIM(RIGHT(SUBSTITUTE(LEFT(A768,_xlfn.AGGREGATE(16,6,FIND({0,1,2,3,4,5,6,7,8,9},A768,ROW(INDIRECT("1:"&amp;LEN(A768)))),1))," ",REPT(" ",LEN(A768))),LEN(A768)))))))/10))*1+1</f>
        <v>303 ,.., 1503</v>
      </c>
      <c r="B769" s="123"/>
      <c r="C769" s="52"/>
      <c r="D769" s="44"/>
      <c r="E769" s="44">
        <v>0</v>
      </c>
      <c r="F769" s="44">
        <f>D769*(($F$225)+1)+(IF(E769&lt;101,E769,IF(E769&lt;201,E769/2,IF(E769&lt;=301,E769/3,E769/4))))</f>
        <v>0</v>
      </c>
      <c r="G769" s="129"/>
      <c r="H769" s="130"/>
      <c r="I769" s="38"/>
    </row>
    <row r="770" spans="1:16" s="47" customFormat="1" ht="15.75" hidden="1" customHeight="1" x14ac:dyDescent="0.35">
      <c r="A770" s="122" t="str">
        <f ca="1">(SUMPRODUCT(MID(0&amp;(LEFT(A769,SUM(LEN(A769)-LEN(SUBSTITUTE(A769,{"0","1","2"},""))))), LARGE(INDEX(ISNUMBER(--MID((LEFT(A769,SUM(LEN(A769)-LEN(SUBSTITUTE(A769,{"0","1","2"},""))))), ROW(INDIRECT("1:"&amp;LEN((LEFT(A769,SUM(LEN(A769)-LEN(SUBSTITUTE(A769,{"0","1","2"},"")))))))), 1)) * ROW(INDIRECT("1:"&amp;LEN((LEFT(A769,SUM(LEN(A769)-LEN(SUBSTITUTE(A769,{"0","1","2"},"")))))))), 0), ROW(INDIRECT("1:"&amp;LEN((LEFT(A769,SUM(LEN(A769)-LEN(SUBSTITUTE(A769,{"0","1","2"},"")))))))))+1, 1) * 10^ROW(INDIRECT("1:"&amp;LEN((LEFT(A769,SUM(LEN(A769)-LEN(SUBSTITUTE(A769,{"0","1","2"},""))))))))/10))*1+1&amp;""&amp;" ,.., "&amp;""&amp;(SUMPRODUCT(MID(0&amp;(--TRIM(RIGHT(SUBSTITUTE(LEFT(A769,_xlfn.AGGREGATE(16,6,FIND({0,1,2,3,4,5,6,7,8,9},A769,ROW(INDIRECT("1:"&amp;LEN(A769)))),1))," ",REPT(" ",LEN(A769))),LEN(A769)))), LARGE(INDEX(ISNUMBER(--MID((--TRIM(RIGHT(SUBSTITUTE(LEFT(A769,_xlfn.AGGREGATE(16,6,FIND({0,1,2,3,4,5,6,7,8,9},A769,ROW(INDIRECT("1:"&amp;LEN(A769)))),1))," ",REPT(" ",LEN(A769))),LEN(A769)))), ROW(INDIRECT("1:"&amp;LEN((--TRIM(RIGHT(SUBSTITUTE(LEFT(A769,_xlfn.AGGREGATE(16,6,FIND({0,1,2,3,4,5,6,7,8,9},A769,ROW(INDIRECT("1:"&amp;LEN(A769)))),1))," ",REPT(" ",LEN(A769))),LEN(A769))))))), 1)) * ROW(INDIRECT("1:"&amp;LEN((--TRIM(RIGHT(SUBSTITUTE(LEFT(A769,_xlfn.AGGREGATE(16,6,FIND({0,1,2,3,4,5,6,7,8,9},A769,ROW(INDIRECT("1:"&amp;LEN(A769)))),1))," ",REPT(" ",LEN(A769))),LEN(A769))))))), 0), ROW(INDIRECT("1:"&amp;LEN((--TRIM(RIGHT(SUBSTITUTE(LEFT(A769,_xlfn.AGGREGATE(16,6,FIND({0,1,2,3,4,5,6,7,8,9},A769,ROW(INDIRECT("1:"&amp;LEN(A769)))),1))," ",REPT(" ",LEN(A769))),LEN(A769))))))))+1, 1) * 10^ROW(INDIRECT("1:"&amp;LEN((--TRIM(RIGHT(SUBSTITUTE(LEFT(A769,_xlfn.AGGREGATE(16,6,FIND({0,1,2,3,4,5,6,7,8,9},A769,ROW(INDIRECT("1:"&amp;LEN(A769)))),1))," ",REPT(" ",LEN(A769))),LEN(A769)))))))/10))*1+1</f>
        <v>304 ,.., 1504</v>
      </c>
      <c r="B770" s="123"/>
      <c r="C770" s="52"/>
      <c r="D770" s="44"/>
      <c r="E770" s="44">
        <v>0</v>
      </c>
      <c r="F770" s="44">
        <f>D770*(($F$225)+1)+(IF(E770&lt;101,E770,IF(E770&lt;201,E770/2,IF(E770&lt;=301,E770/3,E770/4))))</f>
        <v>0</v>
      </c>
      <c r="G770" s="129"/>
      <c r="H770" s="130"/>
      <c r="I770" s="38"/>
    </row>
    <row r="771" spans="1:16" s="47" customFormat="1" ht="15.75" hidden="1" customHeight="1" x14ac:dyDescent="0.35">
      <c r="A771" s="122" t="str">
        <f ca="1">(SUMPRODUCT(MID(0&amp;(LEFT(A770,SUM(LEN(A770)-LEN(SUBSTITUTE(A770,{"0","1","2"},""))))), LARGE(INDEX(ISNUMBER(--MID((LEFT(A770,SUM(LEN(A770)-LEN(SUBSTITUTE(A770,{"0","1","2"},""))))), ROW(INDIRECT("1:"&amp;LEN((LEFT(A770,SUM(LEN(A770)-LEN(SUBSTITUTE(A770,{"0","1","2"},"")))))))), 1)) * ROW(INDIRECT("1:"&amp;LEN((LEFT(A770,SUM(LEN(A770)-LEN(SUBSTITUTE(A770,{"0","1","2"},"")))))))), 0), ROW(INDIRECT("1:"&amp;LEN((LEFT(A770,SUM(LEN(A770)-LEN(SUBSTITUTE(A770,{"0","1","2"},"")))))))))+1, 1) * 10^ROW(INDIRECT("1:"&amp;LEN((LEFT(A770,SUM(LEN(A770)-LEN(SUBSTITUTE(A770,{"0","1","2"},""))))))))/10))*1+1&amp;""&amp;" ,.., "&amp;""&amp;(SUMPRODUCT(MID(0&amp;(--TRIM(RIGHT(SUBSTITUTE(LEFT(A770,_xlfn.AGGREGATE(16,6,FIND({0,1,2,3,4,5,6,7,8,9},A770,ROW(INDIRECT("1:"&amp;LEN(A770)))),1))," ",REPT(" ",LEN(A770))),LEN(A770)))), LARGE(INDEX(ISNUMBER(--MID((--TRIM(RIGHT(SUBSTITUTE(LEFT(A770,_xlfn.AGGREGATE(16,6,FIND({0,1,2,3,4,5,6,7,8,9},A770,ROW(INDIRECT("1:"&amp;LEN(A770)))),1))," ",REPT(" ",LEN(A770))),LEN(A770)))), ROW(INDIRECT("1:"&amp;LEN((--TRIM(RIGHT(SUBSTITUTE(LEFT(A770,_xlfn.AGGREGATE(16,6,FIND({0,1,2,3,4,5,6,7,8,9},A770,ROW(INDIRECT("1:"&amp;LEN(A770)))),1))," ",REPT(" ",LEN(A770))),LEN(A770))))))), 1)) * ROW(INDIRECT("1:"&amp;LEN((--TRIM(RIGHT(SUBSTITUTE(LEFT(A770,_xlfn.AGGREGATE(16,6,FIND({0,1,2,3,4,5,6,7,8,9},A770,ROW(INDIRECT("1:"&amp;LEN(A770)))),1))," ",REPT(" ",LEN(A770))),LEN(A770))))))), 0), ROW(INDIRECT("1:"&amp;LEN((--TRIM(RIGHT(SUBSTITUTE(LEFT(A770,_xlfn.AGGREGATE(16,6,FIND({0,1,2,3,4,5,6,7,8,9},A770,ROW(INDIRECT("1:"&amp;LEN(A770)))),1))," ",REPT(" ",LEN(A770))),LEN(A770))))))))+1, 1) * 10^ROW(INDIRECT("1:"&amp;LEN((--TRIM(RIGHT(SUBSTITUTE(LEFT(A770,_xlfn.AGGREGATE(16,6,FIND({0,1,2,3,4,5,6,7,8,9},A770,ROW(INDIRECT("1:"&amp;LEN(A770)))),1))," ",REPT(" ",LEN(A770))),LEN(A770)))))))/10))*1+1</f>
        <v>305 ,.., 1505</v>
      </c>
      <c r="B771" s="123"/>
      <c r="C771" s="52"/>
      <c r="D771" s="44"/>
      <c r="E771" s="44">
        <v>0</v>
      </c>
      <c r="F771" s="44">
        <f>D771*(($F$225)+1)+(IF(E771&lt;101,E771,IF(E771&lt;201,E771/2,IF(E771&lt;=301,E771/3,E771/4))))</f>
        <v>0</v>
      </c>
      <c r="G771" s="131"/>
      <c r="H771" s="132"/>
      <c r="I771" s="38"/>
    </row>
    <row r="772" spans="1:16" s="47" customFormat="1" hidden="1" x14ac:dyDescent="0.35">
      <c r="A772" s="124" t="s">
        <v>153</v>
      </c>
      <c r="B772" s="125"/>
      <c r="C772" s="125"/>
      <c r="D772" s="125"/>
      <c r="E772" s="125"/>
      <c r="F772" s="125"/>
      <c r="G772" s="125"/>
      <c r="H772" s="126"/>
      <c r="I772" s="38"/>
      <c r="P772" s="39"/>
    </row>
    <row r="773" spans="1:16" s="47" customFormat="1" ht="15.75" hidden="1" customHeight="1" x14ac:dyDescent="0.35">
      <c r="A773" s="122" t="str">
        <f ca="1">(SUMPRODUCT(MID(0&amp;(LEFT(A772,SUM(LEN(A772)-LEN(SUBSTITUTE(A772,{"0","1","2"},""))))), LARGE(INDEX(ISNUMBER(--MID((LEFT(A772,SUM(LEN(A772)-LEN(SUBSTITUTE(A772,{"0","1","2"},""))))), ROW(INDIRECT("1:"&amp;LEN((LEFT(A772,SUM(LEN(A772)-LEN(SUBSTITUTE(A772,{"0","1","2"},"")))))))), 1)) * ROW(INDIRECT("1:"&amp;LEN((LEFT(A772,SUM(LEN(A772)-LEN(SUBSTITUTE(A772,{"0","1","2"},"")))))))), 0), ROW(INDIRECT("1:"&amp;LEN((LEFT(A772,SUM(LEN(A772)-LEN(SUBSTITUTE(A772,{"0","1","2"},"")))))))))+1, 1) * 10^ROW(INDIRECT("1:"&amp;LEN((LEFT(A772,SUM(LEN(A772)-LEN(SUBSTITUTE(A772,{"0","1","2"},""))))))))/10))*100+1&amp;""&amp;" to "&amp;""&amp;(SUMPRODUCT(MID(0&amp;(--TRIM(RIGHT(SUBSTITUTE(LEFT(A772,_xlfn.AGGREGATE(16,6,FIND({0,1,2,3,4,5,6,7,8,9},A772,ROW(INDIRECT("1:"&amp;LEN(A772)))),1))," ",REPT(" ",LEN(A772))),LEN(A772)))), LARGE(INDEX(ISNUMBER(--MID((--TRIM(RIGHT(SUBSTITUTE(LEFT(A772,_xlfn.AGGREGATE(16,6,FIND({0,1,2,3,4,5,6,7,8,9},A772,ROW(INDIRECT("1:"&amp;LEN(A772)))),1))," ",REPT(" ",LEN(A772))),LEN(A772)))), ROW(INDIRECT("1:"&amp;LEN((--TRIM(RIGHT(SUBSTITUTE(LEFT(A772,_xlfn.AGGREGATE(16,6,FIND({0,1,2,3,4,5,6,7,8,9},A772,ROW(INDIRECT("1:"&amp;LEN(A772)))),1))," ",REPT(" ",LEN(A772))),LEN(A772))))))), 1)) * ROW(INDIRECT("1:"&amp;LEN((--TRIM(RIGHT(SUBSTITUTE(LEFT(A772,_xlfn.AGGREGATE(16,6,FIND({0,1,2,3,4,5,6,7,8,9},A772,ROW(INDIRECT("1:"&amp;LEN(A772)))),1))," ",REPT(" ",LEN(A772))),LEN(A772))))))), 0), ROW(INDIRECT("1:"&amp;LEN((--TRIM(RIGHT(SUBSTITUTE(LEFT(A772,_xlfn.AGGREGATE(16,6,FIND({0,1,2,3,4,5,6,7,8,9},A772,ROW(INDIRECT("1:"&amp;LEN(A772)))),1))," ",REPT(" ",LEN(A772))),LEN(A772))))))))+1, 1) * 10^ROW(INDIRECT("1:"&amp;LEN((--TRIM(RIGHT(SUBSTITUTE(LEFT(A772,_xlfn.AGGREGATE(16,6,FIND({0,1,2,3,4,5,6,7,8,9},A772,ROW(INDIRECT("1:"&amp;LEN(A772)))),1))," ",REPT(" ",LEN(A772))),LEN(A772)))))))/10))*100+1</f>
        <v>201 to 501</v>
      </c>
      <c r="B773" s="123"/>
      <c r="C773" s="52"/>
      <c r="D773" s="44"/>
      <c r="E773" s="44">
        <v>0</v>
      </c>
      <c r="F773" s="44">
        <f>D773*(($F$225)+1)+(IF(E773&lt;101,E773,IF(E773&lt;201,E773/2,IF(E773&lt;=301,E773/3,E773/4))))</f>
        <v>0</v>
      </c>
      <c r="G773" s="127" t="str">
        <f>A772</f>
        <v>2nd to 5th Floor</v>
      </c>
      <c r="H773" s="128"/>
      <c r="I773" s="38"/>
    </row>
    <row r="774" spans="1:16" s="47" customFormat="1" ht="15.75" hidden="1" customHeight="1" x14ac:dyDescent="0.35">
      <c r="A774" s="122" t="str">
        <f ca="1">(SUMPRODUCT(MID(0&amp;(LEFT(A773,SUM(LEN(A773)-LEN(SUBSTITUTE(A773,{"0","1","2"},""))))), LARGE(INDEX(ISNUMBER(--MID((LEFT(A773,SUM(LEN(A773)-LEN(SUBSTITUTE(A773,{"0","1","2"},""))))), ROW(INDIRECT("1:"&amp;LEN((LEFT(A773,SUM(LEN(A773)-LEN(SUBSTITUTE(A773,{"0","1","2"},"")))))))), 1)) * ROW(INDIRECT("1:"&amp;LEN((LEFT(A773,SUM(LEN(A773)-LEN(SUBSTITUTE(A773,{"0","1","2"},"")))))))), 0), ROW(INDIRECT("1:"&amp;LEN((LEFT(A773,SUM(LEN(A773)-LEN(SUBSTITUTE(A773,{"0","1","2"},"")))))))))+1, 1) * 10^ROW(INDIRECT("1:"&amp;LEN((LEFT(A773,SUM(LEN(A773)-LEN(SUBSTITUTE(A773,{"0","1","2"},""))))))))/10))*1+1&amp;""&amp;" to "&amp;""&amp;(SUMPRODUCT(MID(0&amp;(--TRIM(RIGHT(SUBSTITUTE(LEFT(A773,_xlfn.AGGREGATE(16,6,FIND({0,1,2,3,4,5,6,7,8,9},A773,ROW(INDIRECT("1:"&amp;LEN(A773)))),1))," ",REPT(" ",LEN(A773))),LEN(A773)))), LARGE(INDEX(ISNUMBER(--MID((--TRIM(RIGHT(SUBSTITUTE(LEFT(A773,_xlfn.AGGREGATE(16,6,FIND({0,1,2,3,4,5,6,7,8,9},A773,ROW(INDIRECT("1:"&amp;LEN(A773)))),1))," ",REPT(" ",LEN(A773))),LEN(A773)))), ROW(INDIRECT("1:"&amp;LEN((--TRIM(RIGHT(SUBSTITUTE(LEFT(A773,_xlfn.AGGREGATE(16,6,FIND({0,1,2,3,4,5,6,7,8,9},A773,ROW(INDIRECT("1:"&amp;LEN(A773)))),1))," ",REPT(" ",LEN(A773))),LEN(A773))))))), 1)) * ROW(INDIRECT("1:"&amp;LEN((--TRIM(RIGHT(SUBSTITUTE(LEFT(A773,_xlfn.AGGREGATE(16,6,FIND({0,1,2,3,4,5,6,7,8,9},A773,ROW(INDIRECT("1:"&amp;LEN(A773)))),1))," ",REPT(" ",LEN(A773))),LEN(A773))))))), 0), ROW(INDIRECT("1:"&amp;LEN((--TRIM(RIGHT(SUBSTITUTE(LEFT(A773,_xlfn.AGGREGATE(16,6,FIND({0,1,2,3,4,5,6,7,8,9},A773,ROW(INDIRECT("1:"&amp;LEN(A773)))),1))," ",REPT(" ",LEN(A773))),LEN(A773))))))))+1, 1) * 10^ROW(INDIRECT("1:"&amp;LEN((--TRIM(RIGHT(SUBSTITUTE(LEFT(A773,_xlfn.AGGREGATE(16,6,FIND({0,1,2,3,4,5,6,7,8,9},A773,ROW(INDIRECT("1:"&amp;LEN(A773)))),1))," ",REPT(" ",LEN(A773))),LEN(A773)))))))/10))*1+1</f>
        <v>202 to 502</v>
      </c>
      <c r="B774" s="123"/>
      <c r="C774" s="52"/>
      <c r="D774" s="44"/>
      <c r="E774" s="44">
        <v>0</v>
      </c>
      <c r="F774" s="44">
        <f>D774*(($F$225)+1)+(IF(E774&lt;101,E774,IF(E774&lt;201,E774/2,IF(E774&lt;=301,E774/3,E774/4))))</f>
        <v>0</v>
      </c>
      <c r="G774" s="129"/>
      <c r="H774" s="130"/>
      <c r="I774" s="38"/>
    </row>
    <row r="775" spans="1:16" s="47" customFormat="1" ht="15.75" hidden="1" customHeight="1" x14ac:dyDescent="0.35">
      <c r="A775" s="122" t="str">
        <f ca="1">(SUMPRODUCT(MID(0&amp;(LEFT(A774,SUM(LEN(A774)-LEN(SUBSTITUTE(A774,{"0","1","2"},""))))), LARGE(INDEX(ISNUMBER(--MID((LEFT(A774,SUM(LEN(A774)-LEN(SUBSTITUTE(A774,{"0","1","2"},""))))), ROW(INDIRECT("1:"&amp;LEN((LEFT(A774,SUM(LEN(A774)-LEN(SUBSTITUTE(A774,{"0","1","2"},"")))))))), 1)) * ROW(INDIRECT("1:"&amp;LEN((LEFT(A774,SUM(LEN(A774)-LEN(SUBSTITUTE(A774,{"0","1","2"},"")))))))), 0), ROW(INDIRECT("1:"&amp;LEN((LEFT(A774,SUM(LEN(A774)-LEN(SUBSTITUTE(A774,{"0","1","2"},"")))))))))+1, 1) * 10^ROW(INDIRECT("1:"&amp;LEN((LEFT(A774,SUM(LEN(A774)-LEN(SUBSTITUTE(A774,{"0","1","2"},""))))))))/10))*1+1&amp;""&amp;" to "&amp;""&amp;(SUMPRODUCT(MID(0&amp;(--TRIM(RIGHT(SUBSTITUTE(LEFT(A774,_xlfn.AGGREGATE(16,6,FIND({0,1,2,3,4,5,6,7,8,9},A774,ROW(INDIRECT("1:"&amp;LEN(A774)))),1))," ",REPT(" ",LEN(A774))),LEN(A774)))), LARGE(INDEX(ISNUMBER(--MID((--TRIM(RIGHT(SUBSTITUTE(LEFT(A774,_xlfn.AGGREGATE(16,6,FIND({0,1,2,3,4,5,6,7,8,9},A774,ROW(INDIRECT("1:"&amp;LEN(A774)))),1))," ",REPT(" ",LEN(A774))),LEN(A774)))), ROW(INDIRECT("1:"&amp;LEN((--TRIM(RIGHT(SUBSTITUTE(LEFT(A774,_xlfn.AGGREGATE(16,6,FIND({0,1,2,3,4,5,6,7,8,9},A774,ROW(INDIRECT("1:"&amp;LEN(A774)))),1))," ",REPT(" ",LEN(A774))),LEN(A774))))))), 1)) * ROW(INDIRECT("1:"&amp;LEN((--TRIM(RIGHT(SUBSTITUTE(LEFT(A774,_xlfn.AGGREGATE(16,6,FIND({0,1,2,3,4,5,6,7,8,9},A774,ROW(INDIRECT("1:"&amp;LEN(A774)))),1))," ",REPT(" ",LEN(A774))),LEN(A774))))))), 0), ROW(INDIRECT("1:"&amp;LEN((--TRIM(RIGHT(SUBSTITUTE(LEFT(A774,_xlfn.AGGREGATE(16,6,FIND({0,1,2,3,4,5,6,7,8,9},A774,ROW(INDIRECT("1:"&amp;LEN(A774)))),1))," ",REPT(" ",LEN(A774))),LEN(A774))))))))+1, 1) * 10^ROW(INDIRECT("1:"&amp;LEN((--TRIM(RIGHT(SUBSTITUTE(LEFT(A774,_xlfn.AGGREGATE(16,6,FIND({0,1,2,3,4,5,6,7,8,9},A774,ROW(INDIRECT("1:"&amp;LEN(A774)))),1))," ",REPT(" ",LEN(A774))),LEN(A774)))))))/10))*1+1</f>
        <v>203 to 503</v>
      </c>
      <c r="B775" s="123"/>
      <c r="C775" s="52"/>
      <c r="D775" s="44"/>
      <c r="E775" s="44">
        <v>0</v>
      </c>
      <c r="F775" s="44">
        <f>D775*(($F$225)+1)+(IF(E775&lt;101,E775,IF(E775&lt;201,E775/2,IF(E775&lt;=301,E775/3,E775/4))))</f>
        <v>0</v>
      </c>
      <c r="G775" s="129"/>
      <c r="H775" s="130"/>
      <c r="I775" s="38"/>
    </row>
    <row r="776" spans="1:16" s="47" customFormat="1" ht="15.75" hidden="1" customHeight="1" x14ac:dyDescent="0.35">
      <c r="A776" s="122" t="str">
        <f ca="1">(SUMPRODUCT(MID(0&amp;(LEFT(A775,SUM(LEN(A775)-LEN(SUBSTITUTE(A775,{"0","1","2"},""))))), LARGE(INDEX(ISNUMBER(--MID((LEFT(A775,SUM(LEN(A775)-LEN(SUBSTITUTE(A775,{"0","1","2"},""))))), ROW(INDIRECT("1:"&amp;LEN((LEFT(A775,SUM(LEN(A775)-LEN(SUBSTITUTE(A775,{"0","1","2"},"")))))))), 1)) * ROW(INDIRECT("1:"&amp;LEN((LEFT(A775,SUM(LEN(A775)-LEN(SUBSTITUTE(A775,{"0","1","2"},"")))))))), 0), ROW(INDIRECT("1:"&amp;LEN((LEFT(A775,SUM(LEN(A775)-LEN(SUBSTITUTE(A775,{"0","1","2"},"")))))))))+1, 1) * 10^ROW(INDIRECT("1:"&amp;LEN((LEFT(A775,SUM(LEN(A775)-LEN(SUBSTITUTE(A775,{"0","1","2"},""))))))))/10))*1+1&amp;""&amp;" to "&amp;""&amp;(SUMPRODUCT(MID(0&amp;(--TRIM(RIGHT(SUBSTITUTE(LEFT(A775,_xlfn.AGGREGATE(16,6,FIND({0,1,2,3,4,5,6,7,8,9},A775,ROW(INDIRECT("1:"&amp;LEN(A775)))),1))," ",REPT(" ",LEN(A775))),LEN(A775)))), LARGE(INDEX(ISNUMBER(--MID((--TRIM(RIGHT(SUBSTITUTE(LEFT(A775,_xlfn.AGGREGATE(16,6,FIND({0,1,2,3,4,5,6,7,8,9},A775,ROW(INDIRECT("1:"&amp;LEN(A775)))),1))," ",REPT(" ",LEN(A775))),LEN(A775)))), ROW(INDIRECT("1:"&amp;LEN((--TRIM(RIGHT(SUBSTITUTE(LEFT(A775,_xlfn.AGGREGATE(16,6,FIND({0,1,2,3,4,5,6,7,8,9},A775,ROW(INDIRECT("1:"&amp;LEN(A775)))),1))," ",REPT(" ",LEN(A775))),LEN(A775))))))), 1)) * ROW(INDIRECT("1:"&amp;LEN((--TRIM(RIGHT(SUBSTITUTE(LEFT(A775,_xlfn.AGGREGATE(16,6,FIND({0,1,2,3,4,5,6,7,8,9},A775,ROW(INDIRECT("1:"&amp;LEN(A775)))),1))," ",REPT(" ",LEN(A775))),LEN(A775))))))), 0), ROW(INDIRECT("1:"&amp;LEN((--TRIM(RIGHT(SUBSTITUTE(LEFT(A775,_xlfn.AGGREGATE(16,6,FIND({0,1,2,3,4,5,6,7,8,9},A775,ROW(INDIRECT("1:"&amp;LEN(A775)))),1))," ",REPT(" ",LEN(A775))),LEN(A775))))))))+1, 1) * 10^ROW(INDIRECT("1:"&amp;LEN((--TRIM(RIGHT(SUBSTITUTE(LEFT(A775,_xlfn.AGGREGATE(16,6,FIND({0,1,2,3,4,5,6,7,8,9},A775,ROW(INDIRECT("1:"&amp;LEN(A775)))),1))," ",REPT(" ",LEN(A775))),LEN(A775)))))))/10))*1+1</f>
        <v>204 to 504</v>
      </c>
      <c r="B776" s="123"/>
      <c r="C776" s="52"/>
      <c r="D776" s="44"/>
      <c r="E776" s="44">
        <v>0</v>
      </c>
      <c r="F776" s="44">
        <f>D776*(($F$225)+1)+(IF(E776&lt;101,E776,IF(E776&lt;201,E776/2,IF(E776&lt;=301,E776/3,E776/4))))</f>
        <v>0</v>
      </c>
      <c r="G776" s="129"/>
      <c r="H776" s="130"/>
      <c r="I776" s="38"/>
    </row>
    <row r="777" spans="1:16" s="47" customFormat="1" ht="15.75" hidden="1" customHeight="1" x14ac:dyDescent="0.35">
      <c r="A777" s="122" t="str">
        <f ca="1">(SUMPRODUCT(MID(0&amp;(LEFT(A776,SUM(LEN(A776)-LEN(SUBSTITUTE(A776,{"0","1","2"},""))))), LARGE(INDEX(ISNUMBER(--MID((LEFT(A776,SUM(LEN(A776)-LEN(SUBSTITUTE(A776,{"0","1","2"},""))))), ROW(INDIRECT("1:"&amp;LEN((LEFT(A776,SUM(LEN(A776)-LEN(SUBSTITUTE(A776,{"0","1","2"},"")))))))), 1)) * ROW(INDIRECT("1:"&amp;LEN((LEFT(A776,SUM(LEN(A776)-LEN(SUBSTITUTE(A776,{"0","1","2"},"")))))))), 0), ROW(INDIRECT("1:"&amp;LEN((LEFT(A776,SUM(LEN(A776)-LEN(SUBSTITUTE(A776,{"0","1","2"},"")))))))))+1, 1) * 10^ROW(INDIRECT("1:"&amp;LEN((LEFT(A776,SUM(LEN(A776)-LEN(SUBSTITUTE(A776,{"0","1","2"},""))))))))/10))*1+1&amp;""&amp;" to "&amp;""&amp;(SUMPRODUCT(MID(0&amp;(--TRIM(RIGHT(SUBSTITUTE(LEFT(A776,_xlfn.AGGREGATE(16,6,FIND({0,1,2,3,4,5,6,7,8,9},A776,ROW(INDIRECT("1:"&amp;LEN(A776)))),1))," ",REPT(" ",LEN(A776))),LEN(A776)))), LARGE(INDEX(ISNUMBER(--MID((--TRIM(RIGHT(SUBSTITUTE(LEFT(A776,_xlfn.AGGREGATE(16,6,FIND({0,1,2,3,4,5,6,7,8,9},A776,ROW(INDIRECT("1:"&amp;LEN(A776)))),1))," ",REPT(" ",LEN(A776))),LEN(A776)))), ROW(INDIRECT("1:"&amp;LEN((--TRIM(RIGHT(SUBSTITUTE(LEFT(A776,_xlfn.AGGREGATE(16,6,FIND({0,1,2,3,4,5,6,7,8,9},A776,ROW(INDIRECT("1:"&amp;LEN(A776)))),1))," ",REPT(" ",LEN(A776))),LEN(A776))))))), 1)) * ROW(INDIRECT("1:"&amp;LEN((--TRIM(RIGHT(SUBSTITUTE(LEFT(A776,_xlfn.AGGREGATE(16,6,FIND({0,1,2,3,4,5,6,7,8,9},A776,ROW(INDIRECT("1:"&amp;LEN(A776)))),1))," ",REPT(" ",LEN(A776))),LEN(A776))))))), 0), ROW(INDIRECT("1:"&amp;LEN((--TRIM(RIGHT(SUBSTITUTE(LEFT(A776,_xlfn.AGGREGATE(16,6,FIND({0,1,2,3,4,5,6,7,8,9},A776,ROW(INDIRECT("1:"&amp;LEN(A776)))),1))," ",REPT(" ",LEN(A776))),LEN(A776))))))))+1, 1) * 10^ROW(INDIRECT("1:"&amp;LEN((--TRIM(RIGHT(SUBSTITUTE(LEFT(A776,_xlfn.AGGREGATE(16,6,FIND({0,1,2,3,4,5,6,7,8,9},A776,ROW(INDIRECT("1:"&amp;LEN(A776)))),1))," ",REPT(" ",LEN(A776))),LEN(A776)))))))/10))*1+1</f>
        <v>205 to 505</v>
      </c>
      <c r="B777" s="123"/>
      <c r="C777" s="52"/>
      <c r="D777" s="44"/>
      <c r="E777" s="44">
        <v>0</v>
      </c>
      <c r="F777" s="44">
        <f>D777*(($F$225)+1)+(IF(E777&lt;101,E777,IF(E777&lt;201,E777/2,IF(E777&lt;=301,E777/3,E777/4))))</f>
        <v>0</v>
      </c>
      <c r="G777" s="131"/>
      <c r="H777" s="132"/>
      <c r="I777" s="38"/>
    </row>
    <row r="778" spans="1:16" s="47" customFormat="1" hidden="1" x14ac:dyDescent="0.35">
      <c r="A778" s="124" t="s">
        <v>154</v>
      </c>
      <c r="B778" s="125"/>
      <c r="C778" s="125"/>
      <c r="D778" s="125"/>
      <c r="E778" s="125"/>
      <c r="F778" s="125"/>
      <c r="G778" s="125"/>
      <c r="H778" s="126"/>
      <c r="I778" s="38"/>
      <c r="P778" s="39"/>
    </row>
    <row r="779" spans="1:16" s="47" customFormat="1" ht="15.75" hidden="1" customHeight="1" x14ac:dyDescent="0.35">
      <c r="A779" s="122" t="str">
        <f ca="1">(SUMPRODUCT(MID(0&amp;(LEFT(A778,SUM(LEN(A778)-LEN(SUBSTITUTE(A778,{"0","1","2"},""))))), LARGE(INDEX(ISNUMBER(--MID((LEFT(A778,SUM(LEN(A778)-LEN(SUBSTITUTE(A778,{"0","1","2"},""))))), ROW(INDIRECT("1:"&amp;LEN((LEFT(A778,SUM(LEN(A778)-LEN(SUBSTITUTE(A778,{"0","1","2"},"")))))))), 1)) * ROW(INDIRECT("1:"&amp;LEN((LEFT(A778,SUM(LEN(A778)-LEN(SUBSTITUTE(A778,{"0","1","2"},"")))))))), 0), ROW(INDIRECT("1:"&amp;LEN((LEFT(A778,SUM(LEN(A778)-LEN(SUBSTITUTE(A778,{"0","1","2"},"")))))))))+1, 1) * 10^ROW(INDIRECT("1:"&amp;LEN((LEFT(A778,SUM(LEN(A778)-LEN(SUBSTITUTE(A778,{"0","1","2"},""))))))))/10))*100+1&amp;""&amp;" &amp; "&amp;""&amp;(SUMPRODUCT(MID(0&amp;(--TRIM(RIGHT(SUBSTITUTE(LEFT(A778,_xlfn.AGGREGATE(16,6,FIND({0,1,2,3,4,5,6,7,8,9},A778,ROW(INDIRECT("1:"&amp;LEN(A778)))),1))," ",REPT(" ",LEN(A778))),LEN(A778)))), LARGE(INDEX(ISNUMBER(--MID((--TRIM(RIGHT(SUBSTITUTE(LEFT(A778,_xlfn.AGGREGATE(16,6,FIND({0,1,2,3,4,5,6,7,8,9},A778,ROW(INDIRECT("1:"&amp;LEN(A778)))),1))," ",REPT(" ",LEN(A778))),LEN(A778)))), ROW(INDIRECT("1:"&amp;LEN((--TRIM(RIGHT(SUBSTITUTE(LEFT(A778,_xlfn.AGGREGATE(16,6,FIND({0,1,2,3,4,5,6,7,8,9},A778,ROW(INDIRECT("1:"&amp;LEN(A778)))),1))," ",REPT(" ",LEN(A778))),LEN(A778))))))), 1)) * ROW(INDIRECT("1:"&amp;LEN((--TRIM(RIGHT(SUBSTITUTE(LEFT(A778,_xlfn.AGGREGATE(16,6,FIND({0,1,2,3,4,5,6,7,8,9},A778,ROW(INDIRECT("1:"&amp;LEN(A778)))),1))," ",REPT(" ",LEN(A778))),LEN(A778))))))), 0), ROW(INDIRECT("1:"&amp;LEN((--TRIM(RIGHT(SUBSTITUTE(LEFT(A778,_xlfn.AGGREGATE(16,6,FIND({0,1,2,3,4,5,6,7,8,9},A778,ROW(INDIRECT("1:"&amp;LEN(A778)))),1))," ",REPT(" ",LEN(A778))),LEN(A778))))))))+1, 1) * 10^ROW(INDIRECT("1:"&amp;LEN((--TRIM(RIGHT(SUBSTITUTE(LEFT(A778,_xlfn.AGGREGATE(16,6,FIND({0,1,2,3,4,5,6,7,8,9},A778,ROW(INDIRECT("1:"&amp;LEN(A778)))),1))," ",REPT(" ",LEN(A778))),LEN(A778)))))))/10))*100+1</f>
        <v>201 &amp; 501</v>
      </c>
      <c r="B779" s="123"/>
      <c r="C779" s="52"/>
      <c r="D779" s="44"/>
      <c r="E779" s="44">
        <v>0</v>
      </c>
      <c r="F779" s="44">
        <f>D779*(($F$225)+1)+(IF(E779&lt;101,E779,IF(E779&lt;201,E779/2,IF(E779&lt;=301,E779/3,E779/4))))</f>
        <v>0</v>
      </c>
      <c r="G779" s="127" t="str">
        <f>A778</f>
        <v>2nd &amp; 5th Floor</v>
      </c>
      <c r="H779" s="128"/>
      <c r="I779" s="38"/>
    </row>
    <row r="780" spans="1:16" s="47" customFormat="1" ht="15.75" hidden="1" customHeight="1" x14ac:dyDescent="0.35">
      <c r="A780" s="122" t="str">
        <f ca="1">(SUMPRODUCT(MID(0&amp;(LEFT(A779,SUM(LEN(A779)-LEN(SUBSTITUTE(A779,{"0","1","2"},""))))), LARGE(INDEX(ISNUMBER(--MID((LEFT(A779,SUM(LEN(A779)-LEN(SUBSTITUTE(A779,{"0","1","2"},""))))), ROW(INDIRECT("1:"&amp;LEN((LEFT(A779,SUM(LEN(A779)-LEN(SUBSTITUTE(A779,{"0","1","2"},"")))))))), 1)) * ROW(INDIRECT("1:"&amp;LEN((LEFT(A779,SUM(LEN(A779)-LEN(SUBSTITUTE(A779,{"0","1","2"},"")))))))), 0), ROW(INDIRECT("1:"&amp;LEN((LEFT(A779,SUM(LEN(A779)-LEN(SUBSTITUTE(A779,{"0","1","2"},"")))))))))+1, 1) * 10^ROW(INDIRECT("1:"&amp;LEN((LEFT(A779,SUM(LEN(A779)-LEN(SUBSTITUTE(A779,{"0","1","2"},""))))))))/10))*1+1&amp;""&amp;" &amp; "&amp;""&amp;(SUMPRODUCT(MID(0&amp;(--TRIM(RIGHT(SUBSTITUTE(LEFT(A779,_xlfn.AGGREGATE(16,6,FIND({0,1,2,3,4,5,6,7,8,9},A779,ROW(INDIRECT("1:"&amp;LEN(A779)))),1))," ",REPT(" ",LEN(A779))),LEN(A779)))), LARGE(INDEX(ISNUMBER(--MID((--TRIM(RIGHT(SUBSTITUTE(LEFT(A779,_xlfn.AGGREGATE(16,6,FIND({0,1,2,3,4,5,6,7,8,9},A779,ROW(INDIRECT("1:"&amp;LEN(A779)))),1))," ",REPT(" ",LEN(A779))),LEN(A779)))), ROW(INDIRECT("1:"&amp;LEN((--TRIM(RIGHT(SUBSTITUTE(LEFT(A779,_xlfn.AGGREGATE(16,6,FIND({0,1,2,3,4,5,6,7,8,9},A779,ROW(INDIRECT("1:"&amp;LEN(A779)))),1))," ",REPT(" ",LEN(A779))),LEN(A779))))))), 1)) * ROW(INDIRECT("1:"&amp;LEN((--TRIM(RIGHT(SUBSTITUTE(LEFT(A779,_xlfn.AGGREGATE(16,6,FIND({0,1,2,3,4,5,6,7,8,9},A779,ROW(INDIRECT("1:"&amp;LEN(A779)))),1))," ",REPT(" ",LEN(A779))),LEN(A779))))))), 0), ROW(INDIRECT("1:"&amp;LEN((--TRIM(RIGHT(SUBSTITUTE(LEFT(A779,_xlfn.AGGREGATE(16,6,FIND({0,1,2,3,4,5,6,7,8,9},A779,ROW(INDIRECT("1:"&amp;LEN(A779)))),1))," ",REPT(" ",LEN(A779))),LEN(A779))))))))+1, 1) * 10^ROW(INDIRECT("1:"&amp;LEN((--TRIM(RIGHT(SUBSTITUTE(LEFT(A779,_xlfn.AGGREGATE(16,6,FIND({0,1,2,3,4,5,6,7,8,9},A779,ROW(INDIRECT("1:"&amp;LEN(A779)))),1))," ",REPT(" ",LEN(A779))),LEN(A779)))))))/10))*1+1</f>
        <v>202 &amp; 502</v>
      </c>
      <c r="B780" s="123"/>
      <c r="C780" s="52"/>
      <c r="D780" s="44"/>
      <c r="E780" s="44">
        <v>0</v>
      </c>
      <c r="F780" s="44">
        <f>D780*(($F$225)+1)+(IF(E780&lt;101,E780,IF(E780&lt;201,E780/2,IF(E780&lt;=301,E780/3,E780/4))))</f>
        <v>0</v>
      </c>
      <c r="G780" s="129"/>
      <c r="H780" s="130"/>
      <c r="I780" s="38"/>
    </row>
    <row r="781" spans="1:16" s="47" customFormat="1" ht="15.75" hidden="1" customHeight="1" x14ac:dyDescent="0.35">
      <c r="A781" s="122" t="str">
        <f ca="1">(SUMPRODUCT(MID(0&amp;(LEFT(A780,SUM(LEN(A780)-LEN(SUBSTITUTE(A780,{"0","1","2"},""))))), LARGE(INDEX(ISNUMBER(--MID((LEFT(A780,SUM(LEN(A780)-LEN(SUBSTITUTE(A780,{"0","1","2"},""))))), ROW(INDIRECT("1:"&amp;LEN((LEFT(A780,SUM(LEN(A780)-LEN(SUBSTITUTE(A780,{"0","1","2"},"")))))))), 1)) * ROW(INDIRECT("1:"&amp;LEN((LEFT(A780,SUM(LEN(A780)-LEN(SUBSTITUTE(A780,{"0","1","2"},"")))))))), 0), ROW(INDIRECT("1:"&amp;LEN((LEFT(A780,SUM(LEN(A780)-LEN(SUBSTITUTE(A780,{"0","1","2"},"")))))))))+1, 1) * 10^ROW(INDIRECT("1:"&amp;LEN((LEFT(A780,SUM(LEN(A780)-LEN(SUBSTITUTE(A780,{"0","1","2"},""))))))))/10))*1+1&amp;""&amp;" &amp; "&amp;""&amp;(SUMPRODUCT(MID(0&amp;(--TRIM(RIGHT(SUBSTITUTE(LEFT(A780,_xlfn.AGGREGATE(16,6,FIND({0,1,2,3,4,5,6,7,8,9},A780,ROW(INDIRECT("1:"&amp;LEN(A780)))),1))," ",REPT(" ",LEN(A780))),LEN(A780)))), LARGE(INDEX(ISNUMBER(--MID((--TRIM(RIGHT(SUBSTITUTE(LEFT(A780,_xlfn.AGGREGATE(16,6,FIND({0,1,2,3,4,5,6,7,8,9},A780,ROW(INDIRECT("1:"&amp;LEN(A780)))),1))," ",REPT(" ",LEN(A780))),LEN(A780)))), ROW(INDIRECT("1:"&amp;LEN((--TRIM(RIGHT(SUBSTITUTE(LEFT(A780,_xlfn.AGGREGATE(16,6,FIND({0,1,2,3,4,5,6,7,8,9},A780,ROW(INDIRECT("1:"&amp;LEN(A780)))),1))," ",REPT(" ",LEN(A780))),LEN(A780))))))), 1)) * ROW(INDIRECT("1:"&amp;LEN((--TRIM(RIGHT(SUBSTITUTE(LEFT(A780,_xlfn.AGGREGATE(16,6,FIND({0,1,2,3,4,5,6,7,8,9},A780,ROW(INDIRECT("1:"&amp;LEN(A780)))),1))," ",REPT(" ",LEN(A780))),LEN(A780))))))), 0), ROW(INDIRECT("1:"&amp;LEN((--TRIM(RIGHT(SUBSTITUTE(LEFT(A780,_xlfn.AGGREGATE(16,6,FIND({0,1,2,3,4,5,6,7,8,9},A780,ROW(INDIRECT("1:"&amp;LEN(A780)))),1))," ",REPT(" ",LEN(A780))),LEN(A780))))))))+1, 1) * 10^ROW(INDIRECT("1:"&amp;LEN((--TRIM(RIGHT(SUBSTITUTE(LEFT(A780,_xlfn.AGGREGATE(16,6,FIND({0,1,2,3,4,5,6,7,8,9},A780,ROW(INDIRECT("1:"&amp;LEN(A780)))),1))," ",REPT(" ",LEN(A780))),LEN(A780)))))))/10))*1+1</f>
        <v>203 &amp; 503</v>
      </c>
      <c r="B781" s="123"/>
      <c r="C781" s="52"/>
      <c r="D781" s="44"/>
      <c r="E781" s="44">
        <v>0</v>
      </c>
      <c r="F781" s="44">
        <f>D781*(($F$225)+1)+(IF(E781&lt;101,E781,IF(E781&lt;201,E781/2,IF(E781&lt;=301,E781/3,E781/4))))</f>
        <v>0</v>
      </c>
      <c r="G781" s="129"/>
      <c r="H781" s="130"/>
      <c r="I781" s="38"/>
    </row>
    <row r="782" spans="1:16" s="47" customFormat="1" ht="15.75" hidden="1" customHeight="1" x14ac:dyDescent="0.35">
      <c r="A782" s="122" t="str">
        <f ca="1">(SUMPRODUCT(MID(0&amp;(LEFT(A781,SUM(LEN(A781)-LEN(SUBSTITUTE(A781,{"0","1","2"},""))))), LARGE(INDEX(ISNUMBER(--MID((LEFT(A781,SUM(LEN(A781)-LEN(SUBSTITUTE(A781,{"0","1","2"},""))))), ROW(INDIRECT("1:"&amp;LEN((LEFT(A781,SUM(LEN(A781)-LEN(SUBSTITUTE(A781,{"0","1","2"},"")))))))), 1)) * ROW(INDIRECT("1:"&amp;LEN((LEFT(A781,SUM(LEN(A781)-LEN(SUBSTITUTE(A781,{"0","1","2"},"")))))))), 0), ROW(INDIRECT("1:"&amp;LEN((LEFT(A781,SUM(LEN(A781)-LEN(SUBSTITUTE(A781,{"0","1","2"},"")))))))))+1, 1) * 10^ROW(INDIRECT("1:"&amp;LEN((LEFT(A781,SUM(LEN(A781)-LEN(SUBSTITUTE(A781,{"0","1","2"},""))))))))/10))*1+1&amp;""&amp;" &amp; "&amp;""&amp;(SUMPRODUCT(MID(0&amp;(--TRIM(RIGHT(SUBSTITUTE(LEFT(A781,_xlfn.AGGREGATE(16,6,FIND({0,1,2,3,4,5,6,7,8,9},A781,ROW(INDIRECT("1:"&amp;LEN(A781)))),1))," ",REPT(" ",LEN(A781))),LEN(A781)))), LARGE(INDEX(ISNUMBER(--MID((--TRIM(RIGHT(SUBSTITUTE(LEFT(A781,_xlfn.AGGREGATE(16,6,FIND({0,1,2,3,4,5,6,7,8,9},A781,ROW(INDIRECT("1:"&amp;LEN(A781)))),1))," ",REPT(" ",LEN(A781))),LEN(A781)))), ROW(INDIRECT("1:"&amp;LEN((--TRIM(RIGHT(SUBSTITUTE(LEFT(A781,_xlfn.AGGREGATE(16,6,FIND({0,1,2,3,4,5,6,7,8,9},A781,ROW(INDIRECT("1:"&amp;LEN(A781)))),1))," ",REPT(" ",LEN(A781))),LEN(A781))))))), 1)) * ROW(INDIRECT("1:"&amp;LEN((--TRIM(RIGHT(SUBSTITUTE(LEFT(A781,_xlfn.AGGREGATE(16,6,FIND({0,1,2,3,4,5,6,7,8,9},A781,ROW(INDIRECT("1:"&amp;LEN(A781)))),1))," ",REPT(" ",LEN(A781))),LEN(A781))))))), 0), ROW(INDIRECT("1:"&amp;LEN((--TRIM(RIGHT(SUBSTITUTE(LEFT(A781,_xlfn.AGGREGATE(16,6,FIND({0,1,2,3,4,5,6,7,8,9},A781,ROW(INDIRECT("1:"&amp;LEN(A781)))),1))," ",REPT(" ",LEN(A781))),LEN(A781))))))))+1, 1) * 10^ROW(INDIRECT("1:"&amp;LEN((--TRIM(RIGHT(SUBSTITUTE(LEFT(A781,_xlfn.AGGREGATE(16,6,FIND({0,1,2,3,4,5,6,7,8,9},A781,ROW(INDIRECT("1:"&amp;LEN(A781)))),1))," ",REPT(" ",LEN(A781))),LEN(A781)))))))/10))*1+1</f>
        <v>204 &amp; 504</v>
      </c>
      <c r="B782" s="123"/>
      <c r="C782" s="52"/>
      <c r="D782" s="44"/>
      <c r="E782" s="44">
        <v>0</v>
      </c>
      <c r="F782" s="44">
        <f>D782*(($F$225)+1)+(IF(E782&lt;101,E782,IF(E782&lt;201,E782/2,IF(E782&lt;=301,E782/3,E782/4))))</f>
        <v>0</v>
      </c>
      <c r="G782" s="129"/>
      <c r="H782" s="130"/>
      <c r="I782" s="38"/>
    </row>
    <row r="783" spans="1:16" s="47" customFormat="1" ht="15.75" hidden="1" customHeight="1" x14ac:dyDescent="0.35">
      <c r="A783" s="122" t="str">
        <f ca="1">(SUMPRODUCT(MID(0&amp;(LEFT(A782,SUM(LEN(A782)-LEN(SUBSTITUTE(A782,{"0","1","2"},""))))), LARGE(INDEX(ISNUMBER(--MID((LEFT(A782,SUM(LEN(A782)-LEN(SUBSTITUTE(A782,{"0","1","2"},""))))), ROW(INDIRECT("1:"&amp;LEN((LEFT(A782,SUM(LEN(A782)-LEN(SUBSTITUTE(A782,{"0","1","2"},"")))))))), 1)) * ROW(INDIRECT("1:"&amp;LEN((LEFT(A782,SUM(LEN(A782)-LEN(SUBSTITUTE(A782,{"0","1","2"},"")))))))), 0), ROW(INDIRECT("1:"&amp;LEN((LEFT(A782,SUM(LEN(A782)-LEN(SUBSTITUTE(A782,{"0","1","2"},"")))))))))+1, 1) * 10^ROW(INDIRECT("1:"&amp;LEN((LEFT(A782,SUM(LEN(A782)-LEN(SUBSTITUTE(A782,{"0","1","2"},""))))))))/10))*1+1&amp;""&amp;" &amp; "&amp;""&amp;(SUMPRODUCT(MID(0&amp;(--TRIM(RIGHT(SUBSTITUTE(LEFT(A782,_xlfn.AGGREGATE(16,6,FIND({0,1,2,3,4,5,6,7,8,9},A782,ROW(INDIRECT("1:"&amp;LEN(A782)))),1))," ",REPT(" ",LEN(A782))),LEN(A782)))), LARGE(INDEX(ISNUMBER(--MID((--TRIM(RIGHT(SUBSTITUTE(LEFT(A782,_xlfn.AGGREGATE(16,6,FIND({0,1,2,3,4,5,6,7,8,9},A782,ROW(INDIRECT("1:"&amp;LEN(A782)))),1))," ",REPT(" ",LEN(A782))),LEN(A782)))), ROW(INDIRECT("1:"&amp;LEN((--TRIM(RIGHT(SUBSTITUTE(LEFT(A782,_xlfn.AGGREGATE(16,6,FIND({0,1,2,3,4,5,6,7,8,9},A782,ROW(INDIRECT("1:"&amp;LEN(A782)))),1))," ",REPT(" ",LEN(A782))),LEN(A782))))))), 1)) * ROW(INDIRECT("1:"&amp;LEN((--TRIM(RIGHT(SUBSTITUTE(LEFT(A782,_xlfn.AGGREGATE(16,6,FIND({0,1,2,3,4,5,6,7,8,9},A782,ROW(INDIRECT("1:"&amp;LEN(A782)))),1))," ",REPT(" ",LEN(A782))),LEN(A782))))))), 0), ROW(INDIRECT("1:"&amp;LEN((--TRIM(RIGHT(SUBSTITUTE(LEFT(A782,_xlfn.AGGREGATE(16,6,FIND({0,1,2,3,4,5,6,7,8,9},A782,ROW(INDIRECT("1:"&amp;LEN(A782)))),1))," ",REPT(" ",LEN(A782))),LEN(A782))))))))+1, 1) * 10^ROW(INDIRECT("1:"&amp;LEN((--TRIM(RIGHT(SUBSTITUTE(LEFT(A782,_xlfn.AGGREGATE(16,6,FIND({0,1,2,3,4,5,6,7,8,9},A782,ROW(INDIRECT("1:"&amp;LEN(A782)))),1))," ",REPT(" ",LEN(A782))),LEN(A782)))))))/10))*1+1</f>
        <v>205 &amp; 505</v>
      </c>
      <c r="B783" s="123"/>
      <c r="C783" s="52"/>
      <c r="D783" s="44"/>
      <c r="E783" s="44">
        <v>0</v>
      </c>
      <c r="F783" s="44">
        <f>D783*(($F$225)+1)+(IF(E783&lt;101,E783,IF(E783&lt;201,E783/2,IF(E783&lt;=301,E783/3,E783/4))))</f>
        <v>0</v>
      </c>
      <c r="G783" s="131"/>
      <c r="H783" s="132"/>
      <c r="I783" s="38"/>
    </row>
    <row r="784" spans="1:16" s="53" customFormat="1" ht="15.75" hidden="1" customHeight="1" x14ac:dyDescent="0.35">
      <c r="A784" s="124" t="s">
        <v>205</v>
      </c>
      <c r="B784" s="125"/>
      <c r="C784" s="125"/>
      <c r="D784" s="125"/>
      <c r="E784" s="125"/>
      <c r="F784" s="125"/>
      <c r="G784" s="125"/>
      <c r="H784" s="126"/>
      <c r="J784" s="38"/>
    </row>
    <row r="785" spans="1:14" s="53" customFormat="1" ht="15.75" hidden="1" customHeight="1" x14ac:dyDescent="0.35">
      <c r="A785" s="122">
        <v>1</v>
      </c>
      <c r="B785" s="123"/>
      <c r="C785" s="52">
        <v>3</v>
      </c>
      <c r="D785" s="59">
        <f>(139.62)*(10.764)</f>
        <v>1502.86968</v>
      </c>
      <c r="E785" s="54">
        <v>0</v>
      </c>
      <c r="F785" s="54">
        <f>D785*(($F$225)+1)+(IF(E785&lt;101,E785,IF(E785&lt;201,E785/2,IF(E785&lt;=301,E785/3,E785/4))))</f>
        <v>2329.4480040000003</v>
      </c>
      <c r="G785" s="127" t="str">
        <f>A784</f>
        <v>9th, 11th, 12th, 17th &amp; 18th Floor</v>
      </c>
      <c r="H785" s="128"/>
      <c r="I785" s="38"/>
      <c r="L785" s="56"/>
      <c r="M785" s="56"/>
      <c r="N785" s="38"/>
    </row>
    <row r="786" spans="1:14" s="53" customFormat="1" ht="15.75" hidden="1" customHeight="1" x14ac:dyDescent="0.35">
      <c r="A786" s="122">
        <f t="shared" ref="A786:A788" si="120">A785+1</f>
        <v>2</v>
      </c>
      <c r="B786" s="123"/>
      <c r="C786" s="52">
        <v>3</v>
      </c>
      <c r="D786" s="59">
        <f>(107.89)*(10.764)</f>
        <v>1161.3279599999998</v>
      </c>
      <c r="E786" s="54">
        <v>0</v>
      </c>
      <c r="F786" s="54">
        <f>D786*(($F$225)+1)+(IF(E786&lt;101,E786,IF(E786&lt;201,E786/2,IF(E786&lt;=301,E786/3,E786/4))))</f>
        <v>1800.0583379999998</v>
      </c>
      <c r="G786" s="129"/>
      <c r="H786" s="130"/>
      <c r="I786" s="38"/>
      <c r="L786" s="56"/>
      <c r="M786" s="56"/>
      <c r="N786" s="38"/>
    </row>
    <row r="787" spans="1:14" s="53" customFormat="1" ht="15.75" hidden="1" customHeight="1" x14ac:dyDescent="0.35">
      <c r="A787" s="122">
        <f t="shared" si="120"/>
        <v>3</v>
      </c>
      <c r="B787" s="123"/>
      <c r="C787" s="52">
        <v>3</v>
      </c>
      <c r="D787" s="59">
        <f>(107.89)*(10.764)</f>
        <v>1161.3279599999998</v>
      </c>
      <c r="E787" s="54">
        <v>0</v>
      </c>
      <c r="F787" s="54">
        <f>D787*(($F$225)+1)+(IF(E787&lt;101,E787,IF(E787&lt;201,E787/2,IF(E787&lt;=301,E787/3,E787/4))))</f>
        <v>1800.0583379999998</v>
      </c>
      <c r="G787" s="129"/>
      <c r="H787" s="130"/>
      <c r="I787" s="38"/>
      <c r="L787" s="56"/>
      <c r="M787" s="56"/>
      <c r="N787" s="38"/>
    </row>
    <row r="788" spans="1:14" s="53" customFormat="1" ht="15.75" hidden="1" customHeight="1" x14ac:dyDescent="0.35">
      <c r="A788" s="122">
        <f t="shared" si="120"/>
        <v>4</v>
      </c>
      <c r="B788" s="123"/>
      <c r="C788" s="52">
        <v>3</v>
      </c>
      <c r="D788" s="59">
        <f>(139.62)*(10.764)</f>
        <v>1502.86968</v>
      </c>
      <c r="E788" s="54">
        <v>0</v>
      </c>
      <c r="F788" s="54">
        <f>D788*(($F$225)+1)+(IF(E788&lt;101,E788,IF(E788&lt;201,E788/2,IF(E788&lt;=301,E788/3,E788/4))))</f>
        <v>2329.4480040000003</v>
      </c>
      <c r="G788" s="131"/>
      <c r="H788" s="132"/>
      <c r="I788" s="38"/>
      <c r="L788" s="56"/>
      <c r="M788" s="56"/>
      <c r="N788" s="38"/>
    </row>
    <row r="789" spans="1:14" s="53" customFormat="1" ht="15.75" hidden="1" customHeight="1" x14ac:dyDescent="0.35">
      <c r="A789" s="124" t="s">
        <v>207</v>
      </c>
      <c r="B789" s="125"/>
      <c r="C789" s="125"/>
      <c r="D789" s="125"/>
      <c r="E789" s="125"/>
      <c r="F789" s="125"/>
      <c r="G789" s="125"/>
      <c r="H789" s="126"/>
      <c r="J789" s="38"/>
    </row>
    <row r="790" spans="1:14" s="53" customFormat="1" ht="15.75" hidden="1" customHeight="1" x14ac:dyDescent="0.35">
      <c r="A790" s="122">
        <v>1</v>
      </c>
      <c r="B790" s="123"/>
      <c r="C790" s="52">
        <v>4</v>
      </c>
      <c r="D790" s="59">
        <f>(172.4)*(10.764)</f>
        <v>1855.7136</v>
      </c>
      <c r="E790" s="54">
        <v>0</v>
      </c>
      <c r="F790" s="54">
        <f>D790*(($F$225)+1)+(IF(E790&lt;101,E790,IF(E790&lt;201,E790/2,IF(E790&lt;=301,E790/3,E790/4))))</f>
        <v>2876.35608</v>
      </c>
      <c r="G790" s="127" t="str">
        <f>A789</f>
        <v>14th Floor (Part Refuge Area)</v>
      </c>
      <c r="H790" s="128"/>
      <c r="I790" s="38"/>
      <c r="L790" s="56"/>
      <c r="M790" s="56"/>
      <c r="N790" s="38"/>
    </row>
    <row r="791" spans="1:14" s="53" customFormat="1" ht="15.75" hidden="1" customHeight="1" x14ac:dyDescent="0.35">
      <c r="A791" s="122">
        <f t="shared" ref="A791:A793" si="121">A790+1</f>
        <v>2</v>
      </c>
      <c r="B791" s="123"/>
      <c r="C791" s="133" t="s">
        <v>202</v>
      </c>
      <c r="D791" s="134"/>
      <c r="E791" s="134"/>
      <c r="F791" s="135"/>
      <c r="G791" s="129"/>
      <c r="H791" s="130"/>
      <c r="I791" s="38"/>
      <c r="L791" s="56"/>
      <c r="M791" s="56"/>
      <c r="N791" s="38"/>
    </row>
    <row r="792" spans="1:14" s="53" customFormat="1" ht="15.75" hidden="1" customHeight="1" x14ac:dyDescent="0.35">
      <c r="A792" s="122">
        <f t="shared" si="121"/>
        <v>3</v>
      </c>
      <c r="B792" s="123"/>
      <c r="C792" s="136"/>
      <c r="D792" s="137"/>
      <c r="E792" s="137"/>
      <c r="F792" s="138"/>
      <c r="G792" s="129"/>
      <c r="H792" s="130"/>
      <c r="I792" s="38"/>
      <c r="L792" s="56"/>
      <c r="M792" s="56"/>
      <c r="N792" s="38"/>
    </row>
    <row r="793" spans="1:14" s="53" customFormat="1" ht="15.75" hidden="1" customHeight="1" x14ac:dyDescent="0.35">
      <c r="A793" s="122">
        <f t="shared" si="121"/>
        <v>4</v>
      </c>
      <c r="B793" s="123"/>
      <c r="C793" s="52">
        <v>4</v>
      </c>
      <c r="D793" s="59">
        <f>(172.4)*(10.764)</f>
        <v>1855.7136</v>
      </c>
      <c r="E793" s="54">
        <v>0</v>
      </c>
      <c r="F793" s="54">
        <f>D793*(($F$225)+1)+(IF(E793&lt;101,E793,IF(E793&lt;201,E793/2,IF(E793&lt;=301,E793/3,E793/4))))</f>
        <v>2876.35608</v>
      </c>
      <c r="G793" s="131"/>
      <c r="H793" s="132"/>
      <c r="I793" s="38"/>
      <c r="L793" s="56"/>
      <c r="M793" s="56"/>
      <c r="N793" s="38"/>
    </row>
    <row r="794" spans="1:14" s="53" customFormat="1" ht="15.75" hidden="1" customHeight="1" x14ac:dyDescent="0.35">
      <c r="A794" s="124" t="s">
        <v>220</v>
      </c>
      <c r="B794" s="125"/>
      <c r="C794" s="125"/>
      <c r="D794" s="125"/>
      <c r="E794" s="125"/>
      <c r="F794" s="125"/>
      <c r="G794" s="125"/>
      <c r="H794" s="126"/>
      <c r="J794" s="38"/>
    </row>
    <row r="795" spans="1:14" s="53" customFormat="1" ht="15.75" hidden="1" customHeight="1" x14ac:dyDescent="0.35">
      <c r="A795" s="122">
        <v>1</v>
      </c>
      <c r="B795" s="123"/>
      <c r="C795" s="52">
        <v>4</v>
      </c>
      <c r="D795" s="59">
        <f>(172.4)*(10.764)</f>
        <v>1855.7136</v>
      </c>
      <c r="E795" s="54">
        <v>0</v>
      </c>
      <c r="F795" s="54">
        <f>D795*(($F$225)+1)+(IF(E795&lt;101,E795,IF(E795&lt;201,E795/2,IF(E795&lt;=301,E795/3,E795/4))))</f>
        <v>2876.35608</v>
      </c>
      <c r="G795" s="127" t="str">
        <f>A794</f>
        <v>15th Floor (Part Refuge Area)</v>
      </c>
      <c r="H795" s="128"/>
      <c r="I795" s="38"/>
      <c r="L795" s="56"/>
      <c r="M795" s="56"/>
      <c r="N795" s="38"/>
    </row>
    <row r="796" spans="1:14" s="53" customFormat="1" ht="15.75" hidden="1" customHeight="1" x14ac:dyDescent="0.35">
      <c r="A796" s="122">
        <f t="shared" ref="A796:A798" si="122">A795+1</f>
        <v>2</v>
      </c>
      <c r="B796" s="123"/>
      <c r="C796" s="133" t="s">
        <v>202</v>
      </c>
      <c r="D796" s="134"/>
      <c r="E796" s="134"/>
      <c r="F796" s="135"/>
      <c r="G796" s="129"/>
      <c r="H796" s="130"/>
      <c r="I796" s="38"/>
      <c r="L796" s="56"/>
      <c r="M796" s="56"/>
      <c r="N796" s="38"/>
    </row>
    <row r="797" spans="1:14" s="53" customFormat="1" ht="15.75" hidden="1" customHeight="1" x14ac:dyDescent="0.35">
      <c r="A797" s="122">
        <f t="shared" si="122"/>
        <v>3</v>
      </c>
      <c r="B797" s="123"/>
      <c r="C797" s="136"/>
      <c r="D797" s="137"/>
      <c r="E797" s="137"/>
      <c r="F797" s="138"/>
      <c r="G797" s="129"/>
      <c r="H797" s="130"/>
      <c r="I797" s="38"/>
      <c r="L797" s="56"/>
      <c r="M797" s="56"/>
      <c r="N797" s="38"/>
    </row>
    <row r="798" spans="1:14" s="53" customFormat="1" ht="15.75" hidden="1" customHeight="1" x14ac:dyDescent="0.35">
      <c r="A798" s="122">
        <f t="shared" si="122"/>
        <v>4</v>
      </c>
      <c r="B798" s="123"/>
      <c r="C798" s="52">
        <v>4</v>
      </c>
      <c r="D798" s="59">
        <f>(172.4)*(10.764)</f>
        <v>1855.7136</v>
      </c>
      <c r="E798" s="54">
        <v>0</v>
      </c>
      <c r="F798" s="54">
        <f>D798*(($F$225)+1)+(IF(E798&lt;101,E798,IF(E798&lt;201,E798/2,IF(E798&lt;=301,E798/3,E798/4))))</f>
        <v>2876.35608</v>
      </c>
      <c r="G798" s="131"/>
      <c r="H798" s="132"/>
      <c r="I798" s="38"/>
      <c r="L798" s="56"/>
      <c r="M798" s="56"/>
      <c r="N798" s="38"/>
    </row>
    <row r="799" spans="1:14" s="37" customFormat="1" x14ac:dyDescent="0.35">
      <c r="A799" s="214" t="s">
        <v>71</v>
      </c>
      <c r="B799" s="214"/>
      <c r="C799" s="214"/>
      <c r="D799" s="214"/>
      <c r="E799" s="214"/>
      <c r="F799" s="214"/>
      <c r="G799" s="214"/>
      <c r="H799" s="214"/>
    </row>
    <row r="800" spans="1:14" s="37" customFormat="1" x14ac:dyDescent="0.35">
      <c r="A800" s="46" t="s">
        <v>163</v>
      </c>
      <c r="B800" s="206" t="s">
        <v>318</v>
      </c>
      <c r="C800" s="207"/>
      <c r="D800" s="207"/>
      <c r="E800" s="207"/>
      <c r="F800" s="207"/>
      <c r="G800" s="207"/>
      <c r="H800" s="208"/>
    </row>
    <row r="801" spans="1:8" s="37" customFormat="1" x14ac:dyDescent="0.35">
      <c r="A801" s="46" t="s">
        <v>163</v>
      </c>
      <c r="B801" s="206" t="str">
        <f>(IF(F224="Saleable area Loading :","We have considered Saleable area of Flats as per our Calculation.","We considered Saleable area of Flat as per Builder area Sheet."))</f>
        <v>We have considered Saleable area of Flats as per our Calculation.</v>
      </c>
      <c r="C801" s="207"/>
      <c r="D801" s="207"/>
      <c r="E801" s="207"/>
      <c r="F801" s="207"/>
      <c r="G801" s="207"/>
      <c r="H801" s="208"/>
    </row>
    <row r="802" spans="1:8" s="37" customFormat="1" x14ac:dyDescent="0.35">
      <c r="A802" s="46" t="s">
        <v>163</v>
      </c>
      <c r="B802" s="206" t="str">
        <f>(IF(F179="Saleable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802" s="207"/>
      <c r="D802" s="207"/>
      <c r="E802" s="207"/>
      <c r="F802" s="207"/>
      <c r="G802" s="207"/>
      <c r="H802" s="208"/>
    </row>
    <row r="803" spans="1:8" s="37" customFormat="1" x14ac:dyDescent="0.35">
      <c r="A803" s="46" t="s">
        <v>163</v>
      </c>
      <c r="B803" s="152" t="s">
        <v>130</v>
      </c>
      <c r="C803" s="153"/>
      <c r="D803" s="153"/>
      <c r="E803" s="153"/>
      <c r="F803" s="153"/>
      <c r="G803" s="153"/>
      <c r="H803" s="154"/>
    </row>
    <row r="804" spans="1:8" s="37" customFormat="1" x14ac:dyDescent="0.35">
      <c r="A804" s="46" t="s">
        <v>163</v>
      </c>
      <c r="B804" s="152" t="s">
        <v>226</v>
      </c>
      <c r="C804" s="153"/>
      <c r="D804" s="153"/>
      <c r="E804" s="153"/>
      <c r="F804" s="153"/>
      <c r="G804" s="153"/>
      <c r="H804" s="154"/>
    </row>
    <row r="805" spans="1:8" s="37" customFormat="1" x14ac:dyDescent="0.35">
      <c r="A805" s="46" t="s">
        <v>163</v>
      </c>
      <c r="B805" s="152" t="s">
        <v>162</v>
      </c>
      <c r="C805" s="153"/>
      <c r="D805" s="153"/>
      <c r="E805" s="153"/>
      <c r="F805" s="153"/>
      <c r="G805" s="153"/>
      <c r="H805" s="154"/>
    </row>
    <row r="806" spans="1:8" s="37" customFormat="1" x14ac:dyDescent="0.35">
      <c r="A806" s="46" t="s">
        <v>163</v>
      </c>
      <c r="B806" s="152" t="s">
        <v>131</v>
      </c>
      <c r="C806" s="153"/>
      <c r="D806" s="153"/>
      <c r="E806" s="153"/>
      <c r="F806" s="153"/>
      <c r="G806" s="153"/>
      <c r="H806" s="154"/>
    </row>
    <row r="807" spans="1:8" s="37" customFormat="1" ht="34.5" customHeight="1" x14ac:dyDescent="0.35">
      <c r="A807" s="91" t="s">
        <v>163</v>
      </c>
      <c r="B807" s="231" t="s">
        <v>164</v>
      </c>
      <c r="C807" s="231"/>
      <c r="D807" s="231"/>
      <c r="E807" s="231"/>
      <c r="F807" s="231"/>
      <c r="G807" s="231"/>
      <c r="H807" s="231"/>
    </row>
    <row r="808" spans="1:8" s="37" customFormat="1" x14ac:dyDescent="0.35">
      <c r="A808" s="91" t="s">
        <v>163</v>
      </c>
      <c r="B808" s="231" t="s">
        <v>132</v>
      </c>
      <c r="C808" s="231"/>
      <c r="D808" s="231"/>
      <c r="E808" s="231"/>
      <c r="F808" s="231"/>
      <c r="G808" s="231"/>
      <c r="H808" s="231"/>
    </row>
    <row r="809" spans="1:8" s="37" customFormat="1" x14ac:dyDescent="0.35">
      <c r="A809" s="91" t="s">
        <v>163</v>
      </c>
      <c r="B809" s="232" t="s">
        <v>307</v>
      </c>
      <c r="C809" s="232"/>
      <c r="D809" s="232"/>
      <c r="E809" s="232"/>
      <c r="F809" s="232"/>
      <c r="G809" s="232"/>
      <c r="H809" s="232"/>
    </row>
    <row r="810" spans="1:8" s="37" customFormat="1" x14ac:dyDescent="0.35">
      <c r="A810" s="91" t="s">
        <v>163</v>
      </c>
      <c r="B810" s="232" t="s">
        <v>313</v>
      </c>
      <c r="C810" s="232"/>
      <c r="D810" s="232"/>
      <c r="E810" s="232"/>
      <c r="F810" s="232"/>
      <c r="G810" s="232"/>
      <c r="H810" s="232"/>
    </row>
    <row r="811" spans="1:8" s="37" customFormat="1" ht="30" customHeight="1" x14ac:dyDescent="0.35">
      <c r="A811" s="91" t="s">
        <v>163</v>
      </c>
      <c r="B811" s="232" t="s">
        <v>314</v>
      </c>
      <c r="C811" s="232"/>
      <c r="D811" s="232"/>
      <c r="E811" s="232"/>
      <c r="F811" s="232"/>
      <c r="G811" s="232"/>
      <c r="H811" s="232"/>
    </row>
    <row r="812" spans="1:8" s="37" customFormat="1" x14ac:dyDescent="0.35">
      <c r="A812" s="91" t="s">
        <v>163</v>
      </c>
      <c r="B812" s="233" t="s">
        <v>312</v>
      </c>
      <c r="C812" s="233"/>
      <c r="D812" s="233"/>
      <c r="E812" s="233"/>
      <c r="F812" s="233"/>
      <c r="G812" s="233"/>
      <c r="H812" s="233"/>
    </row>
    <row r="813" spans="1:8" x14ac:dyDescent="0.35">
      <c r="A813" s="204" t="s">
        <v>64</v>
      </c>
      <c r="B813" s="204"/>
      <c r="C813" s="204"/>
      <c r="D813" s="204"/>
      <c r="E813" s="204"/>
      <c r="F813" s="204"/>
      <c r="G813" s="204"/>
      <c r="H813" s="204"/>
    </row>
    <row r="814" spans="1:8" x14ac:dyDescent="0.35">
      <c r="A814" s="178" t="s">
        <v>65</v>
      </c>
      <c r="B814" s="178"/>
      <c r="C814" s="178"/>
      <c r="D814" s="178"/>
      <c r="E814" s="178"/>
      <c r="F814" s="178"/>
      <c r="G814" s="178"/>
      <c r="H814" s="178"/>
    </row>
    <row r="815" spans="1:8" ht="15.75" customHeight="1" x14ac:dyDescent="0.35">
      <c r="A815" s="215" t="s">
        <v>66</v>
      </c>
      <c r="B815" s="215"/>
      <c r="C815" s="215"/>
      <c r="D815" s="215"/>
      <c r="E815" s="215"/>
      <c r="F815" s="215"/>
      <c r="G815" s="215"/>
      <c r="H815" s="215"/>
    </row>
    <row r="816" spans="1:8" x14ac:dyDescent="0.35">
      <c r="A816" s="178" t="s">
        <v>67</v>
      </c>
      <c r="B816" s="178"/>
      <c r="C816" s="178"/>
      <c r="D816" s="178"/>
      <c r="E816" s="178"/>
      <c r="F816" s="178"/>
      <c r="G816" s="178"/>
      <c r="H816" s="178"/>
    </row>
    <row r="817" spans="1:8" x14ac:dyDescent="0.35">
      <c r="A817" s="178" t="s">
        <v>68</v>
      </c>
      <c r="B817" s="178"/>
      <c r="C817" s="178"/>
      <c r="D817" s="178"/>
      <c r="E817" s="178"/>
      <c r="F817" s="178"/>
      <c r="G817" s="178"/>
      <c r="H817" s="178"/>
    </row>
    <row r="818" spans="1:8" x14ac:dyDescent="0.35">
      <c r="A818" s="178" t="s">
        <v>133</v>
      </c>
      <c r="B818" s="178"/>
      <c r="C818" s="178"/>
      <c r="D818" s="178"/>
      <c r="E818" s="178"/>
      <c r="F818" s="178"/>
      <c r="G818" s="178"/>
      <c r="H818" s="178"/>
    </row>
    <row r="819" spans="1:8" x14ac:dyDescent="0.35">
      <c r="A819" s="180" t="s">
        <v>134</v>
      </c>
      <c r="B819" s="180"/>
      <c r="C819" s="180"/>
      <c r="D819" s="180"/>
      <c r="E819" s="180"/>
      <c r="F819" s="180"/>
      <c r="G819" s="180"/>
      <c r="H819" s="180"/>
    </row>
    <row r="820" spans="1:8" x14ac:dyDescent="0.35">
      <c r="A820" s="213" t="s">
        <v>81</v>
      </c>
      <c r="B820" s="213"/>
      <c r="C820" s="213" t="s">
        <v>308</v>
      </c>
      <c r="D820" s="213"/>
      <c r="E820" s="213" t="s">
        <v>110</v>
      </c>
      <c r="F820" s="213"/>
      <c r="G820" s="213" t="s">
        <v>323</v>
      </c>
      <c r="H820" s="213"/>
    </row>
    <row r="821" spans="1:8" x14ac:dyDescent="0.35">
      <c r="A821" s="212" t="s">
        <v>83</v>
      </c>
      <c r="B821" s="212"/>
      <c r="C821" s="212"/>
      <c r="D821" s="212"/>
      <c r="E821" s="212"/>
      <c r="F821" s="212"/>
      <c r="G821" s="212"/>
      <c r="H821" s="212"/>
    </row>
    <row r="822" spans="1:8" x14ac:dyDescent="0.35">
      <c r="A822" s="212"/>
      <c r="B822" s="212"/>
      <c r="C822" s="212"/>
      <c r="D822" s="212"/>
      <c r="E822" s="212"/>
      <c r="F822" s="212"/>
      <c r="G822" s="212"/>
      <c r="H822" s="212"/>
    </row>
    <row r="823" spans="1:8" x14ac:dyDescent="0.35">
      <c r="A823" s="212"/>
      <c r="B823" s="212"/>
      <c r="C823" s="212"/>
      <c r="D823" s="212"/>
      <c r="E823" s="212"/>
      <c r="F823" s="212"/>
      <c r="G823" s="212"/>
      <c r="H823" s="212"/>
    </row>
    <row r="824" spans="1:8" x14ac:dyDescent="0.35">
      <c r="A824" s="212"/>
      <c r="B824" s="212"/>
      <c r="C824" s="212"/>
      <c r="D824" s="212"/>
      <c r="E824" s="212"/>
      <c r="F824" s="212"/>
      <c r="G824" s="212"/>
      <c r="H824" s="212"/>
    </row>
    <row r="825" spans="1:8" x14ac:dyDescent="0.35">
      <c r="A825" s="40" t="s">
        <v>69</v>
      </c>
      <c r="B825" s="41"/>
      <c r="C825" s="41"/>
      <c r="D825" s="40" t="str">
        <f>E9</f>
        <v>Linkbay Residences Phase I</v>
      </c>
      <c r="F825" s="41"/>
      <c r="G825" s="41"/>
      <c r="H825" s="41"/>
    </row>
    <row r="826" spans="1:8" x14ac:dyDescent="0.35">
      <c r="A826" s="41"/>
      <c r="B826" s="41"/>
      <c r="C826" s="41"/>
      <c r="D826" s="41"/>
      <c r="E826" s="41"/>
      <c r="F826" s="41"/>
      <c r="G826" s="41"/>
      <c r="H826" s="41"/>
    </row>
    <row r="827" spans="1:8" x14ac:dyDescent="0.35">
      <c r="A827" s="41"/>
      <c r="B827" s="41"/>
      <c r="C827" s="41"/>
      <c r="D827" s="41"/>
      <c r="E827" s="41"/>
      <c r="F827" s="41"/>
      <c r="G827" s="41"/>
      <c r="H827" s="41"/>
    </row>
    <row r="828" spans="1:8" ht="15" customHeight="1" x14ac:dyDescent="0.35"/>
    <row r="869" spans="1:1" x14ac:dyDescent="0.35">
      <c r="A869" s="43" t="s">
        <v>173</v>
      </c>
    </row>
    <row r="906" hidden="1" x14ac:dyDescent="0.35"/>
    <row r="907" hidden="1" x14ac:dyDescent="0.35"/>
    <row r="908" hidden="1" x14ac:dyDescent="0.35"/>
    <row r="909" hidden="1" x14ac:dyDescent="0.35"/>
    <row r="910" hidden="1" x14ac:dyDescent="0.35"/>
    <row r="911" hidden="1" x14ac:dyDescent="0.35"/>
    <row r="912" hidden="1" x14ac:dyDescent="0.35"/>
    <row r="913" spans="1:1" x14ac:dyDescent="0.35">
      <c r="A913" s="43" t="s">
        <v>70</v>
      </c>
    </row>
  </sheetData>
  <mergeCells count="1175">
    <mergeCell ref="A117:B117"/>
    <mergeCell ref="C117:H117"/>
    <mergeCell ref="A119:B119"/>
    <mergeCell ref="C119:H119"/>
    <mergeCell ref="A120:B120"/>
    <mergeCell ref="E120:F120"/>
    <mergeCell ref="G120:H120"/>
    <mergeCell ref="A121:B121"/>
    <mergeCell ref="E121:F130"/>
    <mergeCell ref="G121:H130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B810:H810"/>
    <mergeCell ref="B811:H811"/>
    <mergeCell ref="D67:H67"/>
    <mergeCell ref="A64:C67"/>
    <mergeCell ref="C34:E34"/>
    <mergeCell ref="C35:E35"/>
    <mergeCell ref="B809:H809"/>
    <mergeCell ref="A634:H634"/>
    <mergeCell ref="A635:B635"/>
    <mergeCell ref="G635:H638"/>
    <mergeCell ref="A636:B636"/>
    <mergeCell ref="A637:B637"/>
    <mergeCell ref="A638:B638"/>
    <mergeCell ref="A668:B668"/>
    <mergeCell ref="C668:F668"/>
    <mergeCell ref="C174:D174"/>
    <mergeCell ref="E174:F174"/>
    <mergeCell ref="G174:H174"/>
    <mergeCell ref="A619:H619"/>
    <mergeCell ref="A620:B620"/>
    <mergeCell ref="G620:H623"/>
    <mergeCell ref="A621:B621"/>
    <mergeCell ref="A622:B622"/>
    <mergeCell ref="A623:B623"/>
    <mergeCell ref="A728:H728"/>
    <mergeCell ref="A729:B729"/>
    <mergeCell ref="G729:H732"/>
    <mergeCell ref="A730:B730"/>
    <mergeCell ref="C730:F731"/>
    <mergeCell ref="A731:B731"/>
    <mergeCell ref="A732:B732"/>
    <mergeCell ref="A546:H546"/>
    <mergeCell ref="A548:B548"/>
    <mergeCell ref="A549:B549"/>
    <mergeCell ref="A550:B550"/>
    <mergeCell ref="C547:F547"/>
    <mergeCell ref="A566:H566"/>
    <mergeCell ref="A567:B567"/>
    <mergeCell ref="G567:H570"/>
    <mergeCell ref="A568:B568"/>
    <mergeCell ref="A569:B569"/>
    <mergeCell ref="A570:B570"/>
    <mergeCell ref="A380:B380"/>
    <mergeCell ref="A733:H733"/>
    <mergeCell ref="A734:B734"/>
    <mergeCell ref="G734:H737"/>
    <mergeCell ref="A735:B735"/>
    <mergeCell ref="C735:F736"/>
    <mergeCell ref="A736:B736"/>
    <mergeCell ref="A737:B737"/>
    <mergeCell ref="A703:H703"/>
    <mergeCell ref="A704:B704"/>
    <mergeCell ref="G704:H707"/>
    <mergeCell ref="A705:B705"/>
    <mergeCell ref="A706:B706"/>
    <mergeCell ref="A707:B707"/>
    <mergeCell ref="A718:H718"/>
    <mergeCell ref="A719:B719"/>
    <mergeCell ref="G719:H722"/>
    <mergeCell ref="A720:B720"/>
    <mergeCell ref="A721:B721"/>
    <mergeCell ref="A722:B722"/>
    <mergeCell ref="C717:F717"/>
    <mergeCell ref="C722:F722"/>
    <mergeCell ref="A723:H723"/>
    <mergeCell ref="A724:B724"/>
    <mergeCell ref="G724:H727"/>
    <mergeCell ref="A725:B725"/>
    <mergeCell ref="A726:B726"/>
    <mergeCell ref="A727:B727"/>
    <mergeCell ref="L200:M200"/>
    <mergeCell ref="A201:B201"/>
    <mergeCell ref="A202:B202"/>
    <mergeCell ref="C259:F259"/>
    <mergeCell ref="G259:H262"/>
    <mergeCell ref="A260:B260"/>
    <mergeCell ref="A261:B261"/>
    <mergeCell ref="A262:B262"/>
    <mergeCell ref="C262:F262"/>
    <mergeCell ref="A294:H294"/>
    <mergeCell ref="A295:B295"/>
    <mergeCell ref="G295:H298"/>
    <mergeCell ref="A296:B296"/>
    <mergeCell ref="A297:B297"/>
    <mergeCell ref="A298:B298"/>
    <mergeCell ref="A263:H263"/>
    <mergeCell ref="A264:B264"/>
    <mergeCell ref="L205:M205"/>
    <mergeCell ref="A223:H223"/>
    <mergeCell ref="A218:B218"/>
    <mergeCell ref="A200:B200"/>
    <mergeCell ref="A204:B204"/>
    <mergeCell ref="A209:B209"/>
    <mergeCell ref="A234:B234"/>
    <mergeCell ref="A25:D25"/>
    <mergeCell ref="E25:H25"/>
    <mergeCell ref="A29:D29"/>
    <mergeCell ref="E29:H29"/>
    <mergeCell ref="A26:D26"/>
    <mergeCell ref="A35:B35"/>
    <mergeCell ref="C36:E36"/>
    <mergeCell ref="A30:D30"/>
    <mergeCell ref="E30:H30"/>
    <mergeCell ref="A31:D31"/>
    <mergeCell ref="A348:H348"/>
    <mergeCell ref="A349:B349"/>
    <mergeCell ref="G349:H352"/>
    <mergeCell ref="A350:B350"/>
    <mergeCell ref="A351:B351"/>
    <mergeCell ref="A352:B352"/>
    <mergeCell ref="C349:F349"/>
    <mergeCell ref="A304:H304"/>
    <mergeCell ref="A305:B305"/>
    <mergeCell ref="G305:H308"/>
    <mergeCell ref="A306:B306"/>
    <mergeCell ref="A307:B307"/>
    <mergeCell ref="A308:B308"/>
    <mergeCell ref="A244:B244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198:B198"/>
    <mergeCell ref="A17:B17"/>
    <mergeCell ref="C17:H17"/>
    <mergeCell ref="E42:H42"/>
    <mergeCell ref="A42:D42"/>
    <mergeCell ref="A49:B49"/>
    <mergeCell ref="C49:E49"/>
    <mergeCell ref="G51:H51"/>
    <mergeCell ref="D61:H61"/>
    <mergeCell ref="C51:E51"/>
    <mergeCell ref="D64:H64"/>
    <mergeCell ref="C50:E50"/>
    <mergeCell ref="A59:B59"/>
    <mergeCell ref="C59:E59"/>
    <mergeCell ref="A50:B50"/>
    <mergeCell ref="A60:H60"/>
    <mergeCell ref="A61:C61"/>
    <mergeCell ref="A62:C62"/>
    <mergeCell ref="D62:H62"/>
    <mergeCell ref="G59:H59"/>
    <mergeCell ref="E26:H26"/>
    <mergeCell ref="A28:D28"/>
    <mergeCell ref="A172:B172"/>
    <mergeCell ref="C172:D172"/>
    <mergeCell ref="E172:F172"/>
    <mergeCell ref="G172:H172"/>
    <mergeCell ref="A173:B173"/>
    <mergeCell ref="A177:H177"/>
    <mergeCell ref="A175:B175"/>
    <mergeCell ref="A161:H161"/>
    <mergeCell ref="A159:E159"/>
    <mergeCell ref="F159:H159"/>
    <mergeCell ref="G234:H237"/>
    <mergeCell ref="A235:B235"/>
    <mergeCell ref="A236:B236"/>
    <mergeCell ref="A237:B237"/>
    <mergeCell ref="A205:B205"/>
    <mergeCell ref="A206:B206"/>
    <mergeCell ref="A230:B230"/>
    <mergeCell ref="G209:H218"/>
    <mergeCell ref="A818:H818"/>
    <mergeCell ref="A815:H815"/>
    <mergeCell ref="A761:B761"/>
    <mergeCell ref="A169:B169"/>
    <mergeCell ref="D224:D225"/>
    <mergeCell ref="E224:E225"/>
    <mergeCell ref="G224:H225"/>
    <mergeCell ref="A780:B780"/>
    <mergeCell ref="A783:B783"/>
    <mergeCell ref="A782:B782"/>
    <mergeCell ref="B800:H800"/>
    <mergeCell ref="G171:H171"/>
    <mergeCell ref="C169:D169"/>
    <mergeCell ref="G169:H169"/>
    <mergeCell ref="C173:D173"/>
    <mergeCell ref="E173:F173"/>
    <mergeCell ref="G173:H173"/>
    <mergeCell ref="A174:B174"/>
    <mergeCell ref="C175:D175"/>
    <mergeCell ref="E175:F175"/>
    <mergeCell ref="G175:H175"/>
    <mergeCell ref="A233:H233"/>
    <mergeCell ref="B179:B180"/>
    <mergeCell ref="A179:A180"/>
    <mergeCell ref="B801:H801"/>
    <mergeCell ref="A768:B768"/>
    <mergeCell ref="A178:H178"/>
    <mergeCell ref="A770:B770"/>
    <mergeCell ref="A767:B767"/>
    <mergeCell ref="A755:H755"/>
    <mergeCell ref="A232:B232"/>
    <mergeCell ref="A238:H238"/>
    <mergeCell ref="A199:B199"/>
    <mergeCell ref="A778:H778"/>
    <mergeCell ref="A779:B779"/>
    <mergeCell ref="A197:B197"/>
    <mergeCell ref="A226:H226"/>
    <mergeCell ref="G188:H206"/>
    <mergeCell ref="A821:H824"/>
    <mergeCell ref="A820:B820"/>
    <mergeCell ref="E820:F820"/>
    <mergeCell ref="C820:D820"/>
    <mergeCell ref="G820:H820"/>
    <mergeCell ref="A227:H227"/>
    <mergeCell ref="G264:H267"/>
    <mergeCell ref="A265:B265"/>
    <mergeCell ref="A266:B266"/>
    <mergeCell ref="A267:B267"/>
    <mergeCell ref="C264:F264"/>
    <mergeCell ref="C267:F267"/>
    <mergeCell ref="B803:H803"/>
    <mergeCell ref="B804:H804"/>
    <mergeCell ref="A799:H799"/>
    <mergeCell ref="A776:B776"/>
    <mergeCell ref="A777:B777"/>
    <mergeCell ref="C179:C180"/>
    <mergeCell ref="A160:E160"/>
    <mergeCell ref="F160:H160"/>
    <mergeCell ref="A760:H760"/>
    <mergeCell ref="A170:B170"/>
    <mergeCell ref="A769:B769"/>
    <mergeCell ref="A163:B163"/>
    <mergeCell ref="A816:H816"/>
    <mergeCell ref="A168:H168"/>
    <mergeCell ref="A819:H819"/>
    <mergeCell ref="A817:H817"/>
    <mergeCell ref="A813:H813"/>
    <mergeCell ref="A814:H814"/>
    <mergeCell ref="E169:F169"/>
    <mergeCell ref="B808:H808"/>
    <mergeCell ref="B806:H806"/>
    <mergeCell ref="B802:H802"/>
    <mergeCell ref="C176:D176"/>
    <mergeCell ref="A774:B774"/>
    <mergeCell ref="E163:F163"/>
    <mergeCell ref="E162:F162"/>
    <mergeCell ref="A162:B162"/>
    <mergeCell ref="A164:B164"/>
    <mergeCell ref="E164:F164"/>
    <mergeCell ref="G164:H164"/>
    <mergeCell ref="A167:B167"/>
    <mergeCell ref="C167:D167"/>
    <mergeCell ref="E167:F167"/>
    <mergeCell ref="A165:B165"/>
    <mergeCell ref="C165:D165"/>
    <mergeCell ref="E165:F165"/>
    <mergeCell ref="G165:H165"/>
    <mergeCell ref="A166:B166"/>
    <mergeCell ref="G21:H21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G55:H55"/>
    <mergeCell ref="A16:B16"/>
    <mergeCell ref="A13:D13"/>
    <mergeCell ref="E13:H13"/>
    <mergeCell ref="A14:D14"/>
    <mergeCell ref="A11:D11"/>
    <mergeCell ref="E11:H11"/>
    <mergeCell ref="A8:D8"/>
    <mergeCell ref="E8:H8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E31:H31"/>
    <mergeCell ref="A27:D27"/>
    <mergeCell ref="E27:H27"/>
    <mergeCell ref="C32:E32"/>
    <mergeCell ref="F35:H35"/>
    <mergeCell ref="F32:H32"/>
    <mergeCell ref="A33:B33"/>
    <mergeCell ref="A32:B32"/>
    <mergeCell ref="A34:B34"/>
    <mergeCell ref="C33:E33"/>
    <mergeCell ref="A37:H37"/>
    <mergeCell ref="A36:B36"/>
    <mergeCell ref="A41:D41"/>
    <mergeCell ref="E41:H41"/>
    <mergeCell ref="F33:H33"/>
    <mergeCell ref="F34:H34"/>
    <mergeCell ref="A40:H40"/>
    <mergeCell ref="E28:H28"/>
    <mergeCell ref="F36:H36"/>
    <mergeCell ref="A38:B38"/>
    <mergeCell ref="E38:F38"/>
    <mergeCell ref="C38:D38"/>
    <mergeCell ref="G38:H38"/>
    <mergeCell ref="A39:B39"/>
    <mergeCell ref="C39:H39"/>
    <mergeCell ref="A45:D45"/>
    <mergeCell ref="A46:D46"/>
    <mergeCell ref="A47:H47"/>
    <mergeCell ref="D63:H63"/>
    <mergeCell ref="A63:C63"/>
    <mergeCell ref="G50:H50"/>
    <mergeCell ref="A51:B51"/>
    <mergeCell ref="G49:H49"/>
    <mergeCell ref="A43:D43"/>
    <mergeCell ref="E43:H43"/>
    <mergeCell ref="E44:H44"/>
    <mergeCell ref="E45:H45"/>
    <mergeCell ref="E46:H46"/>
    <mergeCell ref="A44:D44"/>
    <mergeCell ref="C58:E58"/>
    <mergeCell ref="G58:H58"/>
    <mergeCell ref="A52:B52"/>
    <mergeCell ref="A53:B53"/>
    <mergeCell ref="C53:E53"/>
    <mergeCell ref="G53:H53"/>
    <mergeCell ref="A54:B54"/>
    <mergeCell ref="C54:E54"/>
    <mergeCell ref="G54:H54"/>
    <mergeCell ref="A55:B55"/>
    <mergeCell ref="C55:E55"/>
    <mergeCell ref="A56:B56"/>
    <mergeCell ref="C56:E56"/>
    <mergeCell ref="G56:H56"/>
    <mergeCell ref="A57:B57"/>
    <mergeCell ref="C57:E57"/>
    <mergeCell ref="G57:H57"/>
    <mergeCell ref="A58:B58"/>
    <mergeCell ref="A69:C69"/>
    <mergeCell ref="D68:H68"/>
    <mergeCell ref="D69:H69"/>
    <mergeCell ref="D72:H72"/>
    <mergeCell ref="A73:C73"/>
    <mergeCell ref="D73:H73"/>
    <mergeCell ref="F148:H148"/>
    <mergeCell ref="A154:E154"/>
    <mergeCell ref="A148:E148"/>
    <mergeCell ref="A145:E145"/>
    <mergeCell ref="F150:H150"/>
    <mergeCell ref="A70:C70"/>
    <mergeCell ref="D70:H70"/>
    <mergeCell ref="A71:C71"/>
    <mergeCell ref="D71:H71"/>
    <mergeCell ref="A74:C74"/>
    <mergeCell ref="D74:H74"/>
    <mergeCell ref="A72:C72"/>
    <mergeCell ref="A68:C68"/>
    <mergeCell ref="F154:H154"/>
    <mergeCell ref="A152:E152"/>
    <mergeCell ref="F152:H152"/>
    <mergeCell ref="A149:E149"/>
    <mergeCell ref="F149:H149"/>
    <mergeCell ref="A103:B103"/>
    <mergeCell ref="C103:H103"/>
    <mergeCell ref="A105:B105"/>
    <mergeCell ref="C105:H105"/>
    <mergeCell ref="A106:B106"/>
    <mergeCell ref="E106:F106"/>
    <mergeCell ref="G106:H106"/>
    <mergeCell ref="A107:B107"/>
    <mergeCell ref="C166:D166"/>
    <mergeCell ref="E166:F166"/>
    <mergeCell ref="G166:H166"/>
    <mergeCell ref="F155:H155"/>
    <mergeCell ref="C162:D162"/>
    <mergeCell ref="F158:H158"/>
    <mergeCell ref="F156:H156"/>
    <mergeCell ref="L197:M197"/>
    <mergeCell ref="A231:B231"/>
    <mergeCell ref="C170:D170"/>
    <mergeCell ref="E170:F170"/>
    <mergeCell ref="G170:H170"/>
    <mergeCell ref="A146:E146"/>
    <mergeCell ref="A187:H187"/>
    <mergeCell ref="E179:E180"/>
    <mergeCell ref="G179:H180"/>
    <mergeCell ref="F145:H145"/>
    <mergeCell ref="F151:H151"/>
    <mergeCell ref="A176:B176"/>
    <mergeCell ref="E176:F176"/>
    <mergeCell ref="A171:B171"/>
    <mergeCell ref="C171:D171"/>
    <mergeCell ref="E171:F171"/>
    <mergeCell ref="G162:H162"/>
    <mergeCell ref="A157:E157"/>
    <mergeCell ref="C163:D163"/>
    <mergeCell ref="A156:E156"/>
    <mergeCell ref="L215:M215"/>
    <mergeCell ref="L216:M216"/>
    <mergeCell ref="L188:M188"/>
    <mergeCell ref="A196:B196"/>
    <mergeCell ref="L195:M195"/>
    <mergeCell ref="L191:M191"/>
    <mergeCell ref="L190:M190"/>
    <mergeCell ref="L189:M189"/>
    <mergeCell ref="F157:H157"/>
    <mergeCell ref="G167:H167"/>
    <mergeCell ref="F146:H146"/>
    <mergeCell ref="G163:H163"/>
    <mergeCell ref="A224:A225"/>
    <mergeCell ref="A765:B765"/>
    <mergeCell ref="A762:B762"/>
    <mergeCell ref="A763:B763"/>
    <mergeCell ref="A764:B764"/>
    <mergeCell ref="L204:M204"/>
    <mergeCell ref="L201:M201"/>
    <mergeCell ref="A757:B757"/>
    <mergeCell ref="L202:M202"/>
    <mergeCell ref="A758:B758"/>
    <mergeCell ref="L203:M203"/>
    <mergeCell ref="A229:B229"/>
    <mergeCell ref="G229:H232"/>
    <mergeCell ref="L196:M196"/>
    <mergeCell ref="L217:M217"/>
    <mergeCell ref="L218:M218"/>
    <mergeCell ref="L206:M206"/>
    <mergeCell ref="L209:M209"/>
    <mergeCell ref="L210:M210"/>
    <mergeCell ref="L211:M211"/>
    <mergeCell ref="L212:M212"/>
    <mergeCell ref="L213:M213"/>
    <mergeCell ref="L214:M214"/>
    <mergeCell ref="L198:M198"/>
    <mergeCell ref="L199:M199"/>
    <mergeCell ref="B224:B225"/>
    <mergeCell ref="A772:H772"/>
    <mergeCell ref="A766:H766"/>
    <mergeCell ref="A759:B759"/>
    <mergeCell ref="A756:B756"/>
    <mergeCell ref="G756:H759"/>
    <mergeCell ref="G761:H765"/>
    <mergeCell ref="G767:H771"/>
    <mergeCell ref="G773:H777"/>
    <mergeCell ref="G779:H783"/>
    <mergeCell ref="A773:B773"/>
    <mergeCell ref="A239:B239"/>
    <mergeCell ref="G239:H242"/>
    <mergeCell ref="A240:B240"/>
    <mergeCell ref="A241:B241"/>
    <mergeCell ref="A242:B242"/>
    <mergeCell ref="A243:H243"/>
    <mergeCell ref="A247:B247"/>
    <mergeCell ref="A248:H248"/>
    <mergeCell ref="A249:B249"/>
    <mergeCell ref="G249:H252"/>
    <mergeCell ref="A250:B250"/>
    <mergeCell ref="A251:B251"/>
    <mergeCell ref="A252:B252"/>
    <mergeCell ref="A253:H253"/>
    <mergeCell ref="A254:B254"/>
    <mergeCell ref="A268:H268"/>
    <mergeCell ref="A269:B269"/>
    <mergeCell ref="G269:H272"/>
    <mergeCell ref="A270:B270"/>
    <mergeCell ref="A271:B271"/>
    <mergeCell ref="A272:B272"/>
    <mergeCell ref="A203:B203"/>
    <mergeCell ref="C224:C225"/>
    <mergeCell ref="A208:H208"/>
    <mergeCell ref="G254:H257"/>
    <mergeCell ref="A255:B255"/>
    <mergeCell ref="A256:B256"/>
    <mergeCell ref="A257:B257"/>
    <mergeCell ref="A258:H258"/>
    <mergeCell ref="A259:B259"/>
    <mergeCell ref="B807:H807"/>
    <mergeCell ref="A48:B48"/>
    <mergeCell ref="C48:H48"/>
    <mergeCell ref="B805:H805"/>
    <mergeCell ref="F147:H147"/>
    <mergeCell ref="A147:E147"/>
    <mergeCell ref="D179:D180"/>
    <mergeCell ref="A150:E150"/>
    <mergeCell ref="A188:B188"/>
    <mergeCell ref="A189:B189"/>
    <mergeCell ref="A190:B190"/>
    <mergeCell ref="A191:B191"/>
    <mergeCell ref="A151:E151"/>
    <mergeCell ref="A158:E158"/>
    <mergeCell ref="G176:H176"/>
    <mergeCell ref="C164:D164"/>
    <mergeCell ref="C52:H52"/>
    <mergeCell ref="A228:H228"/>
    <mergeCell ref="A153:E153"/>
    <mergeCell ref="F153:H153"/>
    <mergeCell ref="G244:H247"/>
    <mergeCell ref="A245:B245"/>
    <mergeCell ref="A246:B246"/>
    <mergeCell ref="A273:H273"/>
    <mergeCell ref="A274:B274"/>
    <mergeCell ref="G274:H277"/>
    <mergeCell ref="A275:B275"/>
    <mergeCell ref="A276:B276"/>
    <mergeCell ref="A277:B277"/>
    <mergeCell ref="C275:F276"/>
    <mergeCell ref="A278:H278"/>
    <mergeCell ref="A279:B279"/>
    <mergeCell ref="G279:H282"/>
    <mergeCell ref="A280:B280"/>
    <mergeCell ref="A281:B281"/>
    <mergeCell ref="A282:B282"/>
    <mergeCell ref="A288:H288"/>
    <mergeCell ref="A289:B289"/>
    <mergeCell ref="G289:H293"/>
    <mergeCell ref="A290:B290"/>
    <mergeCell ref="A291:B291"/>
    <mergeCell ref="A293:B293"/>
    <mergeCell ref="A292:B292"/>
    <mergeCell ref="C292:F292"/>
    <mergeCell ref="A299:H299"/>
    <mergeCell ref="A300:B300"/>
    <mergeCell ref="G300:H303"/>
    <mergeCell ref="A301:B301"/>
    <mergeCell ref="A302:B302"/>
    <mergeCell ref="A303:B303"/>
    <mergeCell ref="A283:H283"/>
    <mergeCell ref="A284:B284"/>
    <mergeCell ref="G284:H287"/>
    <mergeCell ref="A285:B285"/>
    <mergeCell ref="A286:B286"/>
    <mergeCell ref="A287:B287"/>
    <mergeCell ref="A309:H309"/>
    <mergeCell ref="A310:H310"/>
    <mergeCell ref="A313:H313"/>
    <mergeCell ref="A314:B314"/>
    <mergeCell ref="G314:H317"/>
    <mergeCell ref="A315:B315"/>
    <mergeCell ref="A316:B316"/>
    <mergeCell ref="A317:B317"/>
    <mergeCell ref="A318:H318"/>
    <mergeCell ref="A319:B319"/>
    <mergeCell ref="G319:H322"/>
    <mergeCell ref="A320:B320"/>
    <mergeCell ref="A321:B321"/>
    <mergeCell ref="A322:B322"/>
    <mergeCell ref="A323:H323"/>
    <mergeCell ref="A324:B324"/>
    <mergeCell ref="G324:H327"/>
    <mergeCell ref="A325:B325"/>
    <mergeCell ref="A326:B326"/>
    <mergeCell ref="A327:B327"/>
    <mergeCell ref="A328:H328"/>
    <mergeCell ref="A329:B329"/>
    <mergeCell ref="G329:H332"/>
    <mergeCell ref="A330:B330"/>
    <mergeCell ref="A331:B331"/>
    <mergeCell ref="A332:B332"/>
    <mergeCell ref="A333:H333"/>
    <mergeCell ref="A334:B334"/>
    <mergeCell ref="G334:H337"/>
    <mergeCell ref="A335:B335"/>
    <mergeCell ref="A336:B336"/>
    <mergeCell ref="A337:B337"/>
    <mergeCell ref="A338:H338"/>
    <mergeCell ref="A339:B339"/>
    <mergeCell ref="G339:H342"/>
    <mergeCell ref="A340:B340"/>
    <mergeCell ref="A341:B341"/>
    <mergeCell ref="A342:B342"/>
    <mergeCell ref="A343:H343"/>
    <mergeCell ref="A344:B344"/>
    <mergeCell ref="C344:F344"/>
    <mergeCell ref="G344:H347"/>
    <mergeCell ref="A345:B345"/>
    <mergeCell ref="A346:B346"/>
    <mergeCell ref="A347:B347"/>
    <mergeCell ref="A353:H353"/>
    <mergeCell ref="A354:B354"/>
    <mergeCell ref="G354:H357"/>
    <mergeCell ref="A355:B355"/>
    <mergeCell ref="A356:B356"/>
    <mergeCell ref="A357:B357"/>
    <mergeCell ref="A358:H358"/>
    <mergeCell ref="A359:B359"/>
    <mergeCell ref="G359:H362"/>
    <mergeCell ref="A360:B360"/>
    <mergeCell ref="C360:F361"/>
    <mergeCell ref="A361:B361"/>
    <mergeCell ref="A362:B362"/>
    <mergeCell ref="A363:H363"/>
    <mergeCell ref="A364:B364"/>
    <mergeCell ref="G364:H367"/>
    <mergeCell ref="A365:B365"/>
    <mergeCell ref="A366:B366"/>
    <mergeCell ref="A367:B367"/>
    <mergeCell ref="A393:B393"/>
    <mergeCell ref="A383:H383"/>
    <mergeCell ref="A394:H394"/>
    <mergeCell ref="A397:H397"/>
    <mergeCell ref="A373:H373"/>
    <mergeCell ref="A374:B374"/>
    <mergeCell ref="G374:H377"/>
    <mergeCell ref="A375:B375"/>
    <mergeCell ref="A376:B376"/>
    <mergeCell ref="A377:B377"/>
    <mergeCell ref="A368:H368"/>
    <mergeCell ref="A369:B369"/>
    <mergeCell ref="G369:H372"/>
    <mergeCell ref="A370:B370"/>
    <mergeCell ref="A371:B371"/>
    <mergeCell ref="A372:B372"/>
    <mergeCell ref="A378:H378"/>
    <mergeCell ref="A379:B379"/>
    <mergeCell ref="G379:H382"/>
    <mergeCell ref="A381:B381"/>
    <mergeCell ref="A382:B382"/>
    <mergeCell ref="A384:H384"/>
    <mergeCell ref="A385:B385"/>
    <mergeCell ref="G385:H388"/>
    <mergeCell ref="A386:B386"/>
    <mergeCell ref="A387:B387"/>
    <mergeCell ref="A388:B388"/>
    <mergeCell ref="A403:B403"/>
    <mergeCell ref="G398:H403"/>
    <mergeCell ref="A404:H404"/>
    <mergeCell ref="A405:B405"/>
    <mergeCell ref="G405:H410"/>
    <mergeCell ref="A406:B406"/>
    <mergeCell ref="A407:B407"/>
    <mergeCell ref="A408:B408"/>
    <mergeCell ref="A409:B409"/>
    <mergeCell ref="A410:B410"/>
    <mergeCell ref="A398:B398"/>
    <mergeCell ref="A399:B399"/>
    <mergeCell ref="A400:B400"/>
    <mergeCell ref="A401:B401"/>
    <mergeCell ref="A402:B402"/>
    <mergeCell ref="A411:H411"/>
    <mergeCell ref="A412:B412"/>
    <mergeCell ref="G412:H417"/>
    <mergeCell ref="A413:B413"/>
    <mergeCell ref="A414:B414"/>
    <mergeCell ref="A415:B415"/>
    <mergeCell ref="A416:B416"/>
    <mergeCell ref="A417:B417"/>
    <mergeCell ref="A418:H418"/>
    <mergeCell ref="A419:B419"/>
    <mergeCell ref="G419:H424"/>
    <mergeCell ref="A420:B420"/>
    <mergeCell ref="A421:B421"/>
    <mergeCell ref="A422:B422"/>
    <mergeCell ref="A423:B423"/>
    <mergeCell ref="A424:B424"/>
    <mergeCell ref="A425:H425"/>
    <mergeCell ref="A426:B426"/>
    <mergeCell ref="G426:H431"/>
    <mergeCell ref="A427:B427"/>
    <mergeCell ref="A428:B428"/>
    <mergeCell ref="A429:B429"/>
    <mergeCell ref="A430:B430"/>
    <mergeCell ref="A431:B431"/>
    <mergeCell ref="A432:H432"/>
    <mergeCell ref="A433:B433"/>
    <mergeCell ref="G433:H438"/>
    <mergeCell ref="A434:B434"/>
    <mergeCell ref="A435:B435"/>
    <mergeCell ref="A436:B436"/>
    <mergeCell ref="A437:B437"/>
    <mergeCell ref="A438:B438"/>
    <mergeCell ref="A439:H439"/>
    <mergeCell ref="A440:B440"/>
    <mergeCell ref="G440:H445"/>
    <mergeCell ref="A441:B441"/>
    <mergeCell ref="A442:B442"/>
    <mergeCell ref="A443:B443"/>
    <mergeCell ref="A444:B444"/>
    <mergeCell ref="A445:B445"/>
    <mergeCell ref="A446:H446"/>
    <mergeCell ref="C442:F443"/>
    <mergeCell ref="A488:H488"/>
    <mergeCell ref="A489:B489"/>
    <mergeCell ref="G489:H494"/>
    <mergeCell ref="A490:B490"/>
    <mergeCell ref="A491:B491"/>
    <mergeCell ref="A492:B492"/>
    <mergeCell ref="A447:B447"/>
    <mergeCell ref="G447:H452"/>
    <mergeCell ref="A448:B448"/>
    <mergeCell ref="A449:B449"/>
    <mergeCell ref="A450:B450"/>
    <mergeCell ref="A451:B451"/>
    <mergeCell ref="A452:B452"/>
    <mergeCell ref="A460:H460"/>
    <mergeCell ref="A461:B461"/>
    <mergeCell ref="G461:H466"/>
    <mergeCell ref="A462:B462"/>
    <mergeCell ref="A463:B463"/>
    <mergeCell ref="A464:B464"/>
    <mergeCell ref="A465:B465"/>
    <mergeCell ref="A466:B466"/>
    <mergeCell ref="A453:H453"/>
    <mergeCell ref="A454:B454"/>
    <mergeCell ref="G454:H459"/>
    <mergeCell ref="A455:B455"/>
    <mergeCell ref="A456:B456"/>
    <mergeCell ref="A457:B457"/>
    <mergeCell ref="A458:B458"/>
    <mergeCell ref="A459:B459"/>
    <mergeCell ref="A467:H467"/>
    <mergeCell ref="A468:B468"/>
    <mergeCell ref="G468:H473"/>
    <mergeCell ref="A469:B469"/>
    <mergeCell ref="A470:B470"/>
    <mergeCell ref="A471:B471"/>
    <mergeCell ref="A472:B472"/>
    <mergeCell ref="A473:B473"/>
    <mergeCell ref="C470:F471"/>
    <mergeCell ref="A481:H481"/>
    <mergeCell ref="A482:B482"/>
    <mergeCell ref="G482:H487"/>
    <mergeCell ref="A483:B483"/>
    <mergeCell ref="A484:B484"/>
    <mergeCell ref="A485:B485"/>
    <mergeCell ref="A486:B486"/>
    <mergeCell ref="A487:B487"/>
    <mergeCell ref="A474:H474"/>
    <mergeCell ref="A475:B475"/>
    <mergeCell ref="G475:H480"/>
    <mergeCell ref="A476:B476"/>
    <mergeCell ref="A477:B477"/>
    <mergeCell ref="A478:B478"/>
    <mergeCell ref="A479:B479"/>
    <mergeCell ref="A480:B480"/>
    <mergeCell ref="A493:B493"/>
    <mergeCell ref="A494:B494"/>
    <mergeCell ref="A495:H495"/>
    <mergeCell ref="A496:B496"/>
    <mergeCell ref="G496:H501"/>
    <mergeCell ref="A497:B497"/>
    <mergeCell ref="A498:B498"/>
    <mergeCell ref="A499:B499"/>
    <mergeCell ref="A500:B500"/>
    <mergeCell ref="A501:B501"/>
    <mergeCell ref="C492:F492"/>
    <mergeCell ref="A510:H510"/>
    <mergeCell ref="A511:H511"/>
    <mergeCell ref="A512:B512"/>
    <mergeCell ref="G512:H515"/>
    <mergeCell ref="A513:B513"/>
    <mergeCell ref="A514:B514"/>
    <mergeCell ref="A515:B515"/>
    <mergeCell ref="A502:H502"/>
    <mergeCell ref="A516:H516"/>
    <mergeCell ref="A517:B517"/>
    <mergeCell ref="G517:H520"/>
    <mergeCell ref="A518:B518"/>
    <mergeCell ref="A519:B519"/>
    <mergeCell ref="A520:B520"/>
    <mergeCell ref="A521:H521"/>
    <mergeCell ref="A503:H503"/>
    <mergeCell ref="A522:B522"/>
    <mergeCell ref="G522:H525"/>
    <mergeCell ref="A523:B523"/>
    <mergeCell ref="A524:B524"/>
    <mergeCell ref="A525:B525"/>
    <mergeCell ref="A504:B504"/>
    <mergeCell ref="G504:H509"/>
    <mergeCell ref="A505:B505"/>
    <mergeCell ref="A506:B506"/>
    <mergeCell ref="A507:B507"/>
    <mergeCell ref="A508:B508"/>
    <mergeCell ref="A509:B509"/>
    <mergeCell ref="C507:F507"/>
    <mergeCell ref="A526:H526"/>
    <mergeCell ref="A527:B527"/>
    <mergeCell ref="G527:H530"/>
    <mergeCell ref="A528:B528"/>
    <mergeCell ref="A529:B529"/>
    <mergeCell ref="A530:B530"/>
    <mergeCell ref="A531:H531"/>
    <mergeCell ref="A532:B532"/>
    <mergeCell ref="G532:H535"/>
    <mergeCell ref="A533:B533"/>
    <mergeCell ref="A534:B534"/>
    <mergeCell ref="A535:B535"/>
    <mergeCell ref="A581:H581"/>
    <mergeCell ref="A582:B582"/>
    <mergeCell ref="G582:H586"/>
    <mergeCell ref="A583:B583"/>
    <mergeCell ref="A584:B584"/>
    <mergeCell ref="A556:H556"/>
    <mergeCell ref="A557:B557"/>
    <mergeCell ref="G557:H560"/>
    <mergeCell ref="A558:B558"/>
    <mergeCell ref="A559:B559"/>
    <mergeCell ref="A560:B560"/>
    <mergeCell ref="C558:F559"/>
    <mergeCell ref="A561:H561"/>
    <mergeCell ref="A562:B562"/>
    <mergeCell ref="G562:H565"/>
    <mergeCell ref="A563:B563"/>
    <mergeCell ref="C563:F564"/>
    <mergeCell ref="A564:B564"/>
    <mergeCell ref="A565:B565"/>
    <mergeCell ref="G572:H575"/>
    <mergeCell ref="A626:B626"/>
    <mergeCell ref="A627:B627"/>
    <mergeCell ref="A628:B628"/>
    <mergeCell ref="C625:F625"/>
    <mergeCell ref="C628:F628"/>
    <mergeCell ref="A593:H593"/>
    <mergeCell ref="A594:H594"/>
    <mergeCell ref="A595:B595"/>
    <mergeCell ref="G595:H598"/>
    <mergeCell ref="A596:B596"/>
    <mergeCell ref="A597:B597"/>
    <mergeCell ref="A598:B598"/>
    <mergeCell ref="A599:H599"/>
    <mergeCell ref="A586:B586"/>
    <mergeCell ref="A585:B585"/>
    <mergeCell ref="C585:F585"/>
    <mergeCell ref="A587:H587"/>
    <mergeCell ref="A588:B588"/>
    <mergeCell ref="G588:H591"/>
    <mergeCell ref="A589:B589"/>
    <mergeCell ref="A590:B590"/>
    <mergeCell ref="A688:H688"/>
    <mergeCell ref="A689:B689"/>
    <mergeCell ref="G689:H692"/>
    <mergeCell ref="A690:B690"/>
    <mergeCell ref="A691:B691"/>
    <mergeCell ref="A692:B692"/>
    <mergeCell ref="A644:H644"/>
    <mergeCell ref="A645:B645"/>
    <mergeCell ref="G645:H648"/>
    <mergeCell ref="A646:B646"/>
    <mergeCell ref="A647:B647"/>
    <mergeCell ref="A648:B648"/>
    <mergeCell ref="A677:H677"/>
    <mergeCell ref="A678:H678"/>
    <mergeCell ref="A679:B679"/>
    <mergeCell ref="G679:H682"/>
    <mergeCell ref="A680:B680"/>
    <mergeCell ref="A681:B681"/>
    <mergeCell ref="A682:B682"/>
    <mergeCell ref="A649:H649"/>
    <mergeCell ref="A650:B650"/>
    <mergeCell ref="G650:H653"/>
    <mergeCell ref="A651:B651"/>
    <mergeCell ref="A652:B652"/>
    <mergeCell ref="A683:H683"/>
    <mergeCell ref="A684:B684"/>
    <mergeCell ref="G684:H687"/>
    <mergeCell ref="A685:B685"/>
    <mergeCell ref="A686:B686"/>
    <mergeCell ref="A687:B687"/>
    <mergeCell ref="A674:B674"/>
    <mergeCell ref="C674:F674"/>
    <mergeCell ref="A693:H693"/>
    <mergeCell ref="A694:B694"/>
    <mergeCell ref="G694:H697"/>
    <mergeCell ref="A695:B695"/>
    <mergeCell ref="A696:B696"/>
    <mergeCell ref="A697:B697"/>
    <mergeCell ref="A698:H698"/>
    <mergeCell ref="A699:B699"/>
    <mergeCell ref="G699:H702"/>
    <mergeCell ref="A700:B700"/>
    <mergeCell ref="A701:B701"/>
    <mergeCell ref="A702:B702"/>
    <mergeCell ref="A784:H784"/>
    <mergeCell ref="A785:B785"/>
    <mergeCell ref="G785:H788"/>
    <mergeCell ref="A786:B786"/>
    <mergeCell ref="A787:B787"/>
    <mergeCell ref="A788:B788"/>
    <mergeCell ref="A713:H713"/>
    <mergeCell ref="A714:B714"/>
    <mergeCell ref="G714:H717"/>
    <mergeCell ref="A715:B715"/>
    <mergeCell ref="A716:B716"/>
    <mergeCell ref="A717:B717"/>
    <mergeCell ref="G709:H712"/>
    <mergeCell ref="A710:B710"/>
    <mergeCell ref="A711:B711"/>
    <mergeCell ref="A712:B712"/>
    <mergeCell ref="C709:F709"/>
    <mergeCell ref="A748:H748"/>
    <mergeCell ref="A749:B749"/>
    <mergeCell ref="G749:H752"/>
    <mergeCell ref="A536:H536"/>
    <mergeCell ref="A537:B537"/>
    <mergeCell ref="G537:H540"/>
    <mergeCell ref="A538:B538"/>
    <mergeCell ref="A539:B539"/>
    <mergeCell ref="A540:B540"/>
    <mergeCell ref="A541:H541"/>
    <mergeCell ref="A542:B542"/>
    <mergeCell ref="C542:F542"/>
    <mergeCell ref="G542:H545"/>
    <mergeCell ref="A543:B543"/>
    <mergeCell ref="A544:B544"/>
    <mergeCell ref="A545:B545"/>
    <mergeCell ref="A571:H571"/>
    <mergeCell ref="A572:B572"/>
    <mergeCell ref="A576:H576"/>
    <mergeCell ref="A577:B577"/>
    <mergeCell ref="G577:H580"/>
    <mergeCell ref="A578:B578"/>
    <mergeCell ref="A579:B579"/>
    <mergeCell ref="A580:B580"/>
    <mergeCell ref="A551:H551"/>
    <mergeCell ref="A552:B552"/>
    <mergeCell ref="G552:H555"/>
    <mergeCell ref="A553:B553"/>
    <mergeCell ref="A554:B554"/>
    <mergeCell ref="A555:B555"/>
    <mergeCell ref="A573:B573"/>
    <mergeCell ref="A574:B574"/>
    <mergeCell ref="A575:B575"/>
    <mergeCell ref="A547:B547"/>
    <mergeCell ref="G547:H550"/>
    <mergeCell ref="G640:H643"/>
    <mergeCell ref="A641:B641"/>
    <mergeCell ref="A642:B642"/>
    <mergeCell ref="A600:B600"/>
    <mergeCell ref="G600:H603"/>
    <mergeCell ref="A601:B601"/>
    <mergeCell ref="A602:B602"/>
    <mergeCell ref="A603:B603"/>
    <mergeCell ref="A604:H604"/>
    <mergeCell ref="A605:B605"/>
    <mergeCell ref="G605:H608"/>
    <mergeCell ref="A606:B606"/>
    <mergeCell ref="A607:B607"/>
    <mergeCell ref="A608:B608"/>
    <mergeCell ref="A643:B643"/>
    <mergeCell ref="A629:H629"/>
    <mergeCell ref="A630:B630"/>
    <mergeCell ref="C630:F630"/>
    <mergeCell ref="G630:H633"/>
    <mergeCell ref="A631:B631"/>
    <mergeCell ref="A632:B632"/>
    <mergeCell ref="A633:B633"/>
    <mergeCell ref="C633:F633"/>
    <mergeCell ref="A609:H609"/>
    <mergeCell ref="A610:B610"/>
    <mergeCell ref="G610:H613"/>
    <mergeCell ref="A611:B611"/>
    <mergeCell ref="A612:B612"/>
    <mergeCell ref="A613:B613"/>
    <mergeCell ref="A624:H624"/>
    <mergeCell ref="A625:B625"/>
    <mergeCell ref="G625:H628"/>
    <mergeCell ref="A743:H743"/>
    <mergeCell ref="A744:B744"/>
    <mergeCell ref="G744:H747"/>
    <mergeCell ref="A745:B745"/>
    <mergeCell ref="A746:B746"/>
    <mergeCell ref="A747:B747"/>
    <mergeCell ref="A789:H789"/>
    <mergeCell ref="A790:B790"/>
    <mergeCell ref="G790:H793"/>
    <mergeCell ref="A791:B791"/>
    <mergeCell ref="A753:H753"/>
    <mergeCell ref="A792:B792"/>
    <mergeCell ref="A793:B793"/>
    <mergeCell ref="C791:F792"/>
    <mergeCell ref="A775:B775"/>
    <mergeCell ref="A771:B771"/>
    <mergeCell ref="A781:B781"/>
    <mergeCell ref="A754:H754"/>
    <mergeCell ref="L184:M184"/>
    <mergeCell ref="A181:H181"/>
    <mergeCell ref="G184:H184"/>
    <mergeCell ref="A312:H312"/>
    <mergeCell ref="A396:H396"/>
    <mergeCell ref="A220:H220"/>
    <mergeCell ref="A221:B221"/>
    <mergeCell ref="L221:M221"/>
    <mergeCell ref="A222:B222"/>
    <mergeCell ref="L222:M222"/>
    <mergeCell ref="G221:H222"/>
    <mergeCell ref="A219:H219"/>
    <mergeCell ref="A185:H185"/>
    <mergeCell ref="A192:B192"/>
    <mergeCell ref="L192:M192"/>
    <mergeCell ref="A193:B193"/>
    <mergeCell ref="L193:M193"/>
    <mergeCell ref="A194:B194"/>
    <mergeCell ref="L194:M194"/>
    <mergeCell ref="A195:B195"/>
    <mergeCell ref="A207:H207"/>
    <mergeCell ref="A183:H183"/>
    <mergeCell ref="A184:B184"/>
    <mergeCell ref="A182:H182"/>
    <mergeCell ref="A186:H186"/>
    <mergeCell ref="A311:H311"/>
    <mergeCell ref="A395:H395"/>
    <mergeCell ref="A389:H389"/>
    <mergeCell ref="A390:B390"/>
    <mergeCell ref="G390:H393"/>
    <mergeCell ref="A391:B391"/>
    <mergeCell ref="A392:B392"/>
    <mergeCell ref="A797:B797"/>
    <mergeCell ref="A798:B798"/>
    <mergeCell ref="A708:H708"/>
    <mergeCell ref="A709:B709"/>
    <mergeCell ref="A676:H676"/>
    <mergeCell ref="C656:F657"/>
    <mergeCell ref="A657:B657"/>
    <mergeCell ref="A658:B658"/>
    <mergeCell ref="A659:H659"/>
    <mergeCell ref="A660:B660"/>
    <mergeCell ref="G660:H663"/>
    <mergeCell ref="A661:B661"/>
    <mergeCell ref="A662:B662"/>
    <mergeCell ref="A663:B663"/>
    <mergeCell ref="A669:B669"/>
    <mergeCell ref="A670:H670"/>
    <mergeCell ref="A671:B671"/>
    <mergeCell ref="G671:H675"/>
    <mergeCell ref="A672:B672"/>
    <mergeCell ref="A673:B673"/>
    <mergeCell ref="A675:B675"/>
    <mergeCell ref="G655:H658"/>
    <mergeCell ref="A656:B656"/>
    <mergeCell ref="A750:B750"/>
    <mergeCell ref="A751:B751"/>
    <mergeCell ref="A752:B752"/>
    <mergeCell ref="A738:H738"/>
    <mergeCell ref="A739:B739"/>
    <mergeCell ref="G739:H742"/>
    <mergeCell ref="A740:B740"/>
    <mergeCell ref="A741:B741"/>
    <mergeCell ref="A742:B742"/>
    <mergeCell ref="A93:B93"/>
    <mergeCell ref="E93:F102"/>
    <mergeCell ref="G93:H102"/>
    <mergeCell ref="A94:B94"/>
    <mergeCell ref="A95:B95"/>
    <mergeCell ref="A96:B96"/>
    <mergeCell ref="A155:E155"/>
    <mergeCell ref="B812:H812"/>
    <mergeCell ref="A591:B591"/>
    <mergeCell ref="A664:H664"/>
    <mergeCell ref="A665:B665"/>
    <mergeCell ref="G665:H669"/>
    <mergeCell ref="A666:B666"/>
    <mergeCell ref="A667:B667"/>
    <mergeCell ref="A592:H592"/>
    <mergeCell ref="A614:H614"/>
    <mergeCell ref="A615:B615"/>
    <mergeCell ref="G615:H618"/>
    <mergeCell ref="A616:B616"/>
    <mergeCell ref="A617:B617"/>
    <mergeCell ref="A618:B618"/>
    <mergeCell ref="A653:B653"/>
    <mergeCell ref="C651:F652"/>
    <mergeCell ref="A654:H654"/>
    <mergeCell ref="A655:B655"/>
    <mergeCell ref="A639:H639"/>
    <mergeCell ref="A640:B640"/>
    <mergeCell ref="A794:H794"/>
    <mergeCell ref="A795:B795"/>
    <mergeCell ref="G795:H798"/>
    <mergeCell ref="A796:B796"/>
    <mergeCell ref="C796:F797"/>
    <mergeCell ref="A134:B134"/>
    <mergeCell ref="E134:F134"/>
    <mergeCell ref="G134:H134"/>
    <mergeCell ref="A135:B135"/>
    <mergeCell ref="E135:F144"/>
    <mergeCell ref="G135:H144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75:B75"/>
    <mergeCell ref="C75:H75"/>
    <mergeCell ref="A77:B77"/>
    <mergeCell ref="C77:H77"/>
    <mergeCell ref="A78:B78"/>
    <mergeCell ref="E107:F116"/>
    <mergeCell ref="G107:H116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81:B81"/>
    <mergeCell ref="E78:F78"/>
    <mergeCell ref="G78:H78"/>
    <mergeCell ref="A79:B79"/>
    <mergeCell ref="E79:F88"/>
    <mergeCell ref="G79:H88"/>
    <mergeCell ref="A80:B80"/>
    <mergeCell ref="A97:B97"/>
    <mergeCell ref="A98:B98"/>
    <mergeCell ref="A99:B99"/>
    <mergeCell ref="A100:B100"/>
    <mergeCell ref="A101:B101"/>
    <mergeCell ref="A102:B102"/>
    <mergeCell ref="D66:H66"/>
    <mergeCell ref="D65:H65"/>
    <mergeCell ref="A131:B131"/>
    <mergeCell ref="C131:H131"/>
    <mergeCell ref="A133:B133"/>
    <mergeCell ref="C133:H133"/>
    <mergeCell ref="A82:B82"/>
    <mergeCell ref="A83:B83"/>
    <mergeCell ref="A84:B84"/>
    <mergeCell ref="A85:B85"/>
    <mergeCell ref="A86:B86"/>
    <mergeCell ref="A87:B87"/>
    <mergeCell ref="A88:B88"/>
    <mergeCell ref="A89:B89"/>
    <mergeCell ref="C89:H89"/>
    <mergeCell ref="A91:B91"/>
    <mergeCell ref="C91:H91"/>
    <mergeCell ref="A92:B92"/>
    <mergeCell ref="E92:F92"/>
    <mergeCell ref="G92:H92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74" max="16383" man="1"/>
    <brk id="116" max="16383" man="1"/>
    <brk id="160" max="16383" man="1"/>
    <brk id="824" max="16383" man="1"/>
    <brk id="868" max="16383" man="1"/>
    <brk id="91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G21" sqref="G21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24" t="s">
        <v>111</v>
      </c>
      <c r="C3" s="224"/>
      <c r="D3" s="224"/>
      <c r="E3" s="224"/>
      <c r="F3" s="224"/>
      <c r="G3" s="224"/>
      <c r="H3" s="224"/>
    </row>
    <row r="4" spans="1:9" x14ac:dyDescent="0.35">
      <c r="A4" s="3"/>
      <c r="B4" s="4" t="s">
        <v>112</v>
      </c>
      <c r="C4" s="4" t="s">
        <v>113</v>
      </c>
      <c r="D4" s="4" t="s">
        <v>72</v>
      </c>
      <c r="E4" s="4" t="s">
        <v>114</v>
      </c>
      <c r="F4" s="4" t="s">
        <v>120</v>
      </c>
      <c r="G4" s="4" t="s">
        <v>121</v>
      </c>
      <c r="H4" s="4" t="s">
        <v>115</v>
      </c>
    </row>
    <row r="5" spans="1:9" ht="15" customHeight="1" x14ac:dyDescent="0.35">
      <c r="A5" s="3"/>
      <c r="B5" s="6" t="s">
        <v>116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116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116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116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116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2025-06-12T06:28:00Z</cp:lastPrinted>
  <dcterms:created xsi:type="dcterms:W3CDTF">2019-07-16T09:29:46Z</dcterms:created>
  <dcterms:modified xsi:type="dcterms:W3CDTF">2025-09-11T10:45:02Z</dcterms:modified>
</cp:coreProperties>
</file>