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SJCV\Making\AXIS\2025-26\Axis\APF Dump\Sept 2025\09-09-2025\"/>
    </mc:Choice>
  </mc:AlternateContent>
  <bookViews>
    <workbookView xWindow="0" yWindow="0" windowWidth="19200" windowHeight="6640"/>
  </bookViews>
  <sheets>
    <sheet name="Sheet1" sheetId="1" r:id="rId1"/>
    <sheet name="C%" sheetId="2" r:id="rId2"/>
    <sheet name="Note" sheetId="4" r:id="rId3"/>
    <sheet name="Sheet3" sheetId="3" r:id="rId4"/>
  </sheets>
  <definedNames>
    <definedName name="_xlnm.Print_Area" localSheetId="0">Sheet1!$A$1:$J$373</definedName>
  </definedNames>
  <calcPr calcId="162913"/>
</workbook>
</file>

<file path=xl/calcChain.xml><?xml version="1.0" encoding="utf-8"?>
<calcChain xmlns="http://schemas.openxmlformats.org/spreadsheetml/2006/main">
  <c r="C91" i="1" l="1"/>
  <c r="L132" i="1" l="1"/>
  <c r="L138" i="1"/>
  <c r="L139" i="1"/>
  <c r="L140" i="1"/>
  <c r="L141" i="1"/>
  <c r="L148" i="1"/>
  <c r="L155" i="1"/>
  <c r="L161" i="1"/>
  <c r="L162" i="1"/>
  <c r="L163" i="1"/>
  <c r="L166" i="1"/>
  <c r="L172" i="1"/>
  <c r="L178" i="1"/>
  <c r="H183" i="1" l="1"/>
  <c r="D183" i="1"/>
  <c r="G183" i="1" s="1"/>
  <c r="H182" i="1"/>
  <c r="D182" i="1"/>
  <c r="G182" i="1" s="1"/>
  <c r="H181" i="1"/>
  <c r="D181" i="1"/>
  <c r="G181" i="1" s="1"/>
  <c r="I181" i="1" s="1"/>
  <c r="L181" i="1" s="1"/>
  <c r="H180" i="1"/>
  <c r="D180" i="1"/>
  <c r="G180" i="1" s="1"/>
  <c r="H179" i="1"/>
  <c r="D179" i="1"/>
  <c r="G179" i="1" s="1"/>
  <c r="H177" i="1"/>
  <c r="D177" i="1"/>
  <c r="G177" i="1" s="1"/>
  <c r="I177" i="1" s="1"/>
  <c r="L177" i="1" s="1"/>
  <c r="H176" i="1"/>
  <c r="D176" i="1"/>
  <c r="G176" i="1" s="1"/>
  <c r="I176" i="1" s="1"/>
  <c r="L176" i="1" s="1"/>
  <c r="H175" i="1"/>
  <c r="D175" i="1"/>
  <c r="G175" i="1" s="1"/>
  <c r="I175" i="1" s="1"/>
  <c r="L175" i="1" s="1"/>
  <c r="H174" i="1"/>
  <c r="D174" i="1"/>
  <c r="G174" i="1" s="1"/>
  <c r="I174" i="1" s="1"/>
  <c r="L174" i="1" s="1"/>
  <c r="H173" i="1"/>
  <c r="D173" i="1"/>
  <c r="G173" i="1" s="1"/>
  <c r="H171" i="1"/>
  <c r="D171" i="1"/>
  <c r="G171" i="1" s="1"/>
  <c r="I171" i="1" s="1"/>
  <c r="L171" i="1" s="1"/>
  <c r="H170" i="1"/>
  <c r="D170" i="1"/>
  <c r="G170" i="1" s="1"/>
  <c r="I170" i="1" s="1"/>
  <c r="L170" i="1" s="1"/>
  <c r="H169" i="1"/>
  <c r="D169" i="1"/>
  <c r="G169" i="1" s="1"/>
  <c r="I169" i="1" s="1"/>
  <c r="L169" i="1" s="1"/>
  <c r="H168" i="1"/>
  <c r="D168" i="1"/>
  <c r="G168" i="1" s="1"/>
  <c r="H167" i="1"/>
  <c r="D167" i="1"/>
  <c r="G167" i="1" s="1"/>
  <c r="I167" i="1" s="1"/>
  <c r="L167" i="1" s="1"/>
  <c r="D165" i="1"/>
  <c r="G165" i="1" s="1"/>
  <c r="I165" i="1" s="1"/>
  <c r="L165" i="1" s="1"/>
  <c r="N164" i="1"/>
  <c r="D164" i="1"/>
  <c r="I180" i="1" l="1"/>
  <c r="L180" i="1" s="1"/>
  <c r="I168" i="1"/>
  <c r="L168" i="1" s="1"/>
  <c r="I173" i="1"/>
  <c r="L173" i="1" s="1"/>
  <c r="I179" i="1"/>
  <c r="L179" i="1" s="1"/>
  <c r="I183" i="1"/>
  <c r="L183" i="1" s="1"/>
  <c r="I182" i="1"/>
  <c r="L182" i="1" s="1"/>
  <c r="G164" i="1"/>
  <c r="E217" i="1"/>
  <c r="F217" i="1"/>
  <c r="E216" i="1"/>
  <c r="F216" i="1"/>
  <c r="E213" i="1"/>
  <c r="F213" i="1"/>
  <c r="E212" i="1"/>
  <c r="F212" i="1"/>
  <c r="E211" i="1"/>
  <c r="F211" i="1"/>
  <c r="E225" i="1"/>
  <c r="F225" i="1"/>
  <c r="E224" i="1"/>
  <c r="F224" i="1"/>
  <c r="E221" i="1"/>
  <c r="F221" i="1"/>
  <c r="E220" i="1"/>
  <c r="F220" i="1"/>
  <c r="E219" i="1"/>
  <c r="F219" i="1"/>
  <c r="F207" i="1"/>
  <c r="E207" i="1"/>
  <c r="D207" i="1"/>
  <c r="F206" i="1"/>
  <c r="E206" i="1"/>
  <c r="D206" i="1"/>
  <c r="F205" i="1"/>
  <c r="E205" i="1"/>
  <c r="D205" i="1"/>
  <c r="F204" i="1"/>
  <c r="E204" i="1"/>
  <c r="D204" i="1"/>
  <c r="F202" i="1"/>
  <c r="E202" i="1"/>
  <c r="D202" i="1"/>
  <c r="G202" i="1" s="1"/>
  <c r="F201" i="1"/>
  <c r="E201" i="1"/>
  <c r="D201" i="1"/>
  <c r="F200" i="1"/>
  <c r="E200" i="1"/>
  <c r="D200" i="1"/>
  <c r="F199" i="1"/>
  <c r="E199" i="1"/>
  <c r="D199" i="1"/>
  <c r="E193" i="1"/>
  <c r="E194" i="1"/>
  <c r="E195" i="1"/>
  <c r="F195" i="1"/>
  <c r="F194" i="1"/>
  <c r="F193" i="1"/>
  <c r="F192" i="1"/>
  <c r="E192" i="1"/>
  <c r="D192" i="1"/>
  <c r="D193" i="1"/>
  <c r="D194" i="1"/>
  <c r="G194" i="1" s="1"/>
  <c r="D195" i="1"/>
  <c r="E188" i="1"/>
  <c r="E189" i="1"/>
  <c r="E190" i="1"/>
  <c r="F190" i="1"/>
  <c r="F189" i="1"/>
  <c r="F188" i="1"/>
  <c r="F187" i="1"/>
  <c r="E187" i="1"/>
  <c r="L187" i="1"/>
  <c r="G38" i="1"/>
  <c r="G39" i="1" s="1"/>
  <c r="G40" i="1" s="1"/>
  <c r="G200" i="1" l="1"/>
  <c r="G199" i="1"/>
  <c r="G192" i="1"/>
  <c r="G205" i="1"/>
  <c r="G195" i="1"/>
  <c r="G204" i="1"/>
  <c r="G201" i="1"/>
  <c r="G207" i="1"/>
  <c r="G193" i="1"/>
  <c r="G206" i="1"/>
  <c r="E107" i="1"/>
  <c r="I164" i="1"/>
  <c r="C107" i="1"/>
  <c r="D157" i="1"/>
  <c r="G157" i="1" s="1"/>
  <c r="D156" i="1"/>
  <c r="G156" i="1" s="1"/>
  <c r="H160" i="1"/>
  <c r="D160" i="1"/>
  <c r="G160" i="1" s="1"/>
  <c r="I160" i="1" s="1"/>
  <c r="L160" i="1" s="1"/>
  <c r="H159" i="1"/>
  <c r="D159" i="1"/>
  <c r="G159" i="1" s="1"/>
  <c r="H158" i="1"/>
  <c r="D158" i="1"/>
  <c r="G158" i="1" s="1"/>
  <c r="H157" i="1"/>
  <c r="H156" i="1"/>
  <c r="H154" i="1"/>
  <c r="D154" i="1"/>
  <c r="G154" i="1" s="1"/>
  <c r="I154" i="1" s="1"/>
  <c r="L154" i="1" s="1"/>
  <c r="H153" i="1"/>
  <c r="D153" i="1"/>
  <c r="G153" i="1" s="1"/>
  <c r="H152" i="1"/>
  <c r="D152" i="1"/>
  <c r="G152" i="1" s="1"/>
  <c r="H151" i="1"/>
  <c r="D151" i="1"/>
  <c r="G151" i="1" s="1"/>
  <c r="H150" i="1"/>
  <c r="D150" i="1"/>
  <c r="G150" i="1" s="1"/>
  <c r="I150" i="1" s="1"/>
  <c r="L150" i="1" s="1"/>
  <c r="H149" i="1"/>
  <c r="D149" i="1"/>
  <c r="G149" i="1" s="1"/>
  <c r="H147" i="1"/>
  <c r="H146" i="1"/>
  <c r="H145" i="1"/>
  <c r="H144" i="1"/>
  <c r="H143" i="1"/>
  <c r="H142" i="1"/>
  <c r="D147" i="1"/>
  <c r="G147" i="1" s="1"/>
  <c r="D146" i="1"/>
  <c r="G146" i="1" s="1"/>
  <c r="D145" i="1"/>
  <c r="G145" i="1" s="1"/>
  <c r="D144" i="1"/>
  <c r="G144" i="1" s="1"/>
  <c r="D143" i="1"/>
  <c r="G143" i="1" s="1"/>
  <c r="D142" i="1"/>
  <c r="G142" i="1" s="1"/>
  <c r="H137" i="1"/>
  <c r="D137" i="1"/>
  <c r="G137" i="1" s="1"/>
  <c r="I137" i="1" s="1"/>
  <c r="L137" i="1" s="1"/>
  <c r="H136" i="1"/>
  <c r="D136" i="1"/>
  <c r="G136" i="1" s="1"/>
  <c r="H135" i="1"/>
  <c r="D135" i="1"/>
  <c r="G135" i="1" s="1"/>
  <c r="H134" i="1"/>
  <c r="D134" i="1"/>
  <c r="G134" i="1" s="1"/>
  <c r="H133" i="1"/>
  <c r="D133" i="1"/>
  <c r="G133" i="1" s="1"/>
  <c r="I133" i="1" s="1"/>
  <c r="L133" i="1" s="1"/>
  <c r="H131" i="1"/>
  <c r="D131" i="1"/>
  <c r="G131" i="1" s="1"/>
  <c r="H130" i="1"/>
  <c r="D130" i="1"/>
  <c r="G130" i="1" s="1"/>
  <c r="H129" i="1"/>
  <c r="D129" i="1"/>
  <c r="G129" i="1" s="1"/>
  <c r="H128" i="1"/>
  <c r="D128" i="1"/>
  <c r="G128" i="1" s="1"/>
  <c r="I128" i="1" s="1"/>
  <c r="L128" i="1" s="1"/>
  <c r="H127" i="1"/>
  <c r="D127" i="1"/>
  <c r="G127" i="1" s="1"/>
  <c r="H125" i="1"/>
  <c r="D125" i="1"/>
  <c r="G125" i="1" s="1"/>
  <c r="I125" i="1" s="1"/>
  <c r="H124" i="1"/>
  <c r="H123" i="1"/>
  <c r="H122" i="1"/>
  <c r="H121" i="1"/>
  <c r="D124" i="1"/>
  <c r="G124" i="1" s="1"/>
  <c r="D123" i="1"/>
  <c r="G123" i="1" s="1"/>
  <c r="D122" i="1"/>
  <c r="G122" i="1" s="1"/>
  <c r="D121" i="1"/>
  <c r="H225" i="1"/>
  <c r="H224" i="1"/>
  <c r="H223" i="1"/>
  <c r="H222" i="1"/>
  <c r="H221" i="1"/>
  <c r="H220" i="1"/>
  <c r="H219" i="1"/>
  <c r="D225" i="1"/>
  <c r="G225" i="1" s="1"/>
  <c r="I225" i="1" s="1"/>
  <c r="D224" i="1"/>
  <c r="G224" i="1" s="1"/>
  <c r="F223" i="1"/>
  <c r="E223" i="1"/>
  <c r="D223" i="1"/>
  <c r="F222" i="1"/>
  <c r="E222" i="1"/>
  <c r="D222" i="1"/>
  <c r="D221" i="1"/>
  <c r="G221" i="1" s="1"/>
  <c r="D220" i="1"/>
  <c r="G220" i="1" s="1"/>
  <c r="D219" i="1"/>
  <c r="G219" i="1" s="1"/>
  <c r="H217" i="1"/>
  <c r="H216" i="1"/>
  <c r="H215" i="1"/>
  <c r="H214" i="1"/>
  <c r="H213" i="1"/>
  <c r="H212" i="1"/>
  <c r="H211" i="1"/>
  <c r="D217" i="1"/>
  <c r="G217" i="1" s="1"/>
  <c r="D216" i="1"/>
  <c r="G216" i="1" s="1"/>
  <c r="F215" i="1"/>
  <c r="E215" i="1"/>
  <c r="D215" i="1"/>
  <c r="F214" i="1"/>
  <c r="E214" i="1"/>
  <c r="D214" i="1"/>
  <c r="D213" i="1"/>
  <c r="G213" i="1" s="1"/>
  <c r="D212" i="1"/>
  <c r="G212" i="1" s="1"/>
  <c r="D211" i="1"/>
  <c r="G211" i="1" s="1"/>
  <c r="H207" i="1"/>
  <c r="H206" i="1"/>
  <c r="H205" i="1"/>
  <c r="I205" i="1" s="1"/>
  <c r="H204" i="1"/>
  <c r="I204" i="1" s="1"/>
  <c r="H202" i="1"/>
  <c r="I202" i="1" s="1"/>
  <c r="H201" i="1"/>
  <c r="I201" i="1" s="1"/>
  <c r="H200" i="1"/>
  <c r="H199" i="1"/>
  <c r="H195" i="1"/>
  <c r="H194" i="1"/>
  <c r="I194" i="1" s="1"/>
  <c r="H193" i="1"/>
  <c r="H192" i="1"/>
  <c r="I192" i="1" s="1"/>
  <c r="H190" i="1"/>
  <c r="H189" i="1"/>
  <c r="H188" i="1"/>
  <c r="H187" i="1"/>
  <c r="D190" i="1"/>
  <c r="G190" i="1" s="1"/>
  <c r="D189" i="1"/>
  <c r="G189" i="1" s="1"/>
  <c r="D188" i="1"/>
  <c r="G188" i="1" s="1"/>
  <c r="D187" i="1"/>
  <c r="G187" i="1" s="1"/>
  <c r="N118" i="1"/>
  <c r="C109" i="1" l="1"/>
  <c r="I199" i="1"/>
  <c r="I200" i="1"/>
  <c r="I195" i="1"/>
  <c r="I212" i="1"/>
  <c r="I193" i="1"/>
  <c r="E109" i="1"/>
  <c r="I123" i="1"/>
  <c r="I127" i="1"/>
  <c r="L127" i="1" s="1"/>
  <c r="I131" i="1"/>
  <c r="L131" i="1" s="1"/>
  <c r="I136" i="1"/>
  <c r="L136" i="1" s="1"/>
  <c r="I149" i="1"/>
  <c r="L149" i="1" s="1"/>
  <c r="I159" i="1"/>
  <c r="L159" i="1" s="1"/>
  <c r="I213" i="1"/>
  <c r="I217" i="1"/>
  <c r="I219" i="1"/>
  <c r="I129" i="1"/>
  <c r="L129" i="1" s="1"/>
  <c r="I134" i="1"/>
  <c r="L134" i="1" s="1"/>
  <c r="I151" i="1"/>
  <c r="L151" i="1" s="1"/>
  <c r="I156" i="1"/>
  <c r="L156" i="1" s="1"/>
  <c r="I130" i="1"/>
  <c r="L130" i="1" s="1"/>
  <c r="I135" i="1"/>
  <c r="L135" i="1" s="1"/>
  <c r="I152" i="1"/>
  <c r="L152" i="1" s="1"/>
  <c r="I206" i="1"/>
  <c r="I146" i="1"/>
  <c r="L146" i="1" s="1"/>
  <c r="I189" i="1"/>
  <c r="G222" i="1"/>
  <c r="I222" i="1" s="1"/>
  <c r="I190" i="1"/>
  <c r="I207" i="1"/>
  <c r="H109" i="1" s="1"/>
  <c r="I124" i="1"/>
  <c r="I147" i="1"/>
  <c r="L147" i="1" s="1"/>
  <c r="I153" i="1"/>
  <c r="L153" i="1" s="1"/>
  <c r="L164" i="1"/>
  <c r="H107" i="1"/>
  <c r="I216" i="1"/>
  <c r="G223" i="1"/>
  <c r="I223" i="1" s="1"/>
  <c r="E106" i="1"/>
  <c r="I142" i="1"/>
  <c r="L142" i="1" s="1"/>
  <c r="C106" i="1"/>
  <c r="G215" i="1"/>
  <c r="I215" i="1" s="1"/>
  <c r="I220" i="1"/>
  <c r="I224" i="1"/>
  <c r="I143" i="1"/>
  <c r="L143" i="1" s="1"/>
  <c r="I221" i="1"/>
  <c r="I144" i="1"/>
  <c r="L144" i="1" s="1"/>
  <c r="I157" i="1"/>
  <c r="L157" i="1" s="1"/>
  <c r="I211" i="1"/>
  <c r="I187" i="1"/>
  <c r="E108" i="1"/>
  <c r="C108" i="1"/>
  <c r="G214" i="1"/>
  <c r="I214" i="1" s="1"/>
  <c r="I188" i="1"/>
  <c r="I122" i="1"/>
  <c r="I145" i="1"/>
  <c r="L145" i="1" s="1"/>
  <c r="I158" i="1"/>
  <c r="L158" i="1" s="1"/>
  <c r="G121" i="1"/>
  <c r="I121" i="1" s="1"/>
  <c r="K215" i="1"/>
  <c r="M187" i="1"/>
  <c r="K187" i="1"/>
  <c r="H106" i="1" l="1"/>
  <c r="H108" i="1"/>
  <c r="C110" i="1"/>
  <c r="E110" i="1"/>
  <c r="H110" i="1"/>
  <c r="F3" i="1"/>
  <c r="M232" i="1" l="1"/>
  <c r="M231" i="1"/>
  <c r="M230" i="1"/>
  <c r="M229" i="1"/>
  <c r="I90" i="1"/>
  <c r="D234" i="1" l="1"/>
  <c r="D232" i="1"/>
  <c r="D230" i="1"/>
  <c r="D228" i="1"/>
  <c r="D226" i="1"/>
  <c r="M227" i="1"/>
  <c r="M228" i="1" s="1"/>
  <c r="M233" i="1" s="1"/>
  <c r="M234" i="1" s="1"/>
  <c r="M93" i="1"/>
  <c r="D233" i="1"/>
  <c r="D231" i="1"/>
  <c r="D229" i="1"/>
  <c r="D227" i="1"/>
  <c r="M92" i="1"/>
  <c r="M226" i="1"/>
  <c r="M86" i="1"/>
  <c r="M85" i="1"/>
  <c r="M84" i="1"/>
  <c r="M83" i="1"/>
  <c r="I76" i="1"/>
  <c r="K89" i="1" l="1"/>
  <c r="M79" i="1"/>
  <c r="D88" i="1"/>
  <c r="D86" i="1"/>
  <c r="D84" i="1"/>
  <c r="D82" i="1"/>
  <c r="M80" i="1"/>
  <c r="C79" i="1" s="1"/>
  <c r="D79" i="1" s="1"/>
  <c r="M78" i="1"/>
  <c r="D87" i="1"/>
  <c r="M81" i="1"/>
  <c r="M82" i="1" s="1"/>
  <c r="M87" i="1" s="1"/>
  <c r="M88" i="1" s="1"/>
  <c r="D80" i="1" s="1"/>
  <c r="D85" i="1"/>
  <c r="D83" i="1"/>
  <c r="D81" i="1"/>
  <c r="F245" i="1"/>
  <c r="B16" i="2"/>
  <c r="E10" i="2" s="1"/>
  <c r="B14" i="2"/>
  <c r="E9" i="2" s="1"/>
  <c r="B12" i="2"/>
  <c r="M7" i="2" s="1"/>
  <c r="H17" i="2" s="1"/>
  <c r="B10" i="2"/>
  <c r="L7" i="2" s="1"/>
  <c r="H16" i="2" s="1"/>
  <c r="B8" i="2"/>
  <c r="K7" i="2" s="1"/>
  <c r="H15" i="2" s="1"/>
  <c r="K6" i="2"/>
  <c r="G15" i="2" s="1"/>
  <c r="I6" i="2"/>
  <c r="G13" i="2" s="1"/>
  <c r="I7" i="2"/>
  <c r="H13" i="2" s="1"/>
  <c r="E6" i="2"/>
  <c r="B6" i="2"/>
  <c r="J7" i="2" s="1"/>
  <c r="H14" i="2" s="1"/>
  <c r="E4" i="2"/>
  <c r="D119" i="1"/>
  <c r="D118" i="1"/>
  <c r="L6" i="2"/>
  <c r="G16" i="2" s="1"/>
  <c r="E7" i="2"/>
  <c r="E8" i="2" l="1"/>
  <c r="G118" i="1"/>
  <c r="G119" i="1"/>
  <c r="I119" i="1" s="1"/>
  <c r="M6" i="2"/>
  <c r="G17" i="2" s="1"/>
  <c r="E5" i="2"/>
  <c r="O6" i="2"/>
  <c r="G19" i="2" s="1"/>
  <c r="N7" i="2"/>
  <c r="H18" i="2" s="1"/>
  <c r="J6" i="2"/>
  <c r="G14" i="2" s="1"/>
  <c r="N6" i="2"/>
  <c r="G18" i="2" s="1"/>
  <c r="O7" i="2"/>
  <c r="H19" i="2" s="1"/>
  <c r="K75" i="1"/>
  <c r="C77" i="1" s="1"/>
  <c r="H79" i="1"/>
  <c r="H20" i="2" l="1"/>
  <c r="E105" i="1"/>
  <c r="E111" i="1" s="1"/>
  <c r="I118" i="1"/>
  <c r="H105" i="1" s="1"/>
  <c r="H111" i="1" s="1"/>
  <c r="C105" i="1"/>
  <c r="C111" i="1" s="1"/>
  <c r="G20" i="2"/>
  <c r="F79" i="1"/>
</calcChain>
</file>

<file path=xl/sharedStrings.xml><?xml version="1.0" encoding="utf-8"?>
<sst xmlns="http://schemas.openxmlformats.org/spreadsheetml/2006/main" count="434" uniqueCount="257">
  <si>
    <t>Date:</t>
  </si>
  <si>
    <t>CPC Name:</t>
  </si>
  <si>
    <t>Date Of Property Visit</t>
  </si>
  <si>
    <t>Name of the builder group</t>
  </si>
  <si>
    <t>Name of the builder company</t>
  </si>
  <si>
    <t>Docouments Provided</t>
  </si>
  <si>
    <t>Road</t>
  </si>
  <si>
    <t>Accessibility of the project from the city:(Proximities to civic amenities like school, hospital &amp; market, etc.)</t>
  </si>
  <si>
    <t>Does the property have electricity/water/Drainage Connection</t>
  </si>
  <si>
    <t>Class of locality</t>
  </si>
  <si>
    <t>Boundaries</t>
  </si>
  <si>
    <t>East</t>
  </si>
  <si>
    <t>West</t>
  </si>
  <si>
    <t>South</t>
  </si>
  <si>
    <t>North</t>
  </si>
  <si>
    <t>At site</t>
  </si>
  <si>
    <t>Permissible FSI</t>
  </si>
  <si>
    <t>Permissible TDR/Paid FSI</t>
  </si>
  <si>
    <t>Total number of Buildings</t>
  </si>
  <si>
    <t>Building wise Construction details</t>
  </si>
  <si>
    <t>% Work completed</t>
  </si>
  <si>
    <t>Recommended Rates of the Property :</t>
  </si>
  <si>
    <t>Floor rise rate</t>
  </si>
  <si>
    <t>PLC charges</t>
  </si>
  <si>
    <t>Recommended rate of Parking</t>
  </si>
  <si>
    <t xml:space="preserve">Club Charges </t>
  </si>
  <si>
    <t>Valuation as per Government reckoners rates</t>
  </si>
  <si>
    <t>Building details floor wise</t>
  </si>
  <si>
    <t>Undertaking :</t>
  </si>
  <si>
    <t>2) I/We have no direct or Indirect Interest in the property being valued</t>
  </si>
  <si>
    <t>3) The information furnished above is true and correct to my/our knowledge</t>
  </si>
  <si>
    <t>Valuation Report For Dream Park</t>
  </si>
  <si>
    <t>Dream Park</t>
  </si>
  <si>
    <t>Copy of CC, Copy of Approved Plan.</t>
  </si>
  <si>
    <t>Dream Home Enterprises</t>
  </si>
  <si>
    <t>Yes, all the mentioned amenities are within the radius 4 to 5 KM</t>
  </si>
  <si>
    <t>Yes, they have proposed the same</t>
  </si>
  <si>
    <t>Middle class</t>
  </si>
  <si>
    <t>Open Plot</t>
  </si>
  <si>
    <t>4245.45 Sq.Mtr.</t>
  </si>
  <si>
    <t>1 RK</t>
  </si>
  <si>
    <t>1 BHK</t>
  </si>
  <si>
    <t>Type-B</t>
  </si>
  <si>
    <t>NA</t>
  </si>
  <si>
    <t>Development charges</t>
  </si>
  <si>
    <t>Wing-B</t>
  </si>
  <si>
    <t>Wing F</t>
  </si>
  <si>
    <t>6 Wings</t>
  </si>
  <si>
    <t>Disbursment summary attached as per work completed of each wing</t>
  </si>
  <si>
    <t>Approval details : The project is approved as per the details given below.</t>
  </si>
  <si>
    <t>Authorized Signatory
                                                                                                                                                                                                                                                                                     Name &amp; Seal of the agency</t>
  </si>
  <si>
    <t>1) We have personally visited the property &amp; identified the same based on the documents provided</t>
  </si>
  <si>
    <t>Axis Sanpada</t>
  </si>
  <si>
    <t xml:space="preserve">Construction details:                                                                  </t>
  </si>
  <si>
    <t>Type of Work</t>
  </si>
  <si>
    <t>Plinth</t>
  </si>
  <si>
    <t>RCC</t>
  </si>
  <si>
    <t>Plaster</t>
  </si>
  <si>
    <t>Flooring</t>
  </si>
  <si>
    <t>Finishing</t>
  </si>
  <si>
    <t>Particulars</t>
  </si>
  <si>
    <t xml:space="preserve">totaL floor </t>
  </si>
  <si>
    <t xml:space="preserve">total </t>
  </si>
  <si>
    <t xml:space="preserve">completed  </t>
  </si>
  <si>
    <t>plinth</t>
  </si>
  <si>
    <t>slab</t>
  </si>
  <si>
    <t>total slab</t>
  </si>
  <si>
    <t>completed slab</t>
  </si>
  <si>
    <t>p</t>
  </si>
  <si>
    <t>rcc</t>
  </si>
  <si>
    <t>Bricks</t>
  </si>
  <si>
    <t>Wood &amp; painting</t>
  </si>
  <si>
    <t>Progress</t>
  </si>
  <si>
    <t xml:space="preserve">Bricks </t>
  </si>
  <si>
    <t>Total Floor</t>
  </si>
  <si>
    <t>completed Floor</t>
  </si>
  <si>
    <t xml:space="preserve">Recommended </t>
  </si>
  <si>
    <t>plaster</t>
  </si>
  <si>
    <t>Recommended</t>
  </si>
  <si>
    <t xml:space="preserve"> </t>
  </si>
  <si>
    <t>total</t>
  </si>
  <si>
    <t xml:space="preserve">PHOTOGRAPHS OF PROPERTY  : </t>
  </si>
  <si>
    <t>Google map :</t>
  </si>
  <si>
    <t>Pratiksha</t>
  </si>
  <si>
    <t>Construction details:</t>
  </si>
  <si>
    <t>Basement</t>
  </si>
  <si>
    <t>Ground</t>
  </si>
  <si>
    <t>Podium</t>
  </si>
  <si>
    <t>Floors</t>
  </si>
  <si>
    <t>All work Completed. Provide OC.</t>
  </si>
  <si>
    <t xml:space="preserve">Stage of construction: </t>
  </si>
  <si>
    <t>All work Completed. OC Received.</t>
  </si>
  <si>
    <t>Slab/Floor</t>
  </si>
  <si>
    <t>Complition %</t>
  </si>
  <si>
    <t>Progress %</t>
  </si>
  <si>
    <t>Disbursement %</t>
  </si>
  <si>
    <t>Piling Work in process</t>
  </si>
  <si>
    <t>Excavation</t>
  </si>
  <si>
    <t>Excavation in process</t>
  </si>
  <si>
    <t>Excavation Completed</t>
  </si>
  <si>
    <t>RCC (Including podiums)</t>
  </si>
  <si>
    <t>Footing in Process</t>
  </si>
  <si>
    <t>Brickwork</t>
  </si>
  <si>
    <t>Brickwork &amp; Internal Plaster</t>
  </si>
  <si>
    <t>Footing Completed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</si>
  <si>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</si>
  <si>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</si>
  <si>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</si>
  <si>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</si>
  <si>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</si>
  <si>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</si>
  <si>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</si>
  <si>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</si>
  <si>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</si>
  <si>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</si>
  <si>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Plinth in process</t>
  </si>
  <si>
    <t>Possession</t>
  </si>
  <si>
    <t>Plinth completed</t>
  </si>
  <si>
    <t>Wing A, B &amp; C = Gr + 4th Floor</t>
  </si>
  <si>
    <t>Wing D, E &amp; F = Gr + 4th Floor</t>
  </si>
  <si>
    <t>Rera No.</t>
  </si>
  <si>
    <t>P52000002612 - Dream Home Enterprises</t>
  </si>
  <si>
    <t>1,00,000/-</t>
  </si>
  <si>
    <t>M/S. Dream Home Enterprises</t>
  </si>
  <si>
    <t>Lowjee</t>
  </si>
  <si>
    <t>Lowjee Rly station road</t>
  </si>
  <si>
    <t>Raigad</t>
  </si>
  <si>
    <t>Khalapur</t>
  </si>
  <si>
    <t>Subhash Nagar</t>
  </si>
  <si>
    <t>400 M From Lowjee Railway station</t>
  </si>
  <si>
    <t>As per Layout</t>
  </si>
  <si>
    <t>6 M W Road</t>
  </si>
  <si>
    <t>18 M W Road</t>
  </si>
  <si>
    <t>Dated</t>
  </si>
  <si>
    <t xml:space="preserve">Layout Approval No : </t>
  </si>
  <si>
    <t>KMC/PWD/BP/538/1290</t>
  </si>
  <si>
    <t>Name of Municipal Corporation/Authority</t>
  </si>
  <si>
    <t xml:space="preserve">Building plan Approval No : </t>
  </si>
  <si>
    <t>KMC/PWD/BP/538/1290
Plan aaproval up to : Wing A to F = G/St + 1st to 4th Floor</t>
  </si>
  <si>
    <t xml:space="preserve">KNP/BV/BP/538/1290
</t>
  </si>
  <si>
    <t>Khopoli Nagar Parishad</t>
  </si>
  <si>
    <t>KMC/BD.V/V.P/727/1628</t>
  </si>
  <si>
    <t xml:space="preserve">Expected Completion: </t>
  </si>
  <si>
    <t>As per RERA - 30/06/2023</t>
  </si>
  <si>
    <t xml:space="preserve">Approved area of the building : </t>
  </si>
  <si>
    <t xml:space="preserve">Approved no of units : </t>
  </si>
  <si>
    <t>Approved no of Floors :</t>
  </si>
  <si>
    <t>No of floors at site :</t>
  </si>
  <si>
    <t>as per approved plan</t>
  </si>
  <si>
    <t>Described in stage of construction.</t>
  </si>
  <si>
    <t>Quality of construction:</t>
  </si>
  <si>
    <t>Good</t>
  </si>
  <si>
    <t>Projected life of the structure:</t>
  </si>
  <si>
    <t>60 years upon completion</t>
  </si>
  <si>
    <t xml:space="preserve">Material laying at Site : </t>
  </si>
  <si>
    <t>Nothing</t>
  </si>
  <si>
    <t xml:space="preserve">Wheather the construction is as per approved Building plan : </t>
  </si>
  <si>
    <t>Yes</t>
  </si>
  <si>
    <t>Violations Observed if any :</t>
  </si>
  <si>
    <t xml:space="preserve"> No</t>
  </si>
  <si>
    <t>Flat No.
(Approved Plan)</t>
  </si>
  <si>
    <t>Flat No. (Sale Plan)</t>
  </si>
  <si>
    <t>Description</t>
  </si>
  <si>
    <t>Carpet area</t>
  </si>
  <si>
    <t>Gross Carpet area</t>
  </si>
  <si>
    <t>Attached Terrace area</t>
  </si>
  <si>
    <t>1BHK</t>
  </si>
  <si>
    <t>Wing D</t>
  </si>
  <si>
    <t>Wing E</t>
  </si>
  <si>
    <t>Type C</t>
  </si>
  <si>
    <t>Type A</t>
  </si>
  <si>
    <t>(D135+F135)*1.45</t>
  </si>
  <si>
    <t>1st &amp; 3rd Floor For Residential</t>
  </si>
  <si>
    <t>2nd &amp; 4th Floor For Residential</t>
  </si>
  <si>
    <t>1RK</t>
  </si>
  <si>
    <t>Project location details :</t>
  </si>
  <si>
    <t xml:space="preserve">Approved usage of the Property: Residential                                                                                                                                                       (Restrictive convenants in regards to land use , if any): </t>
  </si>
  <si>
    <t>No</t>
  </si>
  <si>
    <t>RCC Framed Structure</t>
  </si>
  <si>
    <t>Type D</t>
  </si>
  <si>
    <t>Nirmal Bhakti Building</t>
  </si>
  <si>
    <t>Layout :</t>
  </si>
  <si>
    <t>Name of the Project (As Per Builder)</t>
  </si>
  <si>
    <t>Name of the Project (As Per Rera)</t>
  </si>
  <si>
    <t xml:space="preserve">Dream Home Enterprises
</t>
  </si>
  <si>
    <t>Dream Park, Plot No.15, 16, 18, 19, 20, 21 to 29, Near Nirmal Bhakti Building, Subhash Nagar, Lowjee, Khalapur, Raigad - 401201</t>
  </si>
  <si>
    <t xml:space="preserve">Does the boundaries at site match, as mentioned in the Docoumentation: </t>
  </si>
  <si>
    <t>Normal</t>
  </si>
  <si>
    <t>Middle Class</t>
  </si>
  <si>
    <t>15, 16, 18, 19, 20, 21 to 29 &amp; CTS No. 713, 718, 719, 723,725 &amp; 727</t>
  </si>
  <si>
    <t>Khopoli</t>
  </si>
  <si>
    <t xml:space="preserve">Locality </t>
  </si>
  <si>
    <t>Plot No.</t>
  </si>
  <si>
    <t>Taluka</t>
  </si>
  <si>
    <t xml:space="preserve">Road </t>
  </si>
  <si>
    <t>City</t>
  </si>
  <si>
    <t xml:space="preserve">Village </t>
  </si>
  <si>
    <t xml:space="preserve">District  </t>
  </si>
  <si>
    <t xml:space="preserve">Pin Code  </t>
  </si>
  <si>
    <t>Distance from city centre</t>
  </si>
  <si>
    <t xml:space="preserve">Nearby Landmark </t>
  </si>
  <si>
    <t xml:space="preserve">Type of Structure  </t>
  </si>
  <si>
    <t xml:space="preserve">Nature of land with topographical condtion  </t>
  </si>
  <si>
    <t xml:space="preserve">Nature of the locality  </t>
  </si>
  <si>
    <t xml:space="preserve">Quality of infrastructure in vicinity  </t>
  </si>
  <si>
    <t>Area Statement Details :</t>
  </si>
  <si>
    <t>Latitude, Longitude</t>
  </si>
  <si>
    <t>Location Link</t>
  </si>
  <si>
    <t xml:space="preserve">Proposed Amenities                                                                                                                                                                                                                                   </t>
  </si>
  <si>
    <t xml:space="preserve">1. Vitrified tiles flooring : Not yet commenced.                                                                                                                                                                  2. Garanite marble Kitchen platform: Not yet commenced.                                                                                                                               3. Power coated sliding windows with tinted glass: Not yet commenced.                                                                                               4.Designer Bathroom with branded Sanitary were: Not yet commenced.                                                                                                             5. Premium quality paints on internal walls: Not yet commenced.                                                                                                                                         6. Concealed copper wiring with MCB/ELCB: Not yet commenced.    </t>
  </si>
  <si>
    <t>Total land area of the project in Sq. Mt.</t>
  </si>
  <si>
    <t>Total FSI availaible for the project</t>
  </si>
  <si>
    <t xml:space="preserve">KMC/BD/BV/VP/727/1628
</t>
  </si>
  <si>
    <t>KMC/BV/BD/727/1628</t>
  </si>
  <si>
    <t>Wing D to F = G/St + 1st to 4th Floor (60 Flats)</t>
  </si>
  <si>
    <t xml:space="preserve">O. Certificate No. :
Valid for : </t>
  </si>
  <si>
    <t>Wing D to F = G/St + 1st to 4th Floor</t>
  </si>
  <si>
    <t xml:space="preserve">C.certificate No : 
Valid up to : </t>
  </si>
  <si>
    <t>Chajja Area</t>
  </si>
  <si>
    <t>Residential Area Details :</t>
  </si>
  <si>
    <t>Building &amp; Wing</t>
  </si>
  <si>
    <t>No. of Units</t>
  </si>
  <si>
    <t>Total Carpet Area</t>
  </si>
  <si>
    <t>Total Saleable Area</t>
  </si>
  <si>
    <t>Total</t>
  </si>
  <si>
    <t>Building D</t>
  </si>
  <si>
    <t>Building E</t>
  </si>
  <si>
    <t>Building F</t>
  </si>
  <si>
    <t>Ground floor</t>
  </si>
  <si>
    <t>1st floor plan</t>
  </si>
  <si>
    <t>2nd &amp; 4th floor</t>
  </si>
  <si>
    <t>3rd floor</t>
  </si>
  <si>
    <t>Ground floor for commercial &amp; stilt area for parking</t>
  </si>
  <si>
    <t>1st &amp; 3rd floor</t>
  </si>
  <si>
    <t>2nd floor</t>
  </si>
  <si>
    <t>4th floor</t>
  </si>
  <si>
    <t>Wing C</t>
  </si>
  <si>
    <t>Wing A</t>
  </si>
  <si>
    <t>Saleable area 
Loading :</t>
  </si>
  <si>
    <t>Total Permissible Builtup area of the project (Sq.Mt)</t>
  </si>
  <si>
    <t>Office No. 1031, Wing J, Akshar Business Park, Plot No. 03 Sector 25, Near APMC Market, 
Vashi, Navi Mumbai, Maharashtra 400703 TEL: 022-46090378/79/80                                                                       
E mail : vsjcapf@gmail.com. Web site : www.vsjadon.com</t>
  </si>
  <si>
    <t>Approval Detail : Wing A to C</t>
  </si>
  <si>
    <t>Approval Detail : Wing D to F</t>
  </si>
  <si>
    <t>https://maps.app.goo.gl/gNPCLp661eEfNuMX9</t>
  </si>
  <si>
    <t>18.808526, 73.337467</t>
  </si>
  <si>
    <t xml:space="preserve">Wing A to C = G/St + 1st to 4th Floor </t>
  </si>
  <si>
    <t>C B Area</t>
  </si>
  <si>
    <t>Recommended rate of the flat Per Sq.Ft. (On Saleable Area)</t>
  </si>
  <si>
    <t xml:space="preserve">2,240/- </t>
  </si>
  <si>
    <t>Distress valuation of the property Per Sq.Ft. (On Saleable Area)</t>
  </si>
  <si>
    <t xml:space="preserve">2900/- </t>
  </si>
  <si>
    <t>2800 to 2900</t>
  </si>
  <si>
    <t>by sachin sir</t>
  </si>
  <si>
    <t>Building A</t>
  </si>
  <si>
    <t>Building B</t>
  </si>
  <si>
    <t>Building C</t>
  </si>
  <si>
    <r>
      <t xml:space="preserve">Remarks :
1. Revised plans &amp; CC need to get verified for wing A, B &amp; C. The old plan is valid up to G + 4 floors but as per site information the buildings are G + 7 floors. 
2. Wing A, B &amp; C - Construction work is stopped. Work is same from visit (04/12/2019)
    Wing D, E &amp; F -  All work completed. OC Recieved.(Lift is not installed)
3. We have updated approved plan &amp; CC of wing D to F on 28/06/2024.
</t>
    </r>
    <r>
      <rPr>
        <b/>
        <sz val="11"/>
        <color rgb="FFFF0000"/>
        <rFont val="Times New Roman"/>
        <family val="1"/>
      </rPr>
      <t xml:space="preserve">4. As per RERA, completion period of project Dream Park is expired on 30/06/2023 but still project is under construction.
5. As Per Layout Dtd. 29/07/2017 Wing C is not mentioned.
6. Rera consist only Wing A &amp; Wing B. Wing C, D, E &amp; F are not include in this Rera no. P52000002612
</t>
    </r>
    <r>
      <rPr>
        <b/>
        <sz val="11"/>
        <color theme="1"/>
        <rFont val="Times New Roman"/>
        <family val="1"/>
      </rPr>
      <t>7. The project has received first CC on 21/07/2012, But construction work is not yet completed.</t>
    </r>
    <r>
      <rPr>
        <b/>
        <sz val="11"/>
        <color rgb="FFFF0000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8. Other charges/ Rate has been revised as per market inquiry (on 23/07/2024)</t>
    </r>
    <r>
      <rPr>
        <b/>
        <sz val="11"/>
        <color rgb="FFFF0000"/>
        <rFont val="Times New Roman"/>
        <family val="1"/>
      </rPr>
      <t xml:space="preserve">
9. As checked on RERA portal on date 09/09/2025, we have observed that above project "Dream Park" is kept under abeyance. Please check from your end.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</si>
</sst>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sz val="12"/>
      <color indexed="8"/>
      <name val="Times New Roman"/>
      <family val="1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0" fontId="17" fillId="0" borderId="0" applyNumberFormat="0" applyFill="0" applyBorder="0" applyAlignment="0" applyProtection="0"/>
  </cellStyleXfs>
  <cellXfs count="110">
    <xf numFmtId="0" fontId="0" fillId="0" borderId="0" xfId="0"/>
    <xf numFmtId="0" fontId="1" fillId="0" borderId="0" xfId="1"/>
    <xf numFmtId="0" fontId="6" fillId="0" borderId="0" xfId="0" applyFont="1"/>
    <xf numFmtId="0" fontId="3" fillId="0" borderId="0" xfId="2"/>
    <xf numFmtId="0" fontId="4" fillId="2" borderId="1" xfId="2" applyFont="1" applyFill="1" applyBorder="1"/>
    <xf numFmtId="0" fontId="3" fillId="0" borderId="1" xfId="2" applyBorder="1"/>
    <xf numFmtId="0" fontId="3" fillId="0" borderId="2" xfId="2" applyBorder="1"/>
    <xf numFmtId="0" fontId="3" fillId="0" borderId="0" xfId="2" applyAlignment="1">
      <alignment wrapText="1"/>
    </xf>
    <xf numFmtId="0" fontId="3" fillId="0" borderId="1" xfId="2" applyBorder="1" applyAlignment="1">
      <alignment wrapText="1"/>
    </xf>
    <xf numFmtId="0" fontId="5" fillId="0" borderId="0" xfId="2" applyFont="1"/>
    <xf numFmtId="1" fontId="0" fillId="0" borderId="0" xfId="0" applyNumberFormat="1"/>
    <xf numFmtId="0" fontId="7" fillId="0" borderId="0" xfId="0" applyFont="1"/>
    <xf numFmtId="0" fontId="4" fillId="0" borderId="0" xfId="0" applyFont="1"/>
    <xf numFmtId="14" fontId="0" fillId="0" borderId="0" xfId="0" applyNumberFormat="1"/>
    <xf numFmtId="0" fontId="9" fillId="0" borderId="6" xfId="3" applyFont="1" applyBorder="1" applyProtection="1">
      <protection hidden="1"/>
    </xf>
    <xf numFmtId="0" fontId="9" fillId="0" borderId="7" xfId="3" applyFont="1" applyBorder="1" applyProtection="1">
      <protection hidden="1"/>
    </xf>
    <xf numFmtId="0" fontId="9" fillId="0" borderId="0" xfId="3" applyFont="1" applyProtection="1">
      <protection hidden="1"/>
    </xf>
    <xf numFmtId="0" fontId="9" fillId="0" borderId="8" xfId="3" applyFont="1" applyBorder="1" applyProtection="1">
      <protection hidden="1"/>
    </xf>
    <xf numFmtId="0" fontId="12" fillId="0" borderId="0" xfId="0" applyFont="1" applyProtection="1">
      <protection hidden="1"/>
    </xf>
    <xf numFmtId="0" fontId="9" fillId="0" borderId="0" xfId="3" applyFont="1"/>
    <xf numFmtId="0" fontId="9" fillId="0" borderId="8" xfId="3" applyFont="1" applyBorder="1"/>
    <xf numFmtId="9" fontId="12" fillId="0" borderId="0" xfId="0" applyNumberFormat="1" applyFont="1" applyProtection="1">
      <protection hidden="1"/>
    </xf>
    <xf numFmtId="0" fontId="12" fillId="0" borderId="8" xfId="0" applyFont="1" applyBorder="1" applyProtection="1">
      <protection hidden="1"/>
    </xf>
    <xf numFmtId="1" fontId="0" fillId="0" borderId="8" xfId="0" applyNumberFormat="1" applyBorder="1"/>
    <xf numFmtId="164" fontId="0" fillId="0" borderId="0" xfId="0" applyNumberFormat="1"/>
    <xf numFmtId="1" fontId="0" fillId="0" borderId="8" xfId="0" applyNumberFormat="1" applyBorder="1" applyAlignment="1">
      <alignment horizontal="right"/>
    </xf>
    <xf numFmtId="0" fontId="0" fillId="0" borderId="8" xfId="0" applyBorder="1"/>
    <xf numFmtId="0" fontId="12" fillId="0" borderId="9" xfId="0" applyFont="1" applyBorder="1" applyProtection="1">
      <protection hidden="1"/>
    </xf>
    <xf numFmtId="9" fontId="12" fillId="0" borderId="9" xfId="0" applyNumberFormat="1" applyFont="1" applyBorder="1" applyProtection="1">
      <protection hidden="1"/>
    </xf>
    <xf numFmtId="1" fontId="0" fillId="0" borderId="10" xfId="0" applyNumberFormat="1" applyBorder="1"/>
    <xf numFmtId="0" fontId="10" fillId="0" borderId="1" xfId="3" applyFont="1" applyBorder="1" applyAlignment="1" applyProtection="1">
      <alignment horizontal="center" wrapText="1"/>
      <protection locked="0"/>
    </xf>
    <xf numFmtId="1" fontId="10" fillId="0" borderId="1" xfId="3" applyNumberFormat="1" applyFont="1" applyBorder="1" applyAlignment="1" applyProtection="1">
      <alignment horizontal="center" wrapText="1"/>
      <protection locked="0"/>
    </xf>
    <xf numFmtId="9" fontId="10" fillId="3" borderId="1" xfId="3" applyNumberFormat="1" applyFont="1" applyFill="1" applyBorder="1" applyAlignment="1" applyProtection="1">
      <alignment vertical="center" wrapText="1"/>
      <protection hidden="1"/>
    </xf>
    <xf numFmtId="0" fontId="6" fillId="0" borderId="1" xfId="0" applyFont="1" applyBorder="1" applyAlignment="1"/>
    <xf numFmtId="1" fontId="6" fillId="0" borderId="1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applyBorder="1"/>
    <xf numFmtId="0" fontId="6" fillId="0" borderId="1" xfId="0" applyFont="1" applyBorder="1" applyAlignment="1">
      <alignment horizontal="center"/>
    </xf>
    <xf numFmtId="0" fontId="10" fillId="0" borderId="1" xfId="3" applyFont="1" applyBorder="1" applyAlignment="1" applyProtection="1">
      <alignment horizontal="center" vertical="top"/>
      <protection locked="0"/>
    </xf>
    <xf numFmtId="0" fontId="10" fillId="0" borderId="1" xfId="3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vertical="top"/>
    </xf>
    <xf numFmtId="0" fontId="6" fillId="0" borderId="0" xfId="0" applyFont="1" applyBorder="1" applyAlignment="1"/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/>
    <xf numFmtId="0" fontId="7" fillId="0" borderId="1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1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9" fontId="7" fillId="0" borderId="1" xfId="0" applyNumberFormat="1" applyFont="1" applyBorder="1" applyAlignment="1">
      <alignment horizontal="center" vertical="top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6" fillId="0" borderId="1" xfId="0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left" vertical="top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13" fillId="0" borderId="1" xfId="0" applyNumberFormat="1" applyFont="1" applyBorder="1" applyAlignment="1" applyProtection="1">
      <alignment horizontal="center" vertical="top" wrapText="1"/>
      <protection locked="0"/>
    </xf>
    <xf numFmtId="0" fontId="15" fillId="0" borderId="4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14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5" fillId="0" borderId="4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14" fontId="6" fillId="0" borderId="3" xfId="0" applyNumberFormat="1" applyFont="1" applyBorder="1" applyAlignment="1">
      <alignment horizontal="left" vertical="top"/>
    </xf>
    <xf numFmtId="14" fontId="6" fillId="0" borderId="5" xfId="0" applyNumberFormat="1" applyFont="1" applyBorder="1" applyAlignment="1">
      <alignment horizontal="left" vertical="top"/>
    </xf>
    <xf numFmtId="0" fontId="15" fillId="0" borderId="4" xfId="0" applyFont="1" applyBorder="1" applyAlignment="1">
      <alignment horizontal="left" vertical="top"/>
    </xf>
    <xf numFmtId="0" fontId="15" fillId="0" borderId="5" xfId="0" applyFont="1" applyBorder="1" applyAlignment="1">
      <alignment horizontal="left" vertical="top"/>
    </xf>
    <xf numFmtId="14" fontId="6" fillId="0" borderId="1" xfId="0" applyNumberFormat="1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8" fillId="0" borderId="1" xfId="3" applyFont="1" applyBorder="1" applyAlignment="1" applyProtection="1">
      <alignment horizontal="left" vertical="top"/>
      <protection locked="0"/>
    </xf>
    <xf numFmtId="0" fontId="16" fillId="0" borderId="1" xfId="3" applyFont="1" applyBorder="1" applyAlignment="1" applyProtection="1">
      <alignment horizontal="left" vertical="top"/>
      <protection locked="0"/>
    </xf>
    <xf numFmtId="2" fontId="16" fillId="0" borderId="1" xfId="3" applyNumberFormat="1" applyFont="1" applyBorder="1" applyAlignment="1" applyProtection="1">
      <alignment horizontal="left" vertical="top" wrapText="1"/>
      <protection locked="0"/>
    </xf>
    <xf numFmtId="2" fontId="16" fillId="0" borderId="1" xfId="3" applyNumberFormat="1" applyFont="1" applyFill="1" applyBorder="1" applyAlignment="1" applyProtection="1">
      <alignment horizontal="left" vertical="top" wrapText="1"/>
      <protection locked="0"/>
    </xf>
    <xf numFmtId="0" fontId="17" fillId="0" borderId="1" xfId="4" applyBorder="1" applyAlignment="1" applyProtection="1">
      <alignment horizontal="left" vertical="top"/>
      <protection locked="0"/>
    </xf>
    <xf numFmtId="0" fontId="6" fillId="0" borderId="1" xfId="0" applyFont="1" applyBorder="1" applyAlignment="1"/>
    <xf numFmtId="0" fontId="13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left" vertical="top"/>
    </xf>
    <xf numFmtId="0" fontId="10" fillId="0" borderId="1" xfId="3" applyFont="1" applyBorder="1" applyAlignment="1" applyProtection="1">
      <alignment horizontal="center" vertical="top"/>
      <protection locked="0"/>
    </xf>
    <xf numFmtId="9" fontId="10" fillId="3" borderId="1" xfId="3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3" applyFont="1" applyBorder="1" applyAlignment="1">
      <alignment horizontal="left" vertical="top" wrapText="1"/>
    </xf>
    <xf numFmtId="0" fontId="10" fillId="0" borderId="1" xfId="3" applyFont="1" applyBorder="1" applyAlignment="1" applyProtection="1">
      <alignment horizontal="center" vertical="top" wrapText="1"/>
      <protection locked="0"/>
    </xf>
    <xf numFmtId="0" fontId="8" fillId="0" borderId="1" xfId="3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>
      <alignment horizontal="left"/>
    </xf>
    <xf numFmtId="0" fontId="8" fillId="0" borderId="1" xfId="3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11" fillId="0" borderId="1" xfId="3" applyFont="1" applyBorder="1" applyAlignment="1" applyProtection="1">
      <alignment horizontal="left" vertical="top"/>
      <protection locked="0"/>
    </xf>
    <xf numFmtId="0" fontId="11" fillId="0" borderId="1" xfId="3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>
      <alignment horizontal="center" wrapText="1"/>
    </xf>
    <xf numFmtId="0" fontId="2" fillId="0" borderId="1" xfId="1" applyFont="1" applyBorder="1" applyAlignment="1">
      <alignment horizontal="left" vertical="top" wrapText="1"/>
    </xf>
    <xf numFmtId="0" fontId="7" fillId="0" borderId="1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14" fontId="7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11" fillId="0" borderId="1" xfId="3" applyFont="1" applyBorder="1" applyAlignment="1" applyProtection="1">
      <alignment horizontal="center" vertical="top" wrapText="1"/>
      <protection locked="0"/>
    </xf>
    <xf numFmtId="0" fontId="13" fillId="0" borderId="1" xfId="3" applyFont="1" applyBorder="1" applyAlignment="1" applyProtection="1">
      <alignment horizontal="center" vertical="center"/>
      <protection locked="0"/>
    </xf>
    <xf numFmtId="9" fontId="11" fillId="0" borderId="1" xfId="3" applyNumberFormat="1" applyFont="1" applyBorder="1" applyAlignment="1" applyProtection="1">
      <alignment horizontal="center" vertical="center" wrapText="1"/>
      <protection locked="0"/>
    </xf>
    <xf numFmtId="0" fontId="11" fillId="0" borderId="1" xfId="3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14" fontId="6" fillId="0" borderId="1" xfId="0" applyNumberFormat="1" applyFont="1" applyBorder="1" applyAlignment="1">
      <alignment horizontal="left" vertical="top" wrapText="1"/>
    </xf>
  </cellXfs>
  <cellStyles count="5">
    <cellStyle name="Excel Built-in Normal" xfId="1"/>
    <cellStyle name="Hyperlink" xfId="4" builtinId="8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jpeg"/><Relationship Id="rId1" Type="http://schemas.openxmlformats.org/officeDocument/2006/relationships/image" Target="../media/image20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331</xdr:row>
      <xdr:rowOff>159204</xdr:rowOff>
    </xdr:from>
    <xdr:to>
      <xdr:col>7</xdr:col>
      <xdr:colOff>773968</xdr:colOff>
      <xdr:row>348</xdr:row>
      <xdr:rowOff>160704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9432" y="57023454"/>
          <a:ext cx="5407200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751770</xdr:colOff>
      <xdr:row>293</xdr:row>
      <xdr:rowOff>95250</xdr:rowOff>
    </xdr:from>
    <xdr:to>
      <xdr:col>4</xdr:col>
      <xdr:colOff>415579</xdr:colOff>
      <xdr:row>321</xdr:row>
      <xdr:rowOff>133350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1770" y="48577500"/>
          <a:ext cx="2820666" cy="53721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5</xdr:col>
      <xdr:colOff>598714</xdr:colOff>
      <xdr:row>293</xdr:row>
      <xdr:rowOff>80750</xdr:rowOff>
    </xdr:from>
    <xdr:to>
      <xdr:col>9</xdr:col>
      <xdr:colOff>450396</xdr:colOff>
      <xdr:row>314</xdr:row>
      <xdr:rowOff>23600</xdr:rowOff>
    </xdr:to>
    <xdr:grpSp>
      <xdr:nvGrpSpPr>
        <xdr:cNvPr id="46" name="Group 45"/>
        <xdr:cNvGrpSpPr/>
      </xdr:nvGrpSpPr>
      <xdr:grpSpPr>
        <a:xfrm>
          <a:off x="4726214" y="55668650"/>
          <a:ext cx="3153682" cy="3803650"/>
          <a:chOff x="3761014" y="48705875"/>
          <a:chExt cx="3061607" cy="3943350"/>
        </a:xfrm>
      </xdr:grpSpPr>
      <xdr:pic>
        <xdr:nvPicPr>
          <xdr:cNvPr id="40" name="Picture 39"/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761014" y="48705875"/>
            <a:ext cx="3061607" cy="394335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2" name="TextBox 41"/>
          <xdr:cNvSpPr txBox="1"/>
        </xdr:nvSpPr>
        <xdr:spPr>
          <a:xfrm>
            <a:off x="4752974" y="49958625"/>
            <a:ext cx="666751" cy="27622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 b="1">
                <a:solidFill>
                  <a:srgbClr val="FF0000"/>
                </a:solidFill>
              </a:rPr>
              <a:t>Wing D</a:t>
            </a:r>
          </a:p>
        </xdr:txBody>
      </xdr:sp>
      <xdr:sp macro="" textlink="">
        <xdr:nvSpPr>
          <xdr:cNvPr id="43" name="TextBox 42"/>
          <xdr:cNvSpPr txBox="1"/>
        </xdr:nvSpPr>
        <xdr:spPr>
          <a:xfrm>
            <a:off x="5638800" y="49215675"/>
            <a:ext cx="666751" cy="27622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 b="1">
                <a:solidFill>
                  <a:srgbClr val="FF0000"/>
                </a:solidFill>
              </a:rPr>
              <a:t>Wing F</a:t>
            </a:r>
          </a:p>
        </xdr:txBody>
      </xdr:sp>
      <xdr:sp macro="" textlink="">
        <xdr:nvSpPr>
          <xdr:cNvPr id="44" name="TextBox 43"/>
          <xdr:cNvSpPr txBox="1"/>
        </xdr:nvSpPr>
        <xdr:spPr>
          <a:xfrm>
            <a:off x="5686425" y="50006250"/>
            <a:ext cx="666751" cy="27622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 b="1">
                <a:solidFill>
                  <a:srgbClr val="FF0000"/>
                </a:solidFill>
              </a:rPr>
              <a:t>Wing E</a:t>
            </a:r>
          </a:p>
        </xdr:txBody>
      </xdr:sp>
      <xdr:sp macro="" textlink="">
        <xdr:nvSpPr>
          <xdr:cNvPr id="45" name="TextBox 44"/>
          <xdr:cNvSpPr txBox="1"/>
        </xdr:nvSpPr>
        <xdr:spPr>
          <a:xfrm>
            <a:off x="4905375" y="51901725"/>
            <a:ext cx="923925" cy="27622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 b="1">
                <a:solidFill>
                  <a:srgbClr val="FF0000"/>
                </a:solidFill>
              </a:rPr>
              <a:t>Wing A</a:t>
            </a:r>
            <a:r>
              <a:rPr lang="en-IN" sz="1200" b="1" baseline="0">
                <a:solidFill>
                  <a:srgbClr val="FF0000"/>
                </a:solidFill>
              </a:rPr>
              <a:t> &amp; B</a:t>
            </a:r>
            <a:endParaRPr lang="en-IN" sz="1200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1</xdr:col>
      <xdr:colOff>489858</xdr:colOff>
      <xdr:row>349</xdr:row>
      <xdr:rowOff>122464</xdr:rowOff>
    </xdr:from>
    <xdr:to>
      <xdr:col>8</xdr:col>
      <xdr:colOff>238126</xdr:colOff>
      <xdr:row>371</xdr:row>
      <xdr:rowOff>36739</xdr:rowOff>
    </xdr:to>
    <xdr:grpSp>
      <xdr:nvGrpSpPr>
        <xdr:cNvPr id="49" name="Group 48"/>
        <xdr:cNvGrpSpPr/>
      </xdr:nvGrpSpPr>
      <xdr:grpSpPr>
        <a:xfrm>
          <a:off x="1315358" y="66016414"/>
          <a:ext cx="5526768" cy="3965575"/>
          <a:chOff x="1270908" y="60558589"/>
          <a:chExt cx="4606018" cy="4105275"/>
        </a:xfrm>
      </xdr:grpSpPr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270908" y="60558589"/>
            <a:ext cx="4606018" cy="410527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8" name="Freeform 47"/>
          <xdr:cNvSpPr/>
        </xdr:nvSpPr>
        <xdr:spPr>
          <a:xfrm>
            <a:off x="2895600" y="62017275"/>
            <a:ext cx="1457325" cy="2076450"/>
          </a:xfrm>
          <a:custGeom>
            <a:avLst/>
            <a:gdLst>
              <a:gd name="connsiteX0" fmla="*/ 19050 w 1457325"/>
              <a:gd name="connsiteY0" fmla="*/ 619125 h 2076450"/>
              <a:gd name="connsiteX1" fmla="*/ 371475 w 1457325"/>
              <a:gd name="connsiteY1" fmla="*/ 533400 h 2076450"/>
              <a:gd name="connsiteX2" fmla="*/ 285750 w 1457325"/>
              <a:gd name="connsiteY2" fmla="*/ 152400 h 2076450"/>
              <a:gd name="connsiteX3" fmla="*/ 800100 w 1457325"/>
              <a:gd name="connsiteY3" fmla="*/ 0 h 2076450"/>
              <a:gd name="connsiteX4" fmla="*/ 1457325 w 1457325"/>
              <a:gd name="connsiteY4" fmla="*/ 1819275 h 2076450"/>
              <a:gd name="connsiteX5" fmla="*/ 247650 w 1457325"/>
              <a:gd name="connsiteY5" fmla="*/ 2076450 h 2076450"/>
              <a:gd name="connsiteX6" fmla="*/ 0 w 1457325"/>
              <a:gd name="connsiteY6" fmla="*/ 1419225 h 2076450"/>
              <a:gd name="connsiteX7" fmla="*/ 19050 w 1457325"/>
              <a:gd name="connsiteY7" fmla="*/ 619125 h 20764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</a:cxnLst>
            <a:rect l="l" t="t" r="r" b="b"/>
            <a:pathLst>
              <a:path w="1457325" h="2076450">
                <a:moveTo>
                  <a:pt x="19050" y="619125"/>
                </a:moveTo>
                <a:lnTo>
                  <a:pt x="371475" y="533400"/>
                </a:lnTo>
                <a:lnTo>
                  <a:pt x="285750" y="152400"/>
                </a:lnTo>
                <a:lnTo>
                  <a:pt x="800100" y="0"/>
                </a:lnTo>
                <a:lnTo>
                  <a:pt x="1457325" y="1819275"/>
                </a:lnTo>
                <a:lnTo>
                  <a:pt x="247650" y="2076450"/>
                </a:lnTo>
                <a:lnTo>
                  <a:pt x="0" y="1419225"/>
                </a:lnTo>
                <a:lnTo>
                  <a:pt x="19050" y="619125"/>
                </a:lnTo>
                <a:close/>
              </a:path>
            </a:pathLst>
          </a:custGeom>
          <a:noFill/>
          <a:ln w="3810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</xdr:grpSp>
    <xdr:clientData/>
  </xdr:twoCellAnchor>
  <xdr:oneCellAnchor>
    <xdr:from>
      <xdr:col>10</xdr:col>
      <xdr:colOff>819150</xdr:colOff>
      <xdr:row>248</xdr:row>
      <xdr:rowOff>107950</xdr:rowOff>
    </xdr:from>
    <xdr:ext cx="975588" cy="264560"/>
    <xdr:sp macro="" textlink="">
      <xdr:nvSpPr>
        <xdr:cNvPr id="2" name="TextBox 1"/>
        <xdr:cNvSpPr txBox="1"/>
      </xdr:nvSpPr>
      <xdr:spPr>
        <a:xfrm>
          <a:off x="9074150" y="47059850"/>
          <a:ext cx="97558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A, B &amp; C Wing</a:t>
          </a:r>
        </a:p>
      </xdr:txBody>
    </xdr:sp>
    <xdr:clientData/>
  </xdr:oneCellAnchor>
  <xdr:twoCellAnchor>
    <xdr:from>
      <xdr:col>1</xdr:col>
      <xdr:colOff>25400</xdr:colOff>
      <xdr:row>245</xdr:row>
      <xdr:rowOff>95250</xdr:rowOff>
    </xdr:from>
    <xdr:to>
      <xdr:col>9</xdr:col>
      <xdr:colOff>184149</xdr:colOff>
      <xdr:row>290</xdr:row>
      <xdr:rowOff>50414</xdr:rowOff>
    </xdr:to>
    <xdr:grpSp>
      <xdr:nvGrpSpPr>
        <xdr:cNvPr id="5" name="Group 4"/>
        <xdr:cNvGrpSpPr/>
      </xdr:nvGrpSpPr>
      <xdr:grpSpPr>
        <a:xfrm>
          <a:off x="850900" y="46850300"/>
          <a:ext cx="6762749" cy="8235564"/>
          <a:chOff x="850900" y="46501050"/>
          <a:chExt cx="6762749" cy="8235564"/>
        </a:xfrm>
      </xdr:grpSpPr>
      <xdr:pic>
        <xdr:nvPicPr>
          <xdr:cNvPr id="27" name="Picture 26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36635" y="52936614"/>
            <a:ext cx="134812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30838" y="52936614"/>
            <a:ext cx="134812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63634" y="46501050"/>
            <a:ext cx="2876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710698" y="46501050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966291" y="46501050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50900" y="48766238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86356" y="48766238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21812" y="48766238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022470" y="48766238"/>
            <a:ext cx="1591179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88686" y="51031426"/>
            <a:ext cx="2396666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026030" y="51031426"/>
            <a:ext cx="134812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7" name="Picture 46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25041" y="52936614"/>
            <a:ext cx="134812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0" name="Picture 49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07358" y="51031426"/>
            <a:ext cx="2396666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51" name="TextBox 50"/>
          <xdr:cNvSpPr txBox="1"/>
        </xdr:nvSpPr>
        <xdr:spPr>
          <a:xfrm>
            <a:off x="2068534" y="48063150"/>
            <a:ext cx="975588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A, B &amp; C Wing</a:t>
            </a:r>
          </a:p>
        </xdr:txBody>
      </xdr:sp>
      <xdr:sp macro="" textlink="">
        <xdr:nvSpPr>
          <xdr:cNvPr id="52" name="TextBox 51"/>
          <xdr:cNvSpPr txBox="1"/>
        </xdr:nvSpPr>
        <xdr:spPr>
          <a:xfrm>
            <a:off x="4283791" y="48266350"/>
            <a:ext cx="601768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D Wing</a:t>
            </a:r>
          </a:p>
        </xdr:txBody>
      </xdr:sp>
      <xdr:sp macro="" textlink="">
        <xdr:nvSpPr>
          <xdr:cNvPr id="53" name="TextBox 52"/>
          <xdr:cNvSpPr txBox="1"/>
        </xdr:nvSpPr>
        <xdr:spPr>
          <a:xfrm>
            <a:off x="6498098" y="48177450"/>
            <a:ext cx="601768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D Wing</a:t>
            </a:r>
          </a:p>
        </xdr:txBody>
      </xdr:sp>
      <xdr:sp macro="" textlink="">
        <xdr:nvSpPr>
          <xdr:cNvPr id="54" name="TextBox 53"/>
          <xdr:cNvSpPr txBox="1"/>
        </xdr:nvSpPr>
        <xdr:spPr>
          <a:xfrm>
            <a:off x="1828800" y="50575988"/>
            <a:ext cx="601768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E Wing</a:t>
            </a:r>
          </a:p>
        </xdr:txBody>
      </xdr:sp>
      <xdr:sp macro="" textlink="">
        <xdr:nvSpPr>
          <xdr:cNvPr id="55" name="TextBox 54"/>
          <xdr:cNvSpPr txBox="1"/>
        </xdr:nvSpPr>
        <xdr:spPr>
          <a:xfrm>
            <a:off x="3189606" y="50404538"/>
            <a:ext cx="601768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F Wing</a:t>
            </a:r>
          </a:p>
        </xdr:txBody>
      </xdr:sp>
      <xdr:sp macro="" textlink="">
        <xdr:nvSpPr>
          <xdr:cNvPr id="56" name="TextBox 55"/>
          <xdr:cNvSpPr txBox="1"/>
        </xdr:nvSpPr>
        <xdr:spPr>
          <a:xfrm>
            <a:off x="4842512" y="49953688"/>
            <a:ext cx="601768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D Wing</a:t>
            </a:r>
          </a:p>
        </xdr:txBody>
      </xdr:sp>
      <xdr:sp macro="" textlink="">
        <xdr:nvSpPr>
          <xdr:cNvPr id="57" name="TextBox 56"/>
          <xdr:cNvSpPr txBox="1"/>
        </xdr:nvSpPr>
        <xdr:spPr>
          <a:xfrm>
            <a:off x="6384421" y="50468038"/>
            <a:ext cx="601768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D Wing</a:t>
            </a:r>
          </a:p>
        </xdr:txBody>
      </xdr:sp>
      <xdr:sp macro="" textlink="">
        <xdr:nvSpPr>
          <xdr:cNvPr id="58" name="TextBox 57"/>
          <xdr:cNvSpPr txBox="1"/>
        </xdr:nvSpPr>
        <xdr:spPr>
          <a:xfrm>
            <a:off x="1922136" y="51983926"/>
            <a:ext cx="601768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D Wing</a:t>
            </a:r>
          </a:p>
        </xdr:txBody>
      </xdr:sp>
      <xdr:sp macro="" textlink="">
        <xdr:nvSpPr>
          <xdr:cNvPr id="59" name="TextBox 58"/>
          <xdr:cNvSpPr txBox="1"/>
        </xdr:nvSpPr>
        <xdr:spPr>
          <a:xfrm>
            <a:off x="4459858" y="51964876"/>
            <a:ext cx="58381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E Wing</a:t>
            </a:r>
          </a:p>
        </xdr:txBody>
      </xdr:sp>
      <xdr:sp macro="" textlink="">
        <xdr:nvSpPr>
          <xdr:cNvPr id="60" name="TextBox 59"/>
          <xdr:cNvSpPr txBox="1"/>
        </xdr:nvSpPr>
        <xdr:spPr>
          <a:xfrm>
            <a:off x="6419730" y="51971226"/>
            <a:ext cx="57977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F Wing</a:t>
            </a:r>
          </a:p>
        </xdr:txBody>
      </xdr:sp>
      <xdr:sp macro="" textlink="">
        <xdr:nvSpPr>
          <xdr:cNvPr id="61" name="TextBox 60"/>
          <xdr:cNvSpPr txBox="1"/>
        </xdr:nvSpPr>
        <xdr:spPr>
          <a:xfrm>
            <a:off x="2469541" y="53812914"/>
            <a:ext cx="601768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E Wing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495300</xdr:colOff>
      <xdr:row>0</xdr:row>
      <xdr:rowOff>171450</xdr:rowOff>
    </xdr:from>
    <xdr:to>
      <xdr:col>11</xdr:col>
      <xdr:colOff>142875</xdr:colOff>
      <xdr:row>20</xdr:row>
      <xdr:rowOff>114300</xdr:rowOff>
    </xdr:to>
    <xdr:pic>
      <xdr:nvPicPr>
        <xdr:cNvPr id="3075" name="Picture 1">
          <a:extLst>
            <a:ext uri="{FF2B5EF4-FFF2-40B4-BE49-F238E27FC236}">
              <a16:creationId xmlns:a16="http://schemas.microsoft.com/office/drawing/2014/main" id="{00000000-0008-0000-0200-00000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171450"/>
          <a:ext cx="2695575" cy="375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133350</xdr:colOff>
      <xdr:row>0</xdr:row>
      <xdr:rowOff>171450</xdr:rowOff>
    </xdr:from>
    <xdr:to>
      <xdr:col>6</xdr:col>
      <xdr:colOff>390525</xdr:colOff>
      <xdr:row>20</xdr:row>
      <xdr:rowOff>114300</xdr:rowOff>
    </xdr:to>
    <xdr:pic>
      <xdr:nvPicPr>
        <xdr:cNvPr id="3076" name="Picture 2">
          <a:extLst>
            <a:ext uri="{FF2B5EF4-FFF2-40B4-BE49-F238E27FC236}">
              <a16:creationId xmlns:a16="http://schemas.microsoft.com/office/drawing/2014/main" id="{00000000-0008-0000-0200-00000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171450"/>
          <a:ext cx="2695575" cy="375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gNPCLp661eEfNuMX9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1"/>
  <sheetViews>
    <sheetView tabSelected="1" view="pageBreakPreview" zoomScaleNormal="100" zoomScaleSheetLayoutView="100" workbookViewId="0">
      <selection activeCell="F9" sqref="F9:J9"/>
    </sheetView>
  </sheetViews>
  <sheetFormatPr defaultRowHeight="14.5" x14ac:dyDescent="0.35"/>
  <cols>
    <col min="1" max="10" width="11.81640625" customWidth="1"/>
    <col min="11" max="11" width="17.7265625" customWidth="1"/>
    <col min="12" max="13" width="10.7265625" bestFit="1" customWidth="1"/>
  </cols>
  <sheetData>
    <row r="1" spans="1:10" ht="46.5" customHeight="1" x14ac:dyDescent="0.35">
      <c r="A1" s="55" t="s">
        <v>240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x14ac:dyDescent="0.35">
      <c r="A2" s="52" t="s">
        <v>31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x14ac:dyDescent="0.35">
      <c r="A3" s="67" t="s">
        <v>0</v>
      </c>
      <c r="B3" s="67"/>
      <c r="C3" s="67"/>
      <c r="D3" s="67"/>
      <c r="E3" s="67"/>
      <c r="F3" s="66" t="str">
        <f ca="1">TEXT(TODAY(),"DD/MM/YYYY")</f>
        <v>09/09/2025</v>
      </c>
      <c r="G3" s="67"/>
      <c r="H3" s="67"/>
      <c r="I3" s="67"/>
      <c r="J3" s="67"/>
    </row>
    <row r="4" spans="1:10" x14ac:dyDescent="0.35">
      <c r="A4" s="67" t="s">
        <v>1</v>
      </c>
      <c r="B4" s="67"/>
      <c r="C4" s="67"/>
      <c r="D4" s="67"/>
      <c r="E4" s="67"/>
      <c r="F4" s="67" t="s">
        <v>52</v>
      </c>
      <c r="G4" s="67"/>
      <c r="H4" s="67"/>
      <c r="I4" s="67"/>
      <c r="J4" s="67"/>
    </row>
    <row r="5" spans="1:10" x14ac:dyDescent="0.35">
      <c r="A5" s="67" t="s">
        <v>2</v>
      </c>
      <c r="B5" s="67"/>
      <c r="C5" s="67"/>
      <c r="D5" s="67"/>
      <c r="E5" s="67"/>
      <c r="F5" s="66">
        <v>45906</v>
      </c>
      <c r="G5" s="67"/>
      <c r="H5" s="67"/>
      <c r="I5" s="67"/>
      <c r="J5" s="67"/>
    </row>
    <row r="6" spans="1:10" x14ac:dyDescent="0.35">
      <c r="A6" s="67" t="s">
        <v>3</v>
      </c>
      <c r="B6" s="67"/>
      <c r="C6" s="67"/>
      <c r="D6" s="67"/>
      <c r="E6" s="67"/>
      <c r="F6" s="67" t="s">
        <v>34</v>
      </c>
      <c r="G6" s="67"/>
      <c r="H6" s="67"/>
      <c r="I6" s="67"/>
      <c r="J6" s="67"/>
    </row>
    <row r="7" spans="1:10" x14ac:dyDescent="0.35">
      <c r="A7" s="67" t="s">
        <v>4</v>
      </c>
      <c r="B7" s="67"/>
      <c r="C7" s="67"/>
      <c r="D7" s="67"/>
      <c r="E7" s="67"/>
      <c r="F7" s="67" t="s">
        <v>123</v>
      </c>
      <c r="G7" s="67"/>
      <c r="H7" s="67"/>
      <c r="I7" s="67"/>
      <c r="J7" s="67"/>
    </row>
    <row r="8" spans="1:10" x14ac:dyDescent="0.35">
      <c r="A8" s="67" t="s">
        <v>182</v>
      </c>
      <c r="B8" s="67"/>
      <c r="C8" s="67"/>
      <c r="D8" s="67"/>
      <c r="E8" s="67"/>
      <c r="F8" s="90" t="s">
        <v>32</v>
      </c>
      <c r="G8" s="90"/>
      <c r="H8" s="90"/>
      <c r="I8" s="90"/>
      <c r="J8" s="90"/>
    </row>
    <row r="9" spans="1:10" x14ac:dyDescent="0.35">
      <c r="A9" s="67" t="s">
        <v>183</v>
      </c>
      <c r="B9" s="67"/>
      <c r="C9" s="67"/>
      <c r="D9" s="67"/>
      <c r="E9" s="67"/>
      <c r="F9" s="102" t="s">
        <v>184</v>
      </c>
      <c r="G9" s="84"/>
      <c r="H9" s="84"/>
      <c r="I9" s="84"/>
      <c r="J9" s="84"/>
    </row>
    <row r="10" spans="1:10" x14ac:dyDescent="0.35">
      <c r="A10" s="67" t="s">
        <v>5</v>
      </c>
      <c r="B10" s="67"/>
      <c r="C10" s="67"/>
      <c r="D10" s="67"/>
      <c r="E10" s="67"/>
      <c r="F10" s="67" t="s">
        <v>33</v>
      </c>
      <c r="G10" s="67"/>
      <c r="H10" s="67"/>
      <c r="I10" s="67"/>
      <c r="J10" s="67"/>
    </row>
    <row r="11" spans="1:10" x14ac:dyDescent="0.35">
      <c r="A11" s="67" t="s">
        <v>120</v>
      </c>
      <c r="B11" s="67"/>
      <c r="C11" s="67"/>
      <c r="D11" s="67"/>
      <c r="E11" s="67"/>
      <c r="F11" s="67" t="s">
        <v>121</v>
      </c>
      <c r="G11" s="67"/>
      <c r="H11" s="67"/>
      <c r="I11" s="67"/>
      <c r="J11" s="67"/>
    </row>
    <row r="12" spans="1:10" ht="29.25" customHeight="1" x14ac:dyDescent="0.35">
      <c r="A12" s="75" t="s">
        <v>175</v>
      </c>
      <c r="B12" s="75"/>
      <c r="C12" s="76" t="s">
        <v>185</v>
      </c>
      <c r="D12" s="76"/>
      <c r="E12" s="76"/>
      <c r="F12" s="76"/>
      <c r="G12" s="76"/>
      <c r="H12" s="76"/>
      <c r="I12" s="76"/>
      <c r="J12" s="76"/>
    </row>
    <row r="13" spans="1:10" ht="15" customHeight="1" x14ac:dyDescent="0.35">
      <c r="A13" s="76" t="s">
        <v>192</v>
      </c>
      <c r="B13" s="76"/>
      <c r="C13" s="76" t="s">
        <v>189</v>
      </c>
      <c r="D13" s="76"/>
      <c r="E13" s="76"/>
      <c r="F13" s="76"/>
      <c r="G13" s="76"/>
      <c r="H13" s="76"/>
      <c r="I13" s="76"/>
      <c r="J13" s="76"/>
    </row>
    <row r="14" spans="1:10" ht="15" customHeight="1" x14ac:dyDescent="0.35">
      <c r="A14" s="76" t="s">
        <v>191</v>
      </c>
      <c r="B14" s="76"/>
      <c r="C14" s="76" t="s">
        <v>128</v>
      </c>
      <c r="D14" s="76"/>
      <c r="E14" s="76"/>
      <c r="F14" s="76"/>
      <c r="G14" s="76"/>
      <c r="H14" s="76"/>
      <c r="I14" s="76"/>
      <c r="J14" s="76"/>
    </row>
    <row r="15" spans="1:10" ht="15" customHeight="1" x14ac:dyDescent="0.35">
      <c r="A15" s="76" t="s">
        <v>193</v>
      </c>
      <c r="B15" s="76"/>
      <c r="C15" s="76" t="s">
        <v>127</v>
      </c>
      <c r="D15" s="76"/>
      <c r="E15" s="76"/>
      <c r="F15" s="76" t="s">
        <v>196</v>
      </c>
      <c r="G15" s="76"/>
      <c r="H15" s="76" t="s">
        <v>124</v>
      </c>
      <c r="I15" s="76"/>
      <c r="J15" s="76"/>
    </row>
    <row r="16" spans="1:10" x14ac:dyDescent="0.35">
      <c r="A16" s="76" t="s">
        <v>194</v>
      </c>
      <c r="B16" s="76"/>
      <c r="C16" s="76" t="s">
        <v>125</v>
      </c>
      <c r="D16" s="76"/>
      <c r="E16" s="76"/>
      <c r="F16" s="76" t="s">
        <v>197</v>
      </c>
      <c r="G16" s="76"/>
      <c r="H16" s="76" t="s">
        <v>126</v>
      </c>
      <c r="I16" s="76"/>
      <c r="J16" s="76"/>
    </row>
    <row r="17" spans="1:12" x14ac:dyDescent="0.35">
      <c r="A17" s="76" t="s">
        <v>195</v>
      </c>
      <c r="B17" s="76"/>
      <c r="C17" s="76" t="s">
        <v>190</v>
      </c>
      <c r="D17" s="76"/>
      <c r="E17" s="76"/>
      <c r="F17" s="76" t="s">
        <v>198</v>
      </c>
      <c r="G17" s="76"/>
      <c r="H17" s="76">
        <v>410201</v>
      </c>
      <c r="I17" s="76"/>
      <c r="J17" s="76"/>
    </row>
    <row r="18" spans="1:12" x14ac:dyDescent="0.35">
      <c r="A18" s="76" t="s">
        <v>200</v>
      </c>
      <c r="B18" s="76"/>
      <c r="C18" s="76" t="s">
        <v>180</v>
      </c>
      <c r="D18" s="76"/>
      <c r="E18" s="76"/>
      <c r="F18" s="76" t="s">
        <v>199</v>
      </c>
      <c r="G18" s="76"/>
      <c r="H18" s="76" t="s">
        <v>129</v>
      </c>
      <c r="I18" s="76"/>
      <c r="J18" s="76"/>
    </row>
    <row r="19" spans="1:12" x14ac:dyDescent="0.35">
      <c r="A19" s="76" t="s">
        <v>7</v>
      </c>
      <c r="B19" s="76"/>
      <c r="C19" s="76"/>
      <c r="D19" s="76"/>
      <c r="E19" s="76"/>
      <c r="F19" s="101" t="s">
        <v>35</v>
      </c>
      <c r="G19" s="101"/>
      <c r="H19" s="101"/>
      <c r="I19" s="101"/>
      <c r="J19" s="101"/>
    </row>
    <row r="20" spans="1:12" x14ac:dyDescent="0.35">
      <c r="A20" s="76"/>
      <c r="B20" s="76"/>
      <c r="C20" s="76"/>
      <c r="D20" s="76"/>
      <c r="E20" s="76"/>
      <c r="F20" s="101"/>
      <c r="G20" s="101"/>
      <c r="H20" s="101"/>
      <c r="I20" s="101"/>
      <c r="J20" s="101"/>
    </row>
    <row r="21" spans="1:12" x14ac:dyDescent="0.35">
      <c r="A21" s="101" t="s">
        <v>8</v>
      </c>
      <c r="B21" s="101"/>
      <c r="C21" s="101"/>
      <c r="D21" s="101"/>
      <c r="E21" s="101"/>
      <c r="F21" s="101" t="s">
        <v>36</v>
      </c>
      <c r="G21" s="101"/>
      <c r="H21" s="101"/>
      <c r="I21" s="101"/>
      <c r="J21" s="101"/>
    </row>
    <row r="22" spans="1:12" x14ac:dyDescent="0.35">
      <c r="A22" s="75" t="s">
        <v>9</v>
      </c>
      <c r="B22" s="75"/>
      <c r="C22" s="75"/>
      <c r="D22" s="75"/>
      <c r="E22" s="75"/>
      <c r="F22" s="75" t="s">
        <v>37</v>
      </c>
      <c r="G22" s="75"/>
      <c r="H22" s="75"/>
      <c r="I22" s="75"/>
      <c r="J22" s="75"/>
    </row>
    <row r="23" spans="1:12" x14ac:dyDescent="0.35">
      <c r="A23" s="75" t="s">
        <v>201</v>
      </c>
      <c r="B23" s="75"/>
      <c r="C23" s="75"/>
      <c r="D23" s="75"/>
      <c r="E23" s="75"/>
      <c r="F23" s="67" t="s">
        <v>178</v>
      </c>
      <c r="G23" s="67"/>
      <c r="H23" s="67"/>
      <c r="I23" s="67"/>
      <c r="J23" s="67"/>
      <c r="L23" s="42"/>
    </row>
    <row r="24" spans="1:12" x14ac:dyDescent="0.35">
      <c r="A24" s="75" t="s">
        <v>202</v>
      </c>
      <c r="B24" s="75"/>
      <c r="C24" s="75"/>
      <c r="D24" s="75"/>
      <c r="E24" s="75"/>
      <c r="F24" s="67" t="s">
        <v>187</v>
      </c>
      <c r="G24" s="67"/>
      <c r="H24" s="67"/>
      <c r="I24" s="67"/>
      <c r="J24" s="67"/>
    </row>
    <row r="25" spans="1:12" x14ac:dyDescent="0.35">
      <c r="A25" s="75" t="s">
        <v>203</v>
      </c>
      <c r="B25" s="75"/>
      <c r="C25" s="75"/>
      <c r="D25" s="75"/>
      <c r="E25" s="75"/>
      <c r="F25" s="67" t="s">
        <v>188</v>
      </c>
      <c r="G25" s="67"/>
      <c r="H25" s="67"/>
      <c r="I25" s="67"/>
      <c r="J25" s="67"/>
    </row>
    <row r="26" spans="1:12" x14ac:dyDescent="0.35">
      <c r="A26" s="75" t="s">
        <v>204</v>
      </c>
      <c r="B26" s="75"/>
      <c r="C26" s="75"/>
      <c r="D26" s="75"/>
      <c r="E26" s="75"/>
      <c r="F26" s="67" t="s">
        <v>151</v>
      </c>
      <c r="G26" s="67"/>
      <c r="H26" s="67"/>
      <c r="I26" s="67"/>
      <c r="J26" s="67"/>
    </row>
    <row r="27" spans="1:12" x14ac:dyDescent="0.35">
      <c r="A27" s="53" t="s">
        <v>10</v>
      </c>
      <c r="B27" s="53"/>
      <c r="C27" s="53" t="s">
        <v>11</v>
      </c>
      <c r="D27" s="53"/>
      <c r="E27" s="53" t="s">
        <v>12</v>
      </c>
      <c r="F27" s="53"/>
      <c r="G27" s="53" t="s">
        <v>13</v>
      </c>
      <c r="H27" s="53"/>
      <c r="I27" s="53" t="s">
        <v>14</v>
      </c>
      <c r="J27" s="53"/>
    </row>
    <row r="28" spans="1:12" x14ac:dyDescent="0.35">
      <c r="A28" s="53" t="s">
        <v>130</v>
      </c>
      <c r="B28" s="53"/>
      <c r="C28" s="53" t="s">
        <v>131</v>
      </c>
      <c r="D28" s="53"/>
      <c r="E28" s="53" t="s">
        <v>38</v>
      </c>
      <c r="F28" s="53"/>
      <c r="G28" s="53" t="s">
        <v>132</v>
      </c>
      <c r="H28" s="53"/>
      <c r="I28" s="53" t="s">
        <v>131</v>
      </c>
      <c r="J28" s="53"/>
    </row>
    <row r="29" spans="1:12" x14ac:dyDescent="0.35">
      <c r="A29" s="53" t="s">
        <v>15</v>
      </c>
      <c r="B29" s="53"/>
      <c r="C29" s="53" t="s">
        <v>6</v>
      </c>
      <c r="D29" s="53"/>
      <c r="E29" s="53" t="s">
        <v>38</v>
      </c>
      <c r="F29" s="53"/>
      <c r="G29" s="53" t="s">
        <v>6</v>
      </c>
      <c r="H29" s="53"/>
      <c r="I29" s="53" t="s">
        <v>6</v>
      </c>
      <c r="J29" s="53"/>
    </row>
    <row r="30" spans="1:12" ht="29.25" customHeight="1" x14ac:dyDescent="0.35">
      <c r="A30" s="102" t="s">
        <v>186</v>
      </c>
      <c r="B30" s="102"/>
      <c r="C30" s="102"/>
      <c r="D30" s="102"/>
      <c r="E30" s="102"/>
      <c r="F30" s="102"/>
      <c r="G30" s="102" t="s">
        <v>157</v>
      </c>
      <c r="H30" s="102"/>
      <c r="I30" s="102"/>
      <c r="J30" s="102"/>
    </row>
    <row r="31" spans="1:12" x14ac:dyDescent="0.35">
      <c r="A31" s="90" t="s">
        <v>49</v>
      </c>
      <c r="B31" s="90"/>
      <c r="C31" s="90"/>
      <c r="D31" s="90"/>
      <c r="E31" s="90"/>
      <c r="F31" s="90"/>
      <c r="G31" s="90"/>
      <c r="H31" s="90"/>
      <c r="I31" s="90"/>
      <c r="J31" s="90"/>
    </row>
    <row r="32" spans="1:12" ht="15" customHeight="1" x14ac:dyDescent="0.35">
      <c r="A32" s="76" t="s">
        <v>176</v>
      </c>
      <c r="B32" s="76"/>
      <c r="C32" s="76"/>
      <c r="D32" s="76"/>
      <c r="E32" s="76"/>
      <c r="F32" s="76"/>
      <c r="G32" s="76" t="s">
        <v>177</v>
      </c>
      <c r="H32" s="76"/>
      <c r="I32" s="76"/>
      <c r="J32" s="76"/>
    </row>
    <row r="33" spans="1:17" x14ac:dyDescent="0.35">
      <c r="A33" s="76"/>
      <c r="B33" s="76"/>
      <c r="C33" s="76"/>
      <c r="D33" s="76"/>
      <c r="E33" s="76"/>
      <c r="F33" s="76"/>
      <c r="G33" s="76"/>
      <c r="H33" s="76"/>
      <c r="I33" s="76"/>
      <c r="J33" s="76"/>
    </row>
    <row r="34" spans="1:17" s="19" customFormat="1" ht="15.75" customHeight="1" x14ac:dyDescent="0.35">
      <c r="A34" s="78" t="s">
        <v>206</v>
      </c>
      <c r="B34" s="78"/>
      <c r="C34" s="77" t="s">
        <v>244</v>
      </c>
      <c r="D34" s="77"/>
      <c r="E34" s="77"/>
      <c r="F34" s="77"/>
      <c r="G34" s="77"/>
      <c r="H34" s="77"/>
      <c r="I34" s="77"/>
      <c r="J34" s="77"/>
    </row>
    <row r="35" spans="1:17" s="19" customFormat="1" ht="15.5" x14ac:dyDescent="0.35">
      <c r="A35" s="78" t="s">
        <v>207</v>
      </c>
      <c r="B35" s="78"/>
      <c r="C35" s="81" t="s">
        <v>243</v>
      </c>
      <c r="D35" s="77"/>
      <c r="E35" s="77"/>
      <c r="F35" s="77"/>
      <c r="G35" s="77"/>
      <c r="H35" s="77"/>
      <c r="I35" s="77"/>
      <c r="J35" s="77"/>
    </row>
    <row r="36" spans="1:17" s="19" customFormat="1" ht="15.5" x14ac:dyDescent="0.35">
      <c r="A36" s="77" t="s">
        <v>205</v>
      </c>
      <c r="B36" s="77"/>
      <c r="C36" s="77"/>
      <c r="D36" s="77"/>
      <c r="E36" s="77"/>
      <c r="F36" s="77"/>
      <c r="G36" s="77"/>
      <c r="H36" s="77"/>
      <c r="I36" s="77"/>
      <c r="J36" s="77"/>
    </row>
    <row r="37" spans="1:17" s="19" customFormat="1" ht="15.5" x14ac:dyDescent="0.35">
      <c r="A37" s="78" t="s">
        <v>210</v>
      </c>
      <c r="B37" s="78"/>
      <c r="C37" s="78"/>
      <c r="D37" s="78"/>
      <c r="E37" s="78"/>
      <c r="F37" s="78"/>
      <c r="G37" s="79">
        <v>4266.6000000000004</v>
      </c>
      <c r="H37" s="79"/>
      <c r="I37" s="79"/>
      <c r="J37" s="79"/>
    </row>
    <row r="38" spans="1:17" s="19" customFormat="1" ht="15.5" x14ac:dyDescent="0.35">
      <c r="A38" s="78" t="s">
        <v>16</v>
      </c>
      <c r="B38" s="78"/>
      <c r="C38" s="78"/>
      <c r="D38" s="78"/>
      <c r="E38" s="78"/>
      <c r="F38" s="78"/>
      <c r="G38" s="79">
        <f>4693.26/G37</f>
        <v>1.0999999999999999</v>
      </c>
      <c r="H38" s="79"/>
      <c r="I38" s="79"/>
      <c r="J38" s="79"/>
    </row>
    <row r="39" spans="1:17" s="19" customFormat="1" ht="15.5" x14ac:dyDescent="0.35">
      <c r="A39" s="78" t="s">
        <v>17</v>
      </c>
      <c r="B39" s="78"/>
      <c r="C39" s="78"/>
      <c r="D39" s="78"/>
      <c r="E39" s="78"/>
      <c r="F39" s="78"/>
      <c r="G39" s="79">
        <f>G41/G37-G38</f>
        <v>0.59984999765621327</v>
      </c>
      <c r="H39" s="79"/>
      <c r="I39" s="79"/>
      <c r="J39" s="79"/>
      <c r="M39" s="19">
        <v>1865.4839999999999</v>
      </c>
    </row>
    <row r="40" spans="1:17" s="19" customFormat="1" ht="15.5" x14ac:dyDescent="0.35">
      <c r="A40" s="78" t="s">
        <v>211</v>
      </c>
      <c r="B40" s="78"/>
      <c r="C40" s="78"/>
      <c r="D40" s="78"/>
      <c r="E40" s="78"/>
      <c r="F40" s="78"/>
      <c r="G40" s="79">
        <f>G38+G39</f>
        <v>1.6998499976562131</v>
      </c>
      <c r="H40" s="79"/>
      <c r="I40" s="79"/>
      <c r="J40" s="79"/>
    </row>
    <row r="41" spans="1:17" s="19" customFormat="1" ht="15.5" x14ac:dyDescent="0.35">
      <c r="A41" s="78" t="s">
        <v>239</v>
      </c>
      <c r="B41" s="78"/>
      <c r="C41" s="78"/>
      <c r="D41" s="78"/>
      <c r="E41" s="78"/>
      <c r="F41" s="78"/>
      <c r="G41" s="80">
        <v>7252.58</v>
      </c>
      <c r="H41" s="80"/>
      <c r="I41" s="80"/>
      <c r="J41" s="80"/>
    </row>
    <row r="42" spans="1:17" x14ac:dyDescent="0.35">
      <c r="A42" s="75" t="s">
        <v>18</v>
      </c>
      <c r="B42" s="75"/>
      <c r="C42" s="75"/>
      <c r="D42" s="75"/>
      <c r="E42" s="75"/>
      <c r="F42" s="75"/>
      <c r="G42" s="75" t="s">
        <v>47</v>
      </c>
      <c r="H42" s="75"/>
      <c r="I42" s="75"/>
      <c r="J42" s="75"/>
      <c r="M42" s="61"/>
      <c r="N42" s="61"/>
      <c r="O42" s="61"/>
      <c r="P42" s="61"/>
      <c r="Q42" s="61"/>
    </row>
    <row r="43" spans="1:17" x14ac:dyDescent="0.35">
      <c r="A43" s="84" t="s">
        <v>241</v>
      </c>
      <c r="B43" s="75"/>
      <c r="C43" s="75"/>
      <c r="D43" s="75"/>
      <c r="E43" s="75"/>
      <c r="F43" s="75"/>
      <c r="G43" s="75"/>
      <c r="H43" s="75"/>
      <c r="I43" s="75"/>
      <c r="J43" s="75"/>
    </row>
    <row r="44" spans="1:17" ht="31.5" customHeight="1" x14ac:dyDescent="0.35">
      <c r="A44" s="76" t="s">
        <v>136</v>
      </c>
      <c r="B44" s="76"/>
      <c r="C44" s="76"/>
      <c r="D44" s="84" t="s">
        <v>140</v>
      </c>
      <c r="E44" s="75"/>
      <c r="F44" s="75"/>
      <c r="G44" s="75"/>
      <c r="H44" s="75"/>
      <c r="I44" s="75"/>
      <c r="J44" s="75"/>
    </row>
    <row r="45" spans="1:17" x14ac:dyDescent="0.35">
      <c r="A45" s="75" t="s">
        <v>134</v>
      </c>
      <c r="B45" s="75"/>
      <c r="C45" s="75"/>
      <c r="D45" s="67" t="s">
        <v>135</v>
      </c>
      <c r="E45" s="67"/>
      <c r="F45" s="67"/>
      <c r="G45" s="67"/>
      <c r="H45" s="33" t="s">
        <v>133</v>
      </c>
      <c r="I45" s="66">
        <v>41111</v>
      </c>
      <c r="J45" s="67"/>
      <c r="K45" s="64" t="s">
        <v>135</v>
      </c>
      <c r="L45" s="64"/>
      <c r="M45" s="64"/>
      <c r="N45" s="65"/>
      <c r="O45" s="33" t="s">
        <v>133</v>
      </c>
      <c r="P45" s="66">
        <v>41111</v>
      </c>
      <c r="Q45" s="67"/>
    </row>
    <row r="46" spans="1:17" ht="15" customHeight="1" x14ac:dyDescent="0.35">
      <c r="A46" s="75" t="s">
        <v>137</v>
      </c>
      <c r="B46" s="75"/>
      <c r="C46" s="75"/>
      <c r="D46" s="76" t="s">
        <v>138</v>
      </c>
      <c r="E46" s="76"/>
      <c r="F46" s="76"/>
      <c r="G46" s="76"/>
      <c r="H46" s="41" t="s">
        <v>133</v>
      </c>
      <c r="I46" s="74">
        <v>41111</v>
      </c>
      <c r="J46" s="74"/>
      <c r="K46" s="68" t="s">
        <v>138</v>
      </c>
      <c r="L46" s="68"/>
      <c r="M46" s="68"/>
      <c r="N46" s="69"/>
      <c r="O46" s="41" t="s">
        <v>133</v>
      </c>
      <c r="P46" s="70">
        <v>41111</v>
      </c>
      <c r="Q46" s="71"/>
    </row>
    <row r="47" spans="1:17" ht="15.75" customHeight="1" x14ac:dyDescent="0.35">
      <c r="A47" s="76" t="s">
        <v>217</v>
      </c>
      <c r="B47" s="75"/>
      <c r="C47" s="75"/>
      <c r="D47" s="76" t="s">
        <v>139</v>
      </c>
      <c r="E47" s="75"/>
      <c r="F47" s="75"/>
      <c r="G47" s="75"/>
      <c r="H47" s="41" t="s">
        <v>133</v>
      </c>
      <c r="I47" s="74">
        <v>41111</v>
      </c>
      <c r="J47" s="75"/>
      <c r="K47" s="68" t="s">
        <v>139</v>
      </c>
      <c r="L47" s="72"/>
      <c r="M47" s="72"/>
      <c r="N47" s="73"/>
      <c r="O47" s="41" t="s">
        <v>133</v>
      </c>
      <c r="P47" s="74">
        <v>41111</v>
      </c>
      <c r="Q47" s="75"/>
    </row>
    <row r="48" spans="1:17" x14ac:dyDescent="0.35">
      <c r="A48" s="75"/>
      <c r="B48" s="75"/>
      <c r="C48" s="75"/>
      <c r="D48" s="76" t="s">
        <v>245</v>
      </c>
      <c r="E48" s="76"/>
      <c r="F48" s="76"/>
      <c r="G48" s="76"/>
      <c r="H48" s="76"/>
      <c r="I48" s="76"/>
      <c r="J48" s="76"/>
    </row>
    <row r="49" spans="1:17" x14ac:dyDescent="0.35">
      <c r="A49" s="84" t="s">
        <v>242</v>
      </c>
      <c r="B49" s="75"/>
      <c r="C49" s="75"/>
      <c r="D49" s="75"/>
      <c r="E49" s="75"/>
      <c r="F49" s="75"/>
      <c r="G49" s="75"/>
      <c r="H49" s="75"/>
      <c r="I49" s="75"/>
      <c r="J49" s="75"/>
    </row>
    <row r="50" spans="1:17" x14ac:dyDescent="0.35">
      <c r="A50" s="75" t="s">
        <v>134</v>
      </c>
      <c r="B50" s="75"/>
      <c r="C50" s="75"/>
      <c r="D50" s="67" t="s">
        <v>213</v>
      </c>
      <c r="E50" s="67"/>
      <c r="F50" s="67"/>
      <c r="G50" s="67"/>
      <c r="H50" s="48" t="s">
        <v>133</v>
      </c>
      <c r="I50" s="66">
        <v>42945</v>
      </c>
      <c r="J50" s="67"/>
      <c r="K50" s="64" t="s">
        <v>135</v>
      </c>
      <c r="L50" s="64"/>
      <c r="M50" s="64"/>
      <c r="N50" s="65"/>
      <c r="O50" s="33" t="s">
        <v>133</v>
      </c>
      <c r="P50" s="66">
        <v>41111</v>
      </c>
      <c r="Q50" s="67"/>
    </row>
    <row r="51" spans="1:17" x14ac:dyDescent="0.35">
      <c r="A51" s="75" t="s">
        <v>137</v>
      </c>
      <c r="B51" s="75"/>
      <c r="C51" s="75"/>
      <c r="D51" s="76" t="s">
        <v>213</v>
      </c>
      <c r="E51" s="76"/>
      <c r="F51" s="76"/>
      <c r="G51" s="76"/>
      <c r="H51" s="50" t="s">
        <v>133</v>
      </c>
      <c r="I51" s="74">
        <v>42945</v>
      </c>
      <c r="J51" s="74"/>
      <c r="K51" s="68" t="s">
        <v>138</v>
      </c>
      <c r="L51" s="68"/>
      <c r="M51" s="68"/>
      <c r="N51" s="69"/>
      <c r="O51" s="41" t="s">
        <v>133</v>
      </c>
      <c r="P51" s="70">
        <v>41111</v>
      </c>
      <c r="Q51" s="71"/>
    </row>
    <row r="52" spans="1:17" ht="15.75" customHeight="1" x14ac:dyDescent="0.35">
      <c r="A52" s="76" t="s">
        <v>217</v>
      </c>
      <c r="B52" s="75"/>
      <c r="C52" s="75"/>
      <c r="D52" s="76" t="s">
        <v>212</v>
      </c>
      <c r="E52" s="75"/>
      <c r="F52" s="75"/>
      <c r="G52" s="75"/>
      <c r="H52" s="50" t="s">
        <v>133</v>
      </c>
      <c r="I52" s="74">
        <v>41111</v>
      </c>
      <c r="J52" s="75"/>
      <c r="K52" s="68" t="s">
        <v>139</v>
      </c>
      <c r="L52" s="72"/>
      <c r="M52" s="72"/>
      <c r="N52" s="73"/>
      <c r="O52" s="41" t="s">
        <v>133</v>
      </c>
      <c r="P52" s="74">
        <v>41111</v>
      </c>
      <c r="Q52" s="75"/>
    </row>
    <row r="53" spans="1:17" x14ac:dyDescent="0.35">
      <c r="A53" s="75"/>
      <c r="B53" s="75"/>
      <c r="C53" s="75"/>
      <c r="D53" s="76" t="s">
        <v>214</v>
      </c>
      <c r="E53" s="76"/>
      <c r="F53" s="76"/>
      <c r="G53" s="76"/>
      <c r="H53" s="76"/>
      <c r="I53" s="76"/>
      <c r="J53" s="76"/>
    </row>
    <row r="54" spans="1:17" x14ac:dyDescent="0.35">
      <c r="A54" s="102" t="s">
        <v>215</v>
      </c>
      <c r="B54" s="84"/>
      <c r="C54" s="84"/>
      <c r="D54" s="90" t="s">
        <v>141</v>
      </c>
      <c r="E54" s="90"/>
      <c r="F54" s="90"/>
      <c r="G54" s="90"/>
      <c r="H54" s="49" t="s">
        <v>133</v>
      </c>
      <c r="I54" s="100">
        <v>42945</v>
      </c>
      <c r="J54" s="90"/>
    </row>
    <row r="55" spans="1:17" x14ac:dyDescent="0.35">
      <c r="A55" s="84"/>
      <c r="B55" s="84"/>
      <c r="C55" s="84"/>
      <c r="D55" s="75" t="s">
        <v>216</v>
      </c>
      <c r="E55" s="75"/>
      <c r="F55" s="75"/>
      <c r="G55" s="75"/>
      <c r="H55" s="75"/>
      <c r="I55" s="75"/>
      <c r="J55" s="75"/>
    </row>
    <row r="56" spans="1:17" x14ac:dyDescent="0.35">
      <c r="A56" s="98" t="s">
        <v>19</v>
      </c>
      <c r="B56" s="99"/>
      <c r="C56" s="99"/>
      <c r="D56" s="99"/>
      <c r="E56" s="99"/>
      <c r="F56" s="99"/>
      <c r="G56" s="99"/>
      <c r="H56" s="99"/>
      <c r="I56" s="99"/>
      <c r="J56" s="99"/>
    </row>
    <row r="57" spans="1:17" x14ac:dyDescent="0.35">
      <c r="A57" s="76" t="s">
        <v>142</v>
      </c>
      <c r="B57" s="76"/>
      <c r="C57" s="76"/>
      <c r="D57" s="109" t="s">
        <v>143</v>
      </c>
      <c r="E57" s="76"/>
      <c r="F57" s="76"/>
      <c r="G57" s="76"/>
      <c r="H57" s="76"/>
      <c r="I57" s="76"/>
      <c r="J57" s="76"/>
    </row>
    <row r="58" spans="1:17" x14ac:dyDescent="0.35">
      <c r="A58" s="75" t="s">
        <v>144</v>
      </c>
      <c r="B58" s="75"/>
      <c r="C58" s="75"/>
      <c r="D58" s="76" t="s">
        <v>39</v>
      </c>
      <c r="E58" s="76"/>
      <c r="F58" s="76"/>
      <c r="G58" s="76"/>
      <c r="H58" s="76"/>
      <c r="I58" s="76"/>
      <c r="J58" s="76"/>
    </row>
    <row r="59" spans="1:17" x14ac:dyDescent="0.35">
      <c r="A59" s="67" t="s">
        <v>146</v>
      </c>
      <c r="B59" s="67"/>
      <c r="C59" s="67"/>
      <c r="D59" s="67" t="s">
        <v>148</v>
      </c>
      <c r="E59" s="67"/>
      <c r="F59" s="67"/>
      <c r="G59" s="67"/>
      <c r="H59" s="67"/>
      <c r="I59" s="67"/>
      <c r="J59" s="67"/>
    </row>
    <row r="60" spans="1:17" x14ac:dyDescent="0.35">
      <c r="A60" s="67" t="s">
        <v>147</v>
      </c>
      <c r="B60" s="67"/>
      <c r="C60" s="67"/>
      <c r="D60" s="67" t="s">
        <v>149</v>
      </c>
      <c r="E60" s="67"/>
      <c r="F60" s="67"/>
      <c r="G60" s="67"/>
      <c r="H60" s="67"/>
      <c r="I60" s="67"/>
      <c r="J60" s="67"/>
    </row>
    <row r="61" spans="1:17" x14ac:dyDescent="0.35">
      <c r="A61" s="67" t="s">
        <v>150</v>
      </c>
      <c r="B61" s="67"/>
      <c r="C61" s="67"/>
      <c r="D61" s="67" t="s">
        <v>151</v>
      </c>
      <c r="E61" s="67"/>
      <c r="F61" s="67"/>
      <c r="G61" s="67"/>
      <c r="H61" s="67"/>
      <c r="I61" s="67"/>
      <c r="J61" s="67"/>
    </row>
    <row r="62" spans="1:17" x14ac:dyDescent="0.35">
      <c r="A62" s="82" t="s">
        <v>154</v>
      </c>
      <c r="B62" s="82"/>
      <c r="C62" s="82"/>
      <c r="D62" s="67" t="s">
        <v>155</v>
      </c>
      <c r="E62" s="67"/>
      <c r="F62" s="67"/>
      <c r="G62" s="67"/>
      <c r="H62" s="67"/>
      <c r="I62" s="67"/>
      <c r="J62" s="67"/>
    </row>
    <row r="63" spans="1:17" x14ac:dyDescent="0.35">
      <c r="A63" s="67" t="s">
        <v>152</v>
      </c>
      <c r="B63" s="67"/>
      <c r="C63" s="67"/>
      <c r="D63" s="67" t="s">
        <v>153</v>
      </c>
      <c r="E63" s="67"/>
      <c r="F63" s="67"/>
      <c r="G63" s="67"/>
      <c r="H63" s="67"/>
      <c r="I63" s="67"/>
      <c r="J63" s="67"/>
    </row>
    <row r="64" spans="1:17" x14ac:dyDescent="0.35">
      <c r="A64" s="67" t="s">
        <v>145</v>
      </c>
      <c r="B64" s="67"/>
      <c r="C64" s="67"/>
      <c r="D64" s="67" t="s">
        <v>47</v>
      </c>
      <c r="E64" s="67"/>
      <c r="F64" s="67"/>
      <c r="G64" s="67"/>
      <c r="H64" s="67"/>
      <c r="I64" s="67"/>
      <c r="J64" s="67"/>
    </row>
    <row r="65" spans="1:13" x14ac:dyDescent="0.35">
      <c r="A65" s="75" t="s">
        <v>20</v>
      </c>
      <c r="B65" s="75"/>
      <c r="C65" s="75"/>
      <c r="D65" s="76" t="s">
        <v>48</v>
      </c>
      <c r="E65" s="76"/>
      <c r="F65" s="76"/>
      <c r="G65" s="76"/>
      <c r="H65" s="76"/>
      <c r="I65" s="76"/>
      <c r="J65" s="76"/>
    </row>
    <row r="66" spans="1:13" ht="30" customHeight="1" x14ac:dyDescent="0.35">
      <c r="A66" s="76" t="s">
        <v>156</v>
      </c>
      <c r="B66" s="76"/>
      <c r="C66" s="76"/>
      <c r="D66" s="75" t="s">
        <v>157</v>
      </c>
      <c r="E66" s="75"/>
      <c r="F66" s="75"/>
      <c r="G66" s="75"/>
      <c r="H66" s="75"/>
      <c r="I66" s="75"/>
      <c r="J66" s="75"/>
    </row>
    <row r="67" spans="1:13" x14ac:dyDescent="0.35">
      <c r="A67" s="75" t="s">
        <v>158</v>
      </c>
      <c r="B67" s="75"/>
      <c r="C67" s="75"/>
      <c r="D67" s="75" t="s">
        <v>159</v>
      </c>
      <c r="E67" s="75"/>
      <c r="F67" s="75"/>
      <c r="G67" s="75"/>
      <c r="H67" s="75"/>
      <c r="I67" s="75"/>
      <c r="J67" s="75"/>
    </row>
    <row r="68" spans="1:13" ht="15" customHeight="1" x14ac:dyDescent="0.35">
      <c r="A68" s="76" t="s">
        <v>208</v>
      </c>
      <c r="B68" s="76"/>
      <c r="C68" s="76"/>
      <c r="D68" s="76" t="s">
        <v>209</v>
      </c>
      <c r="E68" s="76"/>
      <c r="F68" s="76"/>
      <c r="G68" s="76"/>
      <c r="H68" s="76"/>
      <c r="I68" s="76"/>
      <c r="J68" s="76"/>
    </row>
    <row r="69" spans="1:13" x14ac:dyDescent="0.35">
      <c r="A69" s="76"/>
      <c r="B69" s="76"/>
      <c r="C69" s="76"/>
      <c r="D69" s="76"/>
      <c r="E69" s="76"/>
      <c r="F69" s="76"/>
      <c r="G69" s="76"/>
      <c r="H69" s="76"/>
      <c r="I69" s="76"/>
      <c r="J69" s="76"/>
    </row>
    <row r="70" spans="1:13" x14ac:dyDescent="0.35">
      <c r="A70" s="76"/>
      <c r="B70" s="76"/>
      <c r="C70" s="76"/>
      <c r="D70" s="76"/>
      <c r="E70" s="76"/>
      <c r="F70" s="76"/>
      <c r="G70" s="76"/>
      <c r="H70" s="76"/>
      <c r="I70" s="76"/>
      <c r="J70" s="76"/>
    </row>
    <row r="71" spans="1:13" ht="16.5" customHeight="1" x14ac:dyDescent="0.35">
      <c r="A71" s="76"/>
      <c r="B71" s="76"/>
      <c r="C71" s="76"/>
      <c r="D71" s="76"/>
      <c r="E71" s="76"/>
      <c r="F71" s="76"/>
      <c r="G71" s="76"/>
      <c r="H71" s="76"/>
      <c r="I71" s="76"/>
      <c r="J71" s="76"/>
    </row>
    <row r="72" spans="1:13" x14ac:dyDescent="0.35">
      <c r="A72" s="76"/>
      <c r="B72" s="76"/>
      <c r="C72" s="76"/>
      <c r="D72" s="76"/>
      <c r="E72" s="76"/>
      <c r="F72" s="76"/>
      <c r="G72" s="76"/>
      <c r="H72" s="76"/>
      <c r="I72" s="76"/>
      <c r="J72" s="76"/>
    </row>
    <row r="73" spans="1:13" x14ac:dyDescent="0.35">
      <c r="A73" s="76"/>
      <c r="B73" s="76"/>
      <c r="C73" s="76"/>
      <c r="D73" s="76"/>
      <c r="E73" s="76"/>
      <c r="F73" s="76"/>
      <c r="G73" s="76"/>
      <c r="H73" s="76"/>
      <c r="I73" s="76"/>
      <c r="J73" s="76"/>
    </row>
    <row r="74" spans="1:13" ht="15" thickBot="1" x14ac:dyDescent="0.4">
      <c r="A74" s="87" t="s">
        <v>53</v>
      </c>
      <c r="B74" s="87"/>
      <c r="C74" s="87"/>
      <c r="D74" s="87"/>
      <c r="E74" s="87"/>
      <c r="F74" s="87"/>
      <c r="G74" s="87"/>
      <c r="H74" s="87"/>
      <c r="I74" s="87"/>
      <c r="J74" s="87"/>
    </row>
    <row r="75" spans="1:13" ht="15.75" customHeight="1" x14ac:dyDescent="0.35">
      <c r="A75" s="89" t="s">
        <v>84</v>
      </c>
      <c r="B75" s="89"/>
      <c r="C75" s="91" t="s">
        <v>118</v>
      </c>
      <c r="D75" s="91"/>
      <c r="E75" s="91"/>
      <c r="F75" s="91"/>
      <c r="G75" s="91"/>
      <c r="H75" s="91"/>
      <c r="I75" s="91"/>
      <c r="J75" s="91"/>
      <c r="K75" s="14" t="str">
        <f ca="1">(IF(C79=0,"Work not yet Started.",IF(D79=25%,"Piling work in process",IF(D79=50%,"Excavation work in process",IF(D79=100%,"Excavation work completed, ","0")))&amp;(IF(C80=0%,"",IF(C80=M81,"Footing work is process",IF(C80=M82,"Footing work Completed",IF(C80=M83,"1st Basement Completed",IF(C80=M84,"1st &amp; 2nd Basement Completed",IF(C80=M85,"1st to 3rd Basement Completed",IF(C80=M86,"1st to 4th Basement Completed",IF(C80=M87,"Plinth work is process",IF(C80=M88,"Plinth work completed","0")))))))))))&amp;(IF(C81&gt;0,", RCC upto "&amp;C81&amp;" Slab completed",""))&amp;(IF(C82&gt;0,", Brickwork upto "&amp;C82&amp;" Floor completed"," "))&amp;(IF(C83&gt;0,", Internal Plaster upto "&amp;C83&amp;" Floor completed"," "))&amp;(IF(C84&gt;0,", External Plaster upto "&amp;C84&amp;" Floor completed"," "))&amp;(IF(C85&gt;0,", Flooring upto "&amp;C85&amp;" Floor completed"," "))&amp;(IF(C86&gt;0,", Painting upto "&amp;C86&amp;" Floor completed"," "))&amp;(IF(C87&gt;0,", Finishing upto "&amp;C87&amp;" Floor completed"," ")))</f>
        <v xml:space="preserve">Excavation work completed, Footing work Completed      </v>
      </c>
      <c r="L75" s="14"/>
      <c r="M75" s="15"/>
    </row>
    <row r="76" spans="1:13" ht="15.5" x14ac:dyDescent="0.35">
      <c r="A76" s="39" t="s">
        <v>85</v>
      </c>
      <c r="B76" s="39">
        <v>0</v>
      </c>
      <c r="C76" s="39" t="s">
        <v>86</v>
      </c>
      <c r="D76" s="39">
        <v>1</v>
      </c>
      <c r="E76" s="39" t="s">
        <v>87</v>
      </c>
      <c r="F76" s="85">
        <v>0</v>
      </c>
      <c r="G76" s="85"/>
      <c r="H76" s="39" t="s">
        <v>88</v>
      </c>
      <c r="I76" s="85">
        <f ca="1">--TRIM(RIGHT(SUBSTITUTE(LEFT(C75,_xlfn.AGGREGATE(16,6,FIND({0,1,2,3,4,5,6,7,8,9},C75,ROW(INDIRECT("1:"&amp;LEN(C75)))),1))," ",REPT(" ",LEN(C75))),LEN(C75)))</f>
        <v>4</v>
      </c>
      <c r="J76" s="85"/>
      <c r="K76" s="16" t="s">
        <v>89</v>
      </c>
      <c r="L76" s="16"/>
      <c r="M76" s="17"/>
    </row>
    <row r="77" spans="1:13" ht="15.5" x14ac:dyDescent="0.35">
      <c r="A77" s="94" t="s">
        <v>90</v>
      </c>
      <c r="B77" s="94"/>
      <c r="C77" s="95" t="str">
        <f ca="1">K75</f>
        <v xml:space="preserve">Excavation work completed, Footing work Completed      </v>
      </c>
      <c r="D77" s="95"/>
      <c r="E77" s="95"/>
      <c r="F77" s="95"/>
      <c r="G77" s="95"/>
      <c r="H77" s="95"/>
      <c r="I77" s="95"/>
      <c r="J77" s="95"/>
      <c r="K77" s="16" t="s">
        <v>91</v>
      </c>
      <c r="L77" s="16"/>
      <c r="M77" s="17"/>
    </row>
    <row r="78" spans="1:13" ht="15.5" x14ac:dyDescent="0.35">
      <c r="A78" s="88" t="s">
        <v>54</v>
      </c>
      <c r="B78" s="88"/>
      <c r="C78" s="40" t="s">
        <v>92</v>
      </c>
      <c r="D78" s="88" t="s">
        <v>93</v>
      </c>
      <c r="E78" s="88"/>
      <c r="F78" s="88" t="s">
        <v>94</v>
      </c>
      <c r="G78" s="88"/>
      <c r="H78" s="88" t="s">
        <v>95</v>
      </c>
      <c r="I78" s="88"/>
      <c r="J78" s="88"/>
      <c r="K78" s="18" t="s">
        <v>96</v>
      </c>
      <c r="L78" s="19"/>
      <c r="M78" s="20">
        <f ca="1">I76*25%</f>
        <v>1</v>
      </c>
    </row>
    <row r="79" spans="1:13" ht="15.5" x14ac:dyDescent="0.35">
      <c r="A79" s="85" t="s">
        <v>97</v>
      </c>
      <c r="B79" s="85"/>
      <c r="C79" s="30">
        <f ca="1">M80</f>
        <v>4</v>
      </c>
      <c r="D79" s="86">
        <f ca="1">((100/I76)*C79)/100</f>
        <v>1</v>
      </c>
      <c r="E79" s="86"/>
      <c r="F79" s="86">
        <f ca="1">(IF(C77=K76,"100%",IF(C77=K77,"100%",(((C80/I76*10)+(40/(D76+F76+I76)*C81)+(7.5/(I76)*C82)+(7.5/(I76)*C83)+(10/I76*C84)+(10/I76*C85)+(5/I76*C86)+(5/I76*C87)+(5/I76*C88))/100))))</f>
        <v>0.05</v>
      </c>
      <c r="G79" s="86"/>
      <c r="H79" s="86">
        <f ca="1">((((C79/I76)*20)+((C80/I76)*25)+(30/(I76+F76+D76)*C81)+(5/I76*C82)+(5/I76*C83)+(5/I76*C84)+(5/I76*C85)+(0/I76*C86)+(0/I76*C87)+(5/I76*C88))/100)</f>
        <v>0.32500000000000001</v>
      </c>
      <c r="I79" s="86"/>
      <c r="J79" s="86"/>
      <c r="K79" s="18" t="s">
        <v>98</v>
      </c>
      <c r="L79" s="21"/>
      <c r="M79" s="22">
        <f ca="1">I76*50%</f>
        <v>2</v>
      </c>
    </row>
    <row r="80" spans="1:13" ht="15.5" x14ac:dyDescent="0.35">
      <c r="A80" s="85" t="s">
        <v>55</v>
      </c>
      <c r="B80" s="85"/>
      <c r="C80" s="31">
        <v>2</v>
      </c>
      <c r="D80" s="86">
        <f ca="1">((100/I76)*C80)/100</f>
        <v>0.5</v>
      </c>
      <c r="E80" s="86"/>
      <c r="F80" s="86"/>
      <c r="G80" s="86"/>
      <c r="H80" s="86"/>
      <c r="I80" s="86"/>
      <c r="J80" s="86"/>
      <c r="K80" s="18" t="s">
        <v>99</v>
      </c>
      <c r="L80" s="21"/>
      <c r="M80" s="22">
        <f ca="1">I76</f>
        <v>4</v>
      </c>
    </row>
    <row r="81" spans="1:13" ht="15.5" x14ac:dyDescent="0.35">
      <c r="A81" s="85" t="s">
        <v>100</v>
      </c>
      <c r="B81" s="85"/>
      <c r="C81" s="31">
        <v>0</v>
      </c>
      <c r="D81" s="86">
        <f ca="1">((100/(D76+F76+I76))*C81)/100</f>
        <v>0</v>
      </c>
      <c r="E81" s="86"/>
      <c r="F81" s="86"/>
      <c r="G81" s="86"/>
      <c r="H81" s="86"/>
      <c r="I81" s="86"/>
      <c r="J81" s="86"/>
      <c r="K81" s="18" t="s">
        <v>101</v>
      </c>
      <c r="L81" s="21"/>
      <c r="M81" s="23">
        <f ca="1">(IF(B76=0,I76/4,(I76/(B76+4))))</f>
        <v>1</v>
      </c>
    </row>
    <row r="82" spans="1:13" ht="15.5" x14ac:dyDescent="0.35">
      <c r="A82" s="85" t="s">
        <v>102</v>
      </c>
      <c r="B82" s="85" t="s">
        <v>103</v>
      </c>
      <c r="C82" s="30">
        <v>0</v>
      </c>
      <c r="D82" s="86">
        <f ca="1">((100/I76)*C82)/100</f>
        <v>0</v>
      </c>
      <c r="E82" s="86"/>
      <c r="F82" s="86"/>
      <c r="G82" s="86"/>
      <c r="H82" s="86"/>
      <c r="I82" s="86"/>
      <c r="J82" s="86"/>
      <c r="K82" s="18" t="s">
        <v>104</v>
      </c>
      <c r="L82" s="21"/>
      <c r="M82" s="23">
        <f ca="1">(IF(B76=0,I76/4+M81,(I76/(B76+4)+M81)))</f>
        <v>2</v>
      </c>
    </row>
    <row r="83" spans="1:13" ht="15.5" x14ac:dyDescent="0.35">
      <c r="A83" s="85" t="s">
        <v>105</v>
      </c>
      <c r="B83" s="85" t="s">
        <v>103</v>
      </c>
      <c r="C83" s="30">
        <v>0</v>
      </c>
      <c r="D83" s="86">
        <f ca="1">((100/I76)*C83)/100</f>
        <v>0</v>
      </c>
      <c r="E83" s="86"/>
      <c r="F83" s="86"/>
      <c r="G83" s="86"/>
      <c r="H83" s="86"/>
      <c r="I83" s="86"/>
      <c r="J83" s="86"/>
      <c r="K83" s="18" t="s">
        <v>106</v>
      </c>
      <c r="L83" s="10"/>
      <c r="M83" s="23">
        <f>(IF(B76=0,0,(I76/(B76+4)+M82)))</f>
        <v>0</v>
      </c>
    </row>
    <row r="84" spans="1:13" ht="15.5" x14ac:dyDescent="0.35">
      <c r="A84" s="85" t="s">
        <v>107</v>
      </c>
      <c r="B84" s="85" t="s">
        <v>108</v>
      </c>
      <c r="C84" s="30">
        <v>0</v>
      </c>
      <c r="D84" s="86">
        <f ca="1">((100/(I76))*C84)/100</f>
        <v>0</v>
      </c>
      <c r="E84" s="86"/>
      <c r="F84" s="86"/>
      <c r="G84" s="86"/>
      <c r="H84" s="86"/>
      <c r="I84" s="86"/>
      <c r="J84" s="86"/>
      <c r="K84" s="18" t="s">
        <v>109</v>
      </c>
      <c r="L84" s="10"/>
      <c r="M84" s="23">
        <f>(IF(B76&gt;1,(I76/(B76+4)+M83),0))</f>
        <v>0</v>
      </c>
    </row>
    <row r="85" spans="1:13" ht="15.5" x14ac:dyDescent="0.35">
      <c r="A85" s="85" t="s">
        <v>110</v>
      </c>
      <c r="B85" s="85" t="s">
        <v>110</v>
      </c>
      <c r="C85" s="30">
        <v>0</v>
      </c>
      <c r="D85" s="86">
        <f ca="1">((100/I76)*C85)/100</f>
        <v>0</v>
      </c>
      <c r="E85" s="86"/>
      <c r="F85" s="86"/>
      <c r="G85" s="86"/>
      <c r="H85" s="86"/>
      <c r="I85" s="86"/>
      <c r="J85" s="86"/>
      <c r="K85" s="18" t="s">
        <v>111</v>
      </c>
      <c r="L85" s="24"/>
      <c r="M85" s="25">
        <f>(IF(B76&gt;2,(I76/(B76+4)+M84),0))</f>
        <v>0</v>
      </c>
    </row>
    <row r="86" spans="1:13" ht="15.5" x14ac:dyDescent="0.35">
      <c r="A86" s="85" t="s">
        <v>112</v>
      </c>
      <c r="B86" s="85"/>
      <c r="C86" s="30">
        <v>0</v>
      </c>
      <c r="D86" s="86">
        <f ca="1">((100/I76)*C86)/100</f>
        <v>0</v>
      </c>
      <c r="E86" s="86"/>
      <c r="F86" s="86"/>
      <c r="G86" s="86"/>
      <c r="H86" s="86"/>
      <c r="I86" s="86"/>
      <c r="J86" s="86"/>
      <c r="K86" s="18" t="s">
        <v>113</v>
      </c>
      <c r="M86" s="26">
        <f>(IF(B76&gt;3,(I76/(B76+4)+M85),0))</f>
        <v>0</v>
      </c>
    </row>
    <row r="87" spans="1:13" ht="15.5" x14ac:dyDescent="0.35">
      <c r="A87" s="88" t="s">
        <v>114</v>
      </c>
      <c r="B87" s="88" t="s">
        <v>114</v>
      </c>
      <c r="C87" s="30">
        <v>0</v>
      </c>
      <c r="D87" s="86">
        <f ca="1">((100/(I76))*C87)/100</f>
        <v>0</v>
      </c>
      <c r="E87" s="86"/>
      <c r="F87" s="86"/>
      <c r="G87" s="86"/>
      <c r="H87" s="86"/>
      <c r="I87" s="86"/>
      <c r="J87" s="86"/>
      <c r="K87" s="18" t="s">
        <v>115</v>
      </c>
      <c r="L87" s="21"/>
      <c r="M87" s="23">
        <f ca="1">(IF(B76=0,I76/4+M82,(I76/(B76+4)+M82+MAX(0,M83-M82)+MAX(0,M84-M83)+MAX(0,M85-M84)+MAX(0,M86-M85))))</f>
        <v>3</v>
      </c>
    </row>
    <row r="88" spans="1:13" ht="16" thickBot="1" x14ac:dyDescent="0.4">
      <c r="A88" s="85" t="s">
        <v>116</v>
      </c>
      <c r="B88" s="85"/>
      <c r="C88" s="30">
        <v>0</v>
      </c>
      <c r="D88" s="86">
        <f ca="1">((100/(I76))*C88)/100</f>
        <v>0</v>
      </c>
      <c r="E88" s="86"/>
      <c r="F88" s="86"/>
      <c r="G88" s="86"/>
      <c r="H88" s="86"/>
      <c r="I88" s="86"/>
      <c r="J88" s="86"/>
      <c r="K88" s="27" t="s">
        <v>117</v>
      </c>
      <c r="L88" s="28"/>
      <c r="M88" s="29">
        <f ca="1">(IF(B76=0,I76/4+M87,(I76/(B76+4)+M87)))</f>
        <v>4</v>
      </c>
    </row>
    <row r="89" spans="1:13" ht="15.75" customHeight="1" x14ac:dyDescent="0.35">
      <c r="A89" s="103" t="s">
        <v>84</v>
      </c>
      <c r="B89" s="103"/>
      <c r="C89" s="95" t="s">
        <v>119</v>
      </c>
      <c r="D89" s="95"/>
      <c r="E89" s="95"/>
      <c r="F89" s="95"/>
      <c r="G89" s="95"/>
      <c r="H89" s="95"/>
      <c r="I89" s="95"/>
      <c r="J89" s="95"/>
      <c r="K89" s="14" t="str">
        <f>(IF(C93=0,"Work not yet Started.",IF(D93=25%,"Piling work in process",IF(D93=50%,"Excavation work in process",IF(D93=100%,"Excavation work completed, ","0")))&amp;(IF(C226=0%,"",IF(C226=M227,"Footing work is process",IF(C226=M228,"Footing work Completed",IF(C226=M229,"1st Basement Completed",IF(C226=M230,"1st &amp; 2nd Basement Completed",IF(C226=M231,"1st to 3rd Basement Completed",IF(C226=M232,"1st to 4th Basement Completed",IF(C226=M233,"Plinth work is process",IF(C226=M234,"Plinth work completed","0")))))))))))&amp;(IF(C227&gt;0,", RCC upto "&amp;C227&amp;" Slab completed",""))&amp;(IF(C228&gt;0,", Brickwork upto "&amp;C228&amp;" Floor completed"," "))&amp;(IF(C229&gt;0,", Internal Plaster upto "&amp;C229&amp;" Floor completed"," "))&amp;(IF(C230&gt;0,", External Plaster upto "&amp;C230&amp;" Floor completed"," "))&amp;(IF(C231&gt;0,", Flooring upto "&amp;C231&amp;" Floor completed"," "))&amp;(IF(C232&gt;0,", Painting upto "&amp;C232&amp;" Floor completed"," "))&amp;(IF(C233&gt;0,", Finishing upto "&amp;C233&amp;" Floor completed"," ")))</f>
        <v>Work not yet Started., RCC upto 5 Slab completed, Brickwork upto 4 Floor completed, Internal Plaster upto 4 Floor completed, External Plaster upto 4 Floor completed, Flooring upto 4 Floor completed, Painting upto 4 Floor completed, Finishing upto 4 Floor completed</v>
      </c>
      <c r="L89" s="14"/>
      <c r="M89" s="15"/>
    </row>
    <row r="90" spans="1:13" ht="15.5" x14ac:dyDescent="0.35">
      <c r="A90" s="39" t="s">
        <v>85</v>
      </c>
      <c r="B90" s="39">
        <v>0</v>
      </c>
      <c r="C90" s="39" t="s">
        <v>86</v>
      </c>
      <c r="D90" s="39">
        <v>1</v>
      </c>
      <c r="E90" s="39" t="s">
        <v>87</v>
      </c>
      <c r="F90" s="85">
        <v>0</v>
      </c>
      <c r="G90" s="85"/>
      <c r="H90" s="39" t="s">
        <v>88</v>
      </c>
      <c r="I90" s="85">
        <f ca="1">--TRIM(RIGHT(SUBSTITUTE(LEFT(C89,_xlfn.AGGREGATE(16,6,FIND({0,1,2,3,4,5,6,7,8,9},C89,ROW(INDIRECT("1:"&amp;LEN(C89)))),1))," ",REPT(" ",LEN(C89))),LEN(C89)))</f>
        <v>4</v>
      </c>
      <c r="J90" s="85"/>
      <c r="K90" s="16" t="s">
        <v>89</v>
      </c>
      <c r="L90" s="16"/>
      <c r="M90" s="17"/>
    </row>
    <row r="91" spans="1:13" ht="15.5" x14ac:dyDescent="0.35">
      <c r="A91" s="94" t="s">
        <v>90</v>
      </c>
      <c r="B91" s="94"/>
      <c r="C91" s="95" t="str">
        <f>K91</f>
        <v>All work Completed. OC Received.</v>
      </c>
      <c r="D91" s="95"/>
      <c r="E91" s="95"/>
      <c r="F91" s="95"/>
      <c r="G91" s="95"/>
      <c r="H91" s="95"/>
      <c r="I91" s="95"/>
      <c r="J91" s="95"/>
      <c r="K91" s="16" t="s">
        <v>91</v>
      </c>
      <c r="L91" s="16"/>
      <c r="M91" s="17"/>
    </row>
    <row r="92" spans="1:13" ht="15.75" customHeight="1" x14ac:dyDescent="0.35">
      <c r="A92" s="104" t="s">
        <v>94</v>
      </c>
      <c r="B92" s="104"/>
      <c r="C92" s="105">
        <v>1</v>
      </c>
      <c r="D92" s="106"/>
      <c r="E92" s="106"/>
      <c r="F92" s="106" t="s">
        <v>95</v>
      </c>
      <c r="G92" s="106"/>
      <c r="H92" s="105">
        <v>1</v>
      </c>
      <c r="I92" s="106"/>
      <c r="J92" s="106"/>
      <c r="K92" s="18" t="s">
        <v>96</v>
      </c>
      <c r="L92" s="19"/>
      <c r="M92" s="20">
        <f ca="1">I90*25%</f>
        <v>1</v>
      </c>
    </row>
    <row r="93" spans="1:13" x14ac:dyDescent="0.35">
      <c r="A93" s="104"/>
      <c r="B93" s="104"/>
      <c r="C93" s="106"/>
      <c r="D93" s="106"/>
      <c r="E93" s="106"/>
      <c r="F93" s="106"/>
      <c r="G93" s="106"/>
      <c r="H93" s="106"/>
      <c r="I93" s="106"/>
      <c r="J93" s="106"/>
      <c r="K93" s="18" t="s">
        <v>98</v>
      </c>
      <c r="L93" s="21"/>
      <c r="M93" s="22">
        <f ca="1">I90*50%</f>
        <v>2</v>
      </c>
    </row>
    <row r="94" spans="1:13" x14ac:dyDescent="0.35">
      <c r="A94" s="90" t="s">
        <v>21</v>
      </c>
      <c r="B94" s="90"/>
      <c r="C94" s="90"/>
      <c r="D94" s="90"/>
      <c r="E94" s="90"/>
      <c r="F94" s="90"/>
      <c r="G94" s="90"/>
      <c r="H94" s="90"/>
      <c r="I94" s="90"/>
      <c r="J94" s="90"/>
    </row>
    <row r="95" spans="1:13" x14ac:dyDescent="0.35">
      <c r="A95" s="67" t="s">
        <v>247</v>
      </c>
      <c r="B95" s="67"/>
      <c r="C95" s="67"/>
      <c r="D95" s="67"/>
      <c r="E95" s="67"/>
      <c r="F95" s="67"/>
      <c r="G95" s="67" t="s">
        <v>250</v>
      </c>
      <c r="H95" s="67"/>
      <c r="I95" s="67"/>
      <c r="J95" s="67"/>
      <c r="K95" t="s">
        <v>251</v>
      </c>
      <c r="L95" s="13">
        <v>45496</v>
      </c>
      <c r="M95" s="13" t="s">
        <v>252</v>
      </c>
    </row>
    <row r="96" spans="1:13" hidden="1" x14ac:dyDescent="0.35">
      <c r="A96" s="67" t="s">
        <v>22</v>
      </c>
      <c r="B96" s="67"/>
      <c r="C96" s="67"/>
      <c r="D96" s="67"/>
      <c r="E96" s="67"/>
      <c r="F96" s="67"/>
      <c r="G96" s="67" t="s">
        <v>43</v>
      </c>
      <c r="H96" s="67"/>
      <c r="I96" s="67"/>
      <c r="J96" s="67"/>
    </row>
    <row r="97" spans="1:10" hidden="1" x14ac:dyDescent="0.35">
      <c r="A97" s="67" t="s">
        <v>23</v>
      </c>
      <c r="B97" s="67"/>
      <c r="C97" s="67"/>
      <c r="D97" s="67"/>
      <c r="E97" s="67"/>
      <c r="F97" s="67"/>
      <c r="G97" s="67" t="s">
        <v>43</v>
      </c>
      <c r="H97" s="67"/>
      <c r="I97" s="67"/>
      <c r="J97" s="67"/>
    </row>
    <row r="98" spans="1:10" hidden="1" x14ac:dyDescent="0.35">
      <c r="A98" s="67" t="s">
        <v>24</v>
      </c>
      <c r="B98" s="67"/>
      <c r="C98" s="67"/>
      <c r="D98" s="67"/>
      <c r="E98" s="67"/>
      <c r="F98" s="67"/>
      <c r="G98" s="67" t="s">
        <v>43</v>
      </c>
      <c r="H98" s="67"/>
      <c r="I98" s="67"/>
      <c r="J98" s="67"/>
    </row>
    <row r="99" spans="1:10" hidden="1" x14ac:dyDescent="0.35">
      <c r="A99" s="67" t="s">
        <v>25</v>
      </c>
      <c r="B99" s="67"/>
      <c r="C99" s="67"/>
      <c r="D99" s="67"/>
      <c r="E99" s="67"/>
      <c r="F99" s="67"/>
      <c r="G99" s="67" t="s">
        <v>43</v>
      </c>
      <c r="H99" s="67"/>
      <c r="I99" s="67"/>
      <c r="J99" s="67"/>
    </row>
    <row r="100" spans="1:10" x14ac:dyDescent="0.35">
      <c r="A100" s="67" t="s">
        <v>44</v>
      </c>
      <c r="B100" s="67"/>
      <c r="C100" s="67"/>
      <c r="D100" s="67"/>
      <c r="E100" s="67"/>
      <c r="F100" s="67"/>
      <c r="G100" s="67" t="s">
        <v>122</v>
      </c>
      <c r="H100" s="67"/>
      <c r="I100" s="67"/>
      <c r="J100" s="67"/>
    </row>
    <row r="101" spans="1:10" hidden="1" x14ac:dyDescent="0.35">
      <c r="A101" s="90" t="s">
        <v>26</v>
      </c>
      <c r="B101" s="90"/>
      <c r="C101" s="90"/>
      <c r="D101" s="90"/>
      <c r="E101" s="90"/>
      <c r="F101" s="90"/>
      <c r="G101" s="67" t="s">
        <v>43</v>
      </c>
      <c r="H101" s="67"/>
      <c r="I101" s="67"/>
      <c r="J101" s="67"/>
    </row>
    <row r="102" spans="1:10" x14ac:dyDescent="0.35">
      <c r="A102" s="90" t="s">
        <v>249</v>
      </c>
      <c r="B102" s="90"/>
      <c r="C102" s="90"/>
      <c r="D102" s="90"/>
      <c r="E102" s="90"/>
      <c r="F102" s="90"/>
      <c r="G102" s="67" t="s">
        <v>248</v>
      </c>
      <c r="H102" s="67"/>
      <c r="I102" s="67"/>
      <c r="J102" s="67"/>
    </row>
    <row r="103" spans="1:10" s="43" customFormat="1" ht="15.75" customHeight="1" x14ac:dyDescent="0.35">
      <c r="A103" s="58" t="s">
        <v>219</v>
      </c>
      <c r="B103" s="58"/>
      <c r="C103" s="58"/>
      <c r="D103" s="58"/>
      <c r="E103" s="58"/>
      <c r="F103" s="58"/>
      <c r="G103" s="58"/>
      <c r="H103" s="58"/>
      <c r="I103" s="58"/>
      <c r="J103" s="58"/>
    </row>
    <row r="104" spans="1:10" s="43" customFormat="1" ht="15.75" customHeight="1" x14ac:dyDescent="0.35">
      <c r="A104" s="62" t="s">
        <v>220</v>
      </c>
      <c r="B104" s="62"/>
      <c r="C104" s="83" t="s">
        <v>221</v>
      </c>
      <c r="D104" s="83"/>
      <c r="E104" s="108" t="s">
        <v>222</v>
      </c>
      <c r="F104" s="108"/>
      <c r="G104" s="108"/>
      <c r="H104" s="62" t="s">
        <v>223</v>
      </c>
      <c r="I104" s="62"/>
      <c r="J104" s="62"/>
    </row>
    <row r="105" spans="1:10" s="43" customFormat="1" ht="15.5" x14ac:dyDescent="0.35">
      <c r="A105" s="59" t="s">
        <v>253</v>
      </c>
      <c r="B105" s="59"/>
      <c r="C105" s="60">
        <f>COUNT(G118:G119)+COUNT(G121:G125)+COUNT(G127:G131)*2+COUNT(G133:G137)</f>
        <v>22</v>
      </c>
      <c r="D105" s="60"/>
      <c r="E105" s="58">
        <f>SUM(G118:G119)+SUM(G121:G125)+SUM(G127:G131)*2+SUM(G133:G137)</f>
        <v>7587.5435999999991</v>
      </c>
      <c r="F105" s="58"/>
      <c r="G105" s="58"/>
      <c r="H105" s="58">
        <f>SUM(I118:I119)+SUM(I121:I125)+SUM(I127:I131)*2+SUM(I133:I137)</f>
        <v>12566.377979999999</v>
      </c>
      <c r="I105" s="58"/>
      <c r="J105" s="58"/>
    </row>
    <row r="106" spans="1:10" s="43" customFormat="1" ht="15.5" x14ac:dyDescent="0.35">
      <c r="A106" s="59" t="s">
        <v>254</v>
      </c>
      <c r="B106" s="59"/>
      <c r="C106" s="60">
        <f>COUNT(G142:G147)*2+COUNT(G149:G154)+COUNT(G156:G160)</f>
        <v>23</v>
      </c>
      <c r="D106" s="60"/>
      <c r="E106" s="58">
        <f>SUM(G142:G147)*2+SUM(G149:G154)+SUM(G156:G160)</f>
        <v>7850.8310399999991</v>
      </c>
      <c r="F106" s="58"/>
      <c r="G106" s="58"/>
      <c r="H106" s="58">
        <f>SUM(I142:I147)*2+SUM(I149:I154)+SUM(I156:I160)</f>
        <v>12810.365567999997</v>
      </c>
      <c r="I106" s="58"/>
      <c r="J106" s="58"/>
    </row>
    <row r="107" spans="1:10" s="43" customFormat="1" ht="15.5" x14ac:dyDescent="0.35">
      <c r="A107" s="59" t="s">
        <v>255</v>
      </c>
      <c r="B107" s="59"/>
      <c r="C107" s="60">
        <f>COUNT(G164:G165)+COUNT(G167:G171)+COUNT(G173:G177)*2+COUNT(G179:G183)</f>
        <v>22</v>
      </c>
      <c r="D107" s="60"/>
      <c r="E107" s="58">
        <f>SUM(G164:G165)+SUM(G167:G171)+SUM(G173:G177)*2+SUM(G179:G183)</f>
        <v>7587.5435999999991</v>
      </c>
      <c r="F107" s="58"/>
      <c r="G107" s="58"/>
      <c r="H107" s="58">
        <f>SUM(I164:I165)+SUM(I167:I171)+SUM(I173:I177)*2+SUM(I179:I183)</f>
        <v>12566.377979999999</v>
      </c>
      <c r="I107" s="58"/>
      <c r="J107" s="58"/>
    </row>
    <row r="108" spans="1:10" s="43" customFormat="1" ht="15.5" x14ac:dyDescent="0.35">
      <c r="A108" s="59" t="s">
        <v>225</v>
      </c>
      <c r="B108" s="59"/>
      <c r="C108" s="60">
        <f>COUNT(G187:G190)*2+COUNT(G192:G195)*2</f>
        <v>16</v>
      </c>
      <c r="D108" s="60"/>
      <c r="E108" s="58">
        <f>SUM(G187:G190)*2+SUM(G192:G195)*2</f>
        <v>5997.1625999999997</v>
      </c>
      <c r="F108" s="58"/>
      <c r="G108" s="58"/>
      <c r="H108" s="58">
        <f>SUM(I187:I190)*2+SUM(I192:I195)*2</f>
        <v>9436.0184099999988</v>
      </c>
      <c r="I108" s="58"/>
      <c r="J108" s="58"/>
    </row>
    <row r="109" spans="1:10" s="43" customFormat="1" ht="15.5" x14ac:dyDescent="0.35">
      <c r="A109" s="59" t="s">
        <v>226</v>
      </c>
      <c r="B109" s="59"/>
      <c r="C109" s="60">
        <f>COUNT(G199:G202)*2+COUNT(G204:G207)*2</f>
        <v>16</v>
      </c>
      <c r="D109" s="60"/>
      <c r="E109" s="58">
        <f>SUM(G199:G202)*2+SUM(G204:G207)*2</f>
        <v>5997.1625999999997</v>
      </c>
      <c r="F109" s="58"/>
      <c r="G109" s="58"/>
      <c r="H109" s="58">
        <f>SUM(I199:I202)*2+SUM(I204:I207)*2</f>
        <v>9436.0184099999988</v>
      </c>
      <c r="I109" s="58"/>
      <c r="J109" s="58"/>
    </row>
    <row r="110" spans="1:10" s="43" customFormat="1" ht="15.5" x14ac:dyDescent="0.35">
      <c r="A110" s="59" t="s">
        <v>227</v>
      </c>
      <c r="B110" s="59"/>
      <c r="C110" s="60">
        <f>COUNT(G211:G217)*2+COUNT(G219:G225)*2</f>
        <v>28</v>
      </c>
      <c r="D110" s="60"/>
      <c r="E110" s="58">
        <f>SUM(G211:G217)*2+SUM(G219:G225)*2</f>
        <v>8892.5709599999973</v>
      </c>
      <c r="F110" s="58"/>
      <c r="G110" s="58"/>
      <c r="H110" s="58">
        <f>SUM(I211:I217)*2+SUM(I219:I225)*2</f>
        <v>14187.199571999998</v>
      </c>
      <c r="I110" s="58"/>
      <c r="J110" s="58"/>
    </row>
    <row r="111" spans="1:10" s="44" customFormat="1" ht="15" x14ac:dyDescent="0.35">
      <c r="A111" s="58" t="s">
        <v>224</v>
      </c>
      <c r="B111" s="58"/>
      <c r="C111" s="107">
        <f>SUM(C105:C110)</f>
        <v>127</v>
      </c>
      <c r="D111" s="83"/>
      <c r="E111" s="58">
        <f>SUM(E105:E110)</f>
        <v>43912.814399999996</v>
      </c>
      <c r="F111" s="58"/>
      <c r="G111" s="58"/>
      <c r="H111" s="63">
        <f>SUM(H105:H110)</f>
        <v>71002.35791999998</v>
      </c>
      <c r="I111" s="63"/>
      <c r="J111" s="63"/>
    </row>
    <row r="112" spans="1:10" ht="15.75" customHeight="1" x14ac:dyDescent="0.35">
      <c r="A112" s="90" t="s">
        <v>27</v>
      </c>
      <c r="B112" s="90"/>
      <c r="C112" s="90"/>
      <c r="D112" s="90"/>
      <c r="E112" s="90"/>
      <c r="F112" s="90"/>
      <c r="G112" s="90"/>
      <c r="H112" s="90"/>
      <c r="I112" s="90"/>
      <c r="J112" s="90"/>
    </row>
    <row r="113" spans="1:14" ht="43.5" customHeight="1" x14ac:dyDescent="0.35">
      <c r="A113" s="55" t="s">
        <v>160</v>
      </c>
      <c r="B113" s="55" t="s">
        <v>161</v>
      </c>
      <c r="C113" s="55" t="s">
        <v>162</v>
      </c>
      <c r="D113" s="56" t="s">
        <v>163</v>
      </c>
      <c r="E113" s="56" t="s">
        <v>246</v>
      </c>
      <c r="F113" s="56" t="s">
        <v>218</v>
      </c>
      <c r="G113" s="55" t="s">
        <v>164</v>
      </c>
      <c r="H113" s="55" t="s">
        <v>165</v>
      </c>
      <c r="I113" s="55" t="s">
        <v>238</v>
      </c>
      <c r="J113" s="56"/>
      <c r="L113" s="45"/>
    </row>
    <row r="114" spans="1:14" x14ac:dyDescent="0.35">
      <c r="A114" s="56"/>
      <c r="B114" s="55"/>
      <c r="C114" s="55"/>
      <c r="D114" s="56"/>
      <c r="E114" s="56"/>
      <c r="F114" s="56"/>
      <c r="G114" s="55"/>
      <c r="H114" s="55"/>
      <c r="I114" s="57">
        <v>0.45</v>
      </c>
      <c r="J114" s="57"/>
    </row>
    <row r="115" spans="1:14" x14ac:dyDescent="0.35">
      <c r="A115" s="52" t="s">
        <v>170</v>
      </c>
      <c r="B115" s="52"/>
      <c r="C115" s="52"/>
      <c r="D115" s="52"/>
      <c r="E115" s="52"/>
      <c r="F115" s="52"/>
      <c r="G115" s="52"/>
      <c r="H115" s="52"/>
      <c r="I115" s="52"/>
      <c r="J115" s="52"/>
    </row>
    <row r="116" spans="1:14" x14ac:dyDescent="0.35">
      <c r="A116" s="52" t="s">
        <v>237</v>
      </c>
      <c r="B116" s="52"/>
      <c r="C116" s="52"/>
      <c r="D116" s="52"/>
      <c r="E116" s="52"/>
      <c r="F116" s="52"/>
      <c r="G116" s="52"/>
      <c r="H116" s="52"/>
      <c r="I116" s="52"/>
      <c r="J116" s="52"/>
    </row>
    <row r="117" spans="1:14" x14ac:dyDescent="0.35">
      <c r="A117" s="54" t="s">
        <v>228</v>
      </c>
      <c r="B117" s="54"/>
      <c r="C117" s="54"/>
      <c r="D117" s="54"/>
      <c r="E117" s="54"/>
      <c r="F117" s="54"/>
      <c r="G117" s="54"/>
      <c r="H117" s="54"/>
      <c r="I117" s="54"/>
      <c r="J117" s="54"/>
    </row>
    <row r="118" spans="1:14" x14ac:dyDescent="0.35">
      <c r="A118" s="53">
        <v>1</v>
      </c>
      <c r="B118" s="53"/>
      <c r="C118" s="47" t="s">
        <v>40</v>
      </c>
      <c r="D118" s="46">
        <f>((3*1.9)+(0.85*0.85)+(1.8*2.3)+(0.9*1.2)+(1.5*1.2)+(4.05*2.75))*10.764</f>
        <v>264.57911999999999</v>
      </c>
      <c r="E118" s="46">
        <v>0</v>
      </c>
      <c r="F118" s="46">
        <v>0</v>
      </c>
      <c r="G118" s="46">
        <f>D118+F118</f>
        <v>264.57911999999999</v>
      </c>
      <c r="H118" s="47">
        <v>0</v>
      </c>
      <c r="I118" s="51">
        <f>G118*1.45+H118</f>
        <v>383.63972399999994</v>
      </c>
      <c r="J118" s="51"/>
      <c r="N118" s="34">
        <f>10.764</f>
        <v>10.763999999999999</v>
      </c>
    </row>
    <row r="119" spans="1:14" x14ac:dyDescent="0.35">
      <c r="A119" s="53">
        <v>2</v>
      </c>
      <c r="B119" s="53"/>
      <c r="C119" s="47" t="s">
        <v>40</v>
      </c>
      <c r="D119" s="46">
        <f>((3*2.75)+(1.8*1.35)+(1.2*1.5)+(0.9*1.2)+(2.9*4))*10.764</f>
        <v>270.82223999999997</v>
      </c>
      <c r="E119" s="46">
        <v>0</v>
      </c>
      <c r="F119" s="46">
        <v>0</v>
      </c>
      <c r="G119" s="46">
        <f>D119+F119</f>
        <v>270.82223999999997</v>
      </c>
      <c r="H119" s="47">
        <v>0</v>
      </c>
      <c r="I119" s="51">
        <f>G119*1.45+H119</f>
        <v>392.69224799999995</v>
      </c>
      <c r="J119" s="51"/>
    </row>
    <row r="120" spans="1:14" x14ac:dyDescent="0.35">
      <c r="A120" s="54" t="s">
        <v>229</v>
      </c>
      <c r="B120" s="54"/>
      <c r="C120" s="54"/>
      <c r="D120" s="54"/>
      <c r="E120" s="54"/>
      <c r="F120" s="54"/>
      <c r="G120" s="54"/>
      <c r="H120" s="54"/>
      <c r="I120" s="54"/>
      <c r="J120" s="54"/>
    </row>
    <row r="121" spans="1:14" ht="15" customHeight="1" x14ac:dyDescent="0.35">
      <c r="A121" s="53">
        <v>1</v>
      </c>
      <c r="B121" s="53"/>
      <c r="C121" s="38" t="s">
        <v>40</v>
      </c>
      <c r="D121" s="34">
        <f>((2.75*2.4)+(2.3*1.8)+(1.2*0.9)+(1.2*1.6)+(2.9*4)+(2.3*1.2))*10.764</f>
        <v>302.46839999999992</v>
      </c>
      <c r="E121" s="34">
        <v>0</v>
      </c>
      <c r="F121" s="34">
        <v>0</v>
      </c>
      <c r="G121" s="34">
        <f>D121+F121</f>
        <v>302.46839999999992</v>
      </c>
      <c r="H121" s="34">
        <f>(1.65*3.85)*10.764</f>
        <v>68.378309999999999</v>
      </c>
      <c r="I121" s="51">
        <f t="shared" ref="I121:I125" si="0">G121*1.45+H121</f>
        <v>506.95748999999989</v>
      </c>
      <c r="J121" s="51"/>
      <c r="N121" s="36"/>
    </row>
    <row r="122" spans="1:14" x14ac:dyDescent="0.35">
      <c r="A122" s="53">
        <v>2</v>
      </c>
      <c r="B122" s="53"/>
      <c r="C122" s="38" t="s">
        <v>40</v>
      </c>
      <c r="D122" s="34">
        <f>((2.75*2.4)+(2.3*1.8)+(1.2*0.9)+(1.2*1.6)+(2.9*4)+(2.3*1.2))*10.764</f>
        <v>302.46839999999992</v>
      </c>
      <c r="E122" s="34">
        <v>0</v>
      </c>
      <c r="F122" s="34">
        <v>0</v>
      </c>
      <c r="G122" s="34">
        <f>D122+F122</f>
        <v>302.46839999999992</v>
      </c>
      <c r="H122" s="34">
        <f>(1.65*3.85)*10.764</f>
        <v>68.378309999999999</v>
      </c>
      <c r="I122" s="51">
        <f t="shared" si="0"/>
        <v>506.95748999999989</v>
      </c>
      <c r="J122" s="51"/>
      <c r="N122" s="37"/>
    </row>
    <row r="123" spans="1:14" x14ac:dyDescent="0.35">
      <c r="A123" s="53">
        <v>3</v>
      </c>
      <c r="B123" s="53"/>
      <c r="C123" s="38" t="s">
        <v>40</v>
      </c>
      <c r="D123" s="34">
        <f>((4.05*2.75)+(1.8*2.3)+(1.5*1.2)+(0.9*1.2)+(3*1.9)+(0.85*0.85))*10.764</f>
        <v>264.57911999999999</v>
      </c>
      <c r="E123" s="34">
        <v>0</v>
      </c>
      <c r="F123" s="34">
        <v>0</v>
      </c>
      <c r="G123" s="34">
        <f>D123+F123</f>
        <v>264.57911999999999</v>
      </c>
      <c r="H123" s="34">
        <f>(1.8*3)*10.764</f>
        <v>58.125599999999999</v>
      </c>
      <c r="I123" s="51">
        <f t="shared" si="0"/>
        <v>441.76532399999996</v>
      </c>
      <c r="J123" s="51"/>
      <c r="N123" s="36"/>
    </row>
    <row r="124" spans="1:14" x14ac:dyDescent="0.35">
      <c r="A124" s="53">
        <v>4</v>
      </c>
      <c r="B124" s="53"/>
      <c r="C124" s="38" t="s">
        <v>41</v>
      </c>
      <c r="D124" s="34">
        <f>((2.9*4.15)+(3.1*1)+(2.65*2)+(1.2*2.1)+(1.2*2.1)+(3.05*3.2)+(2.85*1.55)+(2.85*0.65))*10.764</f>
        <v>446.75981999999999</v>
      </c>
      <c r="E124" s="34">
        <v>0</v>
      </c>
      <c r="F124" s="34">
        <v>0</v>
      </c>
      <c r="G124" s="34">
        <f>D124+F124</f>
        <v>446.75981999999999</v>
      </c>
      <c r="H124" s="34">
        <f>((1.8*3.05)+(1.25*2.9))*10.764</f>
        <v>98.113860000000003</v>
      </c>
      <c r="I124" s="51">
        <f t="shared" si="0"/>
        <v>745.91559900000004</v>
      </c>
      <c r="J124" s="51"/>
    </row>
    <row r="125" spans="1:14" x14ac:dyDescent="0.35">
      <c r="A125" s="53">
        <v>5</v>
      </c>
      <c r="B125" s="53"/>
      <c r="C125" s="38" t="s">
        <v>41</v>
      </c>
      <c r="D125" s="34">
        <f>((2.9*4.15)+(3.1*1)+(2.65*2)+(1.2*2.1)+(1.2*2.1)+(3.05*3.2)+(2.85*1.55)+(2.85*0.65))*10.764</f>
        <v>446.75981999999999</v>
      </c>
      <c r="E125" s="34">
        <v>0</v>
      </c>
      <c r="F125" s="34">
        <v>0</v>
      </c>
      <c r="G125" s="34">
        <f>D125+F125</f>
        <v>446.75981999999999</v>
      </c>
      <c r="H125" s="34">
        <f>((1.8*3.05)+(1.25*2.9))*10.764</f>
        <v>98.113860000000003</v>
      </c>
      <c r="I125" s="51">
        <f t="shared" si="0"/>
        <v>745.91559900000004</v>
      </c>
      <c r="J125" s="51"/>
    </row>
    <row r="126" spans="1:14" x14ac:dyDescent="0.35">
      <c r="A126" s="54" t="s">
        <v>230</v>
      </c>
      <c r="B126" s="54"/>
      <c r="C126" s="54"/>
      <c r="D126" s="54"/>
      <c r="E126" s="54"/>
      <c r="F126" s="54"/>
      <c r="G126" s="54"/>
      <c r="H126" s="54"/>
      <c r="I126" s="54"/>
      <c r="J126" s="54"/>
      <c r="L126">
        <v>3500</v>
      </c>
    </row>
    <row r="127" spans="1:14" ht="15" customHeight="1" x14ac:dyDescent="0.35">
      <c r="A127" s="53">
        <v>1</v>
      </c>
      <c r="B127" s="53"/>
      <c r="C127" s="38" t="s">
        <v>40</v>
      </c>
      <c r="D127" s="34">
        <f>((2.75*2.4)+(2.3*1.8)+(1.2*0.9)+(1.2*1.6)+(2.9*4)+(2.3*1.2))*10.764</f>
        <v>302.46839999999992</v>
      </c>
      <c r="E127" s="34">
        <v>0</v>
      </c>
      <c r="F127" s="34">
        <v>0</v>
      </c>
      <c r="G127" s="34">
        <f>D127+F127</f>
        <v>302.46839999999992</v>
      </c>
      <c r="H127" s="34">
        <f>(1.65*3.85)*10.764</f>
        <v>68.378309999999999</v>
      </c>
      <c r="I127" s="51">
        <f t="shared" ref="I127:I131" si="1">G127*1.45+H127</f>
        <v>506.95748999999989</v>
      </c>
      <c r="J127" s="51"/>
      <c r="L127">
        <f>L$126*I127</f>
        <v>1774351.2149999996</v>
      </c>
      <c r="N127" s="36"/>
    </row>
    <row r="128" spans="1:14" x14ac:dyDescent="0.35">
      <c r="A128" s="53">
        <v>2</v>
      </c>
      <c r="B128" s="53"/>
      <c r="C128" s="38" t="s">
        <v>40</v>
      </c>
      <c r="D128" s="34">
        <f>((2.75*2.4)+(2.3*1.8)+(1.2*0.9)+(1.2*1.6)+(2.9*4)+(2.3*1.2))*10.764</f>
        <v>302.46839999999992</v>
      </c>
      <c r="E128" s="34">
        <v>0</v>
      </c>
      <c r="F128" s="34">
        <v>0</v>
      </c>
      <c r="G128" s="34">
        <f>D128+F128</f>
        <v>302.46839999999992</v>
      </c>
      <c r="H128" s="34">
        <f>(1.65*3.85)*10.764</f>
        <v>68.378309999999999</v>
      </c>
      <c r="I128" s="51">
        <f t="shared" si="1"/>
        <v>506.95748999999989</v>
      </c>
      <c r="J128" s="51"/>
      <c r="L128">
        <f t="shared" ref="L128:L183" si="2">L$126*I128</f>
        <v>1774351.2149999996</v>
      </c>
      <c r="N128" s="37"/>
    </row>
    <row r="129" spans="1:14" x14ac:dyDescent="0.35">
      <c r="A129" s="53">
        <v>3</v>
      </c>
      <c r="B129" s="53"/>
      <c r="C129" s="38" t="s">
        <v>40</v>
      </c>
      <c r="D129" s="34">
        <f>((4.05*2.75)+(1.8*2.3)+(1.5*1.2)+(0.9*1.2)+(3*1.9)+(0.85*0.85))*10.764</f>
        <v>264.57911999999999</v>
      </c>
      <c r="E129" s="34">
        <v>0</v>
      </c>
      <c r="F129" s="34">
        <v>0</v>
      </c>
      <c r="G129" s="34">
        <f>D129+F129</f>
        <v>264.57911999999999</v>
      </c>
      <c r="H129" s="34">
        <f>(1.8*3)*10.764</f>
        <v>58.125599999999999</v>
      </c>
      <c r="I129" s="51">
        <f t="shared" si="1"/>
        <v>441.76532399999996</v>
      </c>
      <c r="J129" s="51"/>
      <c r="L129">
        <f t="shared" si="2"/>
        <v>1546178.6339999998</v>
      </c>
      <c r="N129" s="36"/>
    </row>
    <row r="130" spans="1:14" x14ac:dyDescent="0.35">
      <c r="A130" s="53">
        <v>4</v>
      </c>
      <c r="B130" s="53"/>
      <c r="C130" s="38" t="s">
        <v>41</v>
      </c>
      <c r="D130" s="34">
        <f>((2.9*4.15)+(3.1*1)+(2.65*2)+(1.2*2.1)+(1.2*2.1)+(3.05*3.2)+(2.85*1.55)+(2.85*0.65))*10.764</f>
        <v>446.75981999999999</v>
      </c>
      <c r="E130" s="34">
        <v>0</v>
      </c>
      <c r="F130" s="34">
        <v>0</v>
      </c>
      <c r="G130" s="34">
        <f>D130+F130</f>
        <v>446.75981999999999</v>
      </c>
      <c r="H130" s="34">
        <f>((1.8*3.05)+(1.25*2.9))*10.764</f>
        <v>98.113860000000003</v>
      </c>
      <c r="I130" s="51">
        <f t="shared" si="1"/>
        <v>745.91559900000004</v>
      </c>
      <c r="J130" s="51"/>
      <c r="L130">
        <f t="shared" si="2"/>
        <v>2610704.5965</v>
      </c>
    </row>
    <row r="131" spans="1:14" x14ac:dyDescent="0.35">
      <c r="A131" s="53">
        <v>5</v>
      </c>
      <c r="B131" s="53"/>
      <c r="C131" s="38" t="s">
        <v>41</v>
      </c>
      <c r="D131" s="34">
        <f>((2.9*4.15)+(3.1*1)+(2.65*2)+(1.2*2.1)+(1.2*2.1)+(3.05*3.2)+(2.85*1.55)+(2.85*0.65))*10.764</f>
        <v>446.75981999999999</v>
      </c>
      <c r="E131" s="34">
        <v>0</v>
      </c>
      <c r="F131" s="34">
        <v>0</v>
      </c>
      <c r="G131" s="34">
        <f>D131+F131</f>
        <v>446.75981999999999</v>
      </c>
      <c r="H131" s="34">
        <f>((1.8*3.05)+(1.25*2.9))*10.764</f>
        <v>98.113860000000003</v>
      </c>
      <c r="I131" s="51">
        <f t="shared" si="1"/>
        <v>745.91559900000004</v>
      </c>
      <c r="J131" s="51"/>
      <c r="L131">
        <f t="shared" si="2"/>
        <v>2610704.5965</v>
      </c>
    </row>
    <row r="132" spans="1:14" x14ac:dyDescent="0.35">
      <c r="A132" s="54" t="s">
        <v>231</v>
      </c>
      <c r="B132" s="54"/>
      <c r="C132" s="54"/>
      <c r="D132" s="54"/>
      <c r="E132" s="54"/>
      <c r="F132" s="54"/>
      <c r="G132" s="54"/>
      <c r="H132" s="54"/>
      <c r="I132" s="54"/>
      <c r="J132" s="54"/>
      <c r="L132">
        <f t="shared" si="2"/>
        <v>0</v>
      </c>
    </row>
    <row r="133" spans="1:14" ht="15" customHeight="1" x14ac:dyDescent="0.35">
      <c r="A133" s="53">
        <v>1</v>
      </c>
      <c r="B133" s="53"/>
      <c r="C133" s="38" t="s">
        <v>40</v>
      </c>
      <c r="D133" s="34">
        <f>((2.75*2.4)+(2.3*1.8)+(1.2*0.9)+(1.2*1.6)+(2.9*4)+(2.3*1.2))*10.764</f>
        <v>302.46839999999992</v>
      </c>
      <c r="E133" s="34">
        <v>0</v>
      </c>
      <c r="F133" s="34">
        <v>0</v>
      </c>
      <c r="G133" s="34">
        <f>D133+F133</f>
        <v>302.46839999999992</v>
      </c>
      <c r="H133" s="34">
        <f>(1.65*3.85)*10.764</f>
        <v>68.378309999999999</v>
      </c>
      <c r="I133" s="51">
        <f t="shared" ref="I133:I137" si="3">G133*1.45+H133</f>
        <v>506.95748999999989</v>
      </c>
      <c r="J133" s="51"/>
      <c r="L133">
        <f t="shared" si="2"/>
        <v>1774351.2149999996</v>
      </c>
      <c r="N133" s="36"/>
    </row>
    <row r="134" spans="1:14" x14ac:dyDescent="0.35">
      <c r="A134" s="53">
        <v>2</v>
      </c>
      <c r="B134" s="53"/>
      <c r="C134" s="38" t="s">
        <v>40</v>
      </c>
      <c r="D134" s="34">
        <f>((2.75*2.4)+(2.3*1.8)+(1.2*0.9)+(1.2*1.6)+(2.9*4)+(2.3*1.2))*10.764</f>
        <v>302.46839999999992</v>
      </c>
      <c r="E134" s="34">
        <v>0</v>
      </c>
      <c r="F134" s="34">
        <v>0</v>
      </c>
      <c r="G134" s="34">
        <f>D134+F134</f>
        <v>302.46839999999992</v>
      </c>
      <c r="H134" s="34">
        <f>(1.65*3.85)*10.764</f>
        <v>68.378309999999999</v>
      </c>
      <c r="I134" s="51">
        <f t="shared" si="3"/>
        <v>506.95748999999989</v>
      </c>
      <c r="J134" s="51"/>
      <c r="L134">
        <f t="shared" si="2"/>
        <v>1774351.2149999996</v>
      </c>
      <c r="N134" s="37"/>
    </row>
    <row r="135" spans="1:14" x14ac:dyDescent="0.35">
      <c r="A135" s="53">
        <v>3</v>
      </c>
      <c r="B135" s="53"/>
      <c r="C135" s="38" t="s">
        <v>40</v>
      </c>
      <c r="D135" s="34">
        <f>((4.05*2.75)+(1.8*2.3)+(1.5*1.2)+(0.9*1.2)+(3*1.9)+(0.85*0.85))*10.764</f>
        <v>264.57911999999999</v>
      </c>
      <c r="E135" s="34">
        <v>0</v>
      </c>
      <c r="F135" s="34">
        <v>0</v>
      </c>
      <c r="G135" s="34">
        <f>D135+F135</f>
        <v>264.57911999999999</v>
      </c>
      <c r="H135" s="34">
        <f>(1.8*3)*10.764</f>
        <v>58.125599999999999</v>
      </c>
      <c r="I135" s="51">
        <f t="shared" si="3"/>
        <v>441.76532399999996</v>
      </c>
      <c r="J135" s="51"/>
      <c r="L135">
        <f t="shared" si="2"/>
        <v>1546178.6339999998</v>
      </c>
      <c r="N135" s="36"/>
    </row>
    <row r="136" spans="1:14" x14ac:dyDescent="0.35">
      <c r="A136" s="53">
        <v>4</v>
      </c>
      <c r="B136" s="53"/>
      <c r="C136" s="38" t="s">
        <v>41</v>
      </c>
      <c r="D136" s="34">
        <f>((2.9*4.15)+(3.1*1)+(2.65*2)+(1.2*2.1)+(1.2*2.1)+(3.05*3.2)+(2.85*1.55)+(2.85*0.65))*10.764</f>
        <v>446.75981999999999</v>
      </c>
      <c r="E136" s="34">
        <v>0</v>
      </c>
      <c r="F136" s="34">
        <v>0</v>
      </c>
      <c r="G136" s="34">
        <f>D136+F136</f>
        <v>446.75981999999999</v>
      </c>
      <c r="H136" s="34">
        <f>((1.8*3.05)+(1.25*2.9))*10.764</f>
        <v>98.113860000000003</v>
      </c>
      <c r="I136" s="51">
        <f t="shared" si="3"/>
        <v>745.91559900000004</v>
      </c>
      <c r="J136" s="51"/>
      <c r="L136">
        <f t="shared" si="2"/>
        <v>2610704.5965</v>
      </c>
    </row>
    <row r="137" spans="1:14" x14ac:dyDescent="0.35">
      <c r="A137" s="53">
        <v>5</v>
      </c>
      <c r="B137" s="53"/>
      <c r="C137" s="38" t="s">
        <v>41</v>
      </c>
      <c r="D137" s="34">
        <f>((2.9*4.15)+(3.1*1)+(2.65*2)+(1.2*2.1)+(1.2*2.1)+(3.05*3.2)+(2.85*1.55)+(2.85*0.65))*10.764</f>
        <v>446.75981999999999</v>
      </c>
      <c r="E137" s="34">
        <v>0</v>
      </c>
      <c r="F137" s="34">
        <v>0</v>
      </c>
      <c r="G137" s="34">
        <f>D137+F137</f>
        <v>446.75981999999999</v>
      </c>
      <c r="H137" s="34">
        <f>((1.8*3.05)+(1.25*2.9))*10.764</f>
        <v>98.113860000000003</v>
      </c>
      <c r="I137" s="51">
        <f t="shared" si="3"/>
        <v>745.91559900000004</v>
      </c>
      <c r="J137" s="51"/>
      <c r="L137">
        <f t="shared" si="2"/>
        <v>2610704.5965</v>
      </c>
    </row>
    <row r="138" spans="1:14" ht="15" customHeight="1" x14ac:dyDescent="0.35">
      <c r="A138" s="52" t="s">
        <v>42</v>
      </c>
      <c r="B138" s="52"/>
      <c r="C138" s="52"/>
      <c r="D138" s="52"/>
      <c r="E138" s="52"/>
      <c r="F138" s="52"/>
      <c r="G138" s="52"/>
      <c r="H138" s="52"/>
      <c r="I138" s="52"/>
      <c r="J138" s="52"/>
      <c r="L138">
        <f t="shared" si="2"/>
        <v>0</v>
      </c>
    </row>
    <row r="139" spans="1:14" ht="15" customHeight="1" x14ac:dyDescent="0.35">
      <c r="A139" s="52" t="s">
        <v>45</v>
      </c>
      <c r="B139" s="52"/>
      <c r="C139" s="52"/>
      <c r="D139" s="52"/>
      <c r="E139" s="52"/>
      <c r="F139" s="52"/>
      <c r="G139" s="52"/>
      <c r="H139" s="52"/>
      <c r="I139" s="52"/>
      <c r="J139" s="52"/>
      <c r="L139">
        <f t="shared" si="2"/>
        <v>0</v>
      </c>
    </row>
    <row r="140" spans="1:14" ht="15" customHeight="1" x14ac:dyDescent="0.35">
      <c r="A140" s="52" t="s">
        <v>232</v>
      </c>
      <c r="B140" s="52"/>
      <c r="C140" s="52"/>
      <c r="D140" s="52"/>
      <c r="E140" s="52"/>
      <c r="F140" s="52"/>
      <c r="G140" s="52"/>
      <c r="H140" s="52"/>
      <c r="I140" s="52"/>
      <c r="J140" s="52"/>
      <c r="L140">
        <f t="shared" si="2"/>
        <v>0</v>
      </c>
    </row>
    <row r="141" spans="1:14" x14ac:dyDescent="0.35">
      <c r="A141" s="54" t="s">
        <v>233</v>
      </c>
      <c r="B141" s="54"/>
      <c r="C141" s="54"/>
      <c r="D141" s="54"/>
      <c r="E141" s="54"/>
      <c r="F141" s="54"/>
      <c r="G141" s="54"/>
      <c r="H141" s="54"/>
      <c r="I141" s="54"/>
      <c r="J141" s="54"/>
      <c r="L141">
        <f t="shared" si="2"/>
        <v>0</v>
      </c>
    </row>
    <row r="142" spans="1:14" ht="15" customHeight="1" x14ac:dyDescent="0.35">
      <c r="A142" s="53">
        <v>1</v>
      </c>
      <c r="B142" s="53"/>
      <c r="C142" s="38" t="s">
        <v>41</v>
      </c>
      <c r="D142" s="34">
        <f>((3.05*3.2)+(2.85*1.55)+(1.2*2.1)+(1.2*2.1)+(2.9*4.15)+(3.1*1)+(2.5*2.2)+(2.85*0.6))*10.764</f>
        <v>447.37874999999997</v>
      </c>
      <c r="E142" s="34">
        <v>0</v>
      </c>
      <c r="F142" s="34">
        <v>0</v>
      </c>
      <c r="G142" s="34">
        <f t="shared" ref="G142:G147" si="4">D142+F142</f>
        <v>447.37874999999997</v>
      </c>
      <c r="H142" s="34">
        <f>(1.8*3.05)*10.764</f>
        <v>59.094360000000002</v>
      </c>
      <c r="I142" s="51">
        <f t="shared" ref="I142:I147" si="5">G142*1.45+H142</f>
        <v>707.79354749999993</v>
      </c>
      <c r="J142" s="51"/>
      <c r="L142">
        <f t="shared" si="2"/>
        <v>2477277.4162499998</v>
      </c>
      <c r="N142" s="36"/>
    </row>
    <row r="143" spans="1:14" x14ac:dyDescent="0.35">
      <c r="A143" s="53">
        <v>2</v>
      </c>
      <c r="B143" s="53"/>
      <c r="C143" s="38" t="s">
        <v>41</v>
      </c>
      <c r="D143" s="34">
        <f>((3.05*3.2)+(2.85*1.55)+(1.2*2.1)+(1.2*2.1)+(2.9*4.15)+(3.1*1)+(2.5*2.2)+(2.85*0.6))*10.764</f>
        <v>447.37874999999997</v>
      </c>
      <c r="E143" s="34">
        <v>0</v>
      </c>
      <c r="F143" s="34">
        <v>0</v>
      </c>
      <c r="G143" s="34">
        <f t="shared" si="4"/>
        <v>447.37874999999997</v>
      </c>
      <c r="H143" s="34">
        <f>(1.8*3.05)*10.764</f>
        <v>59.094360000000002</v>
      </c>
      <c r="I143" s="51">
        <f t="shared" si="5"/>
        <v>707.79354749999993</v>
      </c>
      <c r="J143" s="51"/>
      <c r="L143">
        <f t="shared" si="2"/>
        <v>2477277.4162499998</v>
      </c>
      <c r="N143" s="37"/>
    </row>
    <row r="144" spans="1:14" x14ac:dyDescent="0.35">
      <c r="A144" s="53">
        <v>3</v>
      </c>
      <c r="B144" s="53"/>
      <c r="C144" s="38" t="s">
        <v>40</v>
      </c>
      <c r="D144" s="34">
        <f>((4.05*2.75)+(1.8*2.3)+(1.5*1.2)+(0.9*1.2)+(3*1.9)+(0.85*0.85))*10.764</f>
        <v>264.57911999999999</v>
      </c>
      <c r="E144" s="34">
        <v>0</v>
      </c>
      <c r="F144" s="34">
        <v>0</v>
      </c>
      <c r="G144" s="34">
        <f>D144+F144</f>
        <v>264.57911999999999</v>
      </c>
      <c r="H144" s="34">
        <f>(1.8*3)*10.764</f>
        <v>58.125599999999999</v>
      </c>
      <c r="I144" s="51">
        <f t="shared" si="5"/>
        <v>441.76532399999996</v>
      </c>
      <c r="J144" s="51"/>
      <c r="L144">
        <f t="shared" si="2"/>
        <v>1546178.6339999998</v>
      </c>
      <c r="N144" s="36"/>
    </row>
    <row r="145" spans="1:14" x14ac:dyDescent="0.35">
      <c r="A145" s="53">
        <v>4</v>
      </c>
      <c r="B145" s="53"/>
      <c r="C145" s="38" t="s">
        <v>40</v>
      </c>
      <c r="D145" s="34">
        <f>((2.75*2.4)+(2.3*1.8)+(1.2*0.9)+(1.2*1.6)+(2.9*4)+(2.3*1.2))*10.764</f>
        <v>302.46839999999992</v>
      </c>
      <c r="E145" s="34">
        <v>0</v>
      </c>
      <c r="F145" s="34">
        <v>0</v>
      </c>
      <c r="G145" s="34">
        <f t="shared" si="4"/>
        <v>302.46839999999992</v>
      </c>
      <c r="H145" s="34">
        <f>(1.65*3.85)*10.764</f>
        <v>68.378309999999999</v>
      </c>
      <c r="I145" s="51">
        <f t="shared" si="5"/>
        <v>506.95748999999989</v>
      </c>
      <c r="J145" s="51"/>
      <c r="L145">
        <f t="shared" si="2"/>
        <v>1774351.2149999996</v>
      </c>
    </row>
    <row r="146" spans="1:14" x14ac:dyDescent="0.35">
      <c r="A146" s="53">
        <v>5</v>
      </c>
      <c r="B146" s="53"/>
      <c r="C146" s="38" t="s">
        <v>40</v>
      </c>
      <c r="D146" s="34">
        <f>((2.75*2.4)+(2.3*1.8)+(1.2*0.9)+(1.2*1.6)+(2.9*4)+(2.3*1.2))*10.764</f>
        <v>302.46839999999992</v>
      </c>
      <c r="E146" s="34">
        <v>0</v>
      </c>
      <c r="F146" s="34">
        <v>0</v>
      </c>
      <c r="G146" s="34">
        <f t="shared" si="4"/>
        <v>302.46839999999992</v>
      </c>
      <c r="H146" s="34">
        <f>(1.65*3.85)*10.764</f>
        <v>68.378309999999999</v>
      </c>
      <c r="I146" s="51">
        <f t="shared" si="5"/>
        <v>506.95748999999989</v>
      </c>
      <c r="J146" s="51"/>
      <c r="L146">
        <f t="shared" si="2"/>
        <v>1774351.2149999996</v>
      </c>
    </row>
    <row r="147" spans="1:14" x14ac:dyDescent="0.35">
      <c r="A147" s="53">
        <v>6</v>
      </c>
      <c r="B147" s="53"/>
      <c r="C147" s="38" t="s">
        <v>40</v>
      </c>
      <c r="D147" s="34">
        <f>((4.05*2.75)+(1.8*2.3)+(1.5*1.2)+(0.9*1.2)+(3*1.9)+(0.85*0.85))*10.764</f>
        <v>264.57911999999999</v>
      </c>
      <c r="E147" s="34">
        <v>0</v>
      </c>
      <c r="F147" s="34">
        <v>0</v>
      </c>
      <c r="G147" s="34">
        <f t="shared" si="4"/>
        <v>264.57911999999999</v>
      </c>
      <c r="H147" s="34">
        <f>(1.8*3)*10.764</f>
        <v>58.125599999999999</v>
      </c>
      <c r="I147" s="51">
        <f t="shared" si="5"/>
        <v>441.76532399999996</v>
      </c>
      <c r="J147" s="51"/>
      <c r="L147">
        <f t="shared" si="2"/>
        <v>1546178.6339999998</v>
      </c>
    </row>
    <row r="148" spans="1:14" x14ac:dyDescent="0.35">
      <c r="A148" s="54" t="s">
        <v>234</v>
      </c>
      <c r="B148" s="54"/>
      <c r="C148" s="54"/>
      <c r="D148" s="54"/>
      <c r="E148" s="54"/>
      <c r="F148" s="54"/>
      <c r="G148" s="54"/>
      <c r="H148" s="54"/>
      <c r="I148" s="54"/>
      <c r="J148" s="54"/>
      <c r="L148">
        <f t="shared" si="2"/>
        <v>0</v>
      </c>
    </row>
    <row r="149" spans="1:14" ht="15" customHeight="1" x14ac:dyDescent="0.35">
      <c r="A149" s="53">
        <v>1</v>
      </c>
      <c r="B149" s="53"/>
      <c r="C149" s="38" t="s">
        <v>41</v>
      </c>
      <c r="D149" s="34">
        <f>((3.05*3.2)+(2.85*1.55)+(1.2*2.1)+(1.2*2.1)+(2.9*4.15)+(3.1*1)+(2.5*2.2)+(2.85*0.6))*10.764</f>
        <v>447.37874999999997</v>
      </c>
      <c r="E149" s="34">
        <v>0</v>
      </c>
      <c r="F149" s="34">
        <v>0</v>
      </c>
      <c r="G149" s="34">
        <f t="shared" ref="G149:G154" si="6">D149+F149</f>
        <v>447.37874999999997</v>
      </c>
      <c r="H149" s="34">
        <f>(1.8*3.05)*10.764</f>
        <v>59.094360000000002</v>
      </c>
      <c r="I149" s="51">
        <f t="shared" ref="I149:I154" si="7">G149*1.45+H149</f>
        <v>707.79354749999993</v>
      </c>
      <c r="J149" s="51"/>
      <c r="L149">
        <f t="shared" si="2"/>
        <v>2477277.4162499998</v>
      </c>
      <c r="N149" s="36"/>
    </row>
    <row r="150" spans="1:14" x14ac:dyDescent="0.35">
      <c r="A150" s="53">
        <v>2</v>
      </c>
      <c r="B150" s="53"/>
      <c r="C150" s="38" t="s">
        <v>41</v>
      </c>
      <c r="D150" s="34">
        <f>((3.05*3.2)+(2.85*1.55)+(1.2*2.1)+(1.2*2.1)+(2.9*4.15)+(3.1*1)+(2.5*2.2)+(2.85*0.6))*10.764</f>
        <v>447.37874999999997</v>
      </c>
      <c r="E150" s="34">
        <v>0</v>
      </c>
      <c r="F150" s="34">
        <v>0</v>
      </c>
      <c r="G150" s="34">
        <f t="shared" si="6"/>
        <v>447.37874999999997</v>
      </c>
      <c r="H150" s="34">
        <f>(1.8*3.05)*10.764</f>
        <v>59.094360000000002</v>
      </c>
      <c r="I150" s="51">
        <f t="shared" si="7"/>
        <v>707.79354749999993</v>
      </c>
      <c r="J150" s="51"/>
      <c r="L150">
        <f t="shared" si="2"/>
        <v>2477277.4162499998</v>
      </c>
      <c r="N150" s="37"/>
    </row>
    <row r="151" spans="1:14" x14ac:dyDescent="0.35">
      <c r="A151" s="53">
        <v>3</v>
      </c>
      <c r="B151" s="53"/>
      <c r="C151" s="38" t="s">
        <v>40</v>
      </c>
      <c r="D151" s="34">
        <f>((4.05*2.75)+(1.8*2.3)+(1.5*1.2)+(0.9*1.2)+(3*1.9)+(0.85*0.85))*10.764</f>
        <v>264.57911999999999</v>
      </c>
      <c r="E151" s="34">
        <v>0</v>
      </c>
      <c r="F151" s="34">
        <v>0</v>
      </c>
      <c r="G151" s="34">
        <f t="shared" si="6"/>
        <v>264.57911999999999</v>
      </c>
      <c r="H151" s="34">
        <f>(1.8*3)*10.764</f>
        <v>58.125599999999999</v>
      </c>
      <c r="I151" s="51">
        <f t="shared" si="7"/>
        <v>441.76532399999996</v>
      </c>
      <c r="J151" s="51"/>
      <c r="L151">
        <f t="shared" si="2"/>
        <v>1546178.6339999998</v>
      </c>
      <c r="N151" s="36"/>
    </row>
    <row r="152" spans="1:14" x14ac:dyDescent="0.35">
      <c r="A152" s="53">
        <v>4</v>
      </c>
      <c r="B152" s="53"/>
      <c r="C152" s="38" t="s">
        <v>40</v>
      </c>
      <c r="D152" s="34">
        <f>((2.75*2.4)+(2.3*1.8)+(1.2*0.9)+(1.2*1.6)+(2.9*4)+(2.3*1.2))*10.764</f>
        <v>302.46839999999992</v>
      </c>
      <c r="E152" s="34">
        <v>0</v>
      </c>
      <c r="F152" s="34">
        <v>0</v>
      </c>
      <c r="G152" s="34">
        <f t="shared" si="6"/>
        <v>302.46839999999992</v>
      </c>
      <c r="H152" s="34">
        <f>(1.65*3.85)*10.764</f>
        <v>68.378309999999999</v>
      </c>
      <c r="I152" s="51">
        <f t="shared" si="7"/>
        <v>506.95748999999989</v>
      </c>
      <c r="J152" s="51"/>
      <c r="L152">
        <f t="shared" si="2"/>
        <v>1774351.2149999996</v>
      </c>
    </row>
    <row r="153" spans="1:14" x14ac:dyDescent="0.35">
      <c r="A153" s="53">
        <v>5</v>
      </c>
      <c r="B153" s="53"/>
      <c r="C153" s="38" t="s">
        <v>40</v>
      </c>
      <c r="D153" s="34">
        <f>((2.75*2.4)+(2.3*1.8)+(1.2*0.9)+(1.2*1.6)+(2.9*4)+(2.3*1.2))*10.764</f>
        <v>302.46839999999992</v>
      </c>
      <c r="E153" s="34">
        <v>0</v>
      </c>
      <c r="F153" s="34">
        <v>0</v>
      </c>
      <c r="G153" s="34">
        <f t="shared" si="6"/>
        <v>302.46839999999992</v>
      </c>
      <c r="H153" s="34">
        <f>(1.65*3.85)*10.764</f>
        <v>68.378309999999999</v>
      </c>
      <c r="I153" s="51">
        <f t="shared" si="7"/>
        <v>506.95748999999989</v>
      </c>
      <c r="J153" s="51"/>
      <c r="L153">
        <f t="shared" si="2"/>
        <v>1774351.2149999996</v>
      </c>
    </row>
    <row r="154" spans="1:14" x14ac:dyDescent="0.35">
      <c r="A154" s="53">
        <v>6</v>
      </c>
      <c r="B154" s="53"/>
      <c r="C154" s="38" t="s">
        <v>40</v>
      </c>
      <c r="D154" s="34">
        <f>((4.05*2.75)+(1.8*2.3)+(1.5*1.2)+(0.9*1.2)+(3*1.9)+(0.85*0.85))*10.764</f>
        <v>264.57911999999999</v>
      </c>
      <c r="E154" s="34">
        <v>0</v>
      </c>
      <c r="F154" s="34">
        <v>0</v>
      </c>
      <c r="G154" s="34">
        <f t="shared" si="6"/>
        <v>264.57911999999999</v>
      </c>
      <c r="H154" s="34">
        <f>(1.8*3)*10.764</f>
        <v>58.125599999999999</v>
      </c>
      <c r="I154" s="51">
        <f t="shared" si="7"/>
        <v>441.76532399999996</v>
      </c>
      <c r="J154" s="51"/>
      <c r="L154">
        <f t="shared" si="2"/>
        <v>1546178.6339999998</v>
      </c>
    </row>
    <row r="155" spans="1:14" x14ac:dyDescent="0.35">
      <c r="A155" s="54" t="s">
        <v>235</v>
      </c>
      <c r="B155" s="54"/>
      <c r="C155" s="54"/>
      <c r="D155" s="54"/>
      <c r="E155" s="54"/>
      <c r="F155" s="54"/>
      <c r="G155" s="54"/>
      <c r="H155" s="54"/>
      <c r="I155" s="54"/>
      <c r="J155" s="54"/>
      <c r="L155">
        <f t="shared" si="2"/>
        <v>0</v>
      </c>
    </row>
    <row r="156" spans="1:14" ht="15" customHeight="1" x14ac:dyDescent="0.35">
      <c r="A156" s="53">
        <v>1</v>
      </c>
      <c r="B156" s="53"/>
      <c r="C156" s="38" t="s">
        <v>41</v>
      </c>
      <c r="D156" s="34">
        <f>((3.05*3.2)+(2.85*1.55)+(1.2*2.1)+(1.2*2.1)+(2.9*4.15)+(3.1*1)+(2.5*2.2)+(2.85*0.6))*10.764</f>
        <v>447.37874999999997</v>
      </c>
      <c r="E156" s="34">
        <v>0</v>
      </c>
      <c r="F156" s="34">
        <v>0</v>
      </c>
      <c r="G156" s="34">
        <f>D156+F156</f>
        <v>447.37874999999997</v>
      </c>
      <c r="H156" s="34">
        <f>(1.8*3.05)*10.764</f>
        <v>59.094360000000002</v>
      </c>
      <c r="I156" s="51">
        <f t="shared" ref="I156:I160" si="8">G156*1.45+H156</f>
        <v>707.79354749999993</v>
      </c>
      <c r="J156" s="51"/>
      <c r="L156">
        <f t="shared" si="2"/>
        <v>2477277.4162499998</v>
      </c>
      <c r="N156" s="36"/>
    </row>
    <row r="157" spans="1:14" x14ac:dyDescent="0.35">
      <c r="A157" s="53">
        <v>2</v>
      </c>
      <c r="B157" s="53"/>
      <c r="C157" s="38" t="s">
        <v>41</v>
      </c>
      <c r="D157" s="34">
        <f>((3.05*3.2)+(2.85*1.55)+(1.2*2.1)+(1.2*2.1)+(2.9*4.15)+(3.1*1)+(2.5*2.2)+(2.85*0.6))*10.764</f>
        <v>447.37874999999997</v>
      </c>
      <c r="E157" s="34">
        <v>0</v>
      </c>
      <c r="F157" s="34">
        <v>0</v>
      </c>
      <c r="G157" s="34">
        <f>D157+F157</f>
        <v>447.37874999999997</v>
      </c>
      <c r="H157" s="34">
        <f>(1.8*3.05)*10.764</f>
        <v>59.094360000000002</v>
      </c>
      <c r="I157" s="51">
        <f t="shared" si="8"/>
        <v>707.79354749999993</v>
      </c>
      <c r="J157" s="51"/>
      <c r="L157">
        <f t="shared" si="2"/>
        <v>2477277.4162499998</v>
      </c>
      <c r="N157" s="37"/>
    </row>
    <row r="158" spans="1:14" x14ac:dyDescent="0.35">
      <c r="A158" s="53">
        <v>3</v>
      </c>
      <c r="B158" s="53"/>
      <c r="C158" s="38" t="s">
        <v>40</v>
      </c>
      <c r="D158" s="34">
        <f>((2.75*2.4)+(2.3*1.8)+(1.2*0.9)+(1.2*1.6)+(2.9*4)+(2.3*1.2))*10.764</f>
        <v>302.46839999999992</v>
      </c>
      <c r="E158" s="34">
        <v>0</v>
      </c>
      <c r="F158" s="34">
        <v>0</v>
      </c>
      <c r="G158" s="34">
        <f>D158+F158</f>
        <v>302.46839999999992</v>
      </c>
      <c r="H158" s="34">
        <f>(1.65*3.85)*10.764</f>
        <v>68.378309999999999</v>
      </c>
      <c r="I158" s="51">
        <f t="shared" si="8"/>
        <v>506.95748999999989</v>
      </c>
      <c r="J158" s="51"/>
      <c r="L158">
        <f t="shared" si="2"/>
        <v>1774351.2149999996</v>
      </c>
    </row>
    <row r="159" spans="1:14" x14ac:dyDescent="0.35">
      <c r="A159" s="53">
        <v>4</v>
      </c>
      <c r="B159" s="53"/>
      <c r="C159" s="38" t="s">
        <v>40</v>
      </c>
      <c r="D159" s="34">
        <f>((2.75*2.4)+(2.3*1.8)+(1.2*0.9)+(1.2*1.6)+(2.9*4)+(2.3*1.2))*10.764</f>
        <v>302.46839999999992</v>
      </c>
      <c r="E159" s="34">
        <v>0</v>
      </c>
      <c r="F159" s="34">
        <v>0</v>
      </c>
      <c r="G159" s="34">
        <f>D159+F159</f>
        <v>302.46839999999992</v>
      </c>
      <c r="H159" s="34">
        <f>(1.65*3.85)*10.764</f>
        <v>68.378309999999999</v>
      </c>
      <c r="I159" s="51">
        <f t="shared" si="8"/>
        <v>506.95748999999989</v>
      </c>
      <c r="J159" s="51"/>
      <c r="L159">
        <f t="shared" si="2"/>
        <v>1774351.2149999996</v>
      </c>
    </row>
    <row r="160" spans="1:14" x14ac:dyDescent="0.35">
      <c r="A160" s="53">
        <v>5</v>
      </c>
      <c r="B160" s="53"/>
      <c r="C160" s="38" t="s">
        <v>40</v>
      </c>
      <c r="D160" s="34">
        <f>((4.05*2.75)+(1.8*2.3)+(1.5*1.2)+(0.9*1.2)+(3*1.9)+(0.85*0.85))*10.764</f>
        <v>264.57911999999999</v>
      </c>
      <c r="E160" s="34">
        <v>0</v>
      </c>
      <c r="F160" s="34">
        <v>0</v>
      </c>
      <c r="G160" s="34">
        <f>D160+F160</f>
        <v>264.57911999999999</v>
      </c>
      <c r="H160" s="34">
        <f>(1.8*3)*10.764</f>
        <v>58.125599999999999</v>
      </c>
      <c r="I160" s="51">
        <f t="shared" si="8"/>
        <v>441.76532399999996</v>
      </c>
      <c r="J160" s="51"/>
      <c r="L160">
        <f t="shared" si="2"/>
        <v>1546178.6339999998</v>
      </c>
    </row>
    <row r="161" spans="1:14" x14ac:dyDescent="0.35">
      <c r="A161" s="52" t="s">
        <v>170</v>
      </c>
      <c r="B161" s="52"/>
      <c r="C161" s="52"/>
      <c r="D161" s="52"/>
      <c r="E161" s="52"/>
      <c r="F161" s="52"/>
      <c r="G161" s="52"/>
      <c r="H161" s="52"/>
      <c r="I161" s="52"/>
      <c r="J161" s="52"/>
      <c r="L161">
        <f t="shared" si="2"/>
        <v>0</v>
      </c>
    </row>
    <row r="162" spans="1:14" x14ac:dyDescent="0.35">
      <c r="A162" s="52" t="s">
        <v>236</v>
      </c>
      <c r="B162" s="52"/>
      <c r="C162" s="52"/>
      <c r="D162" s="52"/>
      <c r="E162" s="52"/>
      <c r="F162" s="52"/>
      <c r="G162" s="52"/>
      <c r="H162" s="52"/>
      <c r="I162" s="52"/>
      <c r="J162" s="52"/>
      <c r="L162">
        <f t="shared" si="2"/>
        <v>0</v>
      </c>
    </row>
    <row r="163" spans="1:14" x14ac:dyDescent="0.35">
      <c r="A163" s="54" t="s">
        <v>228</v>
      </c>
      <c r="B163" s="54"/>
      <c r="C163" s="54"/>
      <c r="D163" s="54"/>
      <c r="E163" s="54"/>
      <c r="F163" s="54"/>
      <c r="G163" s="54"/>
      <c r="H163" s="54"/>
      <c r="I163" s="54"/>
      <c r="J163" s="54"/>
      <c r="L163">
        <f t="shared" si="2"/>
        <v>0</v>
      </c>
    </row>
    <row r="164" spans="1:14" x14ac:dyDescent="0.35">
      <c r="A164" s="53">
        <v>1</v>
      </c>
      <c r="B164" s="53"/>
      <c r="C164" s="38" t="s">
        <v>40</v>
      </c>
      <c r="D164" s="34">
        <f>((3*1.9)+(0.85*0.85)+(1.8*2.3)+(0.9*1.2)+(1.5*1.2)+(4.05*2.75))*10.764</f>
        <v>264.57911999999999</v>
      </c>
      <c r="E164" s="34">
        <v>0</v>
      </c>
      <c r="F164" s="34">
        <v>0</v>
      </c>
      <c r="G164" s="34">
        <f>D164+F164</f>
        <v>264.57911999999999</v>
      </c>
      <c r="H164" s="38">
        <v>0</v>
      </c>
      <c r="I164" s="51">
        <f t="shared" ref="I164:I165" si="9">G164*1.45+H164</f>
        <v>383.63972399999994</v>
      </c>
      <c r="J164" s="51"/>
      <c r="L164">
        <f t="shared" si="2"/>
        <v>1342739.0339999998</v>
      </c>
      <c r="N164" s="34">
        <f>10.764</f>
        <v>10.763999999999999</v>
      </c>
    </row>
    <row r="165" spans="1:14" x14ac:dyDescent="0.35">
      <c r="A165" s="53">
        <v>2</v>
      </c>
      <c r="B165" s="53"/>
      <c r="C165" s="38" t="s">
        <v>40</v>
      </c>
      <c r="D165" s="34">
        <f>((3*2.75)+(1.8*1.35)+(1.2*1.5)+(0.9*1.2)+(2.9*4))*10.764</f>
        <v>270.82223999999997</v>
      </c>
      <c r="E165" s="34">
        <v>0</v>
      </c>
      <c r="F165" s="34">
        <v>0</v>
      </c>
      <c r="G165" s="34">
        <f>D165+F165</f>
        <v>270.82223999999997</v>
      </c>
      <c r="H165" s="38">
        <v>0</v>
      </c>
      <c r="I165" s="51">
        <f t="shared" si="9"/>
        <v>392.69224799999995</v>
      </c>
      <c r="J165" s="51"/>
      <c r="L165">
        <f t="shared" si="2"/>
        <v>1374422.8679999998</v>
      </c>
    </row>
    <row r="166" spans="1:14" x14ac:dyDescent="0.35">
      <c r="A166" s="54" t="s">
        <v>229</v>
      </c>
      <c r="B166" s="54"/>
      <c r="C166" s="54"/>
      <c r="D166" s="54"/>
      <c r="E166" s="54"/>
      <c r="F166" s="54"/>
      <c r="G166" s="54"/>
      <c r="H166" s="54"/>
      <c r="I166" s="54"/>
      <c r="J166" s="54"/>
      <c r="L166">
        <f t="shared" si="2"/>
        <v>0</v>
      </c>
    </row>
    <row r="167" spans="1:14" ht="15" customHeight="1" x14ac:dyDescent="0.35">
      <c r="A167" s="53">
        <v>1</v>
      </c>
      <c r="B167" s="53"/>
      <c r="C167" s="38" t="s">
        <v>40</v>
      </c>
      <c r="D167" s="34">
        <f>((2.75*2.4)+(2.3*1.8)+(1.2*0.9)+(1.2*1.6)+(2.9*4)+(2.3*1.2))*10.764</f>
        <v>302.46839999999992</v>
      </c>
      <c r="E167" s="34">
        <v>0</v>
      </c>
      <c r="F167" s="34">
        <v>0</v>
      </c>
      <c r="G167" s="34">
        <f>D167+F167</f>
        <v>302.46839999999992</v>
      </c>
      <c r="H167" s="34">
        <f>(1.65*3.85)*10.764</f>
        <v>68.378309999999999</v>
      </c>
      <c r="I167" s="51">
        <f t="shared" ref="I167:I171" si="10">G167*1.45+H167</f>
        <v>506.95748999999989</v>
      </c>
      <c r="J167" s="51"/>
      <c r="L167">
        <f t="shared" si="2"/>
        <v>1774351.2149999996</v>
      </c>
      <c r="N167" s="36"/>
    </row>
    <row r="168" spans="1:14" x14ac:dyDescent="0.35">
      <c r="A168" s="53">
        <v>2</v>
      </c>
      <c r="B168" s="53"/>
      <c r="C168" s="38" t="s">
        <v>40</v>
      </c>
      <c r="D168" s="34">
        <f>((2.75*2.4)+(2.3*1.8)+(1.2*0.9)+(1.2*1.6)+(2.9*4)+(2.3*1.2))*10.764</f>
        <v>302.46839999999992</v>
      </c>
      <c r="E168" s="34">
        <v>0</v>
      </c>
      <c r="F168" s="34">
        <v>0</v>
      </c>
      <c r="G168" s="34">
        <f>D168+F168</f>
        <v>302.46839999999992</v>
      </c>
      <c r="H168" s="34">
        <f>(1.65*3.85)*10.764</f>
        <v>68.378309999999999</v>
      </c>
      <c r="I168" s="51">
        <f>G168*1.45+H168</f>
        <v>506.95748999999989</v>
      </c>
      <c r="J168" s="51"/>
      <c r="L168">
        <f t="shared" si="2"/>
        <v>1774351.2149999996</v>
      </c>
      <c r="N168" s="37"/>
    </row>
    <row r="169" spans="1:14" x14ac:dyDescent="0.35">
      <c r="A169" s="53">
        <v>3</v>
      </c>
      <c r="B169" s="53"/>
      <c r="C169" s="38" t="s">
        <v>40</v>
      </c>
      <c r="D169" s="34">
        <f>((4.05*2.75)+(1.8*2.3)+(1.5*1.2)+(0.9*1.2)+(3*1.9)+(0.85*0.85))*10.764</f>
        <v>264.57911999999999</v>
      </c>
      <c r="E169" s="34">
        <v>0</v>
      </c>
      <c r="F169" s="34">
        <v>0</v>
      </c>
      <c r="G169" s="34">
        <f>D169+F169</f>
        <v>264.57911999999999</v>
      </c>
      <c r="H169" s="34">
        <f>(1.8*3)*10.764</f>
        <v>58.125599999999999</v>
      </c>
      <c r="I169" s="51">
        <f t="shared" si="10"/>
        <v>441.76532399999996</v>
      </c>
      <c r="J169" s="51"/>
      <c r="L169">
        <f t="shared" si="2"/>
        <v>1546178.6339999998</v>
      </c>
      <c r="N169" s="36"/>
    </row>
    <row r="170" spans="1:14" x14ac:dyDescent="0.35">
      <c r="A170" s="53">
        <v>4</v>
      </c>
      <c r="B170" s="53"/>
      <c r="C170" s="38" t="s">
        <v>41</v>
      </c>
      <c r="D170" s="34">
        <f>((2.9*4.15)+(3.1*1)+(2.65*2)+(1.2*2.1)+(1.2*2.1)+(3.05*3.2)+(2.85*1.55)+(2.85*0.65))*10.764</f>
        <v>446.75981999999999</v>
      </c>
      <c r="E170" s="34">
        <v>0</v>
      </c>
      <c r="F170" s="34">
        <v>0</v>
      </c>
      <c r="G170" s="34">
        <f>D170+F170</f>
        <v>446.75981999999999</v>
      </c>
      <c r="H170" s="34">
        <f>((1.8*3.05)+(1.25*2.9))*10.764</f>
        <v>98.113860000000003</v>
      </c>
      <c r="I170" s="51">
        <f t="shared" si="10"/>
        <v>745.91559900000004</v>
      </c>
      <c r="J170" s="51"/>
      <c r="L170">
        <f t="shared" si="2"/>
        <v>2610704.5965</v>
      </c>
    </row>
    <row r="171" spans="1:14" x14ac:dyDescent="0.35">
      <c r="A171" s="53">
        <v>5</v>
      </c>
      <c r="B171" s="53"/>
      <c r="C171" s="38" t="s">
        <v>41</v>
      </c>
      <c r="D171" s="34">
        <f>((2.9*4.15)+(3.1*1)+(2.65*2)+(1.2*2.1)+(1.2*2.1)+(3.05*3.2)+(2.85*1.55)+(2.85*0.65))*10.764</f>
        <v>446.75981999999999</v>
      </c>
      <c r="E171" s="34">
        <v>0</v>
      </c>
      <c r="F171" s="34">
        <v>0</v>
      </c>
      <c r="G171" s="34">
        <f>D171+F171</f>
        <v>446.75981999999999</v>
      </c>
      <c r="H171" s="34">
        <f>((1.8*3.05)+(1.25*2.9))*10.764</f>
        <v>98.113860000000003</v>
      </c>
      <c r="I171" s="51">
        <f t="shared" si="10"/>
        <v>745.91559900000004</v>
      </c>
      <c r="J171" s="51"/>
      <c r="L171">
        <f t="shared" si="2"/>
        <v>2610704.5965</v>
      </c>
    </row>
    <row r="172" spans="1:14" x14ac:dyDescent="0.35">
      <c r="A172" s="54" t="s">
        <v>230</v>
      </c>
      <c r="B172" s="54"/>
      <c r="C172" s="54"/>
      <c r="D172" s="54"/>
      <c r="E172" s="54"/>
      <c r="F172" s="54"/>
      <c r="G172" s="54"/>
      <c r="H172" s="54"/>
      <c r="I172" s="54"/>
      <c r="J172" s="54"/>
      <c r="L172">
        <f t="shared" si="2"/>
        <v>0</v>
      </c>
    </row>
    <row r="173" spans="1:14" ht="15" customHeight="1" x14ac:dyDescent="0.35">
      <c r="A173" s="53">
        <v>1</v>
      </c>
      <c r="B173" s="53"/>
      <c r="C173" s="38" t="s">
        <v>40</v>
      </c>
      <c r="D173" s="34">
        <f>((2.75*2.4)+(2.3*1.8)+(1.2*0.9)+(1.2*1.6)+(2.9*4)+(2.3*1.2))*10.764</f>
        <v>302.46839999999992</v>
      </c>
      <c r="E173" s="34">
        <v>0</v>
      </c>
      <c r="F173" s="34">
        <v>0</v>
      </c>
      <c r="G173" s="34">
        <f>D173+F173</f>
        <v>302.46839999999992</v>
      </c>
      <c r="H173" s="34">
        <f>(1.65*3.85)*10.764</f>
        <v>68.378309999999999</v>
      </c>
      <c r="I173" s="51">
        <f t="shared" ref="I173:I177" si="11">G173*1.45+H173</f>
        <v>506.95748999999989</v>
      </c>
      <c r="J173" s="51"/>
      <c r="L173">
        <f t="shared" si="2"/>
        <v>1774351.2149999996</v>
      </c>
      <c r="N173" s="36"/>
    </row>
    <row r="174" spans="1:14" x14ac:dyDescent="0.35">
      <c r="A174" s="53">
        <v>2</v>
      </c>
      <c r="B174" s="53"/>
      <c r="C174" s="38" t="s">
        <v>40</v>
      </c>
      <c r="D174" s="34">
        <f>((2.75*2.4)+(2.3*1.8)+(1.2*0.9)+(1.2*1.6)+(2.9*4)+(2.3*1.2))*10.764</f>
        <v>302.46839999999992</v>
      </c>
      <c r="E174" s="34">
        <v>0</v>
      </c>
      <c r="F174" s="34">
        <v>0</v>
      </c>
      <c r="G174" s="34">
        <f>D174+F174</f>
        <v>302.46839999999992</v>
      </c>
      <c r="H174" s="34">
        <f>(1.65*3.85)*10.764</f>
        <v>68.378309999999999</v>
      </c>
      <c r="I174" s="51">
        <f t="shared" si="11"/>
        <v>506.95748999999989</v>
      </c>
      <c r="J174" s="51"/>
      <c r="L174">
        <f t="shared" si="2"/>
        <v>1774351.2149999996</v>
      </c>
      <c r="N174" s="37"/>
    </row>
    <row r="175" spans="1:14" x14ac:dyDescent="0.35">
      <c r="A175" s="53">
        <v>3</v>
      </c>
      <c r="B175" s="53"/>
      <c r="C175" s="38" t="s">
        <v>40</v>
      </c>
      <c r="D175" s="34">
        <f>((4.05*2.75)+(1.8*2.3)+(1.5*1.2)+(0.9*1.2)+(3*1.9)+(0.85*0.85))*10.764</f>
        <v>264.57911999999999</v>
      </c>
      <c r="E175" s="34">
        <v>0</v>
      </c>
      <c r="F175" s="34">
        <v>0</v>
      </c>
      <c r="G175" s="34">
        <f>D175+F175</f>
        <v>264.57911999999999</v>
      </c>
      <c r="H175" s="34">
        <f>(1.8*3)*10.764</f>
        <v>58.125599999999999</v>
      </c>
      <c r="I175" s="51">
        <f t="shared" si="11"/>
        <v>441.76532399999996</v>
      </c>
      <c r="J175" s="51"/>
      <c r="L175">
        <f t="shared" si="2"/>
        <v>1546178.6339999998</v>
      </c>
      <c r="N175" s="36"/>
    </row>
    <row r="176" spans="1:14" x14ac:dyDescent="0.35">
      <c r="A176" s="53">
        <v>4</v>
      </c>
      <c r="B176" s="53"/>
      <c r="C176" s="38" t="s">
        <v>41</v>
      </c>
      <c r="D176" s="34">
        <f>((2.9*4.15)+(3.1*1)+(2.65*2)+(1.2*2.1)+(1.2*2.1)+(3.05*3.2)+(2.85*1.55)+(2.85*0.65))*10.764</f>
        <v>446.75981999999999</v>
      </c>
      <c r="E176" s="34">
        <v>0</v>
      </c>
      <c r="F176" s="34">
        <v>0</v>
      </c>
      <c r="G176" s="34">
        <f>D176+F176</f>
        <v>446.75981999999999</v>
      </c>
      <c r="H176" s="34">
        <f>((1.8*3.05)+(1.25*2.9))*10.764</f>
        <v>98.113860000000003</v>
      </c>
      <c r="I176" s="51">
        <f t="shared" si="11"/>
        <v>745.91559900000004</v>
      </c>
      <c r="J176" s="51"/>
      <c r="L176">
        <f t="shared" si="2"/>
        <v>2610704.5965</v>
      </c>
    </row>
    <row r="177" spans="1:14" x14ac:dyDescent="0.35">
      <c r="A177" s="53">
        <v>5</v>
      </c>
      <c r="B177" s="53"/>
      <c r="C177" s="38" t="s">
        <v>41</v>
      </c>
      <c r="D177" s="34">
        <f>((2.9*4.15)+(3.1*1)+(2.65*2)+(1.2*2.1)+(1.2*2.1)+(3.05*3.2)+(2.85*1.55)+(2.85*0.65))*10.764</f>
        <v>446.75981999999999</v>
      </c>
      <c r="E177" s="34">
        <v>0</v>
      </c>
      <c r="F177" s="34">
        <v>0</v>
      </c>
      <c r="G177" s="34">
        <f>D177+F177</f>
        <v>446.75981999999999</v>
      </c>
      <c r="H177" s="34">
        <f>((1.8*3.05)+(1.25*2.9))*10.764</f>
        <v>98.113860000000003</v>
      </c>
      <c r="I177" s="51">
        <f t="shared" si="11"/>
        <v>745.91559900000004</v>
      </c>
      <c r="J177" s="51"/>
      <c r="L177">
        <f t="shared" si="2"/>
        <v>2610704.5965</v>
      </c>
    </row>
    <row r="178" spans="1:14" x14ac:dyDescent="0.35">
      <c r="A178" s="54" t="s">
        <v>231</v>
      </c>
      <c r="B178" s="54"/>
      <c r="C178" s="54"/>
      <c r="D178" s="54"/>
      <c r="E178" s="54"/>
      <c r="F178" s="54"/>
      <c r="G178" s="54"/>
      <c r="H178" s="54"/>
      <c r="I178" s="54"/>
      <c r="J178" s="54"/>
      <c r="L178">
        <f t="shared" si="2"/>
        <v>0</v>
      </c>
    </row>
    <row r="179" spans="1:14" ht="15" customHeight="1" x14ac:dyDescent="0.35">
      <c r="A179" s="53">
        <v>1</v>
      </c>
      <c r="B179" s="53"/>
      <c r="C179" s="47" t="s">
        <v>40</v>
      </c>
      <c r="D179" s="46">
        <f>((2.75*2.4)+(2.3*1.8)+(1.2*0.9)+(1.2*1.6)+(2.9*4)+(2.3*1.2))*10.764</f>
        <v>302.46839999999992</v>
      </c>
      <c r="E179" s="46">
        <v>0</v>
      </c>
      <c r="F179" s="46">
        <v>0</v>
      </c>
      <c r="G179" s="46">
        <f>D179+F179</f>
        <v>302.46839999999992</v>
      </c>
      <c r="H179" s="46">
        <f>(1.65*3.85)*10.764</f>
        <v>68.378309999999999</v>
      </c>
      <c r="I179" s="51">
        <f t="shared" ref="I179:I183" si="12">G179*1.45+H179</f>
        <v>506.95748999999989</v>
      </c>
      <c r="J179" s="51"/>
      <c r="L179">
        <f t="shared" si="2"/>
        <v>1774351.2149999996</v>
      </c>
      <c r="N179" s="36"/>
    </row>
    <row r="180" spans="1:14" x14ac:dyDescent="0.35">
      <c r="A180" s="53">
        <v>2</v>
      </c>
      <c r="B180" s="53"/>
      <c r="C180" s="47" t="s">
        <v>40</v>
      </c>
      <c r="D180" s="46">
        <f>((2.75*2.4)+(2.3*1.8)+(1.2*0.9)+(1.2*1.6)+(2.9*4)+(2.3*1.2))*10.764</f>
        <v>302.46839999999992</v>
      </c>
      <c r="E180" s="46">
        <v>0</v>
      </c>
      <c r="F180" s="46">
        <v>0</v>
      </c>
      <c r="G180" s="46">
        <f>D180+F180</f>
        <v>302.46839999999992</v>
      </c>
      <c r="H180" s="46">
        <f>(1.65*3.85)*10.764</f>
        <v>68.378309999999999</v>
      </c>
      <c r="I180" s="51">
        <f t="shared" si="12"/>
        <v>506.95748999999989</v>
      </c>
      <c r="J180" s="51"/>
      <c r="L180">
        <f t="shared" si="2"/>
        <v>1774351.2149999996</v>
      </c>
      <c r="N180" s="37"/>
    </row>
    <row r="181" spans="1:14" x14ac:dyDescent="0.35">
      <c r="A181" s="53">
        <v>3</v>
      </c>
      <c r="B181" s="53"/>
      <c r="C181" s="47" t="s">
        <v>40</v>
      </c>
      <c r="D181" s="46">
        <f>((4.05*2.75)+(1.8*2.3)+(1.5*1.2)+(0.9*1.2)+(3*1.9)+(0.85*0.85))*10.764</f>
        <v>264.57911999999999</v>
      </c>
      <c r="E181" s="46">
        <v>0</v>
      </c>
      <c r="F181" s="46">
        <v>0</v>
      </c>
      <c r="G181" s="46">
        <f>D181+F181</f>
        <v>264.57911999999999</v>
      </c>
      <c r="H181" s="46">
        <f>(1.8*3)*10.764</f>
        <v>58.125599999999999</v>
      </c>
      <c r="I181" s="51">
        <f t="shared" si="12"/>
        <v>441.76532399999996</v>
      </c>
      <c r="J181" s="51"/>
      <c r="L181">
        <f t="shared" si="2"/>
        <v>1546178.6339999998</v>
      </c>
      <c r="N181" s="36"/>
    </row>
    <row r="182" spans="1:14" x14ac:dyDescent="0.35">
      <c r="A182" s="53">
        <v>4</v>
      </c>
      <c r="B182" s="53"/>
      <c r="C182" s="47" t="s">
        <v>41</v>
      </c>
      <c r="D182" s="46">
        <f>((2.9*4.15)+(3.1*1)+(2.65*2)+(1.2*2.1)+(1.2*2.1)+(3.05*3.2)+(2.85*1.55)+(2.85*0.65))*10.764</f>
        <v>446.75981999999999</v>
      </c>
      <c r="E182" s="46">
        <v>0</v>
      </c>
      <c r="F182" s="46">
        <v>0</v>
      </c>
      <c r="G182" s="46">
        <f>D182+F182</f>
        <v>446.75981999999999</v>
      </c>
      <c r="H182" s="46">
        <f>((1.8*3.05)+(1.25*2.9))*10.764</f>
        <v>98.113860000000003</v>
      </c>
      <c r="I182" s="51">
        <f t="shared" si="12"/>
        <v>745.91559900000004</v>
      </c>
      <c r="J182" s="51"/>
      <c r="L182">
        <f t="shared" si="2"/>
        <v>2610704.5965</v>
      </c>
    </row>
    <row r="183" spans="1:14" x14ac:dyDescent="0.35">
      <c r="A183" s="53">
        <v>5</v>
      </c>
      <c r="B183" s="53"/>
      <c r="C183" s="47" t="s">
        <v>41</v>
      </c>
      <c r="D183" s="46">
        <f>((2.9*4.15)+(3.1*1)+(2.65*2)+(1.2*2.1)+(1.2*2.1)+(3.05*3.2)+(2.85*1.55)+(2.85*0.65))*10.764</f>
        <v>446.75981999999999</v>
      </c>
      <c r="E183" s="46">
        <v>0</v>
      </c>
      <c r="F183" s="46">
        <v>0</v>
      </c>
      <c r="G183" s="46">
        <f>D183+F183</f>
        <v>446.75981999999999</v>
      </c>
      <c r="H183" s="46">
        <f>((1.8*3.05)+(1.25*2.9))*10.764</f>
        <v>98.113860000000003</v>
      </c>
      <c r="I183" s="51">
        <f t="shared" si="12"/>
        <v>745.91559900000004</v>
      </c>
      <c r="J183" s="51"/>
      <c r="L183">
        <f t="shared" si="2"/>
        <v>2610704.5965</v>
      </c>
    </row>
    <row r="184" spans="1:14" x14ac:dyDescent="0.35">
      <c r="A184" s="96" t="s">
        <v>169</v>
      </c>
      <c r="B184" s="96"/>
      <c r="C184" s="96"/>
      <c r="D184" s="96"/>
      <c r="E184" s="96"/>
      <c r="F184" s="96"/>
      <c r="G184" s="96"/>
      <c r="H184" s="96"/>
      <c r="I184" s="96"/>
      <c r="J184" s="96"/>
    </row>
    <row r="185" spans="1:14" x14ac:dyDescent="0.35">
      <c r="A185" s="52" t="s">
        <v>167</v>
      </c>
      <c r="B185" s="52"/>
      <c r="C185" s="52"/>
      <c r="D185" s="52"/>
      <c r="E185" s="52"/>
      <c r="F185" s="52"/>
      <c r="G185" s="52"/>
      <c r="H185" s="52"/>
      <c r="I185" s="52"/>
      <c r="J185" s="52"/>
      <c r="K185" t="s">
        <v>171</v>
      </c>
    </row>
    <row r="186" spans="1:14" x14ac:dyDescent="0.35">
      <c r="A186" s="52" t="s">
        <v>172</v>
      </c>
      <c r="B186" s="52"/>
      <c r="C186" s="52"/>
      <c r="D186" s="52"/>
      <c r="E186" s="52"/>
      <c r="F186" s="52"/>
      <c r="G186" s="52"/>
      <c r="H186" s="52"/>
      <c r="I186" s="52"/>
      <c r="J186" s="52"/>
    </row>
    <row r="187" spans="1:14" ht="15" customHeight="1" x14ac:dyDescent="0.35">
      <c r="A187" s="53">
        <v>1</v>
      </c>
      <c r="B187" s="53"/>
      <c r="C187" s="47" t="s">
        <v>166</v>
      </c>
      <c r="D187" s="46">
        <f>(30.095)*(10.764)</f>
        <v>323.94257999999996</v>
      </c>
      <c r="E187" s="46">
        <f>1.08*(10.764)</f>
        <v>11.625120000000001</v>
      </c>
      <c r="F187" s="46">
        <f>(0.75*(1.65+2.35))*(10.764)</f>
        <v>32.292000000000002</v>
      </c>
      <c r="G187" s="46">
        <f>D187+E187+F187</f>
        <v>367.85969999999998</v>
      </c>
      <c r="H187" s="46">
        <f>(3.05*1.8)*(10.764)</f>
        <v>59.094360000000002</v>
      </c>
      <c r="I187" s="51">
        <f t="shared" ref="I187:I190" si="13">G187*1.45+H187</f>
        <v>592.49092499999995</v>
      </c>
      <c r="J187" s="51"/>
      <c r="K187" s="35">
        <f>(4*2.95+2.2*2.45+2.5*3+0.3*0.75+1.5*1.2+1.2*1.9+1*1)</f>
        <v>29.995000000000005</v>
      </c>
      <c r="L187">
        <f>4*2.95+2.2*2.45+2.5*3+0.3*0.75+1.5*1.2+1.2*0.9+1.2*1.2</f>
        <v>29.235000000000003</v>
      </c>
      <c r="M187">
        <f>2.4*0.45</f>
        <v>1.08</v>
      </c>
    </row>
    <row r="188" spans="1:14" x14ac:dyDescent="0.35">
      <c r="A188" s="53">
        <v>2</v>
      </c>
      <c r="B188" s="53"/>
      <c r="C188" s="47" t="s">
        <v>166</v>
      </c>
      <c r="D188" s="46">
        <f>(30.095)*(10.764)</f>
        <v>323.94257999999996</v>
      </c>
      <c r="E188" s="46">
        <f t="shared" ref="E188:E190" si="14">1.08*(10.764)</f>
        <v>11.625120000000001</v>
      </c>
      <c r="F188" s="46">
        <f>(0.75*(1.8+2.35))*(10.764)</f>
        <v>33.502949999999998</v>
      </c>
      <c r="G188" s="46">
        <f t="shared" ref="G188:G195" si="15">D188+E188+F188</f>
        <v>369.07064999999994</v>
      </c>
      <c r="H188" s="46">
        <f>(3.05*1.8)*(10.764)</f>
        <v>59.094360000000002</v>
      </c>
      <c r="I188" s="51">
        <f t="shared" si="13"/>
        <v>594.24680249999994</v>
      </c>
      <c r="J188" s="51"/>
    </row>
    <row r="189" spans="1:14" x14ac:dyDescent="0.35">
      <c r="A189" s="53">
        <v>3</v>
      </c>
      <c r="B189" s="53"/>
      <c r="C189" s="38" t="s">
        <v>166</v>
      </c>
      <c r="D189" s="34">
        <f>(30.095)*(10.764)</f>
        <v>323.94257999999996</v>
      </c>
      <c r="E189" s="34">
        <f t="shared" si="14"/>
        <v>11.625120000000001</v>
      </c>
      <c r="F189" s="34">
        <f>(0.75*(1.8+2.35))*(10.764)</f>
        <v>33.502949999999998</v>
      </c>
      <c r="G189" s="34">
        <f t="shared" si="15"/>
        <v>369.07064999999994</v>
      </c>
      <c r="H189" s="34">
        <f>(3.05*1.8)*(10.764)</f>
        <v>59.094360000000002</v>
      </c>
      <c r="I189" s="51">
        <f t="shared" si="13"/>
        <v>594.24680249999994</v>
      </c>
      <c r="J189" s="51"/>
    </row>
    <row r="190" spans="1:14" x14ac:dyDescent="0.35">
      <c r="A190" s="53">
        <v>4</v>
      </c>
      <c r="B190" s="53"/>
      <c r="C190" s="38" t="s">
        <v>166</v>
      </c>
      <c r="D190" s="34">
        <f>(30.095)*(10.764)</f>
        <v>323.94257999999996</v>
      </c>
      <c r="E190" s="34">
        <f t="shared" si="14"/>
        <v>11.625120000000001</v>
      </c>
      <c r="F190" s="34">
        <f>(0.75*(1.65+2.35))*(10.764)</f>
        <v>32.292000000000002</v>
      </c>
      <c r="G190" s="34">
        <f t="shared" si="15"/>
        <v>367.85969999999998</v>
      </c>
      <c r="H190" s="34">
        <f>(3.05*1.8)*(10.764)</f>
        <v>59.094360000000002</v>
      </c>
      <c r="I190" s="51">
        <f t="shared" si="13"/>
        <v>592.49092499999995</v>
      </c>
      <c r="J190" s="51"/>
    </row>
    <row r="191" spans="1:14" x14ac:dyDescent="0.35">
      <c r="A191" s="52" t="s">
        <v>173</v>
      </c>
      <c r="B191" s="52"/>
      <c r="C191" s="52"/>
      <c r="D191" s="52"/>
      <c r="E191" s="52"/>
      <c r="F191" s="52"/>
      <c r="G191" s="52"/>
      <c r="H191" s="52"/>
      <c r="I191" s="52"/>
      <c r="J191" s="52"/>
    </row>
    <row r="192" spans="1:14" ht="15" customHeight="1" x14ac:dyDescent="0.35">
      <c r="A192" s="53">
        <v>1</v>
      </c>
      <c r="B192" s="53"/>
      <c r="C192" s="38" t="s">
        <v>166</v>
      </c>
      <c r="D192" s="34">
        <f>(30.095)*(10.764)</f>
        <v>323.94257999999996</v>
      </c>
      <c r="E192" s="34">
        <f>1.08*(10.764)</f>
        <v>11.625120000000001</v>
      </c>
      <c r="F192" s="34">
        <f>(0.75*5.65)*(10.764)</f>
        <v>45.612450000000003</v>
      </c>
      <c r="G192" s="34">
        <f t="shared" si="15"/>
        <v>381.18014999999997</v>
      </c>
      <c r="H192" s="34">
        <f>(1.65*1.8)*(10.764)</f>
        <v>31.969079999999995</v>
      </c>
      <c r="I192" s="51">
        <f t="shared" ref="I192:I195" si="16">G192*1.45+H192</f>
        <v>584.68029749999994</v>
      </c>
      <c r="J192" s="51"/>
      <c r="K192" s="35"/>
    </row>
    <row r="193" spans="1:11" x14ac:dyDescent="0.35">
      <c r="A193" s="53">
        <v>2</v>
      </c>
      <c r="B193" s="53"/>
      <c r="C193" s="38" t="s">
        <v>166</v>
      </c>
      <c r="D193" s="34">
        <f>(30.095)*(10.764)</f>
        <v>323.94257999999996</v>
      </c>
      <c r="E193" s="34">
        <f t="shared" ref="E193:E195" si="17">1.08*(10.764)</f>
        <v>11.625120000000001</v>
      </c>
      <c r="F193" s="34">
        <f>(0.75*5.65)*(10.764)</f>
        <v>45.612450000000003</v>
      </c>
      <c r="G193" s="34">
        <f t="shared" si="15"/>
        <v>381.18014999999997</v>
      </c>
      <c r="H193" s="34">
        <f>(1.8*1.8)*(10.764)</f>
        <v>34.875360000000001</v>
      </c>
      <c r="I193" s="51">
        <f t="shared" si="16"/>
        <v>587.58657749999998</v>
      </c>
      <c r="J193" s="51"/>
    </row>
    <row r="194" spans="1:11" x14ac:dyDescent="0.35">
      <c r="A194" s="53">
        <v>3</v>
      </c>
      <c r="B194" s="53"/>
      <c r="C194" s="38" t="s">
        <v>166</v>
      </c>
      <c r="D194" s="34">
        <f>(30.095)*(10.764)</f>
        <v>323.94257999999996</v>
      </c>
      <c r="E194" s="34">
        <f t="shared" si="17"/>
        <v>11.625120000000001</v>
      </c>
      <c r="F194" s="34">
        <f>(0.75*5.65)*(10.764)</f>
        <v>45.612450000000003</v>
      </c>
      <c r="G194" s="34">
        <f t="shared" si="15"/>
        <v>381.18014999999997</v>
      </c>
      <c r="H194" s="34">
        <f>(1.8*1.8)*(10.764)</f>
        <v>34.875360000000001</v>
      </c>
      <c r="I194" s="51">
        <f t="shared" si="16"/>
        <v>587.58657749999998</v>
      </c>
      <c r="J194" s="51"/>
    </row>
    <row r="195" spans="1:11" x14ac:dyDescent="0.35">
      <c r="A195" s="53">
        <v>4</v>
      </c>
      <c r="B195" s="53"/>
      <c r="C195" s="38" t="s">
        <v>166</v>
      </c>
      <c r="D195" s="34">
        <f>(30.095)*(10.764)</f>
        <v>323.94257999999996</v>
      </c>
      <c r="E195" s="34">
        <f t="shared" si="17"/>
        <v>11.625120000000001</v>
      </c>
      <c r="F195" s="34">
        <f>(0.75*5.65)*(10.764)</f>
        <v>45.612450000000003</v>
      </c>
      <c r="G195" s="34">
        <f t="shared" si="15"/>
        <v>381.18014999999997</v>
      </c>
      <c r="H195" s="34">
        <f>(1.65*1.8)*(10.764)</f>
        <v>31.969079999999995</v>
      </c>
      <c r="I195" s="51">
        <f t="shared" si="16"/>
        <v>584.68029749999994</v>
      </c>
      <c r="J195" s="51"/>
    </row>
    <row r="196" spans="1:11" x14ac:dyDescent="0.35">
      <c r="A196" s="52" t="s">
        <v>169</v>
      </c>
      <c r="B196" s="52"/>
      <c r="C196" s="52"/>
      <c r="D196" s="52"/>
      <c r="E196" s="52"/>
      <c r="F196" s="52"/>
      <c r="G196" s="52"/>
      <c r="H196" s="52"/>
      <c r="I196" s="52"/>
      <c r="J196" s="52"/>
    </row>
    <row r="197" spans="1:11" x14ac:dyDescent="0.35">
      <c r="A197" s="52" t="s">
        <v>168</v>
      </c>
      <c r="B197" s="52"/>
      <c r="C197" s="52"/>
      <c r="D197" s="52"/>
      <c r="E197" s="52"/>
      <c r="F197" s="52"/>
      <c r="G197" s="52"/>
      <c r="H197" s="52"/>
      <c r="I197" s="52"/>
      <c r="J197" s="52"/>
    </row>
    <row r="198" spans="1:11" x14ac:dyDescent="0.35">
      <c r="A198" s="52" t="s">
        <v>172</v>
      </c>
      <c r="B198" s="52"/>
      <c r="C198" s="52"/>
      <c r="D198" s="52"/>
      <c r="E198" s="52"/>
      <c r="F198" s="52"/>
      <c r="G198" s="52"/>
      <c r="H198" s="52"/>
      <c r="I198" s="52"/>
      <c r="J198" s="52"/>
    </row>
    <row r="199" spans="1:11" ht="15" customHeight="1" x14ac:dyDescent="0.35">
      <c r="A199" s="53">
        <v>1</v>
      </c>
      <c r="B199" s="53"/>
      <c r="C199" s="38" t="s">
        <v>166</v>
      </c>
      <c r="D199" s="34">
        <f>(30.095)*(10.764)</f>
        <v>323.94257999999996</v>
      </c>
      <c r="E199" s="34">
        <f>1.08*(10.764)</f>
        <v>11.625120000000001</v>
      </c>
      <c r="F199" s="34">
        <f>(0.75*(1.65+2.35))*(10.764)</f>
        <v>32.292000000000002</v>
      </c>
      <c r="G199" s="34">
        <f t="shared" ref="G199:G202" si="18">D199+E199+F199</f>
        <v>367.85969999999998</v>
      </c>
      <c r="H199" s="34">
        <f>(3.05*1.8)*(10.764)</f>
        <v>59.094360000000002</v>
      </c>
      <c r="I199" s="51">
        <f t="shared" ref="I199:I202" si="19">G199*1.45+H199</f>
        <v>592.49092499999995</v>
      </c>
      <c r="J199" s="51"/>
      <c r="K199" s="35"/>
    </row>
    <row r="200" spans="1:11" x14ac:dyDescent="0.35">
      <c r="A200" s="53">
        <v>2</v>
      </c>
      <c r="B200" s="53"/>
      <c r="C200" s="38" t="s">
        <v>166</v>
      </c>
      <c r="D200" s="34">
        <f>(30.095)*(10.764)</f>
        <v>323.94257999999996</v>
      </c>
      <c r="E200" s="34">
        <f t="shared" ref="E200:E202" si="20">1.08*(10.764)</f>
        <v>11.625120000000001</v>
      </c>
      <c r="F200" s="34">
        <f>(0.75*(1.8+2.35))*(10.764)</f>
        <v>33.502949999999998</v>
      </c>
      <c r="G200" s="34">
        <f t="shared" si="18"/>
        <v>369.07064999999994</v>
      </c>
      <c r="H200" s="34">
        <f>(3.05*1.8)*(10.764)</f>
        <v>59.094360000000002</v>
      </c>
      <c r="I200" s="51">
        <f t="shared" si="19"/>
        <v>594.24680249999994</v>
      </c>
      <c r="J200" s="51"/>
    </row>
    <row r="201" spans="1:11" x14ac:dyDescent="0.35">
      <c r="A201" s="53">
        <v>3</v>
      </c>
      <c r="B201" s="53"/>
      <c r="C201" s="38" t="s">
        <v>166</v>
      </c>
      <c r="D201" s="34">
        <f>(30.095)*(10.764)</f>
        <v>323.94257999999996</v>
      </c>
      <c r="E201" s="34">
        <f t="shared" si="20"/>
        <v>11.625120000000001</v>
      </c>
      <c r="F201" s="34">
        <f>(0.75*(1.8+2.35))*(10.764)</f>
        <v>33.502949999999998</v>
      </c>
      <c r="G201" s="34">
        <f t="shared" si="18"/>
        <v>369.07064999999994</v>
      </c>
      <c r="H201" s="34">
        <f>(3.05*1.8)*(10.764)</f>
        <v>59.094360000000002</v>
      </c>
      <c r="I201" s="51">
        <f t="shared" si="19"/>
        <v>594.24680249999994</v>
      </c>
      <c r="J201" s="51"/>
    </row>
    <row r="202" spans="1:11" x14ac:dyDescent="0.35">
      <c r="A202" s="53">
        <v>4</v>
      </c>
      <c r="B202" s="53"/>
      <c r="C202" s="38" t="s">
        <v>166</v>
      </c>
      <c r="D202" s="34">
        <f>(30.095)*(10.764)</f>
        <v>323.94257999999996</v>
      </c>
      <c r="E202" s="34">
        <f t="shared" si="20"/>
        <v>11.625120000000001</v>
      </c>
      <c r="F202" s="34">
        <f>(0.75*(1.65+2.35))*(10.764)</f>
        <v>32.292000000000002</v>
      </c>
      <c r="G202" s="34">
        <f t="shared" si="18"/>
        <v>367.85969999999998</v>
      </c>
      <c r="H202" s="34">
        <f>(3.05*1.8)*(10.764)</f>
        <v>59.094360000000002</v>
      </c>
      <c r="I202" s="51">
        <f t="shared" si="19"/>
        <v>592.49092499999995</v>
      </c>
      <c r="J202" s="51"/>
    </row>
    <row r="203" spans="1:11" x14ac:dyDescent="0.35">
      <c r="A203" s="52" t="s">
        <v>173</v>
      </c>
      <c r="B203" s="52"/>
      <c r="C203" s="52"/>
      <c r="D203" s="52"/>
      <c r="E203" s="52"/>
      <c r="F203" s="52"/>
      <c r="G203" s="52"/>
      <c r="H203" s="52"/>
      <c r="I203" s="52"/>
      <c r="J203" s="52"/>
    </row>
    <row r="204" spans="1:11" ht="15" customHeight="1" x14ac:dyDescent="0.35">
      <c r="A204" s="53">
        <v>1</v>
      </c>
      <c r="B204" s="53"/>
      <c r="C204" s="38" t="s">
        <v>166</v>
      </c>
      <c r="D204" s="34">
        <f>(30.095)*(10.764)</f>
        <v>323.94257999999996</v>
      </c>
      <c r="E204" s="34">
        <f>1.08*(10.764)</f>
        <v>11.625120000000001</v>
      </c>
      <c r="F204" s="34">
        <f>(0.75*5.65)*(10.764)</f>
        <v>45.612450000000003</v>
      </c>
      <c r="G204" s="34">
        <f t="shared" ref="G204:G207" si="21">D204+E204+F204</f>
        <v>381.18014999999997</v>
      </c>
      <c r="H204" s="34">
        <f>(1.65*1.8)*(10.764)</f>
        <v>31.969079999999995</v>
      </c>
      <c r="I204" s="51">
        <f t="shared" ref="I204:I207" si="22">G204*1.45+H204</f>
        <v>584.68029749999994</v>
      </c>
      <c r="J204" s="51"/>
      <c r="K204" s="35"/>
    </row>
    <row r="205" spans="1:11" x14ac:dyDescent="0.35">
      <c r="A205" s="53">
        <v>2</v>
      </c>
      <c r="B205" s="53"/>
      <c r="C205" s="38" t="s">
        <v>166</v>
      </c>
      <c r="D205" s="34">
        <f>(30.095)*(10.764)</f>
        <v>323.94257999999996</v>
      </c>
      <c r="E205" s="34">
        <f t="shared" ref="E205:E207" si="23">1.08*(10.764)</f>
        <v>11.625120000000001</v>
      </c>
      <c r="F205" s="34">
        <f>(0.75*5.65)*(10.764)</f>
        <v>45.612450000000003</v>
      </c>
      <c r="G205" s="34">
        <f t="shared" si="21"/>
        <v>381.18014999999997</v>
      </c>
      <c r="H205" s="34">
        <f>(1.8*1.8)*(10.764)</f>
        <v>34.875360000000001</v>
      </c>
      <c r="I205" s="51">
        <f t="shared" si="22"/>
        <v>587.58657749999998</v>
      </c>
      <c r="J205" s="51"/>
    </row>
    <row r="206" spans="1:11" x14ac:dyDescent="0.35">
      <c r="A206" s="53">
        <v>3</v>
      </c>
      <c r="B206" s="53"/>
      <c r="C206" s="38" t="s">
        <v>166</v>
      </c>
      <c r="D206" s="34">
        <f>(30.095)*(10.764)</f>
        <v>323.94257999999996</v>
      </c>
      <c r="E206" s="34">
        <f t="shared" si="23"/>
        <v>11.625120000000001</v>
      </c>
      <c r="F206" s="34">
        <f>(0.75*5.65)*(10.764)</f>
        <v>45.612450000000003</v>
      </c>
      <c r="G206" s="34">
        <f t="shared" si="21"/>
        <v>381.18014999999997</v>
      </c>
      <c r="H206" s="34">
        <f>(1.8*1.8)*(10.764)</f>
        <v>34.875360000000001</v>
      </c>
      <c r="I206" s="51">
        <f t="shared" si="22"/>
        <v>587.58657749999998</v>
      </c>
      <c r="J206" s="51"/>
    </row>
    <row r="207" spans="1:11" x14ac:dyDescent="0.35">
      <c r="A207" s="53">
        <v>4</v>
      </c>
      <c r="B207" s="53"/>
      <c r="C207" s="38" t="s">
        <v>166</v>
      </c>
      <c r="D207" s="34">
        <f>(30.095)*(10.764)</f>
        <v>323.94257999999996</v>
      </c>
      <c r="E207" s="34">
        <f t="shared" si="23"/>
        <v>11.625120000000001</v>
      </c>
      <c r="F207" s="34">
        <f>(0.75*5.65)*(10.764)</f>
        <v>45.612450000000003</v>
      </c>
      <c r="G207" s="34">
        <f t="shared" si="21"/>
        <v>381.18014999999997</v>
      </c>
      <c r="H207" s="34">
        <f>(1.65*1.8)*(10.764)</f>
        <v>31.969079999999995</v>
      </c>
      <c r="I207" s="51">
        <f t="shared" si="22"/>
        <v>584.68029749999994</v>
      </c>
      <c r="J207" s="51"/>
    </row>
    <row r="208" spans="1:11" x14ac:dyDescent="0.35">
      <c r="A208" s="52" t="s">
        <v>179</v>
      </c>
      <c r="B208" s="52"/>
      <c r="C208" s="52"/>
      <c r="D208" s="52"/>
      <c r="E208" s="52"/>
      <c r="F208" s="52"/>
      <c r="G208" s="52"/>
      <c r="H208" s="52"/>
      <c r="I208" s="52"/>
      <c r="J208" s="52"/>
    </row>
    <row r="209" spans="1:11" x14ac:dyDescent="0.35">
      <c r="A209" s="52" t="s">
        <v>46</v>
      </c>
      <c r="B209" s="52"/>
      <c r="C209" s="52"/>
      <c r="D209" s="52"/>
      <c r="E209" s="52"/>
      <c r="F209" s="52"/>
      <c r="G209" s="52"/>
      <c r="H209" s="52"/>
      <c r="I209" s="52"/>
      <c r="J209" s="52"/>
    </row>
    <row r="210" spans="1:11" x14ac:dyDescent="0.35">
      <c r="A210" s="52" t="s">
        <v>172</v>
      </c>
      <c r="B210" s="52"/>
      <c r="C210" s="52"/>
      <c r="D210" s="52"/>
      <c r="E210" s="52"/>
      <c r="F210" s="52"/>
      <c r="G210" s="52"/>
      <c r="H210" s="52"/>
      <c r="I210" s="52"/>
      <c r="J210" s="52"/>
    </row>
    <row r="211" spans="1:11" ht="15" customHeight="1" x14ac:dyDescent="0.35">
      <c r="A211" s="53">
        <v>1</v>
      </c>
      <c r="B211" s="53"/>
      <c r="C211" s="38" t="s">
        <v>174</v>
      </c>
      <c r="D211" s="34">
        <f>(20.656)*(10.764)</f>
        <v>222.34118399999997</v>
      </c>
      <c r="E211" s="34">
        <f>0.54*(10.764)</f>
        <v>5.8125600000000004</v>
      </c>
      <c r="F211" s="34">
        <f>(0.75*1.8)*(10.764)</f>
        <v>14.5314</v>
      </c>
      <c r="G211" s="34">
        <f t="shared" ref="G211:G217" si="24">D211+E211+F211</f>
        <v>242.68514399999995</v>
      </c>
      <c r="H211" s="34">
        <f>(2.8*1.8)*(10.764)</f>
        <v>54.25056</v>
      </c>
      <c r="I211" s="51">
        <f t="shared" ref="I211:I217" si="25">G211*1.45+H211</f>
        <v>406.14401879999991</v>
      </c>
      <c r="J211" s="51"/>
    </row>
    <row r="212" spans="1:11" x14ac:dyDescent="0.35">
      <c r="A212" s="53">
        <v>2</v>
      </c>
      <c r="B212" s="53"/>
      <c r="C212" s="38" t="s">
        <v>166</v>
      </c>
      <c r="D212" s="34">
        <f>(30.095)*(10.764)</f>
        <v>323.94257999999996</v>
      </c>
      <c r="E212" s="34">
        <f>1.08*(10.764)</f>
        <v>11.625120000000001</v>
      </c>
      <c r="F212" s="34">
        <f>(0.75*(1.65+2.2))*(10.764)</f>
        <v>31.081050000000001</v>
      </c>
      <c r="G212" s="34">
        <f t="shared" si="24"/>
        <v>366.64874999999995</v>
      </c>
      <c r="H212" s="34">
        <f>(2.8*1.8)*(10.764)</f>
        <v>54.25056</v>
      </c>
      <c r="I212" s="51">
        <f t="shared" si="25"/>
        <v>585.89124749999985</v>
      </c>
      <c r="J212" s="51"/>
    </row>
    <row r="213" spans="1:11" x14ac:dyDescent="0.35">
      <c r="A213" s="53">
        <v>3</v>
      </c>
      <c r="B213" s="53"/>
      <c r="C213" s="38" t="s">
        <v>166</v>
      </c>
      <c r="D213" s="34">
        <f>(30.095)*(10.764)</f>
        <v>323.94257999999996</v>
      </c>
      <c r="E213" s="34">
        <f>1.08*(10.764)</f>
        <v>11.625120000000001</v>
      </c>
      <c r="F213" s="34">
        <f>(0.75*(1.65+2.2))*(10.764)</f>
        <v>31.081050000000001</v>
      </c>
      <c r="G213" s="34">
        <f t="shared" si="24"/>
        <v>366.64874999999995</v>
      </c>
      <c r="H213" s="34">
        <f>(2.8*1.8)*(10.764)</f>
        <v>54.25056</v>
      </c>
      <c r="I213" s="51">
        <f t="shared" si="25"/>
        <v>585.89124749999985</v>
      </c>
      <c r="J213" s="51"/>
    </row>
    <row r="214" spans="1:11" x14ac:dyDescent="0.35">
      <c r="A214" s="53">
        <v>4</v>
      </c>
      <c r="B214" s="53"/>
      <c r="C214" s="38" t="s">
        <v>174</v>
      </c>
      <c r="D214" s="34">
        <f>(20.607)*(10.764)</f>
        <v>221.81374799999998</v>
      </c>
      <c r="E214" s="34">
        <f t="shared" ref="E214:E215" si="26">0*(10.764)</f>
        <v>0</v>
      </c>
      <c r="F214" s="34">
        <f>(0.75*2.7)*(10.764)</f>
        <v>21.797100000000004</v>
      </c>
      <c r="G214" s="34">
        <f t="shared" si="24"/>
        <v>243.61084799999998</v>
      </c>
      <c r="H214" s="34">
        <f>(2.4*1.3)*(10.764)</f>
        <v>33.583680000000001</v>
      </c>
      <c r="I214" s="51">
        <f t="shared" si="25"/>
        <v>386.81940959999997</v>
      </c>
      <c r="J214" s="51"/>
    </row>
    <row r="215" spans="1:11" x14ac:dyDescent="0.35">
      <c r="A215" s="53">
        <v>5</v>
      </c>
      <c r="B215" s="53"/>
      <c r="C215" s="38" t="s">
        <v>174</v>
      </c>
      <c r="D215" s="34">
        <f>(20.607)*(10.764)</f>
        <v>221.81374799999998</v>
      </c>
      <c r="E215" s="34">
        <f t="shared" si="26"/>
        <v>0</v>
      </c>
      <c r="F215" s="34">
        <f>(0.75*2.7)*(10.764)</f>
        <v>21.797100000000004</v>
      </c>
      <c r="G215" s="34">
        <f t="shared" si="24"/>
        <v>243.61084799999998</v>
      </c>
      <c r="H215" s="34">
        <f>(2.4*1.3)*(10.764)</f>
        <v>33.583680000000001</v>
      </c>
      <c r="I215" s="51">
        <f t="shared" si="25"/>
        <v>386.81940959999997</v>
      </c>
      <c r="J215" s="51"/>
      <c r="K215" s="35">
        <f>(2.765*4.05+2.2*2.45+1.3*1.3+1.3*0.9+0.9*0.9)</f>
        <v>20.258250000000004</v>
      </c>
    </row>
    <row r="216" spans="1:11" x14ac:dyDescent="0.35">
      <c r="A216" s="53">
        <v>6</v>
      </c>
      <c r="B216" s="53"/>
      <c r="C216" s="38" t="s">
        <v>166</v>
      </c>
      <c r="D216" s="34">
        <f>(30.095)*(10.764)</f>
        <v>323.94257999999996</v>
      </c>
      <c r="E216" s="34">
        <f>1.08*(10.764)</f>
        <v>11.625120000000001</v>
      </c>
      <c r="F216" s="34">
        <f>(0.75*(1.7+2.4))*(10.764)</f>
        <v>33.099299999999992</v>
      </c>
      <c r="G216" s="34">
        <f t="shared" si="24"/>
        <v>368.66699999999992</v>
      </c>
      <c r="H216" s="34">
        <f>(2.8*1.8)*(10.764)</f>
        <v>54.25056</v>
      </c>
      <c r="I216" s="51">
        <f t="shared" si="25"/>
        <v>588.81770999999981</v>
      </c>
      <c r="J216" s="51"/>
    </row>
    <row r="217" spans="1:11" x14ac:dyDescent="0.35">
      <c r="A217" s="53">
        <v>7</v>
      </c>
      <c r="B217" s="53"/>
      <c r="C217" s="38" t="s">
        <v>166</v>
      </c>
      <c r="D217" s="34">
        <f>(30.095)*(10.764)</f>
        <v>323.94257999999996</v>
      </c>
      <c r="E217" s="34">
        <f>1.08*(10.764)</f>
        <v>11.625120000000001</v>
      </c>
      <c r="F217" s="34">
        <f>(0.75*(1.7+2.4))*(10.764)</f>
        <v>33.099299999999992</v>
      </c>
      <c r="G217" s="34">
        <f t="shared" si="24"/>
        <v>368.66699999999992</v>
      </c>
      <c r="H217" s="34">
        <f>(3.05*1.8)*(10.764)</f>
        <v>59.094360000000002</v>
      </c>
      <c r="I217" s="51">
        <f t="shared" si="25"/>
        <v>593.66150999999991</v>
      </c>
      <c r="J217" s="51"/>
    </row>
    <row r="218" spans="1:11" x14ac:dyDescent="0.35">
      <c r="A218" s="52" t="s">
        <v>173</v>
      </c>
      <c r="B218" s="52"/>
      <c r="C218" s="52"/>
      <c r="D218" s="52"/>
      <c r="E218" s="52"/>
      <c r="F218" s="52"/>
      <c r="G218" s="52"/>
      <c r="H218" s="52"/>
      <c r="I218" s="52"/>
      <c r="J218" s="52"/>
    </row>
    <row r="219" spans="1:11" ht="15" customHeight="1" x14ac:dyDescent="0.35">
      <c r="A219" s="53">
        <v>1</v>
      </c>
      <c r="B219" s="53"/>
      <c r="C219" s="38" t="s">
        <v>174</v>
      </c>
      <c r="D219" s="34">
        <f>(20.656)*(10.764)</f>
        <v>222.34118399999997</v>
      </c>
      <c r="E219" s="34">
        <f>0.54*(10.764)</f>
        <v>5.8125600000000004</v>
      </c>
      <c r="F219" s="34">
        <f>(0.75*2.9)*(10.764)</f>
        <v>23.411699999999996</v>
      </c>
      <c r="G219" s="34">
        <f t="shared" ref="G219:G225" si="27">D219+E219+F219</f>
        <v>251.56544399999996</v>
      </c>
      <c r="H219" s="34">
        <f>(1.9*1.8)*(10.764)</f>
        <v>36.81288</v>
      </c>
      <c r="I219" s="51">
        <f t="shared" ref="I219:I225" si="28">G219*1.45+H219</f>
        <v>401.58277379999993</v>
      </c>
      <c r="J219" s="51"/>
    </row>
    <row r="220" spans="1:11" x14ac:dyDescent="0.35">
      <c r="A220" s="53">
        <v>2</v>
      </c>
      <c r="B220" s="53"/>
      <c r="C220" s="38" t="s">
        <v>166</v>
      </c>
      <c r="D220" s="34">
        <f>(30.095)*(10.764)</f>
        <v>323.94257999999996</v>
      </c>
      <c r="E220" s="34">
        <f>1.08*(10.764)</f>
        <v>11.625120000000001</v>
      </c>
      <c r="F220" s="34">
        <f>(0.75*5.25)*(10.764)</f>
        <v>42.383249999999997</v>
      </c>
      <c r="G220" s="34">
        <f t="shared" si="27"/>
        <v>377.95094999999992</v>
      </c>
      <c r="H220" s="34">
        <f>(2.55*1.7)*(10.764)</f>
        <v>46.661939999999994</v>
      </c>
      <c r="I220" s="51">
        <f t="shared" si="28"/>
        <v>594.69081749999987</v>
      </c>
      <c r="J220" s="51"/>
    </row>
    <row r="221" spans="1:11" x14ac:dyDescent="0.35">
      <c r="A221" s="53">
        <v>3</v>
      </c>
      <c r="B221" s="53"/>
      <c r="C221" s="38" t="s">
        <v>166</v>
      </c>
      <c r="D221" s="34">
        <f>(30.095)*(10.764)</f>
        <v>323.94257999999996</v>
      </c>
      <c r="E221" s="34">
        <f>1.08*(10.764)</f>
        <v>11.625120000000001</v>
      </c>
      <c r="F221" s="34">
        <f>(0.75*5.25)*(10.764)</f>
        <v>42.383249999999997</v>
      </c>
      <c r="G221" s="34">
        <f t="shared" si="27"/>
        <v>377.95094999999992</v>
      </c>
      <c r="H221" s="34">
        <f>(2.55*1.7)*(10.764)</f>
        <v>46.661939999999994</v>
      </c>
      <c r="I221" s="51">
        <f t="shared" si="28"/>
        <v>594.69081749999987</v>
      </c>
      <c r="J221" s="51"/>
    </row>
    <row r="222" spans="1:11" x14ac:dyDescent="0.35">
      <c r="A222" s="53">
        <v>4</v>
      </c>
      <c r="B222" s="53"/>
      <c r="C222" s="38" t="s">
        <v>174</v>
      </c>
      <c r="D222" s="34">
        <f>(20.607)*(10.764)</f>
        <v>221.81374799999998</v>
      </c>
      <c r="E222" s="34">
        <f t="shared" ref="E222:E223" si="29">0*(10.764)</f>
        <v>0</v>
      </c>
      <c r="F222" s="34">
        <f>(0.75*2.4)*(10.764)</f>
        <v>19.375199999999996</v>
      </c>
      <c r="G222" s="34">
        <f t="shared" si="27"/>
        <v>241.18894799999998</v>
      </c>
      <c r="H222" s="34">
        <f>(2.85*1.3)*(10.764)</f>
        <v>39.88062</v>
      </c>
      <c r="I222" s="51">
        <f t="shared" si="28"/>
        <v>389.60459459999998</v>
      </c>
      <c r="J222" s="51"/>
    </row>
    <row r="223" spans="1:11" x14ac:dyDescent="0.35">
      <c r="A223" s="53">
        <v>5</v>
      </c>
      <c r="B223" s="53"/>
      <c r="C223" s="38" t="s">
        <v>174</v>
      </c>
      <c r="D223" s="34">
        <f>(20.607)*(10.764)</f>
        <v>221.81374799999998</v>
      </c>
      <c r="E223" s="34">
        <f t="shared" si="29"/>
        <v>0</v>
      </c>
      <c r="F223" s="34">
        <f>(0.75*2.4)*(10.764)</f>
        <v>19.375199999999996</v>
      </c>
      <c r="G223" s="34">
        <f t="shared" si="27"/>
        <v>241.18894799999998</v>
      </c>
      <c r="H223" s="34">
        <f>(2.85*1.3)*(10.764)</f>
        <v>39.88062</v>
      </c>
      <c r="I223" s="51">
        <f t="shared" si="28"/>
        <v>389.60459459999998</v>
      </c>
      <c r="J223" s="51"/>
      <c r="K223" s="35"/>
    </row>
    <row r="224" spans="1:11" x14ac:dyDescent="0.35">
      <c r="A224" s="53">
        <v>6</v>
      </c>
      <c r="B224" s="53"/>
      <c r="C224" s="38" t="s">
        <v>166</v>
      </c>
      <c r="D224" s="34">
        <f>(30.095)*(10.764)</f>
        <v>323.94257999999996</v>
      </c>
      <c r="E224" s="34">
        <f>1.08*(10.764)</f>
        <v>11.625120000000001</v>
      </c>
      <c r="F224" s="34">
        <f>(0.75*5.25)*(10.764)</f>
        <v>42.383249999999997</v>
      </c>
      <c r="G224" s="34">
        <f t="shared" si="27"/>
        <v>377.95094999999992</v>
      </c>
      <c r="H224" s="34">
        <f>(2.55*1.7)*(10.764)</f>
        <v>46.661939999999994</v>
      </c>
      <c r="I224" s="51">
        <f t="shared" si="28"/>
        <v>594.69081749999987</v>
      </c>
      <c r="J224" s="51"/>
    </row>
    <row r="225" spans="1:13" x14ac:dyDescent="0.35">
      <c r="A225" s="53">
        <v>7</v>
      </c>
      <c r="B225" s="53"/>
      <c r="C225" s="38" t="s">
        <v>166</v>
      </c>
      <c r="D225" s="34">
        <f>(30.095)*(10.764)</f>
        <v>323.94257999999996</v>
      </c>
      <c r="E225" s="34">
        <f>1.08*(10.764)</f>
        <v>11.625120000000001</v>
      </c>
      <c r="F225" s="34">
        <f>(0.75*5.25)*(10.764)</f>
        <v>42.383249999999997</v>
      </c>
      <c r="G225" s="34">
        <f t="shared" si="27"/>
        <v>377.95094999999992</v>
      </c>
      <c r="H225" s="34">
        <f>(2.55*1.7)*(10.764)</f>
        <v>46.661939999999994</v>
      </c>
      <c r="I225" s="51">
        <f t="shared" si="28"/>
        <v>594.69081749999987</v>
      </c>
      <c r="J225" s="51"/>
    </row>
    <row r="226" spans="1:13" ht="15.5" hidden="1" x14ac:dyDescent="0.35">
      <c r="A226" s="85" t="s">
        <v>55</v>
      </c>
      <c r="B226" s="85"/>
      <c r="C226" s="31">
        <v>4</v>
      </c>
      <c r="D226" s="86">
        <f ca="1">((100/I90)*C226)/100</f>
        <v>1</v>
      </c>
      <c r="E226" s="86"/>
      <c r="F226" s="32"/>
      <c r="G226" s="32"/>
      <c r="H226" s="32"/>
      <c r="I226" s="32"/>
      <c r="J226" s="32"/>
      <c r="K226" s="18" t="s">
        <v>99</v>
      </c>
      <c r="L226" s="21"/>
      <c r="M226" s="22">
        <f ca="1">I90</f>
        <v>4</v>
      </c>
    </row>
    <row r="227" spans="1:13" ht="15.5" hidden="1" x14ac:dyDescent="0.35">
      <c r="A227" s="85" t="s">
        <v>100</v>
      </c>
      <c r="B227" s="85"/>
      <c r="C227" s="31">
        <v>5</v>
      </c>
      <c r="D227" s="86">
        <f ca="1">((100/(D90+F90+I90))*C227)/100</f>
        <v>1</v>
      </c>
      <c r="E227" s="86"/>
      <c r="F227" s="32"/>
      <c r="G227" s="32"/>
      <c r="H227" s="32"/>
      <c r="I227" s="32"/>
      <c r="J227" s="32"/>
      <c r="K227" s="18" t="s">
        <v>101</v>
      </c>
      <c r="L227" s="21"/>
      <c r="M227" s="23">
        <f ca="1">(IF(B90=0,I90/4,(I90/(B90+4))))</f>
        <v>1</v>
      </c>
    </row>
    <row r="228" spans="1:13" ht="15.5" hidden="1" x14ac:dyDescent="0.35">
      <c r="A228" s="85" t="s">
        <v>102</v>
      </c>
      <c r="B228" s="85" t="s">
        <v>103</v>
      </c>
      <c r="C228" s="31">
        <v>4</v>
      </c>
      <c r="D228" s="86">
        <f ca="1">((100/I90)*C228)/100</f>
        <v>1</v>
      </c>
      <c r="E228" s="86"/>
      <c r="F228" s="32"/>
      <c r="G228" s="32"/>
      <c r="H228" s="32"/>
      <c r="I228" s="32"/>
      <c r="J228" s="32"/>
      <c r="K228" s="18" t="s">
        <v>104</v>
      </c>
      <c r="L228" s="21"/>
      <c r="M228" s="23">
        <f ca="1">(IF(B90=0,I90/4+M227,(I90/(B90+4)+M227)))</f>
        <v>2</v>
      </c>
    </row>
    <row r="229" spans="1:13" ht="15.5" hidden="1" x14ac:dyDescent="0.35">
      <c r="A229" s="85" t="s">
        <v>105</v>
      </c>
      <c r="B229" s="85" t="s">
        <v>103</v>
      </c>
      <c r="C229" s="31">
        <v>4</v>
      </c>
      <c r="D229" s="86">
        <f ca="1">((100/I90)*C229)/100</f>
        <v>1</v>
      </c>
      <c r="E229" s="86"/>
      <c r="F229" s="32"/>
      <c r="G229" s="32"/>
      <c r="H229" s="32"/>
      <c r="I229" s="32"/>
      <c r="J229" s="32"/>
      <c r="K229" s="18" t="s">
        <v>106</v>
      </c>
      <c r="L229" s="10"/>
      <c r="M229" s="23">
        <f>(IF(B90=0,0,(I90/(B90+4)+M228)))</f>
        <v>0</v>
      </c>
    </row>
    <row r="230" spans="1:13" ht="15.5" hidden="1" x14ac:dyDescent="0.35">
      <c r="A230" s="85" t="s">
        <v>107</v>
      </c>
      <c r="B230" s="85" t="s">
        <v>108</v>
      </c>
      <c r="C230" s="31">
        <v>4</v>
      </c>
      <c r="D230" s="86">
        <f ca="1">((100/(I90))*C230)/100</f>
        <v>1</v>
      </c>
      <c r="E230" s="86"/>
      <c r="F230" s="32"/>
      <c r="G230" s="32"/>
      <c r="H230" s="32"/>
      <c r="I230" s="32"/>
      <c r="J230" s="32"/>
      <c r="K230" s="18" t="s">
        <v>109</v>
      </c>
      <c r="L230" s="10"/>
      <c r="M230" s="23">
        <f>(IF(B90&gt;1,(I90/(B90+4)+M229),0))</f>
        <v>0</v>
      </c>
    </row>
    <row r="231" spans="1:13" ht="15.5" hidden="1" x14ac:dyDescent="0.35">
      <c r="A231" s="85" t="s">
        <v>110</v>
      </c>
      <c r="B231" s="85" t="s">
        <v>110</v>
      </c>
      <c r="C231" s="31">
        <v>4</v>
      </c>
      <c r="D231" s="86">
        <f ca="1">((100/I90)*C231)/100</f>
        <v>1</v>
      </c>
      <c r="E231" s="86"/>
      <c r="F231" s="32"/>
      <c r="G231" s="32"/>
      <c r="H231" s="32"/>
      <c r="I231" s="32"/>
      <c r="J231" s="32"/>
      <c r="K231" s="18" t="s">
        <v>111</v>
      </c>
      <c r="L231" s="24"/>
      <c r="M231" s="25">
        <f>(IF(B90&gt;2,(I90/(B90+4)+M230),0))</f>
        <v>0</v>
      </c>
    </row>
    <row r="232" spans="1:13" ht="15.5" hidden="1" x14ac:dyDescent="0.35">
      <c r="A232" s="85" t="s">
        <v>112</v>
      </c>
      <c r="B232" s="85"/>
      <c r="C232" s="31">
        <v>4</v>
      </c>
      <c r="D232" s="86">
        <f ca="1">((100/I90)*C232)/100</f>
        <v>1</v>
      </c>
      <c r="E232" s="86"/>
      <c r="F232" s="32"/>
      <c r="G232" s="32"/>
      <c r="H232" s="32"/>
      <c r="I232" s="32"/>
      <c r="J232" s="32"/>
      <c r="K232" s="18" t="s">
        <v>113</v>
      </c>
      <c r="M232" s="26">
        <f>(IF(B90&gt;3,(I90/(B90+4)+M231),0))</f>
        <v>0</v>
      </c>
    </row>
    <row r="233" spans="1:13" ht="15.5" hidden="1" x14ac:dyDescent="0.35">
      <c r="A233" s="88" t="s">
        <v>114</v>
      </c>
      <c r="B233" s="88" t="s">
        <v>114</v>
      </c>
      <c r="C233" s="31">
        <v>4</v>
      </c>
      <c r="D233" s="86">
        <f ca="1">((100/(I90))*C233)/100</f>
        <v>1</v>
      </c>
      <c r="E233" s="86"/>
      <c r="F233" s="32"/>
      <c r="G233" s="32"/>
      <c r="H233" s="32"/>
      <c r="I233" s="32"/>
      <c r="J233" s="32"/>
      <c r="K233" s="18" t="s">
        <v>115</v>
      </c>
      <c r="L233" s="21"/>
      <c r="M233" s="23">
        <f ca="1">(IF(B90=0,I90/4+M228,(I90/(B90+4)+M228+MAX(0,M229-M228)+MAX(0,M230-M229)+MAX(0,M231-M230)+MAX(0,M232-M231))))</f>
        <v>3</v>
      </c>
    </row>
    <row r="234" spans="1:13" ht="16" hidden="1" thickBot="1" x14ac:dyDescent="0.4">
      <c r="A234" s="85" t="s">
        <v>116</v>
      </c>
      <c r="B234" s="85"/>
      <c r="C234" s="31">
        <v>4</v>
      </c>
      <c r="D234" s="86">
        <f ca="1">((100/(I90))*C234)/100</f>
        <v>1</v>
      </c>
      <c r="E234" s="86"/>
      <c r="F234" s="32"/>
      <c r="G234" s="32"/>
      <c r="H234" s="32"/>
      <c r="I234" s="32"/>
      <c r="J234" s="32"/>
      <c r="K234" s="27" t="s">
        <v>117</v>
      </c>
      <c r="L234" s="28"/>
      <c r="M234" s="29">
        <f ca="1">(IF(B90=0,I90/4+M233,(I90/(B90+4)+M233)))</f>
        <v>4</v>
      </c>
    </row>
    <row r="235" spans="1:13" s="1" customFormat="1" ht="45" customHeight="1" x14ac:dyDescent="0.35">
      <c r="A235" s="97" t="s">
        <v>256</v>
      </c>
      <c r="B235" s="97"/>
      <c r="C235" s="97"/>
      <c r="D235" s="97"/>
      <c r="E235" s="97"/>
      <c r="F235" s="97"/>
      <c r="G235" s="97"/>
      <c r="H235" s="97"/>
      <c r="I235" s="97"/>
      <c r="J235" s="97"/>
    </row>
    <row r="236" spans="1:13" s="1" customFormat="1" ht="140.5" customHeight="1" x14ac:dyDescent="0.35">
      <c r="A236" s="97"/>
      <c r="B236" s="97"/>
      <c r="C236" s="97"/>
      <c r="D236" s="97"/>
      <c r="E236" s="97"/>
      <c r="F236" s="97"/>
      <c r="G236" s="97"/>
      <c r="H236" s="97"/>
      <c r="I236" s="97"/>
      <c r="J236" s="97"/>
    </row>
    <row r="237" spans="1:13" x14ac:dyDescent="0.35">
      <c r="A237" s="93" t="s">
        <v>28</v>
      </c>
      <c r="B237" s="93"/>
      <c r="C237" s="93"/>
      <c r="D237" s="93"/>
      <c r="E237" s="93"/>
      <c r="F237" s="93"/>
      <c r="G237" s="93"/>
      <c r="H237" s="93"/>
      <c r="I237" s="93"/>
      <c r="J237" s="93"/>
    </row>
    <row r="238" spans="1:13" x14ac:dyDescent="0.35">
      <c r="A238" s="67" t="s">
        <v>51</v>
      </c>
      <c r="B238" s="67"/>
      <c r="C238" s="67"/>
      <c r="D238" s="67"/>
      <c r="E238" s="67"/>
      <c r="F238" s="67"/>
      <c r="G238" s="67"/>
      <c r="H238" s="67"/>
      <c r="I238" s="67"/>
      <c r="J238" s="67"/>
    </row>
    <row r="239" spans="1:13" x14ac:dyDescent="0.35">
      <c r="A239" s="93" t="s">
        <v>29</v>
      </c>
      <c r="B239" s="93"/>
      <c r="C239" s="93"/>
      <c r="D239" s="93"/>
      <c r="E239" s="93"/>
      <c r="F239" s="93"/>
      <c r="G239" s="93"/>
      <c r="H239" s="93"/>
      <c r="I239" s="93"/>
      <c r="J239" s="93"/>
    </row>
    <row r="240" spans="1:13" x14ac:dyDescent="0.35">
      <c r="A240" s="67" t="s">
        <v>30</v>
      </c>
      <c r="B240" s="67"/>
      <c r="C240" s="67"/>
      <c r="D240" s="67"/>
      <c r="E240" s="67"/>
      <c r="F240" s="67"/>
      <c r="G240" s="67"/>
      <c r="H240" s="67"/>
      <c r="I240" s="67"/>
      <c r="J240" s="67"/>
    </row>
    <row r="241" spans="1:10" ht="15" customHeight="1" x14ac:dyDescent="0.35">
      <c r="A241" s="92" t="s">
        <v>50</v>
      </c>
      <c r="B241" s="54"/>
      <c r="C241" s="54"/>
      <c r="D241" s="54"/>
      <c r="E241" s="54"/>
      <c r="F241" s="54"/>
      <c r="G241" s="54"/>
      <c r="H241" s="54"/>
      <c r="I241" s="54"/>
      <c r="J241" s="54"/>
    </row>
    <row r="242" spans="1:10" x14ac:dyDescent="0.35">
      <c r="A242" s="54"/>
      <c r="B242" s="54"/>
      <c r="C242" s="54"/>
      <c r="D242" s="54"/>
      <c r="E242" s="54"/>
      <c r="F242" s="54"/>
      <c r="G242" s="54"/>
      <c r="H242" s="54"/>
      <c r="I242" s="54"/>
      <c r="J242" s="54"/>
    </row>
    <row r="243" spans="1:10" x14ac:dyDescent="0.35">
      <c r="A243" s="54"/>
      <c r="B243" s="54"/>
      <c r="C243" s="54"/>
      <c r="D243" s="54"/>
      <c r="E243" s="54"/>
      <c r="F243" s="54"/>
      <c r="G243" s="54"/>
      <c r="H243" s="54"/>
      <c r="I243" s="54"/>
      <c r="J243" s="54"/>
    </row>
    <row r="244" spans="1:10" x14ac:dyDescent="0.35">
      <c r="A244" s="54"/>
      <c r="B244" s="54"/>
      <c r="C244" s="54"/>
      <c r="D244" s="54"/>
      <c r="E244" s="54"/>
      <c r="F244" s="54"/>
      <c r="G244" s="54"/>
      <c r="H244" s="54"/>
      <c r="I244" s="54"/>
      <c r="J244" s="54"/>
    </row>
    <row r="245" spans="1:10" x14ac:dyDescent="0.35">
      <c r="A245" s="11" t="s">
        <v>81</v>
      </c>
      <c r="B245" s="11"/>
      <c r="C245" s="11"/>
      <c r="D245" s="11"/>
      <c r="E245" s="11"/>
      <c r="F245" s="11" t="str">
        <f>F8</f>
        <v>Dream Park</v>
      </c>
      <c r="G245" s="11"/>
    </row>
    <row r="247" spans="1:10" s="2" customFormat="1" ht="14" x14ac:dyDescent="0.3"/>
    <row r="255" spans="1:10" x14ac:dyDescent="0.35">
      <c r="B255" s="10"/>
    </row>
    <row r="256" spans="1:10" x14ac:dyDescent="0.35">
      <c r="B256" s="10"/>
      <c r="C256" s="10"/>
    </row>
    <row r="257" spans="2:3" x14ac:dyDescent="0.35">
      <c r="B257" s="10"/>
      <c r="C257" s="10"/>
    </row>
    <row r="293" spans="1:7" x14ac:dyDescent="0.35">
      <c r="A293" s="11" t="s">
        <v>181</v>
      </c>
      <c r="B293" s="11"/>
      <c r="C293" s="11"/>
      <c r="D293" s="11"/>
      <c r="E293" s="11"/>
      <c r="F293" s="11"/>
      <c r="G293" s="11"/>
    </row>
    <row r="295" spans="1:7" s="2" customFormat="1" ht="14" x14ac:dyDescent="0.3"/>
    <row r="303" spans="1:7" x14ac:dyDescent="0.35">
      <c r="B303" s="10"/>
    </row>
    <row r="304" spans="1:7" x14ac:dyDescent="0.35">
      <c r="B304" s="10"/>
      <c r="C304" s="10"/>
    </row>
    <row r="305" spans="2:3" x14ac:dyDescent="0.35">
      <c r="B305" s="10"/>
      <c r="C305" s="10"/>
    </row>
    <row r="331" spans="1:2" x14ac:dyDescent="0.35">
      <c r="A331" s="12" t="s">
        <v>82</v>
      </c>
      <c r="B331" s="12"/>
    </row>
  </sheetData>
  <mergeCells count="479">
    <mergeCell ref="A28:B28"/>
    <mergeCell ref="I158:J158"/>
    <mergeCell ref="G30:J30"/>
    <mergeCell ref="F23:J23"/>
    <mergeCell ref="F24:J24"/>
    <mergeCell ref="F25:J25"/>
    <mergeCell ref="F26:J26"/>
    <mergeCell ref="E27:F27"/>
    <mergeCell ref="G27:H27"/>
    <mergeCell ref="I27:J27"/>
    <mergeCell ref="A137:B137"/>
    <mergeCell ref="I146:J146"/>
    <mergeCell ref="I147:J147"/>
    <mergeCell ref="A156:B156"/>
    <mergeCell ref="A157:B157"/>
    <mergeCell ref="A158:B158"/>
    <mergeCell ref="A128:B128"/>
    <mergeCell ref="A129:B129"/>
    <mergeCell ref="A130:B130"/>
    <mergeCell ref="A131:B131"/>
    <mergeCell ref="A132:J132"/>
    <mergeCell ref="A133:B133"/>
    <mergeCell ref="A134:B134"/>
    <mergeCell ref="A135:B135"/>
    <mergeCell ref="A159:B159"/>
    <mergeCell ref="A160:B160"/>
    <mergeCell ref="A148:J148"/>
    <mergeCell ref="A149:B149"/>
    <mergeCell ref="A150:B150"/>
    <mergeCell ref="A151:B151"/>
    <mergeCell ref="A152:B152"/>
    <mergeCell ref="A153:B153"/>
    <mergeCell ref="A154:B154"/>
    <mergeCell ref="A155:J155"/>
    <mergeCell ref="I149:J149"/>
    <mergeCell ref="I150:J150"/>
    <mergeCell ref="I151:J151"/>
    <mergeCell ref="I152:J152"/>
    <mergeCell ref="I153:J153"/>
    <mergeCell ref="I154:J154"/>
    <mergeCell ref="I156:J156"/>
    <mergeCell ref="I157:J157"/>
    <mergeCell ref="I159:J159"/>
    <mergeCell ref="I160:J160"/>
    <mergeCell ref="A136:B136"/>
    <mergeCell ref="A122:B122"/>
    <mergeCell ref="A123:B123"/>
    <mergeCell ref="A124:B124"/>
    <mergeCell ref="A125:B125"/>
    <mergeCell ref="I52:J52"/>
    <mergeCell ref="G97:J97"/>
    <mergeCell ref="A58:C58"/>
    <mergeCell ref="D58:J58"/>
    <mergeCell ref="D64:J64"/>
    <mergeCell ref="A64:C64"/>
    <mergeCell ref="D59:J59"/>
    <mergeCell ref="A59:C59"/>
    <mergeCell ref="A57:C57"/>
    <mergeCell ref="D57:J57"/>
    <mergeCell ref="D54:G54"/>
    <mergeCell ref="A54:C55"/>
    <mergeCell ref="D55:J55"/>
    <mergeCell ref="A63:C63"/>
    <mergeCell ref="D63:J63"/>
    <mergeCell ref="A60:C60"/>
    <mergeCell ref="A80:B80"/>
    <mergeCell ref="D80:E80"/>
    <mergeCell ref="A81:B81"/>
    <mergeCell ref="A27:B27"/>
    <mergeCell ref="C27:D27"/>
    <mergeCell ref="D227:E227"/>
    <mergeCell ref="A228:B228"/>
    <mergeCell ref="D228:E228"/>
    <mergeCell ref="A229:B229"/>
    <mergeCell ref="D229:E229"/>
    <mergeCell ref="A89:B89"/>
    <mergeCell ref="C89:J89"/>
    <mergeCell ref="F90:G90"/>
    <mergeCell ref="I90:J90"/>
    <mergeCell ref="A91:B91"/>
    <mergeCell ref="C91:J91"/>
    <mergeCell ref="A92:B93"/>
    <mergeCell ref="C92:E93"/>
    <mergeCell ref="F92:G93"/>
    <mergeCell ref="H92:J93"/>
    <mergeCell ref="A111:B111"/>
    <mergeCell ref="C111:D111"/>
    <mergeCell ref="A103:J103"/>
    <mergeCell ref="E104:G104"/>
    <mergeCell ref="G42:J42"/>
    <mergeCell ref="A42:F42"/>
    <mergeCell ref="A45:C45"/>
    <mergeCell ref="D81:E81"/>
    <mergeCell ref="A1:J1"/>
    <mergeCell ref="A94:J94"/>
    <mergeCell ref="A95:F95"/>
    <mergeCell ref="A56:J56"/>
    <mergeCell ref="I54:J54"/>
    <mergeCell ref="A11:E11"/>
    <mergeCell ref="F11:J11"/>
    <mergeCell ref="A43:J43"/>
    <mergeCell ref="A12:B12"/>
    <mergeCell ref="C12:J12"/>
    <mergeCell ref="G32:J33"/>
    <mergeCell ref="A32:F33"/>
    <mergeCell ref="A19:E20"/>
    <mergeCell ref="F19:J20"/>
    <mergeCell ref="A21:E21"/>
    <mergeCell ref="F21:J21"/>
    <mergeCell ref="A22:E22"/>
    <mergeCell ref="A9:E9"/>
    <mergeCell ref="F9:J9"/>
    <mergeCell ref="A30:F30"/>
    <mergeCell ref="G95:J95"/>
    <mergeCell ref="F22:J22"/>
    <mergeCell ref="E29:F29"/>
    <mergeCell ref="A238:J238"/>
    <mergeCell ref="A239:J239"/>
    <mergeCell ref="G101:J101"/>
    <mergeCell ref="A96:F96"/>
    <mergeCell ref="G96:J96"/>
    <mergeCell ref="A97:F97"/>
    <mergeCell ref="A184:J184"/>
    <mergeCell ref="A235:J236"/>
    <mergeCell ref="A210:J210"/>
    <mergeCell ref="A98:F98"/>
    <mergeCell ref="G98:J98"/>
    <mergeCell ref="A218:J218"/>
    <mergeCell ref="A219:B219"/>
    <mergeCell ref="A220:B220"/>
    <mergeCell ref="A221:B221"/>
    <mergeCell ref="A222:B222"/>
    <mergeCell ref="A223:B223"/>
    <mergeCell ref="A224:B224"/>
    <mergeCell ref="A225:B225"/>
    <mergeCell ref="I223:J223"/>
    <mergeCell ref="I224:J224"/>
    <mergeCell ref="I225:J225"/>
    <mergeCell ref="A120:J120"/>
    <mergeCell ref="A121:B121"/>
    <mergeCell ref="A118:B118"/>
    <mergeCell ref="A119:B119"/>
    <mergeCell ref="A237:J237"/>
    <mergeCell ref="F76:G76"/>
    <mergeCell ref="I76:J76"/>
    <mergeCell ref="A77:B77"/>
    <mergeCell ref="A82:B82"/>
    <mergeCell ref="A230:B230"/>
    <mergeCell ref="D230:E230"/>
    <mergeCell ref="A231:B231"/>
    <mergeCell ref="D231:E231"/>
    <mergeCell ref="A232:B232"/>
    <mergeCell ref="D232:E232"/>
    <mergeCell ref="A233:B233"/>
    <mergeCell ref="D233:E233"/>
    <mergeCell ref="A234:B234"/>
    <mergeCell ref="D234:E234"/>
    <mergeCell ref="A226:B226"/>
    <mergeCell ref="D226:E226"/>
    <mergeCell ref="A227:B227"/>
    <mergeCell ref="C77:J77"/>
    <mergeCell ref="A78:B78"/>
    <mergeCell ref="D78:E78"/>
    <mergeCell ref="F78:G78"/>
    <mergeCell ref="A241:J244"/>
    <mergeCell ref="A102:F102"/>
    <mergeCell ref="G102:J102"/>
    <mergeCell ref="A112:J112"/>
    <mergeCell ref="A99:F99"/>
    <mergeCell ref="G99:J99"/>
    <mergeCell ref="A100:F100"/>
    <mergeCell ref="G100:J100"/>
    <mergeCell ref="A101:F101"/>
    <mergeCell ref="A116:J116"/>
    <mergeCell ref="A139:J139"/>
    <mergeCell ref="A185:J185"/>
    <mergeCell ref="A240:J240"/>
    <mergeCell ref="A117:J117"/>
    <mergeCell ref="A209:J209"/>
    <mergeCell ref="A208:J208"/>
    <mergeCell ref="A211:B211"/>
    <mergeCell ref="A212:B212"/>
    <mergeCell ref="A213:B213"/>
    <mergeCell ref="A214:B214"/>
    <mergeCell ref="A215:B215"/>
    <mergeCell ref="A216:B216"/>
    <mergeCell ref="A115:J115"/>
    <mergeCell ref="A186:J186"/>
    <mergeCell ref="A138:J138"/>
    <mergeCell ref="A140:J140"/>
    <mergeCell ref="A75:B75"/>
    <mergeCell ref="A29:B29"/>
    <mergeCell ref="C29:D29"/>
    <mergeCell ref="A2:J2"/>
    <mergeCell ref="A3:E3"/>
    <mergeCell ref="F3:J3"/>
    <mergeCell ref="A4:E4"/>
    <mergeCell ref="F4:J4"/>
    <mergeCell ref="A8:E8"/>
    <mergeCell ref="A10:E10"/>
    <mergeCell ref="F8:J8"/>
    <mergeCell ref="F10:J10"/>
    <mergeCell ref="A5:E5"/>
    <mergeCell ref="F5:J5"/>
    <mergeCell ref="A6:E6"/>
    <mergeCell ref="F6:J6"/>
    <mergeCell ref="A7:E7"/>
    <mergeCell ref="F7:J7"/>
    <mergeCell ref="C75:J75"/>
    <mergeCell ref="A87:B87"/>
    <mergeCell ref="D87:E87"/>
    <mergeCell ref="A31:J31"/>
    <mergeCell ref="G29:H29"/>
    <mergeCell ref="I29:J29"/>
    <mergeCell ref="A52:C53"/>
    <mergeCell ref="D53:J53"/>
    <mergeCell ref="A88:B88"/>
    <mergeCell ref="D88:E88"/>
    <mergeCell ref="D82:E82"/>
    <mergeCell ref="A83:B83"/>
    <mergeCell ref="D83:E83"/>
    <mergeCell ref="A84:B84"/>
    <mergeCell ref="D84:E84"/>
    <mergeCell ref="A85:B85"/>
    <mergeCell ref="D85:E85"/>
    <mergeCell ref="A86:B86"/>
    <mergeCell ref="D86:E86"/>
    <mergeCell ref="A74:J74"/>
    <mergeCell ref="H78:J78"/>
    <mergeCell ref="A79:B79"/>
    <mergeCell ref="D79:E79"/>
    <mergeCell ref="F79:G88"/>
    <mergeCell ref="H79:J88"/>
    <mergeCell ref="A44:C44"/>
    <mergeCell ref="D44:J44"/>
    <mergeCell ref="D52:G52"/>
    <mergeCell ref="A50:C50"/>
    <mergeCell ref="D50:G50"/>
    <mergeCell ref="I50:J50"/>
    <mergeCell ref="A51:C51"/>
    <mergeCell ref="D51:G51"/>
    <mergeCell ref="I51:J51"/>
    <mergeCell ref="A46:C46"/>
    <mergeCell ref="A47:C48"/>
    <mergeCell ref="A49:J49"/>
    <mergeCell ref="B113:B114"/>
    <mergeCell ref="C113:C114"/>
    <mergeCell ref="D113:D114"/>
    <mergeCell ref="E113:E114"/>
    <mergeCell ref="F113:F114"/>
    <mergeCell ref="G113:G114"/>
    <mergeCell ref="H113:H114"/>
    <mergeCell ref="A104:B104"/>
    <mergeCell ref="C104:D104"/>
    <mergeCell ref="A108:B108"/>
    <mergeCell ref="C108:D108"/>
    <mergeCell ref="A109:B109"/>
    <mergeCell ref="C109:D109"/>
    <mergeCell ref="A110:B110"/>
    <mergeCell ref="C110:D110"/>
    <mergeCell ref="E110:G110"/>
    <mergeCell ref="H110:J110"/>
    <mergeCell ref="A105:B105"/>
    <mergeCell ref="C105:D105"/>
    <mergeCell ref="E105:G105"/>
    <mergeCell ref="H105:J105"/>
    <mergeCell ref="A106:B106"/>
    <mergeCell ref="C106:D106"/>
    <mergeCell ref="E106:G106"/>
    <mergeCell ref="A217:B217"/>
    <mergeCell ref="A196:J196"/>
    <mergeCell ref="A197:J197"/>
    <mergeCell ref="A198:J198"/>
    <mergeCell ref="A126:J126"/>
    <mergeCell ref="A127:B127"/>
    <mergeCell ref="A199:B199"/>
    <mergeCell ref="A200:B200"/>
    <mergeCell ref="A201:B201"/>
    <mergeCell ref="A202:B202"/>
    <mergeCell ref="A203:J203"/>
    <mergeCell ref="A204:B204"/>
    <mergeCell ref="A205:B205"/>
    <mergeCell ref="A206:B206"/>
    <mergeCell ref="A207:B207"/>
    <mergeCell ref="A187:B187"/>
    <mergeCell ref="A188:B188"/>
    <mergeCell ref="A189:B189"/>
    <mergeCell ref="A190:B190"/>
    <mergeCell ref="A192:B192"/>
    <mergeCell ref="A193:B193"/>
    <mergeCell ref="A191:J191"/>
    <mergeCell ref="A141:J141"/>
    <mergeCell ref="A142:B142"/>
    <mergeCell ref="A194:B194"/>
    <mergeCell ref="A195:B195"/>
    <mergeCell ref="A13:B13"/>
    <mergeCell ref="A15:B15"/>
    <mergeCell ref="A16:B16"/>
    <mergeCell ref="A17:B17"/>
    <mergeCell ref="A18:B18"/>
    <mergeCell ref="C13:J13"/>
    <mergeCell ref="C15:E15"/>
    <mergeCell ref="C16:E16"/>
    <mergeCell ref="C17:E17"/>
    <mergeCell ref="C18:E18"/>
    <mergeCell ref="F15:G15"/>
    <mergeCell ref="F16:G16"/>
    <mergeCell ref="F17:G17"/>
    <mergeCell ref="F18:G18"/>
    <mergeCell ref="H15:J15"/>
    <mergeCell ref="H16:J16"/>
    <mergeCell ref="H17:J17"/>
    <mergeCell ref="H18:J18"/>
    <mergeCell ref="A14:B14"/>
    <mergeCell ref="A67:C67"/>
    <mergeCell ref="D67:J67"/>
    <mergeCell ref="A113:A114"/>
    <mergeCell ref="A34:B34"/>
    <mergeCell ref="A35:B35"/>
    <mergeCell ref="C34:J34"/>
    <mergeCell ref="C35:J35"/>
    <mergeCell ref="A68:C73"/>
    <mergeCell ref="D68:J73"/>
    <mergeCell ref="C14:J14"/>
    <mergeCell ref="A23:E23"/>
    <mergeCell ref="A24:E24"/>
    <mergeCell ref="A25:E25"/>
    <mergeCell ref="A26:E26"/>
    <mergeCell ref="D60:J60"/>
    <mergeCell ref="A61:C61"/>
    <mergeCell ref="D61:J61"/>
    <mergeCell ref="D62:J62"/>
    <mergeCell ref="A62:C62"/>
    <mergeCell ref="A65:C65"/>
    <mergeCell ref="D65:J65"/>
    <mergeCell ref="D66:J66"/>
    <mergeCell ref="A66:C66"/>
    <mergeCell ref="C28:D28"/>
    <mergeCell ref="I28:J28"/>
    <mergeCell ref="G28:H28"/>
    <mergeCell ref="E28:F28"/>
    <mergeCell ref="P46:Q46"/>
    <mergeCell ref="D47:G47"/>
    <mergeCell ref="I47:J47"/>
    <mergeCell ref="K47:N47"/>
    <mergeCell ref="P47:Q47"/>
    <mergeCell ref="D48:J48"/>
    <mergeCell ref="A36:J36"/>
    <mergeCell ref="A37:F37"/>
    <mergeCell ref="A38:F38"/>
    <mergeCell ref="A39:F39"/>
    <mergeCell ref="A40:F40"/>
    <mergeCell ref="A41:F41"/>
    <mergeCell ref="G37:J37"/>
    <mergeCell ref="G38:J38"/>
    <mergeCell ref="G39:J39"/>
    <mergeCell ref="G40:J40"/>
    <mergeCell ref="G41:J41"/>
    <mergeCell ref="K45:N45"/>
    <mergeCell ref="P45:Q45"/>
    <mergeCell ref="D46:G46"/>
    <mergeCell ref="I46:J46"/>
    <mergeCell ref="K46:N46"/>
    <mergeCell ref="H106:J106"/>
    <mergeCell ref="A107:B107"/>
    <mergeCell ref="C107:D107"/>
    <mergeCell ref="E107:G107"/>
    <mergeCell ref="H107:J107"/>
    <mergeCell ref="I181:J181"/>
    <mergeCell ref="I182:J182"/>
    <mergeCell ref="I183:J183"/>
    <mergeCell ref="M42:Q42"/>
    <mergeCell ref="H104:J104"/>
    <mergeCell ref="H108:J108"/>
    <mergeCell ref="H109:J109"/>
    <mergeCell ref="H111:J111"/>
    <mergeCell ref="E108:G108"/>
    <mergeCell ref="E109:G109"/>
    <mergeCell ref="E111:G111"/>
    <mergeCell ref="K50:N50"/>
    <mergeCell ref="P50:Q50"/>
    <mergeCell ref="K51:N51"/>
    <mergeCell ref="P51:Q51"/>
    <mergeCell ref="K52:N52"/>
    <mergeCell ref="P52:Q52"/>
    <mergeCell ref="D45:G45"/>
    <mergeCell ref="I45:J45"/>
    <mergeCell ref="I137:J137"/>
    <mergeCell ref="I142:J142"/>
    <mergeCell ref="I143:J143"/>
    <mergeCell ref="I144:J144"/>
    <mergeCell ref="I145:J145"/>
    <mergeCell ref="A172:J172"/>
    <mergeCell ref="A173:B173"/>
    <mergeCell ref="A174:B174"/>
    <mergeCell ref="A175:B175"/>
    <mergeCell ref="A162:J162"/>
    <mergeCell ref="A163:J163"/>
    <mergeCell ref="A164:B164"/>
    <mergeCell ref="A165:B165"/>
    <mergeCell ref="A166:J166"/>
    <mergeCell ref="A167:B167"/>
    <mergeCell ref="A168:B168"/>
    <mergeCell ref="A169:B169"/>
    <mergeCell ref="A170:B170"/>
    <mergeCell ref="A171:B171"/>
    <mergeCell ref="A143:B143"/>
    <mergeCell ref="A144:B144"/>
    <mergeCell ref="A145:B145"/>
    <mergeCell ref="A146:B146"/>
    <mergeCell ref="A147:B147"/>
    <mergeCell ref="I127:J127"/>
    <mergeCell ref="I128:J128"/>
    <mergeCell ref="I129:J129"/>
    <mergeCell ref="I130:J130"/>
    <mergeCell ref="I131:J131"/>
    <mergeCell ref="I133:J133"/>
    <mergeCell ref="I134:J134"/>
    <mergeCell ref="I135:J135"/>
    <mergeCell ref="I136:J136"/>
    <mergeCell ref="I113:J113"/>
    <mergeCell ref="I114:J114"/>
    <mergeCell ref="I118:J118"/>
    <mergeCell ref="I119:J119"/>
    <mergeCell ref="I121:J121"/>
    <mergeCell ref="I122:J122"/>
    <mergeCell ref="I123:J123"/>
    <mergeCell ref="I124:J124"/>
    <mergeCell ref="I125:J125"/>
    <mergeCell ref="I164:J164"/>
    <mergeCell ref="I165:J165"/>
    <mergeCell ref="I167:J167"/>
    <mergeCell ref="I168:J168"/>
    <mergeCell ref="I169:J169"/>
    <mergeCell ref="I170:J170"/>
    <mergeCell ref="I171:J171"/>
    <mergeCell ref="A161:J161"/>
    <mergeCell ref="I187:J187"/>
    <mergeCell ref="A176:B176"/>
    <mergeCell ref="A177:B177"/>
    <mergeCell ref="A178:J178"/>
    <mergeCell ref="A179:B179"/>
    <mergeCell ref="A180:B180"/>
    <mergeCell ref="A181:B181"/>
    <mergeCell ref="A182:B182"/>
    <mergeCell ref="A183:B183"/>
    <mergeCell ref="I173:J173"/>
    <mergeCell ref="I174:J174"/>
    <mergeCell ref="I175:J175"/>
    <mergeCell ref="I176:J176"/>
    <mergeCell ref="I177:J177"/>
    <mergeCell ref="I179:J179"/>
    <mergeCell ref="I180:J180"/>
    <mergeCell ref="I188:J188"/>
    <mergeCell ref="I189:J189"/>
    <mergeCell ref="I190:J190"/>
    <mergeCell ref="I192:J192"/>
    <mergeCell ref="I193:J193"/>
    <mergeCell ref="I194:J194"/>
    <mergeCell ref="I195:J195"/>
    <mergeCell ref="I199:J199"/>
    <mergeCell ref="I200:J200"/>
    <mergeCell ref="I214:J214"/>
    <mergeCell ref="I215:J215"/>
    <mergeCell ref="I216:J216"/>
    <mergeCell ref="I217:J217"/>
    <mergeCell ref="I219:J219"/>
    <mergeCell ref="I220:J220"/>
    <mergeCell ref="I221:J221"/>
    <mergeCell ref="I222:J222"/>
    <mergeCell ref="I201:J201"/>
    <mergeCell ref="I202:J202"/>
    <mergeCell ref="I204:J204"/>
    <mergeCell ref="I205:J205"/>
    <mergeCell ref="I206:J206"/>
    <mergeCell ref="I207:J207"/>
    <mergeCell ref="I211:J211"/>
    <mergeCell ref="I212:J212"/>
    <mergeCell ref="I213:J213"/>
  </mergeCells>
  <hyperlinks>
    <hyperlink ref="C35" r:id="rId1"/>
  </hyperlinks>
  <pageMargins left="0.39370078740157483" right="0.39370078740157483" top="0.78740157480314965" bottom="0.78740157480314965" header="0.19685039370078741" footer="0.19685039370078741"/>
  <pageSetup paperSize="9" scale="80" fitToHeight="0" orientation="portrait" r:id="rId2"/>
  <headerFooter>
    <oddHeader>&amp;C&amp;G</oddHeader>
    <oddFooter>&amp;L&amp;"Times New Roman,Bold"Ref No: &amp;F&amp;C&amp;G&amp;R&amp;"Times New Roman,Bold"&amp;P</oddFooter>
  </headerFooter>
  <rowBreaks count="3" manualBreakCount="3">
    <brk id="244" max="16383" man="1"/>
    <brk id="292" max="9" man="1"/>
    <brk id="330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1"/>
  <sheetViews>
    <sheetView workbookViewId="0">
      <selection activeCell="C17" sqref="C17"/>
    </sheetView>
  </sheetViews>
  <sheetFormatPr defaultColWidth="9.1796875" defaultRowHeight="14.5" x14ac:dyDescent="0.35"/>
  <cols>
    <col min="1" max="1" width="9.1796875" style="3"/>
    <col min="2" max="2" width="11.7265625" style="3" customWidth="1"/>
    <col min="3" max="16384" width="9.1796875" style="3"/>
  </cols>
  <sheetData>
    <row r="2" spans="1:15" x14ac:dyDescent="0.35">
      <c r="A2" s="3" t="s">
        <v>60</v>
      </c>
      <c r="B2" s="4" t="s">
        <v>61</v>
      </c>
      <c r="C2" s="4">
        <v>4</v>
      </c>
    </row>
    <row r="3" spans="1:15" x14ac:dyDescent="0.35">
      <c r="B3" s="3" t="s">
        <v>62</v>
      </c>
      <c r="C3" s="3" t="s">
        <v>63</v>
      </c>
    </row>
    <row r="4" spans="1:15" x14ac:dyDescent="0.35">
      <c r="A4" s="3" t="s">
        <v>64</v>
      </c>
      <c r="B4" s="5">
        <v>10</v>
      </c>
      <c r="C4" s="5">
        <v>10</v>
      </c>
      <c r="E4" s="3">
        <f>(100/B4)*C4</f>
        <v>100</v>
      </c>
    </row>
    <row r="5" spans="1:15" x14ac:dyDescent="0.35">
      <c r="A5" s="3" t="s">
        <v>65</v>
      </c>
      <c r="B5" s="3" t="s">
        <v>66</v>
      </c>
      <c r="C5" s="3" t="s">
        <v>67</v>
      </c>
      <c r="E5" s="3">
        <f>(100/B6)*C6</f>
        <v>100</v>
      </c>
      <c r="I5" s="5" t="s">
        <v>68</v>
      </c>
      <c r="J5" s="5" t="s">
        <v>69</v>
      </c>
      <c r="K5" s="5" t="s">
        <v>70</v>
      </c>
      <c r="L5" s="5" t="s">
        <v>57</v>
      </c>
      <c r="M5" s="5" t="s">
        <v>58</v>
      </c>
      <c r="N5" s="5" t="s">
        <v>71</v>
      </c>
      <c r="O5" s="5" t="s">
        <v>59</v>
      </c>
    </row>
    <row r="6" spans="1:15" x14ac:dyDescent="0.35">
      <c r="B6" s="5">
        <f>C2+1</f>
        <v>5</v>
      </c>
      <c r="C6" s="5">
        <v>5</v>
      </c>
      <c r="E6" s="3">
        <f>(100/B8)*C8</f>
        <v>100</v>
      </c>
      <c r="F6" s="6" t="s">
        <v>72</v>
      </c>
      <c r="I6" s="6">
        <f>C4</f>
        <v>10</v>
      </c>
      <c r="J6" s="6">
        <f>40/B6*C6</f>
        <v>40</v>
      </c>
      <c r="K6" s="6">
        <f>15/B8*C8</f>
        <v>15</v>
      </c>
      <c r="L6" s="6">
        <f>10/B10*C10</f>
        <v>10</v>
      </c>
      <c r="M6" s="6">
        <f>10/B12*C12</f>
        <v>10</v>
      </c>
      <c r="N6" s="6">
        <f>5/B14*C14</f>
        <v>5</v>
      </c>
      <c r="O6" s="6">
        <f>5/B16*C16</f>
        <v>5</v>
      </c>
    </row>
    <row r="7" spans="1:15" x14ac:dyDescent="0.35">
      <c r="A7" s="3" t="s">
        <v>73</v>
      </c>
      <c r="B7" s="3" t="s">
        <v>74</v>
      </c>
      <c r="C7" s="3" t="s">
        <v>75</v>
      </c>
      <c r="E7" s="3">
        <f>(100/B10)*C10</f>
        <v>100</v>
      </c>
      <c r="F7" s="5" t="s">
        <v>76</v>
      </c>
      <c r="G7" s="5"/>
      <c r="H7" s="5"/>
      <c r="I7" s="5">
        <f>I6+20</f>
        <v>30</v>
      </c>
      <c r="J7" s="5">
        <f>30/B6*C6</f>
        <v>30</v>
      </c>
      <c r="K7" s="5">
        <f>15/B8*C8</f>
        <v>15</v>
      </c>
      <c r="L7" s="5">
        <f>10/B10*C10</f>
        <v>10</v>
      </c>
      <c r="M7" s="5">
        <f>5/B12*C12</f>
        <v>5</v>
      </c>
      <c r="N7" s="5">
        <f>5/B14*C14</f>
        <v>5</v>
      </c>
      <c r="O7" s="5">
        <f>5/B16*C16</f>
        <v>5</v>
      </c>
    </row>
    <row r="8" spans="1:15" x14ac:dyDescent="0.35">
      <c r="B8" s="5">
        <f>C2</f>
        <v>4</v>
      </c>
      <c r="C8" s="5">
        <v>4</v>
      </c>
      <c r="E8" s="3">
        <f>(100/B12)*C12</f>
        <v>100</v>
      </c>
    </row>
    <row r="9" spans="1:15" x14ac:dyDescent="0.35">
      <c r="A9" s="3" t="s">
        <v>77</v>
      </c>
      <c r="B9" s="3" t="s">
        <v>74</v>
      </c>
      <c r="C9" s="3" t="s">
        <v>75</v>
      </c>
      <c r="E9" s="3">
        <f>(100/B14)*C14</f>
        <v>100</v>
      </c>
    </row>
    <row r="10" spans="1:15" x14ac:dyDescent="0.35">
      <c r="B10" s="5">
        <f>C2</f>
        <v>4</v>
      </c>
      <c r="C10" s="5">
        <v>4</v>
      </c>
      <c r="E10" s="3">
        <f>(100/B16)*C16</f>
        <v>100</v>
      </c>
    </row>
    <row r="11" spans="1:15" x14ac:dyDescent="0.35">
      <c r="A11" s="3" t="s">
        <v>58</v>
      </c>
      <c r="B11" s="3" t="s">
        <v>74</v>
      </c>
      <c r="C11" s="3" t="s">
        <v>75</v>
      </c>
    </row>
    <row r="12" spans="1:15" x14ac:dyDescent="0.35">
      <c r="B12" s="5">
        <f>C2</f>
        <v>4</v>
      </c>
      <c r="C12" s="5">
        <v>4</v>
      </c>
      <c r="F12" s="5"/>
      <c r="G12" s="5" t="s">
        <v>72</v>
      </c>
      <c r="H12" s="5" t="s">
        <v>78</v>
      </c>
      <c r="L12" s="3" t="s">
        <v>79</v>
      </c>
    </row>
    <row r="13" spans="1:15" ht="29" x14ac:dyDescent="0.35">
      <c r="A13" s="7" t="s">
        <v>71</v>
      </c>
      <c r="B13" s="3" t="s">
        <v>74</v>
      </c>
      <c r="C13" s="3" t="s">
        <v>75</v>
      </c>
      <c r="F13" s="5" t="s">
        <v>55</v>
      </c>
      <c r="G13" s="5">
        <f>I6</f>
        <v>10</v>
      </c>
      <c r="H13" s="5">
        <f>I7</f>
        <v>30</v>
      </c>
      <c r="L13" s="3" t="s">
        <v>79</v>
      </c>
    </row>
    <row r="14" spans="1:15" x14ac:dyDescent="0.35">
      <c r="B14" s="5">
        <f>C2</f>
        <v>4</v>
      </c>
      <c r="C14" s="5">
        <v>4</v>
      </c>
      <c r="F14" s="5" t="s">
        <v>56</v>
      </c>
      <c r="G14" s="5">
        <f>J6</f>
        <v>40</v>
      </c>
      <c r="H14" s="5">
        <f>J7</f>
        <v>30</v>
      </c>
    </row>
    <row r="15" spans="1:15" x14ac:dyDescent="0.35">
      <c r="A15" s="3" t="s">
        <v>59</v>
      </c>
      <c r="B15" s="3" t="s">
        <v>74</v>
      </c>
      <c r="C15" s="3" t="s">
        <v>75</v>
      </c>
      <c r="F15" s="5" t="s">
        <v>70</v>
      </c>
      <c r="G15" s="5">
        <f>K6</f>
        <v>15</v>
      </c>
      <c r="H15" s="5">
        <f>K7</f>
        <v>15</v>
      </c>
    </row>
    <row r="16" spans="1:15" x14ac:dyDescent="0.35">
      <c r="B16" s="5">
        <f>C2</f>
        <v>4</v>
      </c>
      <c r="C16" s="5">
        <v>4</v>
      </c>
      <c r="F16" s="5" t="s">
        <v>57</v>
      </c>
      <c r="G16" s="5">
        <f>L6</f>
        <v>10</v>
      </c>
      <c r="H16" s="5">
        <f>L7</f>
        <v>10</v>
      </c>
    </row>
    <row r="17" spans="5:8" x14ac:dyDescent="0.35">
      <c r="F17" s="5" t="s">
        <v>58</v>
      </c>
      <c r="G17" s="5">
        <f>M6</f>
        <v>10</v>
      </c>
      <c r="H17" s="5">
        <f>M7</f>
        <v>5</v>
      </c>
    </row>
    <row r="18" spans="5:8" ht="29" x14ac:dyDescent="0.35">
      <c r="F18" s="8" t="s">
        <v>71</v>
      </c>
      <c r="G18" s="5">
        <f>N6</f>
        <v>5</v>
      </c>
      <c r="H18" s="5">
        <f>N7</f>
        <v>5</v>
      </c>
    </row>
    <row r="19" spans="5:8" x14ac:dyDescent="0.35">
      <c r="F19" s="5" t="s">
        <v>59</v>
      </c>
      <c r="G19" s="5">
        <f>O6</f>
        <v>5</v>
      </c>
      <c r="H19" s="5">
        <f>O7</f>
        <v>5</v>
      </c>
    </row>
    <row r="20" spans="5:8" x14ac:dyDescent="0.35">
      <c r="F20" s="5" t="s">
        <v>80</v>
      </c>
      <c r="G20" s="5">
        <f>G13+G14+G15+G16+G17+G18+G19</f>
        <v>95</v>
      </c>
      <c r="H20" s="5">
        <f>H13+H14+H15+H16+H17+H18+H19</f>
        <v>100</v>
      </c>
    </row>
    <row r="21" spans="5:8" x14ac:dyDescent="0.35">
      <c r="E21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"/>
  <sheetViews>
    <sheetView workbookViewId="0">
      <selection activeCell="H25" sqref="H25"/>
    </sheetView>
  </sheetViews>
  <sheetFormatPr defaultRowHeight="14.5" x14ac:dyDescent="0.35"/>
  <cols>
    <col min="1" max="1" width="10.26953125" bestFit="1" customWidth="1"/>
  </cols>
  <sheetData>
    <row r="2" spans="1:2" x14ac:dyDescent="0.35">
      <c r="A2" s="13">
        <v>44239</v>
      </c>
      <c r="B2" t="s">
        <v>83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C%</vt:lpstr>
      <vt:lpstr>Note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Hp Elitebook 840 G6</cp:lastModifiedBy>
  <cp:lastPrinted>2025-09-09T07:41:22Z</cp:lastPrinted>
  <dcterms:created xsi:type="dcterms:W3CDTF">2013-11-23T05:32:33Z</dcterms:created>
  <dcterms:modified xsi:type="dcterms:W3CDTF">2025-09-09T07:42:54Z</dcterms:modified>
</cp:coreProperties>
</file>