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VSJCV\Making\AXIS\2025-26\Axis\APF Dump\Sept 2025\11-09-2025\"/>
    </mc:Choice>
  </mc:AlternateContent>
  <bookViews>
    <workbookView xWindow="0" yWindow="0" windowWidth="19200" windowHeight="6640"/>
  </bookViews>
  <sheets>
    <sheet name="Report" sheetId="1" r:id="rId1"/>
    <sheet name="Note" sheetId="4" r:id="rId2"/>
    <sheet name="valuation" sheetId="5" r:id="rId3"/>
    <sheet name="Flat detail" sheetId="3" r:id="rId4"/>
    <sheet name="Flat detail " sheetId="6" r:id="rId5"/>
  </sheets>
  <definedNames>
    <definedName name="_xlnm.Print_Area" localSheetId="0">Report!$A$1:$H$317</definedName>
  </definedNames>
  <calcPr calcId="162913"/>
</workbook>
</file>

<file path=xl/calcChain.xml><?xml version="1.0" encoding="utf-8"?>
<calcChain xmlns="http://schemas.openxmlformats.org/spreadsheetml/2006/main">
  <c r="E36" i="6" l="1"/>
  <c r="D36" i="6"/>
  <c r="L34" i="6"/>
  <c r="K34" i="6"/>
  <c r="I34" i="6"/>
  <c r="H34" i="6"/>
  <c r="E34" i="6"/>
  <c r="D34" i="6"/>
  <c r="L33" i="6"/>
  <c r="I33" i="6"/>
  <c r="E33" i="6"/>
  <c r="L32" i="6"/>
  <c r="I32" i="6"/>
  <c r="E32" i="6"/>
  <c r="L31" i="6"/>
  <c r="I31" i="6"/>
  <c r="E31" i="6"/>
  <c r="L30" i="6"/>
  <c r="I30" i="6"/>
  <c r="E30" i="6"/>
  <c r="L29" i="6"/>
  <c r="I29" i="6"/>
  <c r="E29" i="6"/>
  <c r="L28" i="6"/>
  <c r="I28" i="6"/>
  <c r="E28" i="6"/>
  <c r="L27" i="6"/>
  <c r="I27" i="6"/>
  <c r="E27" i="6"/>
  <c r="L26" i="6"/>
  <c r="I26" i="6"/>
  <c r="E26" i="6"/>
  <c r="L25" i="6"/>
  <c r="I25" i="6"/>
  <c r="E25" i="6"/>
  <c r="L24" i="6"/>
  <c r="I24" i="6"/>
  <c r="E24" i="6"/>
  <c r="L23" i="6"/>
  <c r="I23" i="6"/>
  <c r="E23" i="6"/>
  <c r="L22" i="6"/>
  <c r="I22" i="6"/>
  <c r="E22" i="6"/>
  <c r="L21" i="6"/>
  <c r="I21" i="6"/>
  <c r="E21" i="6"/>
  <c r="L20" i="6"/>
  <c r="I20" i="6"/>
  <c r="E20" i="6"/>
  <c r="L19" i="6"/>
  <c r="I19" i="6"/>
  <c r="E19" i="6"/>
  <c r="L18" i="6"/>
  <c r="I18" i="6"/>
  <c r="E18" i="6"/>
  <c r="L17" i="6"/>
  <c r="I17" i="6"/>
  <c r="E17" i="6"/>
  <c r="L16" i="6"/>
  <c r="I16" i="6"/>
  <c r="E16" i="6"/>
  <c r="L15" i="6"/>
  <c r="I15" i="6"/>
  <c r="E15" i="6"/>
  <c r="L14" i="6"/>
  <c r="I14" i="6"/>
  <c r="E14" i="6"/>
  <c r="L13" i="6"/>
  <c r="I13" i="6"/>
  <c r="E13" i="6"/>
  <c r="L12" i="6"/>
  <c r="I12" i="6"/>
  <c r="E12" i="6"/>
  <c r="L11" i="6"/>
  <c r="I11" i="6"/>
  <c r="E11" i="6"/>
  <c r="L10" i="6"/>
  <c r="I10" i="6"/>
  <c r="E10" i="6"/>
  <c r="L9" i="6"/>
  <c r="I9" i="6"/>
  <c r="E9" i="6"/>
  <c r="L8" i="6"/>
  <c r="I8" i="6"/>
  <c r="E8" i="6"/>
  <c r="L7" i="6"/>
  <c r="I7" i="6"/>
  <c r="E7" i="6"/>
  <c r="L6" i="6"/>
  <c r="I6" i="6"/>
  <c r="E6" i="6"/>
  <c r="E36" i="3"/>
  <c r="D36" i="3"/>
  <c r="L34" i="3"/>
  <c r="K34" i="3"/>
  <c r="I34" i="3"/>
  <c r="H34" i="3"/>
  <c r="E34" i="3"/>
  <c r="D34" i="3"/>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G9" i="5"/>
  <c r="G8" i="5"/>
  <c r="G7" i="5"/>
  <c r="F7" i="5"/>
  <c r="G6" i="5"/>
  <c r="G5" i="5"/>
  <c r="D242" i="1"/>
  <c r="D227" i="1"/>
  <c r="D226" i="1"/>
  <c r="D225" i="1"/>
  <c r="G224" i="1"/>
  <c r="F224" i="1"/>
  <c r="D224" i="1"/>
  <c r="E222" i="1"/>
  <c r="D222" i="1"/>
  <c r="E221" i="1"/>
  <c r="D221" i="1"/>
  <c r="E220" i="1"/>
  <c r="D220" i="1"/>
  <c r="G219" i="1"/>
  <c r="E219" i="1"/>
  <c r="D219" i="1"/>
  <c r="D217" i="1"/>
  <c r="G216" i="1"/>
  <c r="D216" i="1"/>
  <c r="D213" i="1"/>
  <c r="D212" i="1"/>
  <c r="D211" i="1"/>
  <c r="G210" i="1"/>
  <c r="D210" i="1"/>
  <c r="E208" i="1"/>
  <c r="D208" i="1"/>
  <c r="E207" i="1"/>
  <c r="D207" i="1"/>
  <c r="E206" i="1"/>
  <c r="D206" i="1"/>
  <c r="G205" i="1"/>
  <c r="E205" i="1"/>
  <c r="D205" i="1"/>
  <c r="D201" i="1"/>
  <c r="D200" i="1"/>
  <c r="D199" i="1"/>
  <c r="G198" i="1"/>
  <c r="D198" i="1"/>
  <c r="E196" i="1"/>
  <c r="D196" i="1"/>
  <c r="E195" i="1"/>
  <c r="D195" i="1"/>
  <c r="E194" i="1"/>
  <c r="D194" i="1"/>
  <c r="G193" i="1"/>
  <c r="E193" i="1"/>
  <c r="D193" i="1"/>
  <c r="D191" i="1"/>
  <c r="G190" i="1"/>
  <c r="F190" i="1"/>
  <c r="D190" i="1"/>
  <c r="D186" i="1"/>
  <c r="D185" i="1"/>
  <c r="D184" i="1"/>
  <c r="G183" i="1"/>
  <c r="D183" i="1"/>
  <c r="D181" i="1"/>
  <c r="G180" i="1"/>
  <c r="F180" i="1"/>
  <c r="D180" i="1"/>
  <c r="D177" i="1"/>
  <c r="D176" i="1"/>
  <c r="D175" i="1"/>
  <c r="G174" i="1"/>
  <c r="D174" i="1"/>
  <c r="G172" i="1"/>
  <c r="D172" i="1"/>
  <c r="G171" i="1"/>
  <c r="F171" i="1"/>
  <c r="D171" i="1"/>
  <c r="D167" i="1"/>
  <c r="F166" i="1"/>
  <c r="D166" i="1"/>
  <c r="F165" i="1"/>
  <c r="D165" i="1"/>
  <c r="G164" i="1"/>
  <c r="F164" i="1"/>
  <c r="D164" i="1"/>
  <c r="D162" i="1"/>
  <c r="G161" i="1"/>
  <c r="F161" i="1"/>
  <c r="D161" i="1"/>
  <c r="F158" i="1"/>
  <c r="D158" i="1"/>
  <c r="F157" i="1"/>
  <c r="D157" i="1"/>
  <c r="D156" i="1"/>
  <c r="I155" i="1"/>
  <c r="G155" i="1"/>
  <c r="F155" i="1"/>
  <c r="D155" i="1"/>
  <c r="D153" i="1"/>
  <c r="J152" i="1"/>
  <c r="G152" i="1"/>
  <c r="D152" i="1"/>
  <c r="F145" i="1"/>
  <c r="D145" i="1"/>
  <c r="C145" i="1"/>
  <c r="F144" i="1"/>
  <c r="D144" i="1"/>
  <c r="C144" i="1"/>
  <c r="F143" i="1"/>
  <c r="D143" i="1"/>
  <c r="C143" i="1"/>
  <c r="F142" i="1"/>
  <c r="D142" i="1"/>
  <c r="C142" i="1"/>
  <c r="F141" i="1"/>
  <c r="D141" i="1"/>
  <c r="C141" i="1"/>
  <c r="F140" i="1"/>
  <c r="D140" i="1"/>
  <c r="C140" i="1"/>
  <c r="F139" i="1"/>
  <c r="D139" i="1"/>
  <c r="C139" i="1"/>
  <c r="F138" i="1"/>
  <c r="D138" i="1"/>
  <c r="C138" i="1"/>
  <c r="F132" i="1"/>
  <c r="J112" i="1"/>
  <c r="J111" i="1"/>
  <c r="J110" i="1"/>
  <c r="J109" i="1"/>
  <c r="J98" i="1"/>
  <c r="J97" i="1"/>
  <c r="J96" i="1"/>
  <c r="J95" i="1"/>
  <c r="J84" i="1"/>
  <c r="J83" i="1"/>
  <c r="J82" i="1"/>
  <c r="J81" i="1"/>
  <c r="J70" i="1"/>
  <c r="J69" i="1"/>
  <c r="J68" i="1"/>
  <c r="J67" i="1"/>
  <c r="D51" i="1"/>
  <c r="G47" i="1"/>
  <c r="C47" i="1"/>
  <c r="G46" i="1"/>
  <c r="C46" i="1"/>
  <c r="E41" i="1"/>
  <c r="E40" i="1"/>
  <c r="C13" i="1"/>
  <c r="E7" i="1"/>
  <c r="E3" i="1"/>
  <c r="H60" i="1"/>
  <c r="H102" i="1"/>
  <c r="H88" i="1"/>
  <c r="H74" i="1"/>
  <c r="D97" i="1" l="1"/>
  <c r="D93" i="1"/>
  <c r="J92" i="1"/>
  <c r="C91" i="1" s="1"/>
  <c r="D91" i="1" s="1"/>
  <c r="J90" i="1"/>
  <c r="D100" i="1"/>
  <c r="D96" i="1"/>
  <c r="D99" i="1"/>
  <c r="D95" i="1"/>
  <c r="J91" i="1"/>
  <c r="D98" i="1"/>
  <c r="D94" i="1"/>
  <c r="J93" i="1"/>
  <c r="J94" i="1" s="1"/>
  <c r="J99" i="1" s="1"/>
  <c r="J100" i="1" s="1"/>
  <c r="C92" i="1" s="1"/>
  <c r="J64" i="1"/>
  <c r="C63" i="1" s="1"/>
  <c r="D63" i="1" s="1"/>
  <c r="J62" i="1"/>
  <c r="D72" i="1"/>
  <c r="D71" i="1"/>
  <c r="J63" i="1"/>
  <c r="D68" i="1"/>
  <c r="D67" i="1"/>
  <c r="D69" i="1"/>
  <c r="D65" i="1"/>
  <c r="D66" i="1"/>
  <c r="D70" i="1"/>
  <c r="J65" i="1"/>
  <c r="J66" i="1" s="1"/>
  <c r="J71" i="1" s="1"/>
  <c r="J72" i="1" s="1"/>
  <c r="C64" i="1" s="1"/>
  <c r="D85" i="1"/>
  <c r="D81" i="1"/>
  <c r="J77" i="1"/>
  <c r="D86" i="1"/>
  <c r="J79" i="1"/>
  <c r="J80" i="1" s="1"/>
  <c r="J85" i="1" s="1"/>
  <c r="J86" i="1" s="1"/>
  <c r="C78" i="1" s="1"/>
  <c r="D82" i="1"/>
  <c r="D84" i="1"/>
  <c r="D80" i="1"/>
  <c r="D83" i="1"/>
  <c r="D79" i="1"/>
  <c r="J76" i="1"/>
  <c r="J78" i="1"/>
  <c r="C77" i="1" s="1"/>
  <c r="D77" i="1" s="1"/>
  <c r="D113" i="1"/>
  <c r="D109" i="1"/>
  <c r="J105" i="1"/>
  <c r="D110" i="1"/>
  <c r="D112" i="1"/>
  <c r="D108" i="1"/>
  <c r="J107" i="1"/>
  <c r="J108" i="1" s="1"/>
  <c r="J113" i="1" s="1"/>
  <c r="J114" i="1" s="1"/>
  <c r="C106" i="1" s="1"/>
  <c r="D111" i="1"/>
  <c r="D107" i="1"/>
  <c r="J106" i="1"/>
  <c r="C105" i="1" s="1"/>
  <c r="D105" i="1" s="1"/>
  <c r="J104" i="1"/>
  <c r="D114" i="1"/>
  <c r="E91" i="1" l="1"/>
  <c r="I87" i="1" s="1"/>
  <c r="C89" i="1" s="1"/>
  <c r="D92" i="1"/>
  <c r="E77" i="1"/>
  <c r="I73" i="1" s="1"/>
  <c r="D78" i="1"/>
  <c r="E105" i="1"/>
  <c r="I101" i="1" s="1"/>
  <c r="C103" i="1" s="1"/>
  <c r="D106" i="1"/>
  <c r="E63" i="1"/>
  <c r="I59" i="1" s="1"/>
  <c r="C61" i="1" s="1"/>
  <c r="D64" i="1"/>
  <c r="G63" i="1"/>
  <c r="G91" i="1"/>
  <c r="G105" i="1"/>
  <c r="G77" i="1"/>
</calcChain>
</file>

<file path=xl/sharedStrings.xml><?xml version="1.0" encoding="utf-8"?>
<sst xmlns="http://schemas.openxmlformats.org/spreadsheetml/2006/main" count="566" uniqueCount="285">
  <si>
    <t>Office No. 1031, Wing J, Akshar Business Park, Plot No. 03 Sector 25, Near APMC Market,
Vashi, Navi Mumbai, Maharashtra 400703 TEL: 022-46090378/79/80                                                                                             E mail : vsjcapf@gmail.com. Web site : www.vsjadon.com</t>
  </si>
  <si>
    <t xml:space="preserve">Valuation Report </t>
  </si>
  <si>
    <t>Date:</t>
  </si>
  <si>
    <t>CPC Name:</t>
  </si>
  <si>
    <t>Axis Sanpada</t>
  </si>
  <si>
    <t>Date Of Property Visit</t>
  </si>
  <si>
    <t>Name of the builder group</t>
  </si>
  <si>
    <t>M/s. Ev Homes Constructions Pvt Ltd</t>
  </si>
  <si>
    <t>Name of the builder company</t>
  </si>
  <si>
    <t>Name of the Project</t>
  </si>
  <si>
    <t>EV Heart City</t>
  </si>
  <si>
    <t>Contact Details ( Name &amp; Contact No.)</t>
  </si>
  <si>
    <t>9820909893/9820909839</t>
  </si>
  <si>
    <t>Name / No of the Building</t>
  </si>
  <si>
    <t>Building No.1 (A &amp; B Wing)
Building No.2 (A &amp; B Wing)
Building No.3 (A, B &amp; CWing)</t>
  </si>
  <si>
    <t>Docouments Provided</t>
  </si>
  <si>
    <t>Approved Plans, CC, Sale Plans, Builder Saleable Area, Cost Sheet</t>
  </si>
  <si>
    <t>RERA No.</t>
  </si>
  <si>
    <t>P52000024134</t>
  </si>
  <si>
    <t xml:space="preserve">Project location details       </t>
  </si>
  <si>
    <t>Survey No</t>
  </si>
  <si>
    <t>53 &amp; 54/1C</t>
  </si>
  <si>
    <t>Road</t>
  </si>
  <si>
    <t>Internal Road</t>
  </si>
  <si>
    <t>Village</t>
  </si>
  <si>
    <t>Mosare</t>
  </si>
  <si>
    <t>City</t>
  </si>
  <si>
    <t>Panvel East</t>
  </si>
  <si>
    <t>District</t>
  </si>
  <si>
    <t>Raigad</t>
  </si>
  <si>
    <t>Taluka</t>
  </si>
  <si>
    <t>Panvel</t>
  </si>
  <si>
    <t>Pin Code</t>
  </si>
  <si>
    <t>Near by Landmark</t>
  </si>
  <si>
    <t>Tejap Gaikwad Farm</t>
  </si>
  <si>
    <t xml:space="preserve">Distance from city centre: </t>
  </si>
  <si>
    <t>8.7Km from Bamandongri Railway Station</t>
  </si>
  <si>
    <t>Accessibility to the Project from the City: (Proximity to civic amenities like school, hospital, market, etc.)</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</si>
  <si>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</si>
  <si>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</si>
  <si>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</si>
  <si>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</si>
  <si>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</si>
  <si>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</si>
  <si>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</si>
  <si>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</si>
  <si>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</si>
  <si>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</si>
  <si>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</si>
  <si>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Type of Structure</t>
  </si>
  <si>
    <t>RCC Frame Structure</t>
  </si>
  <si>
    <t xml:space="preserve">Approved usage of the Property:                                                                                                                                             </t>
  </si>
  <si>
    <t xml:space="preserve">Residential </t>
  </si>
  <si>
    <t>Restrictive Covenants in regard to Land Use</t>
  </si>
  <si>
    <t>No</t>
  </si>
  <si>
    <t>Boundries</t>
  </si>
  <si>
    <t>As per deed</t>
  </si>
  <si>
    <t>At site</t>
  </si>
  <si>
    <t>East</t>
  </si>
  <si>
    <t>NA</t>
  </si>
  <si>
    <t>West</t>
  </si>
  <si>
    <t>House</t>
  </si>
  <si>
    <t>North</t>
  </si>
  <si>
    <t>South</t>
  </si>
  <si>
    <t>Open Plot</t>
  </si>
  <si>
    <t>Does the boundaries at site match, as mentioned in the Docoumentation: NA</t>
  </si>
  <si>
    <t>Latitude, Longitude</t>
  </si>
  <si>
    <t>18.954449,73.076107</t>
  </si>
  <si>
    <t>Location Link</t>
  </si>
  <si>
    <t>https://goo.gl/maps/bef9VZa9AwWXHmiA6</t>
  </si>
  <si>
    <t>Area Statement Details :</t>
  </si>
  <si>
    <t>Total land area of the project in Sq. Mt.</t>
  </si>
  <si>
    <t>Permissible FSI</t>
  </si>
  <si>
    <t>Permissible TDR/Paid FSI</t>
  </si>
  <si>
    <t>Total FSI availaible for the project</t>
  </si>
  <si>
    <t>Total Approved Builtup area of the project (Sq.Mt)</t>
  </si>
  <si>
    <t>Total number of Buildings</t>
  </si>
  <si>
    <t>03 Buildings (07Wings)</t>
  </si>
  <si>
    <t xml:space="preserve">Approval Detail : Plan approval </t>
  </si>
  <si>
    <t xml:space="preserve">Layout Approval No     </t>
  </si>
  <si>
    <t>CIDCO/NAINA/PANVEL//Mosare/BP-00504/CC/2019/0021</t>
  </si>
  <si>
    <t>Dated</t>
  </si>
  <si>
    <t>06/01/2020.</t>
  </si>
  <si>
    <t xml:space="preserve">Approved Floor plan No.  </t>
  </si>
  <si>
    <t>Commencement Certificate No.</t>
  </si>
  <si>
    <t>Valid Up to: 
Building No.1 (A &amp; B Wing) = Gr. + 1st to 4th Floor
Building No.2 (A &amp; B Wing) = Gr. + 1st to 4th Floor
Building No.3 (A, B &amp; CWing) = Gr. + 1st to 4th Floor</t>
  </si>
  <si>
    <t xml:space="preserve">O. Certificate No.: </t>
  </si>
  <si>
    <t>NA
Approved upto : NA</t>
  </si>
  <si>
    <t xml:space="preserve">Date of approval: </t>
  </si>
  <si>
    <t>Building wise Construction details</t>
  </si>
  <si>
    <t>Approved area of building (Sq.Mt)</t>
  </si>
  <si>
    <t>Approved no of units</t>
  </si>
  <si>
    <t>Flats - 124</t>
  </si>
  <si>
    <t>Approved no of Floors</t>
  </si>
  <si>
    <t>Building No.1 (A &amp; B Wing) = Gr. + 1st to 4th Floor
Building No.2 (A &amp; B Wing) = Gr. + 1st to 4th Floor
Building No.3 (A, B &amp; C Wing) = Gr. + 1st to 4th Floor</t>
  </si>
  <si>
    <t>Proposed no of Floors</t>
  </si>
  <si>
    <t>Expected Completion</t>
  </si>
  <si>
    <t>As per RERA - 30/12/2024</t>
  </si>
  <si>
    <t>Projected life of the structure</t>
  </si>
  <si>
    <t>60 Years After Completion</t>
  </si>
  <si>
    <t xml:space="preserve">Quality of construction: </t>
  </si>
  <si>
    <t xml:space="preserve">Material laying at Site: </t>
  </si>
  <si>
    <t xml:space="preserve">Cement, Aggregate, Steel, etc </t>
  </si>
  <si>
    <t>Construction details:</t>
  </si>
  <si>
    <t xml:space="preserve">Building No.1 (A &amp; B Wing) = Gr. + 1st to 4th Floor
</t>
  </si>
  <si>
    <t>Basement</t>
  </si>
  <si>
    <t>Ground</t>
  </si>
  <si>
    <t>Podium</t>
  </si>
  <si>
    <t>Floors</t>
  </si>
  <si>
    <t xml:space="preserve">Stage of construction: </t>
  </si>
  <si>
    <t>All work Completed. OC Received.</t>
  </si>
  <si>
    <t>Type of Work</t>
  </si>
  <si>
    <t>Slab/Floor</t>
  </si>
  <si>
    <t>Complition %</t>
  </si>
  <si>
    <t>Progress %</t>
  </si>
  <si>
    <t>Disbursement %</t>
  </si>
  <si>
    <t>Piling Work in process</t>
  </si>
  <si>
    <t>Excavation</t>
  </si>
  <si>
    <t>Excavation in process</t>
  </si>
  <si>
    <t>Plinth</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</si>
  <si>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</si>
  <si>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</si>
  <si>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</si>
  <si>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</si>
  <si>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</si>
  <si>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</si>
  <si>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</si>
  <si>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</si>
  <si>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</si>
  <si>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</si>
  <si>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</si>
  <si>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</si>
  <si>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</si>
  <si>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</si>
  <si>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</si>
  <si>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</si>
  <si>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</si>
  <si>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</si>
  <si>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</si>
  <si>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 xml:space="preserve">Building No.2 (A &amp; B Wing) = Gr. + 1st to 4th Floor
</t>
  </si>
  <si>
    <t>Excavation work Completed. Plinth work completed, RCC upto part 1st Slab completed.</t>
  </si>
  <si>
    <t>Building No.3 (A Wing) = Gr. + 1st to 4th Floor</t>
  </si>
  <si>
    <t>Building No.3 (B &amp; C Wing) = Gr. + 1st to 4th Floor</t>
  </si>
  <si>
    <t>Wheather the construction is as per approved Building plan : Under Construction</t>
  </si>
  <si>
    <t>Violations Observed if any : NA</t>
  </si>
  <si>
    <r>
      <rPr>
        <b/>
        <sz val="12"/>
        <rFont val="Times New Roman"/>
        <family val="1"/>
      </rP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</si>
  <si>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</si>
  <si>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Rates of the Property :</t>
  </si>
  <si>
    <t>Recommended rate of the flat Per Sq. Ft. ( on Saleable area)</t>
  </si>
  <si>
    <t>Recommended rate of the shop Per Sq. Ft. ( on Saleable area)</t>
  </si>
  <si>
    <t>Recommended rate of the Office Per Sq. Ft. ( on Saleable area)</t>
  </si>
  <si>
    <t>Floor Rise Rate Per Sq.ft</t>
  </si>
  <si>
    <t>Development Charges</t>
  </si>
  <si>
    <t>MSEDCL Charges</t>
  </si>
  <si>
    <t>Documentation Charges</t>
  </si>
  <si>
    <t>Legal Services Charges</t>
  </si>
  <si>
    <t>Gas Connection Charges</t>
  </si>
  <si>
    <t>Water, Electricity, Drainages, Sewerage Connection</t>
  </si>
  <si>
    <t>Society Formation Charges</t>
  </si>
  <si>
    <t>Advance Maintenance Charges</t>
  </si>
  <si>
    <t xml:space="preserve">Recommended rate of Parking </t>
  </si>
  <si>
    <t>100000/-</t>
  </si>
  <si>
    <t>Distressed valuation of the Property</t>
  </si>
  <si>
    <t>Commercial Area Details :</t>
  </si>
  <si>
    <t>Building &amp; Wing</t>
  </si>
  <si>
    <t>No. of Units</t>
  </si>
  <si>
    <t>Total Carpet Area</t>
  </si>
  <si>
    <t>Total Saleable Area</t>
  </si>
  <si>
    <t>Residential Area Details :</t>
  </si>
  <si>
    <t>Building No.1(A Wing)</t>
  </si>
  <si>
    <t>Building No.1(B Wing)</t>
  </si>
  <si>
    <t>Building No.2(A Wing)</t>
  </si>
  <si>
    <t>Building No.2(B Wing)</t>
  </si>
  <si>
    <t>Building No.3(A Wing)</t>
  </si>
  <si>
    <t>Building No.3(B Wing)</t>
  </si>
  <si>
    <t>Building No.3(C Wing)</t>
  </si>
  <si>
    <t>Total</t>
  </si>
  <si>
    <t>Building details Floor Wise</t>
  </si>
  <si>
    <t xml:space="preserve">Details of Flats in Building   </t>
  </si>
  <si>
    <t>Flat/Shop No.</t>
  </si>
  <si>
    <t>Description</t>
  </si>
  <si>
    <t>Gross Carpet area</t>
  </si>
  <si>
    <t>Attached Terrace area</t>
  </si>
  <si>
    <t>Builder Saleable area</t>
  </si>
  <si>
    <t>Floor</t>
  </si>
  <si>
    <t>Building No.1</t>
  </si>
  <si>
    <t>A Wing</t>
  </si>
  <si>
    <t>Ground Floor for Residential &amp; Parking</t>
  </si>
  <si>
    <t>1BHK</t>
  </si>
  <si>
    <t>1st to 4th Floor for Residential</t>
  </si>
  <si>
    <t>101,…,401</t>
  </si>
  <si>
    <t>102,…,402</t>
  </si>
  <si>
    <t>103,…,403</t>
  </si>
  <si>
    <t>104,…,404</t>
  </si>
  <si>
    <t xml:space="preserve"> B Wing</t>
  </si>
  <si>
    <t>105,…,405</t>
  </si>
  <si>
    <t>106,…,406</t>
  </si>
  <si>
    <t>107,…,407</t>
  </si>
  <si>
    <t>108,…,408</t>
  </si>
  <si>
    <t>1RK</t>
  </si>
  <si>
    <t>Building No.2</t>
  </si>
  <si>
    <t>A  Wing</t>
  </si>
  <si>
    <t>Building No.3</t>
  </si>
  <si>
    <t>1st &amp; 3rd Floor for Residential</t>
  </si>
  <si>
    <t>101 &amp; 301</t>
  </si>
  <si>
    <t>102 &amp; 302</t>
  </si>
  <si>
    <t>103 &amp; 303</t>
  </si>
  <si>
    <t>104 &amp; 304</t>
  </si>
  <si>
    <t>2nd &amp; 4th Floor</t>
  </si>
  <si>
    <t>201 &amp; 401</t>
  </si>
  <si>
    <t>202 &amp; 402</t>
  </si>
  <si>
    <t>203 &amp; 403</t>
  </si>
  <si>
    <t>204 &amp; 404</t>
  </si>
  <si>
    <t>B Wing</t>
  </si>
  <si>
    <t>Ground Floor for Parking</t>
  </si>
  <si>
    <t xml:space="preserve">1st &amp; 3rd Floor for Residential </t>
  </si>
  <si>
    <t>105 &amp; 305</t>
  </si>
  <si>
    <t>106 &amp; 306</t>
  </si>
  <si>
    <t>107 &amp; 307</t>
  </si>
  <si>
    <t>108 &amp; 308</t>
  </si>
  <si>
    <t xml:space="preserve">2nd &amp; 4th Floor </t>
  </si>
  <si>
    <t>205 &amp; 405</t>
  </si>
  <si>
    <t>206 &amp; 406</t>
  </si>
  <si>
    <t>207 &amp; 407</t>
  </si>
  <si>
    <t>208 &amp; 408</t>
  </si>
  <si>
    <t>C Wing</t>
  </si>
  <si>
    <t>109 &amp; 309</t>
  </si>
  <si>
    <t>110 &amp; 310</t>
  </si>
  <si>
    <t>111 &amp; 311</t>
  </si>
  <si>
    <t>112 &amp; 312</t>
  </si>
  <si>
    <t>209 &amp; 409</t>
  </si>
  <si>
    <t>210 &amp; 410</t>
  </si>
  <si>
    <t>211 &amp; 411</t>
  </si>
  <si>
    <t>212 &amp; 412</t>
  </si>
  <si>
    <t xml:space="preserve">Remarks:  </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</si>
  <si>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</si>
  <si>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</si>
  <si>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</si>
  <si>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</si>
  <si>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</si>
  <si>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</si>
  <si>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</si>
  <si>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Inspected By :</t>
  </si>
  <si>
    <t>Ravindra vishwakarma</t>
  </si>
  <si>
    <t>Report By :</t>
  </si>
  <si>
    <t>Authorized Signatory
Name &amp; Seal of the agency</t>
  </si>
  <si>
    <t xml:space="preserve">PHOTOGRAPHS OF PROPERTY : 
</t>
  </si>
  <si>
    <t>Google Map :</t>
  </si>
  <si>
    <t>Market Research Data</t>
  </si>
  <si>
    <t>Source</t>
  </si>
  <si>
    <t>Distance from proposed property</t>
  </si>
  <si>
    <t>Flat</t>
  </si>
  <si>
    <t>Net Carpet</t>
  </si>
  <si>
    <t>Saleable Area</t>
  </si>
  <si>
    <t>Rate on Saleable</t>
  </si>
  <si>
    <t>Market Value</t>
  </si>
  <si>
    <t>roofandfloor</t>
  </si>
  <si>
    <t>dwello</t>
  </si>
  <si>
    <t>proptiger</t>
  </si>
  <si>
    <t>Average</t>
  </si>
  <si>
    <t xml:space="preserve">Valuation Adopted </t>
  </si>
  <si>
    <t xml:space="preserve">Floor No </t>
  </si>
  <si>
    <t>Discription</t>
  </si>
  <si>
    <t>Carpet</t>
  </si>
  <si>
    <t>Fungible</t>
  </si>
  <si>
    <t>Terrace</t>
  </si>
  <si>
    <t>L</t>
  </si>
  <si>
    <t>W</t>
  </si>
  <si>
    <t>A</t>
  </si>
  <si>
    <t>Hall</t>
  </si>
  <si>
    <t>CB</t>
  </si>
  <si>
    <t>FB</t>
  </si>
  <si>
    <t>kitch</t>
  </si>
  <si>
    <t>Bed1</t>
  </si>
  <si>
    <t>Bed2</t>
  </si>
  <si>
    <t>toilet1</t>
  </si>
  <si>
    <t>DB</t>
  </si>
  <si>
    <t>toilet2</t>
  </si>
  <si>
    <t>toilet3</t>
  </si>
  <si>
    <t>passage1</t>
  </si>
  <si>
    <t>passage2</t>
  </si>
  <si>
    <t>passage3</t>
  </si>
  <si>
    <t>passage4</t>
  </si>
  <si>
    <r>
      <t xml:space="preserve">1. Finishing work is in process at the time of Visit.
2. We considered  Saleable area  as per Builder area sheet.
3. We considered Carpet area as per Approved Plan.
4. We considered Gross carpet area = Net carpet + Enclose balcony + C.B Area.
5. We have considered rate by verifying it from market inquire.
6. Car parking is subjected to authentic documentation.
7. The project has received first CC on 06/01/2020, But construction work is not yet completed.
</t>
    </r>
    <r>
      <rPr>
        <b/>
        <sz val="12"/>
        <color rgb="FFFF0000"/>
        <rFont val="Times New Roman"/>
        <family val="1"/>
      </rPr>
      <t xml:space="preserve">
8. As per RERA, completion period of project is expired on 30/12/2024 but still project is under construction.
</t>
    </r>
    <r>
      <rPr>
        <b/>
        <sz val="12"/>
        <rFont val="Times New Roman"/>
        <family val="1"/>
      </rPr>
      <t xml:space="preserve">
7. On Site, we meet Mr. Pramod  - 8356800627.
</t>
    </r>
  </si>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</sst>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 #,##0_);_(* \(#,##0\);_(* &quot;-&quot;??_);_(@_)"/>
    <numFmt numFmtId="166" formatCode="0.0"/>
    <numFmt numFmtId="167" formatCode="0_ "/>
    <numFmt numFmtId="168" formatCode="0.0_ "/>
  </numFmts>
  <fonts count="21">
    <font>
      <sz val="11"/>
      <color rgb="FF000000"/>
      <name val="Calibri"/>
      <charset val="134"/>
    </font>
    <font>
      <b/>
      <sz val="11"/>
      <color theme="1"/>
      <name val="Calibri"/>
      <family val="2"/>
      <scheme val="minor"/>
    </font>
    <font>
      <sz val="11"/>
      <color indexed="8"/>
      <name val="Calibri"/>
      <family val="2"/>
    </font>
    <font>
      <sz val="11"/>
      <color theme="1"/>
      <name val="Calibri"/>
      <family val="2"/>
      <scheme val="minor"/>
    </font>
    <font>
      <sz val="11"/>
      <color rgb="FFFF0000"/>
      <name val="Calibri"/>
      <family val="2"/>
      <scheme val="minor"/>
    </font>
    <font>
      <sz val="11"/>
      <color rgb="FFFF0000"/>
      <name val="Calibri"/>
      <family val="2"/>
    </font>
    <font>
      <sz val="12"/>
      <color rgb="FFFF0000"/>
      <name val="Times New Roman"/>
      <family val="1"/>
    </font>
    <font>
      <sz val="12"/>
      <name val="Times New Roman"/>
      <family val="1"/>
    </font>
    <font>
      <sz val="11"/>
      <color theme="1"/>
      <name val="Times New Roman"/>
      <family val="1"/>
    </font>
    <font>
      <sz val="12"/>
      <color indexed="8"/>
      <name val="Times New Roman"/>
      <family val="1"/>
    </font>
    <font>
      <sz val="12"/>
      <color theme="1"/>
      <name val="Times New Roman"/>
      <family val="1"/>
    </font>
    <font>
      <b/>
      <sz val="11.5"/>
      <color indexed="8"/>
      <name val="Times New Roman"/>
      <family val="1"/>
    </font>
    <font>
      <b/>
      <sz val="12"/>
      <color indexed="8"/>
      <name val="Times New Roman"/>
      <family val="1"/>
    </font>
    <font>
      <b/>
      <sz val="12"/>
      <name val="Times New Roman"/>
      <family val="1"/>
    </font>
    <font>
      <u/>
      <sz val="11"/>
      <color theme="10"/>
      <name val="Calibri"/>
      <family val="2"/>
    </font>
    <font>
      <sz val="11"/>
      <color rgb="FF000000"/>
      <name val="Times New Roman"/>
      <family val="1"/>
    </font>
    <font>
      <b/>
      <sz val="12"/>
      <color theme="1"/>
      <name val="Times New Roman"/>
      <family val="1"/>
    </font>
    <font>
      <b/>
      <sz val="11"/>
      <color indexed="8"/>
      <name val="Times New Roman"/>
      <family val="1"/>
    </font>
    <font>
      <sz val="11"/>
      <name val="Times New Roman"/>
      <family val="1"/>
    </font>
    <font>
      <sz val="10"/>
      <name val="Arial"/>
      <family val="2"/>
    </font>
    <font>
      <b/>
      <sz val="12"/>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thin">
        <color auto="1"/>
      </left>
      <right/>
      <top/>
      <bottom/>
      <diagonal/>
    </border>
    <border>
      <left/>
      <right style="thin">
        <color auto="1"/>
      </right>
      <top/>
      <bottom/>
      <diagonal/>
    </border>
    <border>
      <left/>
      <right style="medium">
        <color auto="1"/>
      </right>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right/>
      <top/>
      <bottom style="medium">
        <color auto="1"/>
      </bottom>
      <diagonal/>
    </border>
    <border>
      <left style="thin">
        <color auto="1"/>
      </left>
      <right/>
      <top/>
      <bottom style="thin">
        <color auto="1"/>
      </bottom>
      <diagonal/>
    </border>
    <border>
      <left/>
      <right style="thin">
        <color auto="1"/>
      </right>
      <top/>
      <bottom style="thin">
        <color auto="1"/>
      </bottom>
      <diagonal/>
    </border>
  </borders>
  <cellStyleXfs count="9">
    <xf numFmtId="0" fontId="0" fillId="0" borderId="0"/>
    <xf numFmtId="0" fontId="14" fillId="0" borderId="0" applyNumberFormat="0" applyFill="0" applyBorder="0" applyAlignment="0" applyProtection="0"/>
    <xf numFmtId="164" fontId="2" fillId="0" borderId="0" applyFont="0" applyFill="0" applyBorder="0" applyAlignment="0" applyProtection="0"/>
    <xf numFmtId="0" fontId="2" fillId="0" borderId="0"/>
    <xf numFmtId="0" fontId="2" fillId="0" borderId="0"/>
    <xf numFmtId="0" fontId="3" fillId="0" borderId="0"/>
    <xf numFmtId="0" fontId="3" fillId="0" borderId="0"/>
    <xf numFmtId="0" fontId="19" fillId="0" borderId="0"/>
    <xf numFmtId="0" fontId="3" fillId="0" borderId="0"/>
  </cellStyleXfs>
  <cellXfs count="156">
    <xf numFmtId="0" fontId="0" fillId="0" borderId="0" xfId="0"/>
    <xf numFmtId="0" fontId="0" fillId="2" borderId="1" xfId="0" applyFill="1" applyBorder="1"/>
    <xf numFmtId="0" fontId="0" fillId="0" borderId="2" xfId="0" applyBorder="1"/>
    <xf numFmtId="0" fontId="1" fillId="0" borderId="1" xfId="0" applyFont="1" applyBorder="1"/>
    <xf numFmtId="0" fontId="1" fillId="0" borderId="1" xfId="0" applyFont="1" applyBorder="1" applyAlignment="1">
      <alignment horizontal="center"/>
    </xf>
    <xf numFmtId="0" fontId="0" fillId="0" borderId="1" xfId="0" applyBorder="1"/>
    <xf numFmtId="0" fontId="2" fillId="0" borderId="0" xfId="4"/>
    <xf numFmtId="0" fontId="3" fillId="0" borderId="0" xfId="8"/>
    <xf numFmtId="0" fontId="1" fillId="0" borderId="1" xfId="8" applyFont="1" applyBorder="1" applyAlignment="1">
      <alignment horizontal="center" vertical="top" wrapText="1"/>
    </xf>
    <xf numFmtId="0" fontId="3" fillId="0" borderId="1" xfId="8" applyBorder="1" applyAlignment="1">
      <alignment horizontal="center" vertical="center"/>
    </xf>
    <xf numFmtId="0" fontId="3" fillId="0" borderId="1" xfId="8" applyBorder="1" applyAlignment="1">
      <alignment horizontal="left" vertical="center"/>
    </xf>
    <xf numFmtId="1" fontId="3" fillId="0" borderId="1" xfId="8" applyNumberFormat="1" applyBorder="1" applyAlignment="1">
      <alignment horizontal="center" vertical="center"/>
    </xf>
    <xf numFmtId="165" fontId="3" fillId="0" borderId="1" xfId="2" applyNumberFormat="1" applyFont="1" applyBorder="1" applyAlignment="1">
      <alignment horizontal="right" vertical="center"/>
    </xf>
    <xf numFmtId="0" fontId="1" fillId="0" borderId="1" xfId="8" applyFont="1" applyBorder="1" applyAlignment="1">
      <alignment horizontal="center" vertical="center"/>
    </xf>
    <xf numFmtId="1" fontId="4" fillId="0" borderId="1" xfId="8" applyNumberFormat="1" applyFont="1" applyBorder="1" applyAlignment="1">
      <alignment horizontal="center" vertical="center"/>
    </xf>
    <xf numFmtId="0" fontId="2" fillId="0" borderId="1" xfId="4" applyBorder="1" applyAlignment="1">
      <alignment horizontal="center" vertical="center"/>
    </xf>
    <xf numFmtId="0" fontId="5" fillId="0" borderId="0" xfId="4" applyFont="1"/>
    <xf numFmtId="0" fontId="6" fillId="0" borderId="0" xfId="6" applyFont="1"/>
    <xf numFmtId="0" fontId="7" fillId="0" borderId="0" xfId="6" applyFont="1"/>
    <xf numFmtId="0" fontId="8" fillId="0" borderId="0" xfId="6" applyFont="1"/>
    <xf numFmtId="0" fontId="9" fillId="0" borderId="0" xfId="3" applyFont="1"/>
    <xf numFmtId="0" fontId="10" fillId="0" borderId="0" xfId="0" applyFont="1" applyAlignment="1">
      <alignment horizontal="center" vertical="center"/>
    </xf>
    <xf numFmtId="0" fontId="7" fillId="0" borderId="0" xfId="0" applyFont="1" applyAlignment="1">
      <alignment horizontal="center" vertical="center"/>
    </xf>
    <xf numFmtId="0" fontId="10" fillId="0" borderId="0" xfId="6" applyFont="1" applyAlignment="1">
      <alignment horizontal="center" vertical="center"/>
    </xf>
    <xf numFmtId="0" fontId="10" fillId="0" borderId="0" xfId="0" applyFont="1"/>
    <xf numFmtId="0" fontId="10" fillId="0" borderId="0" xfId="6" applyFont="1" applyProtection="1">
      <protection locked="0"/>
    </xf>
    <xf numFmtId="0" fontId="10" fillId="0" borderId="0" xfId="6" applyFont="1"/>
    <xf numFmtId="0" fontId="7" fillId="0" borderId="1" xfId="6" applyFont="1" applyBorder="1" applyAlignment="1" applyProtection="1">
      <alignment horizontal="center" vertical="top"/>
      <protection locked="0"/>
    </xf>
    <xf numFmtId="0" fontId="7" fillId="3" borderId="1" xfId="6" applyFont="1" applyFill="1" applyBorder="1" applyAlignment="1" applyProtection="1">
      <alignment horizontal="left" vertical="top"/>
      <protection locked="0"/>
    </xf>
    <xf numFmtId="0" fontId="7" fillId="3" borderId="1" xfId="6" applyFont="1" applyFill="1" applyBorder="1" applyAlignment="1" applyProtection="1">
      <alignment vertical="top"/>
      <protection locked="0"/>
    </xf>
    <xf numFmtId="0" fontId="13" fillId="3" borderId="1" xfId="6" applyFont="1" applyFill="1" applyBorder="1" applyAlignment="1" applyProtection="1">
      <alignment horizontal="left" vertical="top"/>
      <protection locked="0"/>
    </xf>
    <xf numFmtId="0" fontId="7" fillId="0" borderId="12" xfId="6" applyFont="1" applyBorder="1" applyAlignment="1" applyProtection="1">
      <alignment horizontal="center" vertical="top"/>
      <protection locked="0"/>
    </xf>
    <xf numFmtId="0" fontId="7" fillId="0" borderId="13" xfId="6" applyFont="1" applyBorder="1" applyAlignment="1" applyProtection="1">
      <alignment horizontal="center" vertical="top"/>
      <protection locked="0"/>
    </xf>
    <xf numFmtId="0" fontId="7" fillId="0" borderId="1" xfId="6" applyFont="1" applyBorder="1" applyAlignment="1" applyProtection="1">
      <alignment horizontal="center" vertical="top" wrapText="1"/>
      <protection locked="0"/>
    </xf>
    <xf numFmtId="0" fontId="7" fillId="0" borderId="1" xfId="6" applyFont="1" applyBorder="1" applyAlignment="1" applyProtection="1">
      <alignment horizontal="center" wrapText="1"/>
      <protection locked="0"/>
    </xf>
    <xf numFmtId="9" fontId="7" fillId="3" borderId="1" xfId="6" applyNumberFormat="1" applyFont="1" applyFill="1" applyBorder="1" applyAlignment="1" applyProtection="1">
      <alignment horizontal="center" vertical="center" wrapText="1"/>
      <protection hidden="1"/>
    </xf>
    <xf numFmtId="1" fontId="7" fillId="0" borderId="1" xfId="6" applyNumberFormat="1" applyFont="1" applyBorder="1" applyAlignment="1" applyProtection="1">
      <alignment horizontal="center" wrapText="1"/>
      <protection locked="0"/>
    </xf>
    <xf numFmtId="0" fontId="10" fillId="0" borderId="0" xfId="6" applyFont="1" applyProtection="1">
      <protection hidden="1"/>
    </xf>
    <xf numFmtId="0" fontId="10" fillId="0" borderId="21" xfId="6" applyFont="1" applyBorder="1" applyProtection="1">
      <protection hidden="1"/>
    </xf>
    <xf numFmtId="0" fontId="10" fillId="0" borderId="22" xfId="6" applyFont="1" applyBorder="1" applyProtection="1">
      <protection hidden="1"/>
    </xf>
    <xf numFmtId="0" fontId="10" fillId="0" borderId="20" xfId="6" applyFont="1" applyBorder="1" applyProtection="1">
      <protection hidden="1"/>
    </xf>
    <xf numFmtId="0" fontId="15" fillId="0" borderId="0" xfId="0" applyFont="1" applyProtection="1">
      <protection hidden="1"/>
    </xf>
    <xf numFmtId="0" fontId="10" fillId="0" borderId="20" xfId="6" applyFont="1" applyBorder="1"/>
    <xf numFmtId="0" fontId="15" fillId="0" borderId="20" xfId="0" applyFont="1" applyBorder="1" applyProtection="1">
      <protection hidden="1"/>
    </xf>
    <xf numFmtId="167" fontId="7" fillId="0" borderId="1" xfId="6" applyNumberFormat="1" applyFont="1" applyBorder="1" applyAlignment="1" applyProtection="1">
      <alignment horizontal="center" wrapText="1"/>
      <protection locked="0"/>
    </xf>
    <xf numFmtId="0" fontId="7" fillId="0" borderId="6" xfId="6" applyFont="1" applyBorder="1" applyAlignment="1" applyProtection="1">
      <alignment horizontal="center" wrapText="1"/>
      <protection locked="0"/>
    </xf>
    <xf numFmtId="9" fontId="7" fillId="3" borderId="6" xfId="6" applyNumberFormat="1" applyFont="1" applyFill="1" applyBorder="1" applyAlignment="1" applyProtection="1">
      <alignment horizontal="center" vertical="center" wrapText="1"/>
      <protection hidden="1"/>
    </xf>
    <xf numFmtId="1" fontId="0" fillId="0" borderId="20" xfId="0" applyNumberFormat="1" applyBorder="1"/>
    <xf numFmtId="2" fontId="0" fillId="0" borderId="0" xfId="0" applyNumberFormat="1"/>
    <xf numFmtId="166" fontId="0" fillId="0" borderId="0" xfId="0" applyNumberFormat="1"/>
    <xf numFmtId="2" fontId="15" fillId="0" borderId="0" xfId="0" applyNumberFormat="1" applyFont="1" applyProtection="1">
      <protection hidden="1"/>
    </xf>
    <xf numFmtId="1" fontId="0" fillId="0" borderId="20" xfId="0" applyNumberFormat="1" applyBorder="1" applyAlignment="1">
      <alignment horizontal="right"/>
    </xf>
    <xf numFmtId="0" fontId="15" fillId="0" borderId="28" xfId="0" applyFont="1" applyBorder="1" applyProtection="1">
      <protection hidden="1"/>
    </xf>
    <xf numFmtId="1" fontId="0" fillId="0" borderId="26" xfId="0" applyNumberFormat="1" applyBorder="1"/>
    <xf numFmtId="0" fontId="16"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1" fontId="13" fillId="0" borderId="1" xfId="0" applyNumberFormat="1" applyFont="1" applyBorder="1" applyAlignment="1" applyProtection="1">
      <alignment horizontal="center" vertical="center"/>
      <protection locked="0"/>
    </xf>
    <xf numFmtId="1" fontId="12" fillId="0" borderId="1" xfId="6" applyNumberFormat="1" applyFont="1" applyBorder="1" applyAlignment="1" applyProtection="1">
      <alignment horizontal="center" vertical="top" wrapText="1"/>
      <protection locked="0"/>
    </xf>
    <xf numFmtId="1" fontId="17" fillId="0" borderId="1" xfId="6" applyNumberFormat="1" applyFont="1" applyBorder="1" applyAlignment="1" applyProtection="1">
      <alignment horizontal="center" vertical="top" wrapText="1"/>
      <protection locked="0"/>
    </xf>
    <xf numFmtId="1" fontId="9" fillId="0" borderId="1" xfId="6" applyNumberFormat="1" applyFont="1" applyBorder="1" applyAlignment="1" applyProtection="1">
      <alignment horizontal="center" vertical="center" wrapText="1"/>
      <protection locked="0"/>
    </xf>
    <xf numFmtId="2" fontId="10" fillId="0" borderId="0" xfId="6" applyNumberFormat="1" applyFont="1" applyAlignment="1">
      <alignment horizontal="center" vertical="center"/>
    </xf>
    <xf numFmtId="0" fontId="12" fillId="0" borderId="0" xfId="6" applyFont="1" applyAlignment="1" applyProtection="1">
      <alignment vertical="top"/>
      <protection locked="0"/>
    </xf>
    <xf numFmtId="0" fontId="12" fillId="0" borderId="0" xfId="6" applyFont="1" applyAlignment="1" applyProtection="1">
      <alignment vertical="top" wrapText="1"/>
      <protection locked="0"/>
    </xf>
    <xf numFmtId="0" fontId="16" fillId="0" borderId="0" xfId="6" applyFont="1" applyProtection="1">
      <protection locked="0"/>
    </xf>
    <xf numFmtId="168" fontId="7" fillId="0" borderId="1" xfId="6" applyNumberFormat="1" applyFont="1" applyBorder="1" applyAlignment="1" applyProtection="1">
      <alignment horizontal="center" wrapText="1"/>
      <protection locked="0"/>
    </xf>
    <xf numFmtId="0" fontId="13" fillId="0" borderId="1" xfId="6" applyFont="1" applyBorder="1" applyAlignment="1" applyProtection="1">
      <alignment horizontal="center" vertical="top" wrapText="1"/>
      <protection locked="0"/>
    </xf>
    <xf numFmtId="0" fontId="9" fillId="0" borderId="1" xfId="6" applyFont="1" applyBorder="1" applyAlignment="1" applyProtection="1">
      <alignment horizontal="left" vertical="top" wrapText="1"/>
      <protection locked="0"/>
    </xf>
    <xf numFmtId="0" fontId="7" fillId="0" borderId="1" xfId="6" applyFont="1" applyBorder="1" applyAlignment="1" applyProtection="1">
      <alignment horizontal="left" vertical="top"/>
      <protection locked="0"/>
    </xf>
    <xf numFmtId="9" fontId="7" fillId="3" borderId="15" xfId="6" applyNumberFormat="1" applyFont="1" applyFill="1" applyBorder="1" applyAlignment="1" applyProtection="1">
      <alignment horizontal="center" vertical="center" wrapText="1"/>
      <protection hidden="1"/>
    </xf>
    <xf numFmtId="9" fontId="7" fillId="3" borderId="16" xfId="6" applyNumberFormat="1" applyFont="1" applyFill="1" applyBorder="1" applyAlignment="1" applyProtection="1">
      <alignment horizontal="center" vertical="center" wrapText="1"/>
      <protection hidden="1"/>
    </xf>
    <xf numFmtId="9" fontId="7" fillId="3" borderId="18" xfId="6" applyNumberFormat="1" applyFont="1" applyFill="1" applyBorder="1" applyAlignment="1" applyProtection="1">
      <alignment horizontal="center" vertical="center" wrapText="1"/>
      <protection hidden="1"/>
    </xf>
    <xf numFmtId="9" fontId="7" fillId="3" borderId="19" xfId="6" applyNumberFormat="1" applyFont="1" applyFill="1" applyBorder="1" applyAlignment="1" applyProtection="1">
      <alignment horizontal="center" vertical="center" wrapText="1"/>
      <protection hidden="1"/>
    </xf>
    <xf numFmtId="9" fontId="7" fillId="3" borderId="24" xfId="6" applyNumberFormat="1" applyFont="1" applyFill="1" applyBorder="1" applyAlignment="1" applyProtection="1">
      <alignment horizontal="center" vertical="center" wrapText="1"/>
      <protection hidden="1"/>
    </xf>
    <xf numFmtId="9" fontId="7" fillId="3" borderId="25" xfId="6" applyNumberFormat="1" applyFont="1" applyFill="1" applyBorder="1" applyAlignment="1" applyProtection="1">
      <alignment horizontal="center" vertical="center" wrapText="1"/>
      <protection hidden="1"/>
    </xf>
    <xf numFmtId="9" fontId="7" fillId="3" borderId="17" xfId="6" applyNumberFormat="1" applyFont="1" applyFill="1" applyBorder="1" applyAlignment="1" applyProtection="1">
      <alignment horizontal="center" vertical="center" wrapText="1"/>
      <protection hidden="1"/>
    </xf>
    <xf numFmtId="9" fontId="7" fillId="3" borderId="20" xfId="6" applyNumberFormat="1" applyFont="1" applyFill="1" applyBorder="1" applyAlignment="1" applyProtection="1">
      <alignment horizontal="center" vertical="center" wrapText="1"/>
      <protection hidden="1"/>
    </xf>
    <xf numFmtId="9" fontId="7" fillId="3" borderId="26" xfId="6" applyNumberFormat="1" applyFont="1" applyFill="1" applyBorder="1" applyAlignment="1" applyProtection="1">
      <alignment horizontal="center" vertical="center" wrapText="1"/>
      <protection hidden="1"/>
    </xf>
    <xf numFmtId="0" fontId="9" fillId="0" borderId="1" xfId="6" applyFont="1" applyBorder="1" applyAlignment="1" applyProtection="1">
      <alignment horizontal="left" vertical="top"/>
      <protection locked="0"/>
    </xf>
    <xf numFmtId="0" fontId="18" fillId="0" borderId="1" xfId="6" applyFont="1" applyBorder="1" applyAlignment="1" applyProtection="1">
      <alignment horizontal="center" vertical="top" wrapText="1"/>
      <protection locked="0"/>
    </xf>
    <xf numFmtId="1" fontId="9" fillId="0" borderId="15" xfId="6" applyNumberFormat="1" applyFont="1" applyBorder="1" applyAlignment="1" applyProtection="1">
      <alignment horizontal="center" vertical="center" wrapText="1"/>
      <protection locked="0"/>
    </xf>
    <xf numFmtId="1" fontId="9" fillId="0" borderId="16" xfId="6" applyNumberFormat="1" applyFont="1" applyBorder="1" applyAlignment="1" applyProtection="1">
      <alignment horizontal="center" vertical="center" wrapText="1"/>
      <protection locked="0"/>
    </xf>
    <xf numFmtId="1" fontId="9" fillId="0" borderId="18" xfId="6" applyNumberFormat="1" applyFont="1" applyBorder="1" applyAlignment="1" applyProtection="1">
      <alignment horizontal="center" vertical="center" wrapText="1"/>
      <protection locked="0"/>
    </xf>
    <xf numFmtId="1" fontId="9" fillId="0" borderId="19" xfId="6" applyNumberFormat="1" applyFont="1" applyBorder="1" applyAlignment="1" applyProtection="1">
      <alignment horizontal="center" vertical="center" wrapText="1"/>
      <protection locked="0"/>
    </xf>
    <xf numFmtId="1" fontId="9" fillId="0" borderId="29" xfId="6" applyNumberFormat="1" applyFont="1" applyBorder="1" applyAlignment="1" applyProtection="1">
      <alignment horizontal="center" vertical="center" wrapText="1"/>
      <protection locked="0"/>
    </xf>
    <xf numFmtId="1" fontId="9" fillId="0" borderId="30" xfId="6" applyNumberFormat="1" applyFont="1" applyBorder="1" applyAlignment="1" applyProtection="1">
      <alignment horizontal="center" vertical="center" wrapText="1"/>
      <protection locked="0"/>
    </xf>
    <xf numFmtId="1" fontId="9" fillId="0" borderId="1" xfId="6"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left" vertical="top" wrapText="1"/>
      <protection locked="0"/>
    </xf>
    <xf numFmtId="0" fontId="13" fillId="0" borderId="1" xfId="3" applyFont="1" applyBorder="1" applyAlignment="1" applyProtection="1">
      <alignment horizontal="left" vertical="top" wrapText="1"/>
      <protection locked="0"/>
    </xf>
    <xf numFmtId="0" fontId="9" fillId="0" borderId="1" xfId="6" applyFont="1" applyBorder="1" applyAlignment="1" applyProtection="1">
      <alignment vertical="top"/>
      <protection locked="0"/>
    </xf>
    <xf numFmtId="1" fontId="12" fillId="0" borderId="1" xfId="6" applyNumberFormat="1" applyFont="1" applyBorder="1" applyAlignment="1" applyProtection="1">
      <alignment horizontal="center" vertical="center" wrapText="1"/>
      <protection locked="0"/>
    </xf>
    <xf numFmtId="0" fontId="12" fillId="0" borderId="1" xfId="6" applyFont="1" applyBorder="1" applyAlignment="1" applyProtection="1">
      <alignment horizontal="center" vertical="top"/>
      <protection locked="0"/>
    </xf>
    <xf numFmtId="1" fontId="12" fillId="0" borderId="1" xfId="6"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top" wrapText="1"/>
      <protection locked="0"/>
    </xf>
    <xf numFmtId="1" fontId="10" fillId="0" borderId="4" xfId="0" applyNumberFormat="1" applyFont="1" applyBorder="1" applyAlignment="1" applyProtection="1">
      <alignment horizontal="center" vertical="top" wrapText="1"/>
      <protection locked="0"/>
    </xf>
    <xf numFmtId="1" fontId="10" fillId="0" borderId="5" xfId="0" applyNumberFormat="1" applyFont="1" applyBorder="1" applyAlignment="1" applyProtection="1">
      <alignment horizontal="center" vertical="top" wrapText="1"/>
      <protection locked="0"/>
    </xf>
    <xf numFmtId="1" fontId="13" fillId="0" borderId="1" xfId="0"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horizontal="center" vertical="top" wrapText="1"/>
      <protection locked="0"/>
    </xf>
    <xf numFmtId="1" fontId="13" fillId="0" borderId="3" xfId="0" applyNumberFormat="1" applyFont="1" applyBorder="1" applyAlignment="1" applyProtection="1">
      <alignment horizontal="center" vertical="top" wrapText="1"/>
      <protection locked="0"/>
    </xf>
    <xf numFmtId="1" fontId="13" fillId="0" borderId="4" xfId="0" applyNumberFormat="1" applyFont="1" applyBorder="1" applyAlignment="1" applyProtection="1">
      <alignment horizontal="center" vertical="top" wrapText="1"/>
      <protection locked="0"/>
    </xf>
    <xf numFmtId="1" fontId="13" fillId="0" borderId="5" xfId="0" applyNumberFormat="1"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top" wrapText="1"/>
      <protection locked="0"/>
    </xf>
    <xf numFmtId="0" fontId="16" fillId="0" borderId="1" xfId="0" applyFont="1" applyBorder="1" applyAlignment="1" applyProtection="1">
      <alignment horizontal="center" vertical="top" wrapText="1"/>
      <protection locked="0"/>
    </xf>
    <xf numFmtId="0" fontId="12" fillId="0" borderId="1" xfId="6" applyFont="1" applyBorder="1" applyAlignment="1" applyProtection="1">
      <alignment horizontal="left" vertical="top"/>
      <protection locked="0"/>
    </xf>
    <xf numFmtId="0" fontId="7" fillId="3" borderId="1" xfId="6" applyFont="1" applyFill="1" applyBorder="1" applyAlignment="1" applyProtection="1">
      <alignment horizontal="left" vertical="top"/>
      <protection locked="0"/>
    </xf>
    <xf numFmtId="1" fontId="9" fillId="0" borderId="1" xfId="0" applyNumberFormat="1" applyFont="1" applyBorder="1" applyAlignment="1" applyProtection="1">
      <alignment horizontal="center" vertical="top" wrapText="1"/>
      <protection locked="0"/>
    </xf>
    <xf numFmtId="0" fontId="7" fillId="3" borderId="1" xfId="6" applyFont="1" applyFill="1" applyBorder="1" applyAlignment="1" applyProtection="1">
      <alignment horizontal="left" vertical="top" wrapText="1"/>
      <protection locked="0"/>
    </xf>
    <xf numFmtId="0" fontId="13" fillId="0" borderId="1" xfId="6" applyFont="1" applyBorder="1" applyAlignment="1" applyProtection="1">
      <alignment horizontal="left" vertical="top"/>
      <protection locked="0"/>
    </xf>
    <xf numFmtId="0" fontId="13" fillId="0" borderId="1" xfId="6" applyFont="1" applyBorder="1" applyAlignment="1" applyProtection="1">
      <alignment horizontal="left" vertical="top" wrapText="1"/>
      <protection locked="0"/>
    </xf>
    <xf numFmtId="0" fontId="13" fillId="3" borderId="1" xfId="6" applyFont="1" applyFill="1" applyBorder="1" applyAlignment="1" applyProtection="1">
      <alignment horizontal="left" vertical="top"/>
      <protection locked="0"/>
    </xf>
    <xf numFmtId="0" fontId="7" fillId="0" borderId="12" xfId="6" applyFont="1" applyBorder="1" applyAlignment="1" applyProtection="1">
      <alignment horizontal="center" vertical="top"/>
      <protection locked="0"/>
    </xf>
    <xf numFmtId="0" fontId="7" fillId="0" borderId="1" xfId="6" applyFont="1" applyBorder="1" applyAlignment="1" applyProtection="1">
      <alignment horizontal="center" vertical="top"/>
      <protection locked="0"/>
    </xf>
    <xf numFmtId="0" fontId="7" fillId="0" borderId="23" xfId="6" applyFont="1" applyBorder="1" applyAlignment="1" applyProtection="1">
      <alignment horizontal="center" vertical="top"/>
      <protection locked="0"/>
    </xf>
    <xf numFmtId="0" fontId="7" fillId="0" borderId="6" xfId="6" applyFont="1" applyBorder="1" applyAlignment="1" applyProtection="1">
      <alignment horizontal="center" vertical="top"/>
      <protection locked="0"/>
    </xf>
    <xf numFmtId="0" fontId="7" fillId="0" borderId="27" xfId="6" applyFont="1" applyBorder="1" applyAlignment="1" applyProtection="1">
      <alignment horizontal="left" vertical="top"/>
      <protection locked="0"/>
    </xf>
    <xf numFmtId="0" fontId="13" fillId="0" borderId="9" xfId="6" applyFont="1" applyBorder="1" applyAlignment="1" applyProtection="1">
      <alignment horizontal="left" vertical="top" wrapText="1"/>
      <protection locked="0"/>
    </xf>
    <xf numFmtId="0" fontId="13" fillId="0" borderId="10" xfId="6" applyFont="1" applyBorder="1" applyAlignment="1" applyProtection="1">
      <alignment horizontal="left" vertical="top" wrapText="1"/>
      <protection locked="0"/>
    </xf>
    <xf numFmtId="0" fontId="13" fillId="0" borderId="11" xfId="6" applyFont="1" applyBorder="1" applyAlignment="1" applyProtection="1">
      <alignment horizontal="left" vertical="top" wrapText="1"/>
      <protection locked="0"/>
    </xf>
    <xf numFmtId="0" fontId="13" fillId="0" borderId="12" xfId="6" applyFont="1" applyBorder="1" applyAlignment="1" applyProtection="1">
      <alignment horizontal="left" vertical="top"/>
      <protection locked="0"/>
    </xf>
    <xf numFmtId="0" fontId="13" fillId="0" borderId="3" xfId="6" applyFont="1" applyBorder="1" applyAlignment="1" applyProtection="1">
      <alignment horizontal="left" vertical="top" wrapText="1"/>
      <protection locked="0"/>
    </xf>
    <xf numFmtId="0" fontId="13" fillId="0" borderId="4" xfId="6" applyFont="1" applyBorder="1" applyAlignment="1" applyProtection="1">
      <alignment horizontal="left" vertical="top" wrapText="1"/>
      <protection locked="0"/>
    </xf>
    <xf numFmtId="0" fontId="13" fillId="0" borderId="14" xfId="6" applyFont="1" applyBorder="1" applyAlignment="1" applyProtection="1">
      <alignment horizontal="left" vertical="top" wrapText="1"/>
      <protection locked="0"/>
    </xf>
    <xf numFmtId="0" fontId="7" fillId="0" borderId="3" xfId="6" applyFont="1" applyBorder="1" applyAlignment="1" applyProtection="1">
      <alignment horizontal="center" vertical="top" wrapText="1"/>
      <protection locked="0"/>
    </xf>
    <xf numFmtId="0" fontId="7" fillId="0" borderId="5" xfId="6" applyFont="1" applyBorder="1" applyAlignment="1" applyProtection="1">
      <alignment horizontal="center" vertical="top" wrapText="1"/>
      <protection locked="0"/>
    </xf>
    <xf numFmtId="0" fontId="7" fillId="0" borderId="14" xfId="6" applyFont="1" applyBorder="1" applyAlignment="1" applyProtection="1">
      <alignment horizontal="center" vertical="top" wrapText="1"/>
      <protection locked="0"/>
    </xf>
    <xf numFmtId="0" fontId="13" fillId="0" borderId="7" xfId="6" applyFont="1" applyBorder="1" applyAlignment="1" applyProtection="1">
      <alignment horizontal="left" vertical="top" wrapText="1"/>
      <protection locked="0"/>
    </xf>
    <xf numFmtId="0" fontId="13" fillId="0" borderId="8" xfId="6" applyFont="1" applyBorder="1" applyAlignment="1" applyProtection="1">
      <alignment horizontal="left" vertical="top" wrapText="1"/>
      <protection locked="0"/>
    </xf>
    <xf numFmtId="0" fontId="9" fillId="0" borderId="6" xfId="6" applyFont="1" applyBorder="1" applyAlignment="1" applyProtection="1">
      <alignment horizontal="left" vertical="top"/>
      <protection locked="0"/>
    </xf>
    <xf numFmtId="0" fontId="7" fillId="0" borderId="6" xfId="6" applyFont="1" applyBorder="1" applyAlignment="1" applyProtection="1">
      <alignment horizontal="left" vertical="top" wrapText="1"/>
      <protection locked="0"/>
    </xf>
    <xf numFmtId="0" fontId="7" fillId="0" borderId="1" xfId="6" applyFont="1" applyBorder="1" applyAlignment="1" applyProtection="1">
      <alignment horizontal="left" vertical="top" wrapText="1"/>
      <protection locked="0"/>
    </xf>
    <xf numFmtId="0" fontId="7" fillId="3" borderId="3" xfId="6" applyFont="1" applyFill="1" applyBorder="1" applyAlignment="1" applyProtection="1">
      <alignment horizontal="left" vertical="top" wrapText="1"/>
      <protection locked="0"/>
    </xf>
    <xf numFmtId="0" fontId="7" fillId="3" borderId="4" xfId="6" applyFont="1" applyFill="1" applyBorder="1" applyAlignment="1" applyProtection="1">
      <alignment horizontal="left" vertical="top" wrapText="1"/>
      <protection locked="0"/>
    </xf>
    <xf numFmtId="0" fontId="7" fillId="3" borderId="5" xfId="6" applyFont="1" applyFill="1" applyBorder="1" applyAlignment="1" applyProtection="1">
      <alignment horizontal="left" vertical="top" wrapText="1"/>
      <protection locked="0"/>
    </xf>
    <xf numFmtId="0" fontId="12" fillId="0" borderId="1" xfId="6" applyFont="1" applyBorder="1" applyAlignment="1" applyProtection="1">
      <alignment horizontal="left" vertical="top" wrapText="1"/>
      <protection locked="0"/>
    </xf>
    <xf numFmtId="0" fontId="13" fillId="3" borderId="1" xfId="6" applyFont="1" applyFill="1" applyBorder="1" applyAlignment="1" applyProtection="1">
      <alignment horizontal="left" vertical="top" wrapText="1"/>
      <protection locked="0"/>
    </xf>
    <xf numFmtId="0" fontId="13" fillId="0" borderId="5" xfId="6" applyFont="1" applyBorder="1" applyAlignment="1" applyProtection="1">
      <alignment horizontal="left" vertical="top" wrapText="1"/>
      <protection locked="0"/>
    </xf>
    <xf numFmtId="0" fontId="12" fillId="0" borderId="1" xfId="6" applyFont="1" applyBorder="1" applyAlignment="1" applyProtection="1">
      <alignment vertical="top"/>
      <protection locked="0"/>
    </xf>
    <xf numFmtId="2" fontId="9" fillId="0" borderId="1" xfId="6" applyNumberFormat="1" applyFont="1" applyBorder="1" applyAlignment="1" applyProtection="1">
      <alignment horizontal="left" vertical="top" wrapText="1"/>
      <protection locked="0"/>
    </xf>
    <xf numFmtId="166" fontId="9" fillId="0" borderId="1" xfId="6" applyNumberFormat="1" applyFont="1" applyBorder="1" applyAlignment="1" applyProtection="1">
      <alignment horizontal="left" vertical="top"/>
      <protection locked="0"/>
    </xf>
    <xf numFmtId="2" fontId="9" fillId="0" borderId="1" xfId="6" applyNumberFormat="1" applyFont="1" applyBorder="1" applyAlignment="1" applyProtection="1">
      <alignment horizontal="left" vertical="top"/>
      <protection locked="0"/>
    </xf>
    <xf numFmtId="0" fontId="7" fillId="0" borderId="1" xfId="6" applyFont="1" applyBorder="1" applyAlignment="1" applyProtection="1">
      <alignment horizontal="center"/>
      <protection locked="0"/>
    </xf>
    <xf numFmtId="0" fontId="10" fillId="0" borderId="3" xfId="6" applyFont="1" applyBorder="1" applyAlignment="1" applyProtection="1">
      <alignment horizontal="left"/>
      <protection locked="0"/>
    </xf>
    <xf numFmtId="0" fontId="10" fillId="0" borderId="4" xfId="6" applyFont="1" applyBorder="1" applyAlignment="1" applyProtection="1">
      <alignment horizontal="left"/>
      <protection locked="0"/>
    </xf>
    <xf numFmtId="0" fontId="10" fillId="0" borderId="5" xfId="6" applyFont="1" applyBorder="1" applyAlignment="1" applyProtection="1">
      <alignment horizontal="left"/>
      <protection locked="0"/>
    </xf>
    <xf numFmtId="0" fontId="14" fillId="0" borderId="3" xfId="1" applyBorder="1" applyAlignment="1" applyProtection="1">
      <alignment horizontal="left"/>
      <protection locked="0"/>
    </xf>
    <xf numFmtId="0" fontId="7" fillId="0" borderId="1" xfId="6" applyFont="1" applyBorder="1" applyAlignment="1" applyProtection="1">
      <alignment horizontal="left" vertical="center" wrapText="1"/>
      <protection locked="0"/>
    </xf>
    <xf numFmtId="0" fontId="13" fillId="0" borderId="1" xfId="6" applyFont="1" applyBorder="1" applyAlignment="1" applyProtection="1">
      <alignment horizontal="center"/>
      <protection locked="0"/>
    </xf>
    <xf numFmtId="0" fontId="13" fillId="0" borderId="1" xfId="6" applyFont="1" applyBorder="1" applyAlignment="1" applyProtection="1">
      <alignment horizontal="center" vertical="top"/>
      <protection locked="0"/>
    </xf>
    <xf numFmtId="0" fontId="7" fillId="0" borderId="1" xfId="6" applyFont="1" applyBorder="1" applyAlignment="1" applyProtection="1">
      <alignment horizontal="left"/>
      <protection locked="0"/>
    </xf>
    <xf numFmtId="0" fontId="11" fillId="0" borderId="1" xfId="6" applyFont="1" applyBorder="1" applyAlignment="1" applyProtection="1">
      <alignment horizontal="center" vertical="top" wrapText="1"/>
      <protection locked="0"/>
    </xf>
    <xf numFmtId="14" fontId="9" fillId="0" borderId="1" xfId="6" applyNumberFormat="1" applyFont="1" applyBorder="1" applyAlignment="1" applyProtection="1">
      <alignment horizontal="left" vertical="top"/>
      <protection locked="0"/>
    </xf>
    <xf numFmtId="0" fontId="1" fillId="0" borderId="1" xfId="8" applyFont="1" applyBorder="1" applyAlignment="1">
      <alignment horizontal="left"/>
    </xf>
    <xf numFmtId="0" fontId="0" fillId="2" borderId="1" xfId="0" applyFill="1" applyBorder="1" applyAlignment="1">
      <alignment horizontal="center" wrapText="1"/>
    </xf>
    <xf numFmtId="0" fontId="1" fillId="0" borderId="1" xfId="0" applyFont="1" applyBorder="1" applyAlignment="1">
      <alignment horizontal="center"/>
    </xf>
  </cellXfs>
  <cellStyles count="9">
    <cellStyle name="Comma 2" xfId="2"/>
    <cellStyle name="Excel Built-in Normal" xfId="3"/>
    <cellStyle name="Excel Built-in Normal 2" xfId="4"/>
    <cellStyle name="Hyperlink" xfId="1" builtinId="8"/>
    <cellStyle name="Normal" xfId="0" builtinId="0"/>
    <cellStyle name="Normal 2" xfId="5"/>
    <cellStyle name="Normal 3" xfId="6"/>
    <cellStyle name="Normal 3 3" xfId="7"/>
    <cellStyle name="Normal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0</xdr:col>
      <xdr:colOff>855129</xdr:colOff>
      <xdr:row>285</xdr:row>
      <xdr:rowOff>6569</xdr:rowOff>
    </xdr:from>
    <xdr:to>
      <xdr:col>6</xdr:col>
      <xdr:colOff>516127</xdr:colOff>
      <xdr:row>299</xdr:row>
      <xdr:rowOff>62686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hqprint"/>
        <a:srcRect/>
        <a:stretch>
          <a:fillRect/>
        </a:stretch>
      </xdr:blipFill>
      <xdr:spPr>
        <a:xfrm>
          <a:off x="854710" y="61147325"/>
          <a:ext cx="4642485" cy="2856230"/>
        </a:xfrm>
        <a:prstGeom prst="rect">
          <a:avLst/>
        </a:prstGeom>
        <a:ln>
          <a:solidFill>
            <a:schemeClr val="tx1"/>
          </a:solidFill>
        </a:ln>
      </xdr:spPr>
    </xdr:pic>
    <xdr:clientData/>
  </xdr:twoCellAnchor>
  <xdr:twoCellAnchor editAs="oneCell">
    <xdr:from>
      <xdr:col>1</xdr:col>
      <xdr:colOff>5800</xdr:colOff>
      <xdr:row>300</xdr:row>
      <xdr:rowOff>43017</xdr:rowOff>
    </xdr:from>
    <xdr:to>
      <xdr:col>6</xdr:col>
      <xdr:colOff>520195</xdr:colOff>
      <xdr:row>314</xdr:row>
      <xdr:rowOff>99134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hqprint"/>
        <a:srcRect/>
        <a:stretch>
          <a:fillRect/>
        </a:stretch>
      </xdr:blipFill>
      <xdr:spPr>
        <a:xfrm>
          <a:off x="862965" y="64183895"/>
          <a:ext cx="4638675" cy="2856865"/>
        </a:xfrm>
        <a:prstGeom prst="rect">
          <a:avLst/>
        </a:prstGeom>
        <a:ln>
          <a:solidFill>
            <a:schemeClr val="tx1"/>
          </a:solidFill>
        </a:ln>
      </xdr:spPr>
    </xdr:pic>
    <xdr:clientData/>
  </xdr:twoCellAnchor>
  <xdr:twoCellAnchor>
    <xdr:from>
      <xdr:col>16</xdr:col>
      <xdr:colOff>206000</xdr:colOff>
      <xdr:row>239</xdr:row>
      <xdr:rowOff>34932</xdr:rowOff>
    </xdr:from>
    <xdr:to>
      <xdr:col>18</xdr:col>
      <xdr:colOff>194202</xdr:colOff>
      <xdr:row>241</xdr:row>
      <xdr:rowOff>99784</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12350115" y="51984275"/>
          <a:ext cx="1207135" cy="464820"/>
        </a:xfrm>
        <a:prstGeom prst="rect">
          <a:avLst/>
        </a:prstGeom>
      </xdr:spPr>
      <xdr:txBody>
        <a:bodyPr wrap="square"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200" b="1">
              <a:solidFill>
                <a:srgbClr val="FFC000"/>
              </a:solidFill>
            </a:rPr>
            <a:t>Building No.2</a:t>
          </a:r>
          <a:r>
            <a:rPr lang="en-IN" sz="1200" b="1" baseline="0">
              <a:solidFill>
                <a:srgbClr val="FFC000"/>
              </a:solidFill>
            </a:rPr>
            <a:t> (Wing B)</a:t>
          </a:r>
          <a:endParaRPr lang="en-IN" sz="1200" b="1">
            <a:solidFill>
              <a:srgbClr val="FFC000"/>
            </a:solidFill>
          </a:endParaRPr>
        </a:p>
      </xdr:txBody>
    </xdr:sp>
    <xdr:clientData/>
  </xdr:twoCellAnchor>
  <xdr:twoCellAnchor>
    <xdr:from>
      <xdr:col>9</xdr:col>
      <xdr:colOff>72390</xdr:colOff>
      <xdr:row>240</xdr:row>
      <xdr:rowOff>80645</xdr:rowOff>
    </xdr:from>
    <xdr:to>
      <xdr:col>19</xdr:col>
      <xdr:colOff>279400</xdr:colOff>
      <xdr:row>281</xdr:row>
      <xdr:rowOff>152400</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8263890" y="52468145"/>
          <a:ext cx="6614160" cy="8136255"/>
          <a:chOff x="75" y="83662"/>
          <a:chExt cx="10001" cy="13013"/>
        </a:xfrm>
      </xdr:grpSpPr>
      <xdr:pic>
        <xdr:nvPicPr>
          <xdr:cNvPr id="5" name="Picture 22" descr="https://vsjcllp.vsjadon.com/upload/insp-220712-1525.jp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30" y="94621"/>
            <a:ext cx="2735" cy="205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 name="Picture 24" descr="https://vsjcllp.vsjadon.com/upload/insp-220712-844.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35" y="91050"/>
            <a:ext cx="2548" cy="34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 name="Picture 26" descr="https://vsjcllp.vsjadon.com/upload/insp-220712-847.jp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2835" y="91065"/>
            <a:ext cx="2548" cy="34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 name="Picture 28" descr="https://vsjcllp.vsjadon.com/upload/insp-220712-851.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5505" y="91064"/>
            <a:ext cx="4555" cy="342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 name="Picture 30" descr="https://vsjcllp.vsjadon.com/upload/insp-220712-860.jpg">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5130" y="83662"/>
            <a:ext cx="4947" cy="371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32" descr="https://vsjcllp.vsjadon.com/upload/insp-220712-871.jp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5475" y="87555"/>
            <a:ext cx="4477" cy="336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36" descr="https://vsjcllp.vsjadon.com/upload/insp-220712-883.jp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165" y="87547"/>
            <a:ext cx="2505" cy="33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38" descr="https://vsjcllp.vsjadon.com/upload/insp-220712-916.jpg">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135" y="94615"/>
            <a:ext cx="1538" cy="205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40" descr="https://vsjcllp.vsjadon.com/upload/insp-220712-925.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75" y="83662"/>
            <a:ext cx="4947" cy="371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42" descr="https://vsjcllp.vsjadon.com/upload/insp-220712-1022.jpg">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2805" y="87547"/>
            <a:ext cx="2519" cy="33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158750</xdr:colOff>
      <xdr:row>242</xdr:row>
      <xdr:rowOff>69850</xdr:rowOff>
    </xdr:from>
    <xdr:to>
      <xdr:col>7</xdr:col>
      <xdr:colOff>583265</xdr:colOff>
      <xdr:row>283</xdr:row>
      <xdr:rowOff>0</xdr:rowOff>
    </xdr:to>
    <xdr:grpSp>
      <xdr:nvGrpSpPr>
        <xdr:cNvPr id="4" name="Group 3"/>
        <xdr:cNvGrpSpPr/>
      </xdr:nvGrpSpPr>
      <xdr:grpSpPr>
        <a:xfrm>
          <a:off x="158750" y="52851050"/>
          <a:ext cx="6450665" cy="7994650"/>
          <a:chOff x="158750" y="52851050"/>
          <a:chExt cx="6450665" cy="7994650"/>
        </a:xfrm>
      </xdr:grpSpPr>
      <xdr:pic>
        <xdr:nvPicPr>
          <xdr:cNvPr id="29" name="Picture 2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186587" y="59381252"/>
            <a:ext cx="2397776" cy="1464448"/>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693605" y="57252518"/>
            <a:ext cx="2685509" cy="2016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76564" y="52851050"/>
            <a:ext cx="2877333" cy="216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806967" y="55123784"/>
            <a:ext cx="1510425" cy="2016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158750" y="55123784"/>
            <a:ext cx="1510425" cy="2016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698957" y="59381252"/>
            <a:ext cx="1348594" cy="1464448"/>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5098990" y="55123784"/>
            <a:ext cx="1510425" cy="2016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3200817" y="52851050"/>
            <a:ext cx="1618313" cy="2160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4966050" y="52851050"/>
            <a:ext cx="1618313" cy="2160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407485" y="57252518"/>
            <a:ext cx="1510425" cy="2016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2050545" y="57252518"/>
            <a:ext cx="1510425" cy="2016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158750" y="59381252"/>
            <a:ext cx="2397776" cy="1464448"/>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3455184" y="55123784"/>
            <a:ext cx="1510425" cy="201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241100</xdr:colOff>
      <xdr:row>12</xdr:row>
      <xdr:rowOff>157369</xdr:rowOff>
    </xdr:from>
    <xdr:to>
      <xdr:col>6</xdr:col>
      <xdr:colOff>13806</xdr:colOff>
      <xdr:row>31</xdr:row>
      <xdr:rowOff>137869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240665" y="2452370"/>
          <a:ext cx="6754495" cy="3600450"/>
        </a:xfrm>
        <a:prstGeom prst="rect">
          <a:avLst/>
        </a:prstGeom>
        <a:ln>
          <a:solidFill>
            <a:schemeClr val="tx1"/>
          </a:solidFill>
        </a:ln>
      </xdr:spPr>
    </xdr:pic>
    <xdr:clientData/>
  </xdr:twoCellAnchor>
  <xdr:twoCellAnchor editAs="oneCell">
    <xdr:from>
      <xdr:col>0</xdr:col>
      <xdr:colOff>441116</xdr:colOff>
      <xdr:row>32</xdr:row>
      <xdr:rowOff>131642</xdr:rowOff>
    </xdr:from>
    <xdr:to>
      <xdr:col>6</xdr:col>
      <xdr:colOff>213822</xdr:colOff>
      <xdr:row>51</xdr:row>
      <xdr:rowOff>112142</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440690" y="6236970"/>
          <a:ext cx="6754495" cy="3599815"/>
        </a:xfrm>
        <a:prstGeom prst="rect">
          <a:avLst/>
        </a:prstGeom>
        <a:ln>
          <a:solidFill>
            <a:schemeClr val="tx1"/>
          </a:solidFill>
        </a:ln>
      </xdr:spPr>
    </xdr:pic>
    <xdr:clientData/>
  </xdr:twoCellAnchor>
  <xdr:twoCellAnchor editAs="oneCell">
    <xdr:from>
      <xdr:col>0</xdr:col>
      <xdr:colOff>414130</xdr:colOff>
      <xdr:row>52</xdr:row>
      <xdr:rowOff>49696</xdr:rowOff>
    </xdr:from>
    <xdr:to>
      <xdr:col>6</xdr:col>
      <xdr:colOff>186836</xdr:colOff>
      <xdr:row>71</xdr:row>
      <xdr:rowOff>30196</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414020" y="9965055"/>
          <a:ext cx="6754495" cy="3599815"/>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bef9VZa9AwWXHmiA6"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5"/>
  <sheetViews>
    <sheetView tabSelected="1" view="pageBreakPreview" zoomScaleNormal="100" zoomScalePageLayoutView="77" workbookViewId="0">
      <selection activeCell="E9" sqref="E9:H9"/>
    </sheetView>
  </sheetViews>
  <sheetFormatPr defaultColWidth="9.08984375" defaultRowHeight="15.5"/>
  <cols>
    <col min="1" max="2" width="12.90625" style="25" customWidth="1"/>
    <col min="3" max="3" width="12.6328125" style="25" customWidth="1"/>
    <col min="4" max="4" width="12.90625" style="25" customWidth="1"/>
    <col min="5" max="7" width="11.6328125" style="25" customWidth="1"/>
    <col min="8" max="8" width="10.54296875" style="25" customWidth="1"/>
    <col min="9" max="9" width="20.453125" style="26" customWidth="1"/>
    <col min="10" max="10" width="9.90625" style="26" customWidth="1"/>
    <col min="11" max="252" width="9.08984375" style="26"/>
    <col min="253" max="253" width="8.6328125" style="26" customWidth="1"/>
    <col min="254" max="254" width="9.90625" style="26" customWidth="1"/>
    <col min="255" max="255" width="14.453125" style="26" customWidth="1"/>
    <col min="256" max="256" width="7.36328125" style="26" customWidth="1"/>
    <col min="257" max="257" width="5.54296875" style="26" customWidth="1"/>
    <col min="258" max="258" width="9" style="26" customWidth="1"/>
    <col min="259" max="260" width="9.90625" style="26" customWidth="1"/>
    <col min="261" max="261" width="11.08984375" style="26" customWidth="1"/>
    <col min="262" max="262" width="2.90625" style="26" customWidth="1"/>
    <col min="263" max="263" width="3.54296875" style="26" customWidth="1"/>
    <col min="264" max="508" width="9.08984375" style="26"/>
    <col min="509" max="509" width="8.6328125" style="26" customWidth="1"/>
    <col min="510" max="510" width="9.90625" style="26" customWidth="1"/>
    <col min="511" max="511" width="14.453125" style="26" customWidth="1"/>
    <col min="512" max="512" width="7.36328125" style="26" customWidth="1"/>
    <col min="513" max="513" width="5.54296875" style="26" customWidth="1"/>
    <col min="514" max="514" width="9" style="26" customWidth="1"/>
    <col min="515" max="516" width="9.90625" style="26" customWidth="1"/>
    <col min="517" max="517" width="11.08984375" style="26" customWidth="1"/>
    <col min="518" max="518" width="2.90625" style="26" customWidth="1"/>
    <col min="519" max="519" width="3.54296875" style="26" customWidth="1"/>
    <col min="520" max="764" width="9.08984375" style="26"/>
    <col min="765" max="765" width="8.6328125" style="26" customWidth="1"/>
    <col min="766" max="766" width="9.90625" style="26" customWidth="1"/>
    <col min="767" max="767" width="14.453125" style="26" customWidth="1"/>
    <col min="768" max="768" width="7.36328125" style="26" customWidth="1"/>
    <col min="769" max="769" width="5.54296875" style="26" customWidth="1"/>
    <col min="770" max="770" width="9" style="26" customWidth="1"/>
    <col min="771" max="772" width="9.90625" style="26" customWidth="1"/>
    <col min="773" max="773" width="11.08984375" style="26" customWidth="1"/>
    <col min="774" max="774" width="2.90625" style="26" customWidth="1"/>
    <col min="775" max="775" width="3.54296875" style="26" customWidth="1"/>
    <col min="776" max="1020" width="9.08984375" style="26"/>
    <col min="1021" max="1021" width="8.6328125" style="26" customWidth="1"/>
    <col min="1022" max="1022" width="9.90625" style="26" customWidth="1"/>
    <col min="1023" max="1023" width="14.453125" style="26" customWidth="1"/>
    <col min="1024" max="1024" width="7.36328125" style="26" customWidth="1"/>
    <col min="1025" max="1025" width="5.54296875" style="26" customWidth="1"/>
    <col min="1026" max="1026" width="9" style="26" customWidth="1"/>
    <col min="1027" max="1028" width="9.90625" style="26" customWidth="1"/>
    <col min="1029" max="1029" width="11.08984375" style="26" customWidth="1"/>
    <col min="1030" max="1030" width="2.90625" style="26" customWidth="1"/>
    <col min="1031" max="1031" width="3.54296875" style="26" customWidth="1"/>
    <col min="1032" max="1276" width="9.08984375" style="26"/>
    <col min="1277" max="1277" width="8.6328125" style="26" customWidth="1"/>
    <col min="1278" max="1278" width="9.90625" style="26" customWidth="1"/>
    <col min="1279" max="1279" width="14.453125" style="26" customWidth="1"/>
    <col min="1280" max="1280" width="7.36328125" style="26" customWidth="1"/>
    <col min="1281" max="1281" width="5.54296875" style="26" customWidth="1"/>
    <col min="1282" max="1282" width="9" style="26" customWidth="1"/>
    <col min="1283" max="1284" width="9.90625" style="26" customWidth="1"/>
    <col min="1285" max="1285" width="11.08984375" style="26" customWidth="1"/>
    <col min="1286" max="1286" width="2.90625" style="26" customWidth="1"/>
    <col min="1287" max="1287" width="3.54296875" style="26" customWidth="1"/>
    <col min="1288" max="1532" width="9.08984375" style="26"/>
    <col min="1533" max="1533" width="8.6328125" style="26" customWidth="1"/>
    <col min="1534" max="1534" width="9.90625" style="26" customWidth="1"/>
    <col min="1535" max="1535" width="14.453125" style="26" customWidth="1"/>
    <col min="1536" max="1536" width="7.36328125" style="26" customWidth="1"/>
    <col min="1537" max="1537" width="5.54296875" style="26" customWidth="1"/>
    <col min="1538" max="1538" width="9" style="26" customWidth="1"/>
    <col min="1539" max="1540" width="9.90625" style="26" customWidth="1"/>
    <col min="1541" max="1541" width="11.08984375" style="26" customWidth="1"/>
    <col min="1542" max="1542" width="2.90625" style="26" customWidth="1"/>
    <col min="1543" max="1543" width="3.54296875" style="26" customWidth="1"/>
    <col min="1544" max="1788" width="9.08984375" style="26"/>
    <col min="1789" max="1789" width="8.6328125" style="26" customWidth="1"/>
    <col min="1790" max="1790" width="9.90625" style="26" customWidth="1"/>
    <col min="1791" max="1791" width="14.453125" style="26" customWidth="1"/>
    <col min="1792" max="1792" width="7.36328125" style="26" customWidth="1"/>
    <col min="1793" max="1793" width="5.54296875" style="26" customWidth="1"/>
    <col min="1794" max="1794" width="9" style="26" customWidth="1"/>
    <col min="1795" max="1796" width="9.90625" style="26" customWidth="1"/>
    <col min="1797" max="1797" width="11.08984375" style="26" customWidth="1"/>
    <col min="1798" max="1798" width="2.90625" style="26" customWidth="1"/>
    <col min="1799" max="1799" width="3.54296875" style="26" customWidth="1"/>
    <col min="1800" max="2044" width="9.08984375" style="26"/>
    <col min="2045" max="2045" width="8.6328125" style="26" customWidth="1"/>
    <col min="2046" max="2046" width="9.90625" style="26" customWidth="1"/>
    <col min="2047" max="2047" width="14.453125" style="26" customWidth="1"/>
    <col min="2048" max="2048" width="7.36328125" style="26" customWidth="1"/>
    <col min="2049" max="2049" width="5.54296875" style="26" customWidth="1"/>
    <col min="2050" max="2050" width="9" style="26" customWidth="1"/>
    <col min="2051" max="2052" width="9.90625" style="26" customWidth="1"/>
    <col min="2053" max="2053" width="11.08984375" style="26" customWidth="1"/>
    <col min="2054" max="2054" width="2.90625" style="26" customWidth="1"/>
    <col min="2055" max="2055" width="3.54296875" style="26" customWidth="1"/>
    <col min="2056" max="2300" width="9.08984375" style="26"/>
    <col min="2301" max="2301" width="8.6328125" style="26" customWidth="1"/>
    <col min="2302" max="2302" width="9.90625" style="26" customWidth="1"/>
    <col min="2303" max="2303" width="14.453125" style="26" customWidth="1"/>
    <col min="2304" max="2304" width="7.36328125" style="26" customWidth="1"/>
    <col min="2305" max="2305" width="5.54296875" style="26" customWidth="1"/>
    <col min="2306" max="2306" width="9" style="26" customWidth="1"/>
    <col min="2307" max="2308" width="9.90625" style="26" customWidth="1"/>
    <col min="2309" max="2309" width="11.08984375" style="26" customWidth="1"/>
    <col min="2310" max="2310" width="2.90625" style="26" customWidth="1"/>
    <col min="2311" max="2311" width="3.54296875" style="26" customWidth="1"/>
    <col min="2312" max="2556" width="9.08984375" style="26"/>
    <col min="2557" max="2557" width="8.6328125" style="26" customWidth="1"/>
    <col min="2558" max="2558" width="9.90625" style="26" customWidth="1"/>
    <col min="2559" max="2559" width="14.453125" style="26" customWidth="1"/>
    <col min="2560" max="2560" width="7.36328125" style="26" customWidth="1"/>
    <col min="2561" max="2561" width="5.54296875" style="26" customWidth="1"/>
    <col min="2562" max="2562" width="9" style="26" customWidth="1"/>
    <col min="2563" max="2564" width="9.90625" style="26" customWidth="1"/>
    <col min="2565" max="2565" width="11.08984375" style="26" customWidth="1"/>
    <col min="2566" max="2566" width="2.90625" style="26" customWidth="1"/>
    <col min="2567" max="2567" width="3.54296875" style="26" customWidth="1"/>
    <col min="2568" max="2812" width="9.08984375" style="26"/>
    <col min="2813" max="2813" width="8.6328125" style="26" customWidth="1"/>
    <col min="2814" max="2814" width="9.90625" style="26" customWidth="1"/>
    <col min="2815" max="2815" width="14.453125" style="26" customWidth="1"/>
    <col min="2816" max="2816" width="7.36328125" style="26" customWidth="1"/>
    <col min="2817" max="2817" width="5.54296875" style="26" customWidth="1"/>
    <col min="2818" max="2818" width="9" style="26" customWidth="1"/>
    <col min="2819" max="2820" width="9.90625" style="26" customWidth="1"/>
    <col min="2821" max="2821" width="11.08984375" style="26" customWidth="1"/>
    <col min="2822" max="2822" width="2.90625" style="26" customWidth="1"/>
    <col min="2823" max="2823" width="3.54296875" style="26" customWidth="1"/>
    <col min="2824" max="3068" width="9.08984375" style="26"/>
    <col min="3069" max="3069" width="8.6328125" style="26" customWidth="1"/>
    <col min="3070" max="3070" width="9.90625" style="26" customWidth="1"/>
    <col min="3071" max="3071" width="14.453125" style="26" customWidth="1"/>
    <col min="3072" max="3072" width="7.36328125" style="26" customWidth="1"/>
    <col min="3073" max="3073" width="5.54296875" style="26" customWidth="1"/>
    <col min="3074" max="3074" width="9" style="26" customWidth="1"/>
    <col min="3075" max="3076" width="9.90625" style="26" customWidth="1"/>
    <col min="3077" max="3077" width="11.08984375" style="26" customWidth="1"/>
    <col min="3078" max="3078" width="2.90625" style="26" customWidth="1"/>
    <col min="3079" max="3079" width="3.54296875" style="26" customWidth="1"/>
    <col min="3080" max="3324" width="9.08984375" style="26"/>
    <col min="3325" max="3325" width="8.6328125" style="26" customWidth="1"/>
    <col min="3326" max="3326" width="9.90625" style="26" customWidth="1"/>
    <col min="3327" max="3327" width="14.453125" style="26" customWidth="1"/>
    <col min="3328" max="3328" width="7.36328125" style="26" customWidth="1"/>
    <col min="3329" max="3329" width="5.54296875" style="26" customWidth="1"/>
    <col min="3330" max="3330" width="9" style="26" customWidth="1"/>
    <col min="3331" max="3332" width="9.90625" style="26" customWidth="1"/>
    <col min="3333" max="3333" width="11.08984375" style="26" customWidth="1"/>
    <col min="3334" max="3334" width="2.90625" style="26" customWidth="1"/>
    <col min="3335" max="3335" width="3.54296875" style="26" customWidth="1"/>
    <col min="3336" max="3580" width="9.08984375" style="26"/>
    <col min="3581" max="3581" width="8.6328125" style="26" customWidth="1"/>
    <col min="3582" max="3582" width="9.90625" style="26" customWidth="1"/>
    <col min="3583" max="3583" width="14.453125" style="26" customWidth="1"/>
    <col min="3584" max="3584" width="7.36328125" style="26" customWidth="1"/>
    <col min="3585" max="3585" width="5.54296875" style="26" customWidth="1"/>
    <col min="3586" max="3586" width="9" style="26" customWidth="1"/>
    <col min="3587" max="3588" width="9.90625" style="26" customWidth="1"/>
    <col min="3589" max="3589" width="11.08984375" style="26" customWidth="1"/>
    <col min="3590" max="3590" width="2.90625" style="26" customWidth="1"/>
    <col min="3591" max="3591" width="3.54296875" style="26" customWidth="1"/>
    <col min="3592" max="3836" width="9.08984375" style="26"/>
    <col min="3837" max="3837" width="8.6328125" style="26" customWidth="1"/>
    <col min="3838" max="3838" width="9.90625" style="26" customWidth="1"/>
    <col min="3839" max="3839" width="14.453125" style="26" customWidth="1"/>
    <col min="3840" max="3840" width="7.36328125" style="26" customWidth="1"/>
    <col min="3841" max="3841" width="5.54296875" style="26" customWidth="1"/>
    <col min="3842" max="3842" width="9" style="26" customWidth="1"/>
    <col min="3843" max="3844" width="9.90625" style="26" customWidth="1"/>
    <col min="3845" max="3845" width="11.08984375" style="26" customWidth="1"/>
    <col min="3846" max="3846" width="2.90625" style="26" customWidth="1"/>
    <col min="3847" max="3847" width="3.54296875" style="26" customWidth="1"/>
    <col min="3848" max="4092" width="9.08984375" style="26"/>
    <col min="4093" max="4093" width="8.6328125" style="26" customWidth="1"/>
    <col min="4094" max="4094" width="9.90625" style="26" customWidth="1"/>
    <col min="4095" max="4095" width="14.453125" style="26" customWidth="1"/>
    <col min="4096" max="4096" width="7.36328125" style="26" customWidth="1"/>
    <col min="4097" max="4097" width="5.54296875" style="26" customWidth="1"/>
    <col min="4098" max="4098" width="9" style="26" customWidth="1"/>
    <col min="4099" max="4100" width="9.90625" style="26" customWidth="1"/>
    <col min="4101" max="4101" width="11.08984375" style="26" customWidth="1"/>
    <col min="4102" max="4102" width="2.90625" style="26" customWidth="1"/>
    <col min="4103" max="4103" width="3.54296875" style="26" customWidth="1"/>
    <col min="4104" max="4348" width="9.08984375" style="26"/>
    <col min="4349" max="4349" width="8.6328125" style="26" customWidth="1"/>
    <col min="4350" max="4350" width="9.90625" style="26" customWidth="1"/>
    <col min="4351" max="4351" width="14.453125" style="26" customWidth="1"/>
    <col min="4352" max="4352" width="7.36328125" style="26" customWidth="1"/>
    <col min="4353" max="4353" width="5.54296875" style="26" customWidth="1"/>
    <col min="4354" max="4354" width="9" style="26" customWidth="1"/>
    <col min="4355" max="4356" width="9.90625" style="26" customWidth="1"/>
    <col min="4357" max="4357" width="11.08984375" style="26" customWidth="1"/>
    <col min="4358" max="4358" width="2.90625" style="26" customWidth="1"/>
    <col min="4359" max="4359" width="3.54296875" style="26" customWidth="1"/>
    <col min="4360" max="4604" width="9.08984375" style="26"/>
    <col min="4605" max="4605" width="8.6328125" style="26" customWidth="1"/>
    <col min="4606" max="4606" width="9.90625" style="26" customWidth="1"/>
    <col min="4607" max="4607" width="14.453125" style="26" customWidth="1"/>
    <col min="4608" max="4608" width="7.36328125" style="26" customWidth="1"/>
    <col min="4609" max="4609" width="5.54296875" style="26" customWidth="1"/>
    <col min="4610" max="4610" width="9" style="26" customWidth="1"/>
    <col min="4611" max="4612" width="9.90625" style="26" customWidth="1"/>
    <col min="4613" max="4613" width="11.08984375" style="26" customWidth="1"/>
    <col min="4614" max="4614" width="2.90625" style="26" customWidth="1"/>
    <col min="4615" max="4615" width="3.54296875" style="26" customWidth="1"/>
    <col min="4616" max="4860" width="9.08984375" style="26"/>
    <col min="4861" max="4861" width="8.6328125" style="26" customWidth="1"/>
    <col min="4862" max="4862" width="9.90625" style="26" customWidth="1"/>
    <col min="4863" max="4863" width="14.453125" style="26" customWidth="1"/>
    <col min="4864" max="4864" width="7.36328125" style="26" customWidth="1"/>
    <col min="4865" max="4865" width="5.54296875" style="26" customWidth="1"/>
    <col min="4866" max="4866" width="9" style="26" customWidth="1"/>
    <col min="4867" max="4868" width="9.90625" style="26" customWidth="1"/>
    <col min="4869" max="4869" width="11.08984375" style="26" customWidth="1"/>
    <col min="4870" max="4870" width="2.90625" style="26" customWidth="1"/>
    <col min="4871" max="4871" width="3.54296875" style="26" customWidth="1"/>
    <col min="4872" max="5116" width="9.08984375" style="26"/>
    <col min="5117" max="5117" width="8.6328125" style="26" customWidth="1"/>
    <col min="5118" max="5118" width="9.90625" style="26" customWidth="1"/>
    <col min="5119" max="5119" width="14.453125" style="26" customWidth="1"/>
    <col min="5120" max="5120" width="7.36328125" style="26" customWidth="1"/>
    <col min="5121" max="5121" width="5.54296875" style="26" customWidth="1"/>
    <col min="5122" max="5122" width="9" style="26" customWidth="1"/>
    <col min="5123" max="5124" width="9.90625" style="26" customWidth="1"/>
    <col min="5125" max="5125" width="11.08984375" style="26" customWidth="1"/>
    <col min="5126" max="5126" width="2.90625" style="26" customWidth="1"/>
    <col min="5127" max="5127" width="3.54296875" style="26" customWidth="1"/>
    <col min="5128" max="5372" width="9.08984375" style="26"/>
    <col min="5373" max="5373" width="8.6328125" style="26" customWidth="1"/>
    <col min="5374" max="5374" width="9.90625" style="26" customWidth="1"/>
    <col min="5375" max="5375" width="14.453125" style="26" customWidth="1"/>
    <col min="5376" max="5376" width="7.36328125" style="26" customWidth="1"/>
    <col min="5377" max="5377" width="5.54296875" style="26" customWidth="1"/>
    <col min="5378" max="5378" width="9" style="26" customWidth="1"/>
    <col min="5379" max="5380" width="9.90625" style="26" customWidth="1"/>
    <col min="5381" max="5381" width="11.08984375" style="26" customWidth="1"/>
    <col min="5382" max="5382" width="2.90625" style="26" customWidth="1"/>
    <col min="5383" max="5383" width="3.54296875" style="26" customWidth="1"/>
    <col min="5384" max="5628" width="9.08984375" style="26"/>
    <col min="5629" max="5629" width="8.6328125" style="26" customWidth="1"/>
    <col min="5630" max="5630" width="9.90625" style="26" customWidth="1"/>
    <col min="5631" max="5631" width="14.453125" style="26" customWidth="1"/>
    <col min="5632" max="5632" width="7.36328125" style="26" customWidth="1"/>
    <col min="5633" max="5633" width="5.54296875" style="26" customWidth="1"/>
    <col min="5634" max="5634" width="9" style="26" customWidth="1"/>
    <col min="5635" max="5636" width="9.90625" style="26" customWidth="1"/>
    <col min="5637" max="5637" width="11.08984375" style="26" customWidth="1"/>
    <col min="5638" max="5638" width="2.90625" style="26" customWidth="1"/>
    <col min="5639" max="5639" width="3.54296875" style="26" customWidth="1"/>
    <col min="5640" max="5884" width="9.08984375" style="26"/>
    <col min="5885" max="5885" width="8.6328125" style="26" customWidth="1"/>
    <col min="5886" max="5886" width="9.90625" style="26" customWidth="1"/>
    <col min="5887" max="5887" width="14.453125" style="26" customWidth="1"/>
    <col min="5888" max="5888" width="7.36328125" style="26" customWidth="1"/>
    <col min="5889" max="5889" width="5.54296875" style="26" customWidth="1"/>
    <col min="5890" max="5890" width="9" style="26" customWidth="1"/>
    <col min="5891" max="5892" width="9.90625" style="26" customWidth="1"/>
    <col min="5893" max="5893" width="11.08984375" style="26" customWidth="1"/>
    <col min="5894" max="5894" width="2.90625" style="26" customWidth="1"/>
    <col min="5895" max="5895" width="3.54296875" style="26" customWidth="1"/>
    <col min="5896" max="6140" width="9.08984375" style="26"/>
    <col min="6141" max="6141" width="8.6328125" style="26" customWidth="1"/>
    <col min="6142" max="6142" width="9.90625" style="26" customWidth="1"/>
    <col min="6143" max="6143" width="14.453125" style="26" customWidth="1"/>
    <col min="6144" max="6144" width="7.36328125" style="26" customWidth="1"/>
    <col min="6145" max="6145" width="5.54296875" style="26" customWidth="1"/>
    <col min="6146" max="6146" width="9" style="26" customWidth="1"/>
    <col min="6147" max="6148" width="9.90625" style="26" customWidth="1"/>
    <col min="6149" max="6149" width="11.08984375" style="26" customWidth="1"/>
    <col min="6150" max="6150" width="2.90625" style="26" customWidth="1"/>
    <col min="6151" max="6151" width="3.54296875" style="26" customWidth="1"/>
    <col min="6152" max="6396" width="9.08984375" style="26"/>
    <col min="6397" max="6397" width="8.6328125" style="26" customWidth="1"/>
    <col min="6398" max="6398" width="9.90625" style="26" customWidth="1"/>
    <col min="6399" max="6399" width="14.453125" style="26" customWidth="1"/>
    <col min="6400" max="6400" width="7.36328125" style="26" customWidth="1"/>
    <col min="6401" max="6401" width="5.54296875" style="26" customWidth="1"/>
    <col min="6402" max="6402" width="9" style="26" customWidth="1"/>
    <col min="6403" max="6404" width="9.90625" style="26" customWidth="1"/>
    <col min="6405" max="6405" width="11.08984375" style="26" customWidth="1"/>
    <col min="6406" max="6406" width="2.90625" style="26" customWidth="1"/>
    <col min="6407" max="6407" width="3.54296875" style="26" customWidth="1"/>
    <col min="6408" max="6652" width="9.08984375" style="26"/>
    <col min="6653" max="6653" width="8.6328125" style="26" customWidth="1"/>
    <col min="6654" max="6654" width="9.90625" style="26" customWidth="1"/>
    <col min="6655" max="6655" width="14.453125" style="26" customWidth="1"/>
    <col min="6656" max="6656" width="7.36328125" style="26" customWidth="1"/>
    <col min="6657" max="6657" width="5.54296875" style="26" customWidth="1"/>
    <col min="6658" max="6658" width="9" style="26" customWidth="1"/>
    <col min="6659" max="6660" width="9.90625" style="26" customWidth="1"/>
    <col min="6661" max="6661" width="11.08984375" style="26" customWidth="1"/>
    <col min="6662" max="6662" width="2.90625" style="26" customWidth="1"/>
    <col min="6663" max="6663" width="3.54296875" style="26" customWidth="1"/>
    <col min="6664" max="6908" width="9.08984375" style="26"/>
    <col min="6909" max="6909" width="8.6328125" style="26" customWidth="1"/>
    <col min="6910" max="6910" width="9.90625" style="26" customWidth="1"/>
    <col min="6911" max="6911" width="14.453125" style="26" customWidth="1"/>
    <col min="6912" max="6912" width="7.36328125" style="26" customWidth="1"/>
    <col min="6913" max="6913" width="5.54296875" style="26" customWidth="1"/>
    <col min="6914" max="6914" width="9" style="26" customWidth="1"/>
    <col min="6915" max="6916" width="9.90625" style="26" customWidth="1"/>
    <col min="6917" max="6917" width="11.08984375" style="26" customWidth="1"/>
    <col min="6918" max="6918" width="2.90625" style="26" customWidth="1"/>
    <col min="6919" max="6919" width="3.54296875" style="26" customWidth="1"/>
    <col min="6920" max="7164" width="9.08984375" style="26"/>
    <col min="7165" max="7165" width="8.6328125" style="26" customWidth="1"/>
    <col min="7166" max="7166" width="9.90625" style="26" customWidth="1"/>
    <col min="7167" max="7167" width="14.453125" style="26" customWidth="1"/>
    <col min="7168" max="7168" width="7.36328125" style="26" customWidth="1"/>
    <col min="7169" max="7169" width="5.54296875" style="26" customWidth="1"/>
    <col min="7170" max="7170" width="9" style="26" customWidth="1"/>
    <col min="7171" max="7172" width="9.90625" style="26" customWidth="1"/>
    <col min="7173" max="7173" width="11.08984375" style="26" customWidth="1"/>
    <col min="7174" max="7174" width="2.90625" style="26" customWidth="1"/>
    <col min="7175" max="7175" width="3.54296875" style="26" customWidth="1"/>
    <col min="7176" max="7420" width="9.08984375" style="26"/>
    <col min="7421" max="7421" width="8.6328125" style="26" customWidth="1"/>
    <col min="7422" max="7422" width="9.90625" style="26" customWidth="1"/>
    <col min="7423" max="7423" width="14.453125" style="26" customWidth="1"/>
    <col min="7424" max="7424" width="7.36328125" style="26" customWidth="1"/>
    <col min="7425" max="7425" width="5.54296875" style="26" customWidth="1"/>
    <col min="7426" max="7426" width="9" style="26" customWidth="1"/>
    <col min="7427" max="7428" width="9.90625" style="26" customWidth="1"/>
    <col min="7429" max="7429" width="11.08984375" style="26" customWidth="1"/>
    <col min="7430" max="7430" width="2.90625" style="26" customWidth="1"/>
    <col min="7431" max="7431" width="3.54296875" style="26" customWidth="1"/>
    <col min="7432" max="7676" width="9.08984375" style="26"/>
    <col min="7677" max="7677" width="8.6328125" style="26" customWidth="1"/>
    <col min="7678" max="7678" width="9.90625" style="26" customWidth="1"/>
    <col min="7679" max="7679" width="14.453125" style="26" customWidth="1"/>
    <col min="7680" max="7680" width="7.36328125" style="26" customWidth="1"/>
    <col min="7681" max="7681" width="5.54296875" style="26" customWidth="1"/>
    <col min="7682" max="7682" width="9" style="26" customWidth="1"/>
    <col min="7683" max="7684" width="9.90625" style="26" customWidth="1"/>
    <col min="7685" max="7685" width="11.08984375" style="26" customWidth="1"/>
    <col min="7686" max="7686" width="2.90625" style="26" customWidth="1"/>
    <col min="7687" max="7687" width="3.54296875" style="26" customWidth="1"/>
    <col min="7688" max="7932" width="9.08984375" style="26"/>
    <col min="7933" max="7933" width="8.6328125" style="26" customWidth="1"/>
    <col min="7934" max="7934" width="9.90625" style="26" customWidth="1"/>
    <col min="7935" max="7935" width="14.453125" style="26" customWidth="1"/>
    <col min="7936" max="7936" width="7.36328125" style="26" customWidth="1"/>
    <col min="7937" max="7937" width="5.54296875" style="26" customWidth="1"/>
    <col min="7938" max="7938" width="9" style="26" customWidth="1"/>
    <col min="7939" max="7940" width="9.90625" style="26" customWidth="1"/>
    <col min="7941" max="7941" width="11.08984375" style="26" customWidth="1"/>
    <col min="7942" max="7942" width="2.90625" style="26" customWidth="1"/>
    <col min="7943" max="7943" width="3.54296875" style="26" customWidth="1"/>
    <col min="7944" max="8188" width="9.08984375" style="26"/>
    <col min="8189" max="8189" width="8.6328125" style="26" customWidth="1"/>
    <col min="8190" max="8190" width="9.90625" style="26" customWidth="1"/>
    <col min="8191" max="8191" width="14.453125" style="26" customWidth="1"/>
    <col min="8192" max="8192" width="7.36328125" style="26" customWidth="1"/>
    <col min="8193" max="8193" width="5.54296875" style="26" customWidth="1"/>
    <col min="8194" max="8194" width="9" style="26" customWidth="1"/>
    <col min="8195" max="8196" width="9.90625" style="26" customWidth="1"/>
    <col min="8197" max="8197" width="11.08984375" style="26" customWidth="1"/>
    <col min="8198" max="8198" width="2.90625" style="26" customWidth="1"/>
    <col min="8199" max="8199" width="3.54296875" style="26" customWidth="1"/>
    <col min="8200" max="8444" width="9.08984375" style="26"/>
    <col min="8445" max="8445" width="8.6328125" style="26" customWidth="1"/>
    <col min="8446" max="8446" width="9.90625" style="26" customWidth="1"/>
    <col min="8447" max="8447" width="14.453125" style="26" customWidth="1"/>
    <col min="8448" max="8448" width="7.36328125" style="26" customWidth="1"/>
    <col min="8449" max="8449" width="5.54296875" style="26" customWidth="1"/>
    <col min="8450" max="8450" width="9" style="26" customWidth="1"/>
    <col min="8451" max="8452" width="9.90625" style="26" customWidth="1"/>
    <col min="8453" max="8453" width="11.08984375" style="26" customWidth="1"/>
    <col min="8454" max="8454" width="2.90625" style="26" customWidth="1"/>
    <col min="8455" max="8455" width="3.54296875" style="26" customWidth="1"/>
    <col min="8456" max="8700" width="9.08984375" style="26"/>
    <col min="8701" max="8701" width="8.6328125" style="26" customWidth="1"/>
    <col min="8702" max="8702" width="9.90625" style="26" customWidth="1"/>
    <col min="8703" max="8703" width="14.453125" style="26" customWidth="1"/>
    <col min="8704" max="8704" width="7.36328125" style="26" customWidth="1"/>
    <col min="8705" max="8705" width="5.54296875" style="26" customWidth="1"/>
    <col min="8706" max="8706" width="9" style="26" customWidth="1"/>
    <col min="8707" max="8708" width="9.90625" style="26" customWidth="1"/>
    <col min="8709" max="8709" width="11.08984375" style="26" customWidth="1"/>
    <col min="8710" max="8710" width="2.90625" style="26" customWidth="1"/>
    <col min="8711" max="8711" width="3.54296875" style="26" customWidth="1"/>
    <col min="8712" max="8956" width="9.08984375" style="26"/>
    <col min="8957" max="8957" width="8.6328125" style="26" customWidth="1"/>
    <col min="8958" max="8958" width="9.90625" style="26" customWidth="1"/>
    <col min="8959" max="8959" width="14.453125" style="26" customWidth="1"/>
    <col min="8960" max="8960" width="7.36328125" style="26" customWidth="1"/>
    <col min="8961" max="8961" width="5.54296875" style="26" customWidth="1"/>
    <col min="8962" max="8962" width="9" style="26" customWidth="1"/>
    <col min="8963" max="8964" width="9.90625" style="26" customWidth="1"/>
    <col min="8965" max="8965" width="11.08984375" style="26" customWidth="1"/>
    <col min="8966" max="8966" width="2.90625" style="26" customWidth="1"/>
    <col min="8967" max="8967" width="3.54296875" style="26" customWidth="1"/>
    <col min="8968" max="9212" width="9.08984375" style="26"/>
    <col min="9213" max="9213" width="8.6328125" style="26" customWidth="1"/>
    <col min="9214" max="9214" width="9.90625" style="26" customWidth="1"/>
    <col min="9215" max="9215" width="14.453125" style="26" customWidth="1"/>
    <col min="9216" max="9216" width="7.36328125" style="26" customWidth="1"/>
    <col min="9217" max="9217" width="5.54296875" style="26" customWidth="1"/>
    <col min="9218" max="9218" width="9" style="26" customWidth="1"/>
    <col min="9219" max="9220" width="9.90625" style="26" customWidth="1"/>
    <col min="9221" max="9221" width="11.08984375" style="26" customWidth="1"/>
    <col min="9222" max="9222" width="2.90625" style="26" customWidth="1"/>
    <col min="9223" max="9223" width="3.54296875" style="26" customWidth="1"/>
    <col min="9224" max="9468" width="9.08984375" style="26"/>
    <col min="9469" max="9469" width="8.6328125" style="26" customWidth="1"/>
    <col min="9470" max="9470" width="9.90625" style="26" customWidth="1"/>
    <col min="9471" max="9471" width="14.453125" style="26" customWidth="1"/>
    <col min="9472" max="9472" width="7.36328125" style="26" customWidth="1"/>
    <col min="9473" max="9473" width="5.54296875" style="26" customWidth="1"/>
    <col min="9474" max="9474" width="9" style="26" customWidth="1"/>
    <col min="9475" max="9476" width="9.90625" style="26" customWidth="1"/>
    <col min="9477" max="9477" width="11.08984375" style="26" customWidth="1"/>
    <col min="9478" max="9478" width="2.90625" style="26" customWidth="1"/>
    <col min="9479" max="9479" width="3.54296875" style="26" customWidth="1"/>
    <col min="9480" max="9724" width="9.08984375" style="26"/>
    <col min="9725" max="9725" width="8.6328125" style="26" customWidth="1"/>
    <col min="9726" max="9726" width="9.90625" style="26" customWidth="1"/>
    <col min="9727" max="9727" width="14.453125" style="26" customWidth="1"/>
    <col min="9728" max="9728" width="7.36328125" style="26" customWidth="1"/>
    <col min="9729" max="9729" width="5.54296875" style="26" customWidth="1"/>
    <col min="9730" max="9730" width="9" style="26" customWidth="1"/>
    <col min="9731" max="9732" width="9.90625" style="26" customWidth="1"/>
    <col min="9733" max="9733" width="11.08984375" style="26" customWidth="1"/>
    <col min="9734" max="9734" width="2.90625" style="26" customWidth="1"/>
    <col min="9735" max="9735" width="3.54296875" style="26" customWidth="1"/>
    <col min="9736" max="9980" width="9.08984375" style="26"/>
    <col min="9981" max="9981" width="8.6328125" style="26" customWidth="1"/>
    <col min="9982" max="9982" width="9.90625" style="26" customWidth="1"/>
    <col min="9983" max="9983" width="14.453125" style="26" customWidth="1"/>
    <col min="9984" max="9984" width="7.36328125" style="26" customWidth="1"/>
    <col min="9985" max="9985" width="5.54296875" style="26" customWidth="1"/>
    <col min="9986" max="9986" width="9" style="26" customWidth="1"/>
    <col min="9987" max="9988" width="9.90625" style="26" customWidth="1"/>
    <col min="9989" max="9989" width="11.08984375" style="26" customWidth="1"/>
    <col min="9990" max="9990" width="2.90625" style="26" customWidth="1"/>
    <col min="9991" max="9991" width="3.54296875" style="26" customWidth="1"/>
    <col min="9992" max="10236" width="9.08984375" style="26"/>
    <col min="10237" max="10237" width="8.6328125" style="26" customWidth="1"/>
    <col min="10238" max="10238" width="9.90625" style="26" customWidth="1"/>
    <col min="10239" max="10239" width="14.453125" style="26" customWidth="1"/>
    <col min="10240" max="10240" width="7.36328125" style="26" customWidth="1"/>
    <col min="10241" max="10241" width="5.54296875" style="26" customWidth="1"/>
    <col min="10242" max="10242" width="9" style="26" customWidth="1"/>
    <col min="10243" max="10244" width="9.90625" style="26" customWidth="1"/>
    <col min="10245" max="10245" width="11.08984375" style="26" customWidth="1"/>
    <col min="10246" max="10246" width="2.90625" style="26" customWidth="1"/>
    <col min="10247" max="10247" width="3.54296875" style="26" customWidth="1"/>
    <col min="10248" max="10492" width="9.08984375" style="26"/>
    <col min="10493" max="10493" width="8.6328125" style="26" customWidth="1"/>
    <col min="10494" max="10494" width="9.90625" style="26" customWidth="1"/>
    <col min="10495" max="10495" width="14.453125" style="26" customWidth="1"/>
    <col min="10496" max="10496" width="7.36328125" style="26" customWidth="1"/>
    <col min="10497" max="10497" width="5.54296875" style="26" customWidth="1"/>
    <col min="10498" max="10498" width="9" style="26" customWidth="1"/>
    <col min="10499" max="10500" width="9.90625" style="26" customWidth="1"/>
    <col min="10501" max="10501" width="11.08984375" style="26" customWidth="1"/>
    <col min="10502" max="10502" width="2.90625" style="26" customWidth="1"/>
    <col min="10503" max="10503" width="3.54296875" style="26" customWidth="1"/>
    <col min="10504" max="10748" width="9.08984375" style="26"/>
    <col min="10749" max="10749" width="8.6328125" style="26" customWidth="1"/>
    <col min="10750" max="10750" width="9.90625" style="26" customWidth="1"/>
    <col min="10751" max="10751" width="14.453125" style="26" customWidth="1"/>
    <col min="10752" max="10752" width="7.36328125" style="26" customWidth="1"/>
    <col min="10753" max="10753" width="5.54296875" style="26" customWidth="1"/>
    <col min="10754" max="10754" width="9" style="26" customWidth="1"/>
    <col min="10755" max="10756" width="9.90625" style="26" customWidth="1"/>
    <col min="10757" max="10757" width="11.08984375" style="26" customWidth="1"/>
    <col min="10758" max="10758" width="2.90625" style="26" customWidth="1"/>
    <col min="10759" max="10759" width="3.54296875" style="26" customWidth="1"/>
    <col min="10760" max="11004" width="9.08984375" style="26"/>
    <col min="11005" max="11005" width="8.6328125" style="26" customWidth="1"/>
    <col min="11006" max="11006" width="9.90625" style="26" customWidth="1"/>
    <col min="11007" max="11007" width="14.453125" style="26" customWidth="1"/>
    <col min="11008" max="11008" width="7.36328125" style="26" customWidth="1"/>
    <col min="11009" max="11009" width="5.54296875" style="26" customWidth="1"/>
    <col min="11010" max="11010" width="9" style="26" customWidth="1"/>
    <col min="11011" max="11012" width="9.90625" style="26" customWidth="1"/>
    <col min="11013" max="11013" width="11.08984375" style="26" customWidth="1"/>
    <col min="11014" max="11014" width="2.90625" style="26" customWidth="1"/>
    <col min="11015" max="11015" width="3.54296875" style="26" customWidth="1"/>
    <col min="11016" max="11260" width="9.08984375" style="26"/>
    <col min="11261" max="11261" width="8.6328125" style="26" customWidth="1"/>
    <col min="11262" max="11262" width="9.90625" style="26" customWidth="1"/>
    <col min="11263" max="11263" width="14.453125" style="26" customWidth="1"/>
    <col min="11264" max="11264" width="7.36328125" style="26" customWidth="1"/>
    <col min="11265" max="11265" width="5.54296875" style="26" customWidth="1"/>
    <col min="11266" max="11266" width="9" style="26" customWidth="1"/>
    <col min="11267" max="11268" width="9.90625" style="26" customWidth="1"/>
    <col min="11269" max="11269" width="11.08984375" style="26" customWidth="1"/>
    <col min="11270" max="11270" width="2.90625" style="26" customWidth="1"/>
    <col min="11271" max="11271" width="3.54296875" style="26" customWidth="1"/>
    <col min="11272" max="11516" width="9.08984375" style="26"/>
    <col min="11517" max="11517" width="8.6328125" style="26" customWidth="1"/>
    <col min="11518" max="11518" width="9.90625" style="26" customWidth="1"/>
    <col min="11519" max="11519" width="14.453125" style="26" customWidth="1"/>
    <col min="11520" max="11520" width="7.36328125" style="26" customWidth="1"/>
    <col min="11521" max="11521" width="5.54296875" style="26" customWidth="1"/>
    <col min="11522" max="11522" width="9" style="26" customWidth="1"/>
    <col min="11523" max="11524" width="9.90625" style="26" customWidth="1"/>
    <col min="11525" max="11525" width="11.08984375" style="26" customWidth="1"/>
    <col min="11526" max="11526" width="2.90625" style="26" customWidth="1"/>
    <col min="11527" max="11527" width="3.54296875" style="26" customWidth="1"/>
    <col min="11528" max="11772" width="9.08984375" style="26"/>
    <col min="11773" max="11773" width="8.6328125" style="26" customWidth="1"/>
    <col min="11774" max="11774" width="9.90625" style="26" customWidth="1"/>
    <col min="11775" max="11775" width="14.453125" style="26" customWidth="1"/>
    <col min="11776" max="11776" width="7.36328125" style="26" customWidth="1"/>
    <col min="11777" max="11777" width="5.54296875" style="26" customWidth="1"/>
    <col min="11778" max="11778" width="9" style="26" customWidth="1"/>
    <col min="11779" max="11780" width="9.90625" style="26" customWidth="1"/>
    <col min="11781" max="11781" width="11.08984375" style="26" customWidth="1"/>
    <col min="11782" max="11782" width="2.90625" style="26" customWidth="1"/>
    <col min="11783" max="11783" width="3.54296875" style="26" customWidth="1"/>
    <col min="11784" max="12028" width="9.08984375" style="26"/>
    <col min="12029" max="12029" width="8.6328125" style="26" customWidth="1"/>
    <col min="12030" max="12030" width="9.90625" style="26" customWidth="1"/>
    <col min="12031" max="12031" width="14.453125" style="26" customWidth="1"/>
    <col min="12032" max="12032" width="7.36328125" style="26" customWidth="1"/>
    <col min="12033" max="12033" width="5.54296875" style="26" customWidth="1"/>
    <col min="12034" max="12034" width="9" style="26" customWidth="1"/>
    <col min="12035" max="12036" width="9.90625" style="26" customWidth="1"/>
    <col min="12037" max="12037" width="11.08984375" style="26" customWidth="1"/>
    <col min="12038" max="12038" width="2.90625" style="26" customWidth="1"/>
    <col min="12039" max="12039" width="3.54296875" style="26" customWidth="1"/>
    <col min="12040" max="12284" width="9.08984375" style="26"/>
    <col min="12285" max="12285" width="8.6328125" style="26" customWidth="1"/>
    <col min="12286" max="12286" width="9.90625" style="26" customWidth="1"/>
    <col min="12287" max="12287" width="14.453125" style="26" customWidth="1"/>
    <col min="12288" max="12288" width="7.36328125" style="26" customWidth="1"/>
    <col min="12289" max="12289" width="5.54296875" style="26" customWidth="1"/>
    <col min="12290" max="12290" width="9" style="26" customWidth="1"/>
    <col min="12291" max="12292" width="9.90625" style="26" customWidth="1"/>
    <col min="12293" max="12293" width="11.08984375" style="26" customWidth="1"/>
    <col min="12294" max="12294" width="2.90625" style="26" customWidth="1"/>
    <col min="12295" max="12295" width="3.54296875" style="26" customWidth="1"/>
    <col min="12296" max="12540" width="9.08984375" style="26"/>
    <col min="12541" max="12541" width="8.6328125" style="26" customWidth="1"/>
    <col min="12542" max="12542" width="9.90625" style="26" customWidth="1"/>
    <col min="12543" max="12543" width="14.453125" style="26" customWidth="1"/>
    <col min="12544" max="12544" width="7.36328125" style="26" customWidth="1"/>
    <col min="12545" max="12545" width="5.54296875" style="26" customWidth="1"/>
    <col min="12546" max="12546" width="9" style="26" customWidth="1"/>
    <col min="12547" max="12548" width="9.90625" style="26" customWidth="1"/>
    <col min="12549" max="12549" width="11.08984375" style="26" customWidth="1"/>
    <col min="12550" max="12550" width="2.90625" style="26" customWidth="1"/>
    <col min="12551" max="12551" width="3.54296875" style="26" customWidth="1"/>
    <col min="12552" max="12796" width="9.08984375" style="26"/>
    <col min="12797" max="12797" width="8.6328125" style="26" customWidth="1"/>
    <col min="12798" max="12798" width="9.90625" style="26" customWidth="1"/>
    <col min="12799" max="12799" width="14.453125" style="26" customWidth="1"/>
    <col min="12800" max="12800" width="7.36328125" style="26" customWidth="1"/>
    <col min="12801" max="12801" width="5.54296875" style="26" customWidth="1"/>
    <col min="12802" max="12802" width="9" style="26" customWidth="1"/>
    <col min="12803" max="12804" width="9.90625" style="26" customWidth="1"/>
    <col min="12805" max="12805" width="11.08984375" style="26" customWidth="1"/>
    <col min="12806" max="12806" width="2.90625" style="26" customWidth="1"/>
    <col min="12807" max="12807" width="3.54296875" style="26" customWidth="1"/>
    <col min="12808" max="13052" width="9.08984375" style="26"/>
    <col min="13053" max="13053" width="8.6328125" style="26" customWidth="1"/>
    <col min="13054" max="13054" width="9.90625" style="26" customWidth="1"/>
    <col min="13055" max="13055" width="14.453125" style="26" customWidth="1"/>
    <col min="13056" max="13056" width="7.36328125" style="26" customWidth="1"/>
    <col min="13057" max="13057" width="5.54296875" style="26" customWidth="1"/>
    <col min="13058" max="13058" width="9" style="26" customWidth="1"/>
    <col min="13059" max="13060" width="9.90625" style="26" customWidth="1"/>
    <col min="13061" max="13061" width="11.08984375" style="26" customWidth="1"/>
    <col min="13062" max="13062" width="2.90625" style="26" customWidth="1"/>
    <col min="13063" max="13063" width="3.54296875" style="26" customWidth="1"/>
    <col min="13064" max="13308" width="9.08984375" style="26"/>
    <col min="13309" max="13309" width="8.6328125" style="26" customWidth="1"/>
    <col min="13310" max="13310" width="9.90625" style="26" customWidth="1"/>
    <col min="13311" max="13311" width="14.453125" style="26" customWidth="1"/>
    <col min="13312" max="13312" width="7.36328125" style="26" customWidth="1"/>
    <col min="13313" max="13313" width="5.54296875" style="26" customWidth="1"/>
    <col min="13314" max="13314" width="9" style="26" customWidth="1"/>
    <col min="13315" max="13316" width="9.90625" style="26" customWidth="1"/>
    <col min="13317" max="13317" width="11.08984375" style="26" customWidth="1"/>
    <col min="13318" max="13318" width="2.90625" style="26" customWidth="1"/>
    <col min="13319" max="13319" width="3.54296875" style="26" customWidth="1"/>
    <col min="13320" max="13564" width="9.08984375" style="26"/>
    <col min="13565" max="13565" width="8.6328125" style="26" customWidth="1"/>
    <col min="13566" max="13566" width="9.90625" style="26" customWidth="1"/>
    <col min="13567" max="13567" width="14.453125" style="26" customWidth="1"/>
    <col min="13568" max="13568" width="7.36328125" style="26" customWidth="1"/>
    <col min="13569" max="13569" width="5.54296875" style="26" customWidth="1"/>
    <col min="13570" max="13570" width="9" style="26" customWidth="1"/>
    <col min="13571" max="13572" width="9.90625" style="26" customWidth="1"/>
    <col min="13573" max="13573" width="11.08984375" style="26" customWidth="1"/>
    <col min="13574" max="13574" width="2.90625" style="26" customWidth="1"/>
    <col min="13575" max="13575" width="3.54296875" style="26" customWidth="1"/>
    <col min="13576" max="13820" width="9.08984375" style="26"/>
    <col min="13821" max="13821" width="8.6328125" style="26" customWidth="1"/>
    <col min="13822" max="13822" width="9.90625" style="26" customWidth="1"/>
    <col min="13823" max="13823" width="14.453125" style="26" customWidth="1"/>
    <col min="13824" max="13824" width="7.36328125" style="26" customWidth="1"/>
    <col min="13825" max="13825" width="5.54296875" style="26" customWidth="1"/>
    <col min="13826" max="13826" width="9" style="26" customWidth="1"/>
    <col min="13827" max="13828" width="9.90625" style="26" customWidth="1"/>
    <col min="13829" max="13829" width="11.08984375" style="26" customWidth="1"/>
    <col min="13830" max="13830" width="2.90625" style="26" customWidth="1"/>
    <col min="13831" max="13831" width="3.54296875" style="26" customWidth="1"/>
    <col min="13832" max="14076" width="9.08984375" style="26"/>
    <col min="14077" max="14077" width="8.6328125" style="26" customWidth="1"/>
    <col min="14078" max="14078" width="9.90625" style="26" customWidth="1"/>
    <col min="14079" max="14079" width="14.453125" style="26" customWidth="1"/>
    <col min="14080" max="14080" width="7.36328125" style="26" customWidth="1"/>
    <col min="14081" max="14081" width="5.54296875" style="26" customWidth="1"/>
    <col min="14082" max="14082" width="9" style="26" customWidth="1"/>
    <col min="14083" max="14084" width="9.90625" style="26" customWidth="1"/>
    <col min="14085" max="14085" width="11.08984375" style="26" customWidth="1"/>
    <col min="14086" max="14086" width="2.90625" style="26" customWidth="1"/>
    <col min="14087" max="14087" width="3.54296875" style="26" customWidth="1"/>
    <col min="14088" max="14332" width="9.08984375" style="26"/>
    <col min="14333" max="14333" width="8.6328125" style="26" customWidth="1"/>
    <col min="14334" max="14334" width="9.90625" style="26" customWidth="1"/>
    <col min="14335" max="14335" width="14.453125" style="26" customWidth="1"/>
    <col min="14336" max="14336" width="7.36328125" style="26" customWidth="1"/>
    <col min="14337" max="14337" width="5.54296875" style="26" customWidth="1"/>
    <col min="14338" max="14338" width="9" style="26" customWidth="1"/>
    <col min="14339" max="14340" width="9.90625" style="26" customWidth="1"/>
    <col min="14341" max="14341" width="11.08984375" style="26" customWidth="1"/>
    <col min="14342" max="14342" width="2.90625" style="26" customWidth="1"/>
    <col min="14343" max="14343" width="3.54296875" style="26" customWidth="1"/>
    <col min="14344" max="14588" width="9.08984375" style="26"/>
    <col min="14589" max="14589" width="8.6328125" style="26" customWidth="1"/>
    <col min="14590" max="14590" width="9.90625" style="26" customWidth="1"/>
    <col min="14591" max="14591" width="14.453125" style="26" customWidth="1"/>
    <col min="14592" max="14592" width="7.36328125" style="26" customWidth="1"/>
    <col min="14593" max="14593" width="5.54296875" style="26" customWidth="1"/>
    <col min="14594" max="14594" width="9" style="26" customWidth="1"/>
    <col min="14595" max="14596" width="9.90625" style="26" customWidth="1"/>
    <col min="14597" max="14597" width="11.08984375" style="26" customWidth="1"/>
    <col min="14598" max="14598" width="2.90625" style="26" customWidth="1"/>
    <col min="14599" max="14599" width="3.54296875" style="26" customWidth="1"/>
    <col min="14600" max="14844" width="9.08984375" style="26"/>
    <col min="14845" max="14845" width="8.6328125" style="26" customWidth="1"/>
    <col min="14846" max="14846" width="9.90625" style="26" customWidth="1"/>
    <col min="14847" max="14847" width="14.453125" style="26" customWidth="1"/>
    <col min="14848" max="14848" width="7.36328125" style="26" customWidth="1"/>
    <col min="14849" max="14849" width="5.54296875" style="26" customWidth="1"/>
    <col min="14850" max="14850" width="9" style="26" customWidth="1"/>
    <col min="14851" max="14852" width="9.90625" style="26" customWidth="1"/>
    <col min="14853" max="14853" width="11.08984375" style="26" customWidth="1"/>
    <col min="14854" max="14854" width="2.90625" style="26" customWidth="1"/>
    <col min="14855" max="14855" width="3.54296875" style="26" customWidth="1"/>
    <col min="14856" max="15100" width="9.08984375" style="26"/>
    <col min="15101" max="15101" width="8.6328125" style="26" customWidth="1"/>
    <col min="15102" max="15102" width="9.90625" style="26" customWidth="1"/>
    <col min="15103" max="15103" width="14.453125" style="26" customWidth="1"/>
    <col min="15104" max="15104" width="7.36328125" style="26" customWidth="1"/>
    <col min="15105" max="15105" width="5.54296875" style="26" customWidth="1"/>
    <col min="15106" max="15106" width="9" style="26" customWidth="1"/>
    <col min="15107" max="15108" width="9.90625" style="26" customWidth="1"/>
    <col min="15109" max="15109" width="11.08984375" style="26" customWidth="1"/>
    <col min="15110" max="15110" width="2.90625" style="26" customWidth="1"/>
    <col min="15111" max="15111" width="3.54296875" style="26" customWidth="1"/>
    <col min="15112" max="15356" width="9.08984375" style="26"/>
    <col min="15357" max="15357" width="8.6328125" style="26" customWidth="1"/>
    <col min="15358" max="15358" width="9.90625" style="26" customWidth="1"/>
    <col min="15359" max="15359" width="14.453125" style="26" customWidth="1"/>
    <col min="15360" max="15360" width="7.36328125" style="26" customWidth="1"/>
    <col min="15361" max="15361" width="5.54296875" style="26" customWidth="1"/>
    <col min="15362" max="15362" width="9" style="26" customWidth="1"/>
    <col min="15363" max="15364" width="9.90625" style="26" customWidth="1"/>
    <col min="15365" max="15365" width="11.08984375" style="26" customWidth="1"/>
    <col min="15366" max="15366" width="2.90625" style="26" customWidth="1"/>
    <col min="15367" max="15367" width="3.54296875" style="26" customWidth="1"/>
    <col min="15368" max="15612" width="9.08984375" style="26"/>
    <col min="15613" max="15613" width="8.6328125" style="26" customWidth="1"/>
    <col min="15614" max="15614" width="9.90625" style="26" customWidth="1"/>
    <col min="15615" max="15615" width="14.453125" style="26" customWidth="1"/>
    <col min="15616" max="15616" width="7.36328125" style="26" customWidth="1"/>
    <col min="15617" max="15617" width="5.54296875" style="26" customWidth="1"/>
    <col min="15618" max="15618" width="9" style="26" customWidth="1"/>
    <col min="15619" max="15620" width="9.90625" style="26" customWidth="1"/>
    <col min="15621" max="15621" width="11.08984375" style="26" customWidth="1"/>
    <col min="15622" max="15622" width="2.90625" style="26" customWidth="1"/>
    <col min="15623" max="15623" width="3.54296875" style="26" customWidth="1"/>
    <col min="15624" max="15868" width="9.08984375" style="26"/>
    <col min="15869" max="15869" width="8.6328125" style="26" customWidth="1"/>
    <col min="15870" max="15870" width="9.90625" style="26" customWidth="1"/>
    <col min="15871" max="15871" width="14.453125" style="26" customWidth="1"/>
    <col min="15872" max="15872" width="7.36328125" style="26" customWidth="1"/>
    <col min="15873" max="15873" width="5.54296875" style="26" customWidth="1"/>
    <col min="15874" max="15874" width="9" style="26" customWidth="1"/>
    <col min="15875" max="15876" width="9.90625" style="26" customWidth="1"/>
    <col min="15877" max="15877" width="11.08984375" style="26" customWidth="1"/>
    <col min="15878" max="15878" width="2.90625" style="26" customWidth="1"/>
    <col min="15879" max="15879" width="3.54296875" style="26" customWidth="1"/>
    <col min="15880" max="16124" width="9.08984375" style="26"/>
    <col min="16125" max="16125" width="8.6328125" style="26" customWidth="1"/>
    <col min="16126" max="16126" width="9.90625" style="26" customWidth="1"/>
    <col min="16127" max="16127" width="14.453125" style="26" customWidth="1"/>
    <col min="16128" max="16128" width="7.36328125" style="26" customWidth="1"/>
    <col min="16129" max="16129" width="5.54296875" style="26" customWidth="1"/>
    <col min="16130" max="16130" width="9" style="26" customWidth="1"/>
    <col min="16131" max="16132" width="9.90625" style="26" customWidth="1"/>
    <col min="16133" max="16133" width="11.08984375" style="26" customWidth="1"/>
    <col min="16134" max="16134" width="2.90625" style="26" customWidth="1"/>
    <col min="16135" max="16135" width="3.54296875" style="26" customWidth="1"/>
    <col min="16136" max="16384" width="9.08984375" style="26"/>
  </cols>
  <sheetData>
    <row r="1" spans="1:8" ht="46.5" customHeight="1">
      <c r="A1" s="151" t="s">
        <v>0</v>
      </c>
      <c r="B1" s="151"/>
      <c r="C1" s="151"/>
      <c r="D1" s="151"/>
      <c r="E1" s="151"/>
      <c r="F1" s="151"/>
      <c r="G1" s="151"/>
      <c r="H1" s="151"/>
    </row>
    <row r="2" spans="1:8" ht="16.5" customHeight="1">
      <c r="A2" s="90" t="s">
        <v>1</v>
      </c>
      <c r="B2" s="90"/>
      <c r="C2" s="90"/>
      <c r="D2" s="90"/>
      <c r="E2" s="90"/>
      <c r="F2" s="90"/>
      <c r="G2" s="90"/>
      <c r="H2" s="90"/>
    </row>
    <row r="3" spans="1:8">
      <c r="A3" s="77" t="s">
        <v>2</v>
      </c>
      <c r="B3" s="77"/>
      <c r="C3" s="77"/>
      <c r="D3" s="77"/>
      <c r="E3" s="152" t="str">
        <f ca="1">TEXT(TODAY(),"DD/MM/YYYY")</f>
        <v>11/09/2025</v>
      </c>
      <c r="F3" s="152"/>
      <c r="G3" s="152"/>
      <c r="H3" s="152"/>
    </row>
    <row r="4" spans="1:8" ht="15" customHeight="1">
      <c r="A4" s="77" t="s">
        <v>3</v>
      </c>
      <c r="B4" s="77"/>
      <c r="C4" s="77"/>
      <c r="D4" s="77"/>
      <c r="E4" s="147" t="s">
        <v>4</v>
      </c>
      <c r="F4" s="147"/>
      <c r="G4" s="147"/>
      <c r="H4" s="147"/>
    </row>
    <row r="5" spans="1:8">
      <c r="A5" s="77" t="s">
        <v>5</v>
      </c>
      <c r="B5" s="77"/>
      <c r="C5" s="77"/>
      <c r="D5" s="77"/>
      <c r="E5" s="152">
        <v>45909</v>
      </c>
      <c r="F5" s="152"/>
      <c r="G5" s="152"/>
      <c r="H5" s="152"/>
    </row>
    <row r="6" spans="1:8" ht="16.5" customHeight="1">
      <c r="A6" s="77" t="s">
        <v>6</v>
      </c>
      <c r="B6" s="77"/>
      <c r="C6" s="77"/>
      <c r="D6" s="77"/>
      <c r="E6" s="66" t="s">
        <v>7</v>
      </c>
      <c r="F6" s="66"/>
      <c r="G6" s="66"/>
      <c r="H6" s="66"/>
    </row>
    <row r="7" spans="1:8" ht="15" customHeight="1">
      <c r="A7" s="77" t="s">
        <v>8</v>
      </c>
      <c r="B7" s="77"/>
      <c r="C7" s="77"/>
      <c r="D7" s="77"/>
      <c r="E7" s="66" t="str">
        <f>E6</f>
        <v>M/s. Ev Homes Constructions Pvt Ltd</v>
      </c>
      <c r="F7" s="66"/>
      <c r="G7" s="66"/>
      <c r="H7" s="66"/>
    </row>
    <row r="8" spans="1:8">
      <c r="A8" s="77" t="s">
        <v>9</v>
      </c>
      <c r="B8" s="77"/>
      <c r="C8" s="77"/>
      <c r="D8" s="77"/>
      <c r="E8" s="105" t="s">
        <v>10</v>
      </c>
      <c r="F8" s="105"/>
      <c r="G8" s="105"/>
      <c r="H8" s="105"/>
    </row>
    <row r="9" spans="1:8">
      <c r="A9" s="77" t="s">
        <v>11</v>
      </c>
      <c r="B9" s="77"/>
      <c r="C9" s="77"/>
      <c r="D9" s="77"/>
      <c r="E9" s="77" t="s">
        <v>12</v>
      </c>
      <c r="F9" s="77"/>
      <c r="G9" s="77"/>
      <c r="H9" s="77"/>
    </row>
    <row r="10" spans="1:8" ht="49.5" customHeight="1">
      <c r="A10" s="67" t="s">
        <v>13</v>
      </c>
      <c r="B10" s="67"/>
      <c r="C10" s="67"/>
      <c r="D10" s="67"/>
      <c r="E10" s="131" t="s">
        <v>14</v>
      </c>
      <c r="F10" s="67"/>
      <c r="G10" s="67"/>
      <c r="H10" s="67"/>
    </row>
    <row r="11" spans="1:8" ht="32.25" customHeight="1">
      <c r="A11" s="77" t="s">
        <v>15</v>
      </c>
      <c r="B11" s="77"/>
      <c r="C11" s="77"/>
      <c r="D11" s="77"/>
      <c r="E11" s="131" t="s">
        <v>16</v>
      </c>
      <c r="F11" s="131"/>
      <c r="G11" s="131"/>
      <c r="H11" s="131"/>
    </row>
    <row r="12" spans="1:8">
      <c r="A12" s="77" t="s">
        <v>17</v>
      </c>
      <c r="B12" s="77"/>
      <c r="C12" s="77"/>
      <c r="D12" s="77"/>
      <c r="E12" s="67" t="s">
        <v>18</v>
      </c>
      <c r="F12" s="67"/>
      <c r="G12" s="67"/>
      <c r="H12" s="67"/>
    </row>
    <row r="13" spans="1:8" ht="34.5" customHeight="1">
      <c r="A13" s="66" t="s">
        <v>19</v>
      </c>
      <c r="B13" s="66"/>
      <c r="C13" s="66" t="str">
        <f>CONCATENATE((IF(OR(E8="",E8="NA"),"",E8)),", ",(IF(OR(A14="",A14="NA"),"",A14)),".",(IF(OR(C14="",C14="NA"),"",C14)),", ",(IF(OR(C15="",C15="NA"),"",C15)),", ",(IF(OR(G15="",G15="NA"),"",G15)),", ",(IF(OR(C16="",C16="NA"),"",C16)),", ",(IF(OR(C17="",C17="NA"),"",C17)),", ",(IF(OR(G16="",G16="NA"),"",G16)),".")</f>
        <v>EV Heart City, Survey No.53 &amp; 54/1C, Internal Road, Mosare, Panvel East, Panvel, Raigad.</v>
      </c>
      <c r="D13" s="66"/>
      <c r="E13" s="66"/>
      <c r="F13" s="66"/>
      <c r="G13" s="66"/>
      <c r="H13" s="66"/>
    </row>
    <row r="14" spans="1:8" ht="15.75" customHeight="1">
      <c r="A14" s="131" t="s">
        <v>20</v>
      </c>
      <c r="B14" s="131"/>
      <c r="C14" s="131" t="s">
        <v>21</v>
      </c>
      <c r="D14" s="131"/>
      <c r="E14" s="131"/>
      <c r="F14" s="131"/>
      <c r="G14" s="131"/>
      <c r="H14" s="131"/>
    </row>
    <row r="15" spans="1:8" ht="15.75" customHeight="1">
      <c r="A15" s="66" t="s">
        <v>22</v>
      </c>
      <c r="B15" s="66"/>
      <c r="C15" s="67" t="s">
        <v>23</v>
      </c>
      <c r="D15" s="67"/>
      <c r="E15" s="66" t="s">
        <v>24</v>
      </c>
      <c r="F15" s="66"/>
      <c r="G15" s="131" t="s">
        <v>25</v>
      </c>
      <c r="H15" s="131"/>
    </row>
    <row r="16" spans="1:8">
      <c r="A16" s="77" t="s">
        <v>26</v>
      </c>
      <c r="B16" s="77"/>
      <c r="C16" s="131" t="s">
        <v>27</v>
      </c>
      <c r="D16" s="131"/>
      <c r="E16" s="66" t="s">
        <v>28</v>
      </c>
      <c r="F16" s="66"/>
      <c r="G16" s="150" t="s">
        <v>29</v>
      </c>
      <c r="H16" s="150"/>
    </row>
    <row r="17" spans="1:8">
      <c r="A17" s="77" t="s">
        <v>30</v>
      </c>
      <c r="B17" s="77"/>
      <c r="C17" s="131" t="s">
        <v>31</v>
      </c>
      <c r="D17" s="131"/>
      <c r="E17" s="66" t="s">
        <v>32</v>
      </c>
      <c r="F17" s="66"/>
      <c r="G17" s="131">
        <v>410221</v>
      </c>
      <c r="H17" s="131"/>
    </row>
    <row r="18" spans="1:8" ht="48" customHeight="1">
      <c r="A18" s="77" t="s">
        <v>33</v>
      </c>
      <c r="B18" s="77"/>
      <c r="C18" s="108" t="s">
        <v>34</v>
      </c>
      <c r="D18" s="108"/>
      <c r="E18" s="66" t="s">
        <v>35</v>
      </c>
      <c r="F18" s="66"/>
      <c r="G18" s="131" t="s">
        <v>36</v>
      </c>
      <c r="H18" s="131"/>
    </row>
    <row r="19" spans="1:8" ht="15" customHeight="1">
      <c r="A19" s="66" t="s">
        <v>37</v>
      </c>
      <c r="B19" s="66"/>
      <c r="C19" s="66"/>
      <c r="D19" s="66"/>
      <c r="E19" s="67" t="s">
        <v>38</v>
      </c>
      <c r="F19" s="67"/>
      <c r="G19" s="67"/>
      <c r="H19" s="67"/>
    </row>
    <row r="20" spans="1:8" ht="18.75" customHeight="1">
      <c r="A20" s="66"/>
      <c r="B20" s="66"/>
      <c r="C20" s="66"/>
      <c r="D20" s="66"/>
      <c r="E20" s="67"/>
      <c r="F20" s="67"/>
      <c r="G20" s="67"/>
      <c r="H20" s="67"/>
    </row>
    <row r="21" spans="1:8" ht="15" customHeight="1">
      <c r="A21" s="66" t="s">
        <v>39</v>
      </c>
      <c r="B21" s="66"/>
      <c r="C21" s="66"/>
      <c r="D21" s="66"/>
      <c r="E21" s="131" t="s">
        <v>40</v>
      </c>
      <c r="F21" s="131"/>
      <c r="G21" s="131"/>
      <c r="H21" s="131"/>
    </row>
    <row r="22" spans="1:8" ht="15" customHeight="1">
      <c r="A22" s="77" t="s">
        <v>41</v>
      </c>
      <c r="B22" s="77"/>
      <c r="C22" s="77"/>
      <c r="D22" s="77"/>
      <c r="E22" s="131" t="s">
        <v>42</v>
      </c>
      <c r="F22" s="131"/>
      <c r="G22" s="131"/>
      <c r="H22" s="131"/>
    </row>
    <row r="23" spans="1:8">
      <c r="A23" s="77" t="s">
        <v>43</v>
      </c>
      <c r="B23" s="77"/>
      <c r="C23" s="77"/>
      <c r="D23" s="77"/>
      <c r="E23" s="131" t="s">
        <v>44</v>
      </c>
      <c r="F23" s="131"/>
      <c r="G23" s="131"/>
      <c r="H23" s="131"/>
    </row>
    <row r="24" spans="1:8">
      <c r="A24" s="77" t="s">
        <v>45</v>
      </c>
      <c r="B24" s="77"/>
      <c r="C24" s="77"/>
      <c r="D24" s="77"/>
      <c r="E24" s="131" t="s">
        <v>46</v>
      </c>
      <c r="F24" s="131"/>
      <c r="G24" s="131"/>
      <c r="H24" s="131"/>
    </row>
    <row r="25" spans="1:8">
      <c r="A25" s="77" t="s">
        <v>47</v>
      </c>
      <c r="B25" s="77"/>
      <c r="C25" s="77"/>
      <c r="D25" s="77"/>
      <c r="E25" s="131" t="s">
        <v>48</v>
      </c>
      <c r="F25" s="131"/>
      <c r="G25" s="131"/>
      <c r="H25" s="131"/>
    </row>
    <row r="26" spans="1:8">
      <c r="A26" s="77" t="s">
        <v>49</v>
      </c>
      <c r="B26" s="77"/>
      <c r="C26" s="77"/>
      <c r="D26" s="77"/>
      <c r="E26" s="131" t="s">
        <v>50</v>
      </c>
      <c r="F26" s="131"/>
      <c r="G26" s="131"/>
      <c r="H26" s="131"/>
    </row>
    <row r="27" spans="1:8" ht="15" customHeight="1">
      <c r="A27" s="66" t="s">
        <v>51</v>
      </c>
      <c r="B27" s="66"/>
      <c r="C27" s="66"/>
      <c r="D27" s="66"/>
      <c r="E27" s="147" t="s">
        <v>52</v>
      </c>
      <c r="F27" s="147"/>
      <c r="G27" s="147"/>
      <c r="H27" s="147"/>
    </row>
    <row r="28" spans="1:8">
      <c r="A28" s="66" t="s">
        <v>53</v>
      </c>
      <c r="B28" s="66"/>
      <c r="C28" s="66"/>
      <c r="D28" s="66"/>
      <c r="E28" s="66" t="s">
        <v>54</v>
      </c>
      <c r="F28" s="66"/>
      <c r="G28" s="66"/>
      <c r="H28" s="66"/>
    </row>
    <row r="29" spans="1:8" s="17" customFormat="1">
      <c r="A29" s="148" t="s">
        <v>55</v>
      </c>
      <c r="B29" s="148"/>
      <c r="C29" s="149" t="s">
        <v>56</v>
      </c>
      <c r="D29" s="149"/>
      <c r="E29" s="149"/>
      <c r="F29" s="149" t="s">
        <v>57</v>
      </c>
      <c r="G29" s="149"/>
      <c r="H29" s="149"/>
    </row>
    <row r="30" spans="1:8" s="17" customFormat="1">
      <c r="A30" s="142" t="s">
        <v>58</v>
      </c>
      <c r="B30" s="142" t="s">
        <v>59</v>
      </c>
      <c r="C30" s="113" t="s">
        <v>59</v>
      </c>
      <c r="D30" s="113"/>
      <c r="E30" s="113"/>
      <c r="F30" s="113" t="s">
        <v>22</v>
      </c>
      <c r="G30" s="113"/>
      <c r="H30" s="113"/>
    </row>
    <row r="31" spans="1:8">
      <c r="A31" s="142" t="s">
        <v>60</v>
      </c>
      <c r="B31" s="142" t="s">
        <v>59</v>
      </c>
      <c r="C31" s="113" t="s">
        <v>59</v>
      </c>
      <c r="D31" s="113"/>
      <c r="E31" s="113"/>
      <c r="F31" s="113" t="s">
        <v>61</v>
      </c>
      <c r="G31" s="113"/>
      <c r="H31" s="113"/>
    </row>
    <row r="32" spans="1:8" s="17" customFormat="1">
      <c r="A32" s="142" t="s">
        <v>62</v>
      </c>
      <c r="B32" s="142" t="s">
        <v>59</v>
      </c>
      <c r="C32" s="113" t="s">
        <v>59</v>
      </c>
      <c r="D32" s="113"/>
      <c r="E32" s="113"/>
      <c r="F32" s="113" t="s">
        <v>22</v>
      </c>
      <c r="G32" s="113"/>
      <c r="H32" s="113"/>
    </row>
    <row r="33" spans="1:8">
      <c r="A33" s="142" t="s">
        <v>63</v>
      </c>
      <c r="B33" s="142" t="s">
        <v>59</v>
      </c>
      <c r="C33" s="113" t="s">
        <v>59</v>
      </c>
      <c r="D33" s="113"/>
      <c r="E33" s="113"/>
      <c r="F33" s="113" t="s">
        <v>64</v>
      </c>
      <c r="G33" s="113"/>
      <c r="H33" s="113"/>
    </row>
    <row r="34" spans="1:8">
      <c r="A34" s="77" t="s">
        <v>65</v>
      </c>
      <c r="B34" s="77"/>
      <c r="C34" s="77"/>
      <c r="D34" s="77"/>
      <c r="E34" s="77"/>
      <c r="F34" s="77"/>
      <c r="G34" s="77"/>
      <c r="H34" s="77"/>
    </row>
    <row r="35" spans="1:8" ht="15.75" customHeight="1">
      <c r="A35" s="90" t="s">
        <v>66</v>
      </c>
      <c r="B35" s="90"/>
      <c r="C35" s="143" t="s">
        <v>67</v>
      </c>
      <c r="D35" s="144"/>
      <c r="E35" s="144"/>
      <c r="F35" s="144"/>
      <c r="G35" s="144"/>
      <c r="H35" s="145"/>
    </row>
    <row r="36" spans="1:8" ht="15.75" customHeight="1">
      <c r="A36" s="90" t="s">
        <v>68</v>
      </c>
      <c r="B36" s="90"/>
      <c r="C36" s="146" t="s">
        <v>69</v>
      </c>
      <c r="D36" s="144"/>
      <c r="E36" s="144"/>
      <c r="F36" s="144"/>
      <c r="G36" s="144"/>
      <c r="H36" s="145"/>
    </row>
    <row r="37" spans="1:8">
      <c r="A37" s="105" t="s">
        <v>70</v>
      </c>
      <c r="B37" s="105"/>
      <c r="C37" s="105"/>
      <c r="D37" s="105"/>
      <c r="E37" s="105"/>
      <c r="F37" s="105"/>
      <c r="G37" s="105"/>
      <c r="H37" s="105"/>
    </row>
    <row r="38" spans="1:8">
      <c r="A38" s="77" t="s">
        <v>71</v>
      </c>
      <c r="B38" s="77"/>
      <c r="C38" s="77"/>
      <c r="D38" s="77"/>
      <c r="E38" s="139">
        <v>4000</v>
      </c>
      <c r="F38" s="139"/>
      <c r="G38" s="139"/>
      <c r="H38" s="139"/>
    </row>
    <row r="39" spans="1:8">
      <c r="A39" s="77" t="s">
        <v>72</v>
      </c>
      <c r="B39" s="77"/>
      <c r="C39" s="77"/>
      <c r="D39" s="77"/>
      <c r="E39" s="140">
        <v>1</v>
      </c>
      <c r="F39" s="140"/>
      <c r="G39" s="140"/>
      <c r="H39" s="140"/>
    </row>
    <row r="40" spans="1:8">
      <c r="A40" s="77" t="s">
        <v>73</v>
      </c>
      <c r="B40" s="77"/>
      <c r="C40" s="77"/>
      <c r="D40" s="77"/>
      <c r="E40" s="140">
        <f>E42/E38-E39</f>
        <v>-1.387525E-2</v>
      </c>
      <c r="F40" s="140"/>
      <c r="G40" s="140"/>
      <c r="H40" s="140"/>
    </row>
    <row r="41" spans="1:8">
      <c r="A41" s="77" t="s">
        <v>74</v>
      </c>
      <c r="B41" s="77"/>
      <c r="C41" s="77"/>
      <c r="D41" s="77"/>
      <c r="E41" s="140">
        <f>E39+E40</f>
        <v>0.98612474999999999</v>
      </c>
      <c r="F41" s="140"/>
      <c r="G41" s="140"/>
      <c r="H41" s="140"/>
    </row>
    <row r="42" spans="1:8">
      <c r="A42" s="77" t="s">
        <v>75</v>
      </c>
      <c r="B42" s="77"/>
      <c r="C42" s="77"/>
      <c r="D42" s="77"/>
      <c r="E42" s="141">
        <v>3944.4989999999998</v>
      </c>
      <c r="F42" s="141"/>
      <c r="G42" s="141"/>
      <c r="H42" s="141"/>
    </row>
    <row r="43" spans="1:8">
      <c r="A43" s="67" t="s">
        <v>76</v>
      </c>
      <c r="B43" s="67"/>
      <c r="C43" s="67"/>
      <c r="D43" s="67"/>
      <c r="E43" s="67" t="s">
        <v>77</v>
      </c>
      <c r="F43" s="67"/>
      <c r="G43" s="67"/>
      <c r="H43" s="67"/>
    </row>
    <row r="44" spans="1:8">
      <c r="A44" s="105" t="s">
        <v>78</v>
      </c>
      <c r="B44" s="105"/>
      <c r="C44" s="105"/>
      <c r="D44" s="105"/>
      <c r="E44" s="105"/>
      <c r="F44" s="105"/>
      <c r="G44" s="105"/>
      <c r="H44" s="105"/>
    </row>
    <row r="45" spans="1:8" ht="32.25" customHeight="1">
      <c r="A45" s="66" t="s">
        <v>79</v>
      </c>
      <c r="B45" s="66"/>
      <c r="C45" s="108" t="s">
        <v>80</v>
      </c>
      <c r="D45" s="108"/>
      <c r="E45" s="108"/>
      <c r="F45" s="28" t="s">
        <v>81</v>
      </c>
      <c r="G45" s="131" t="s">
        <v>82</v>
      </c>
      <c r="H45" s="131"/>
    </row>
    <row r="46" spans="1:8" ht="31.5" customHeight="1">
      <c r="A46" s="66" t="s">
        <v>83</v>
      </c>
      <c r="B46" s="66"/>
      <c r="C46" s="108" t="str">
        <f>C45</f>
        <v>CIDCO/NAINA/PANVEL//Mosare/BP-00504/CC/2019/0021</v>
      </c>
      <c r="D46" s="108"/>
      <c r="E46" s="108"/>
      <c r="F46" s="28" t="s">
        <v>81</v>
      </c>
      <c r="G46" s="131" t="str">
        <f>G45</f>
        <v>06/01/2020.</v>
      </c>
      <c r="H46" s="131"/>
    </row>
    <row r="47" spans="1:8" s="18" customFormat="1" ht="31.5" customHeight="1">
      <c r="A47" s="131" t="s">
        <v>84</v>
      </c>
      <c r="B47" s="131"/>
      <c r="C47" s="108" t="str">
        <f>C46</f>
        <v>CIDCO/NAINA/PANVEL//Mosare/BP-00504/CC/2019/0021</v>
      </c>
      <c r="D47" s="106"/>
      <c r="E47" s="106"/>
      <c r="F47" s="29" t="s">
        <v>81</v>
      </c>
      <c r="G47" s="106" t="str">
        <f>G46</f>
        <v>06/01/2020.</v>
      </c>
      <c r="H47" s="106"/>
    </row>
    <row r="48" spans="1:8" s="18" customFormat="1" ht="66.75" customHeight="1">
      <c r="A48" s="131"/>
      <c r="B48" s="131"/>
      <c r="C48" s="132" t="s">
        <v>85</v>
      </c>
      <c r="D48" s="133"/>
      <c r="E48" s="133"/>
      <c r="F48" s="133"/>
      <c r="G48" s="133"/>
      <c r="H48" s="134"/>
    </row>
    <row r="49" spans="1:11">
      <c r="A49" s="135" t="s">
        <v>86</v>
      </c>
      <c r="B49" s="135"/>
      <c r="C49" s="136" t="s">
        <v>87</v>
      </c>
      <c r="D49" s="111"/>
      <c r="E49" s="111" t="s">
        <v>88</v>
      </c>
      <c r="F49" s="30" t="s">
        <v>81</v>
      </c>
      <c r="G49" s="121" t="s">
        <v>59</v>
      </c>
      <c r="H49" s="137"/>
    </row>
    <row r="50" spans="1:11">
      <c r="A50" s="138" t="s">
        <v>89</v>
      </c>
      <c r="B50" s="138"/>
      <c r="C50" s="138"/>
      <c r="D50" s="138"/>
      <c r="E50" s="138"/>
      <c r="F50" s="138"/>
      <c r="G50" s="138"/>
      <c r="H50" s="138"/>
    </row>
    <row r="51" spans="1:11">
      <c r="A51" s="66" t="s">
        <v>90</v>
      </c>
      <c r="B51" s="66"/>
      <c r="C51" s="66"/>
      <c r="D51" s="77">
        <f>E42</f>
        <v>3944.4989999999998</v>
      </c>
      <c r="E51" s="77"/>
      <c r="F51" s="77"/>
      <c r="G51" s="77"/>
      <c r="H51" s="77"/>
    </row>
    <row r="52" spans="1:11">
      <c r="A52" s="131" t="s">
        <v>91</v>
      </c>
      <c r="B52" s="67"/>
      <c r="C52" s="67"/>
      <c r="D52" s="67" t="s">
        <v>92</v>
      </c>
      <c r="E52" s="67"/>
      <c r="F52" s="67"/>
      <c r="G52" s="67"/>
      <c r="H52" s="67"/>
    </row>
    <row r="53" spans="1:11" ht="50.25" customHeight="1">
      <c r="A53" s="131" t="s">
        <v>93</v>
      </c>
      <c r="B53" s="67"/>
      <c r="C53" s="67"/>
      <c r="D53" s="131" t="s">
        <v>94</v>
      </c>
      <c r="E53" s="67"/>
      <c r="F53" s="67"/>
      <c r="G53" s="67"/>
      <c r="H53" s="67"/>
    </row>
    <row r="54" spans="1:11" ht="48.75" customHeight="1">
      <c r="A54" s="131" t="s">
        <v>95</v>
      </c>
      <c r="B54" s="67"/>
      <c r="C54" s="67"/>
      <c r="D54" s="131" t="s">
        <v>94</v>
      </c>
      <c r="E54" s="67"/>
      <c r="F54" s="67"/>
      <c r="G54" s="67"/>
      <c r="H54" s="67"/>
    </row>
    <row r="55" spans="1:11" ht="15.75" customHeight="1">
      <c r="A55" s="77" t="s">
        <v>96</v>
      </c>
      <c r="B55" s="77"/>
      <c r="C55" s="77"/>
      <c r="D55" s="66" t="s">
        <v>97</v>
      </c>
      <c r="E55" s="66"/>
      <c r="F55" s="66"/>
      <c r="G55" s="66"/>
      <c r="H55" s="66"/>
    </row>
    <row r="56" spans="1:11" ht="15.75" customHeight="1">
      <c r="A56" s="77" t="s">
        <v>98</v>
      </c>
      <c r="B56" s="77"/>
      <c r="C56" s="77"/>
      <c r="D56" s="66" t="s">
        <v>99</v>
      </c>
      <c r="E56" s="66"/>
      <c r="F56" s="66"/>
      <c r="G56" s="66"/>
      <c r="H56" s="66"/>
    </row>
    <row r="57" spans="1:11" ht="15.75" customHeight="1">
      <c r="A57" s="77" t="s">
        <v>100</v>
      </c>
      <c r="B57" s="77"/>
      <c r="C57" s="77"/>
      <c r="D57" s="66" t="s">
        <v>48</v>
      </c>
      <c r="E57" s="66"/>
      <c r="F57" s="66"/>
      <c r="G57" s="66"/>
      <c r="H57" s="66"/>
      <c r="J57" s="37"/>
      <c r="K57" s="37"/>
    </row>
    <row r="58" spans="1:11" ht="15.75" customHeight="1">
      <c r="A58" s="129" t="s">
        <v>101</v>
      </c>
      <c r="B58" s="129"/>
      <c r="C58" s="129"/>
      <c r="D58" s="130" t="s">
        <v>102</v>
      </c>
      <c r="E58" s="130"/>
      <c r="F58" s="130"/>
      <c r="G58" s="130"/>
      <c r="H58" s="130"/>
      <c r="J58" s="37"/>
      <c r="K58" s="37"/>
    </row>
    <row r="59" spans="1:11" customFormat="1" ht="16.5" customHeight="1">
      <c r="A59" s="127" t="s">
        <v>103</v>
      </c>
      <c r="B59" s="128"/>
      <c r="C59" s="117" t="s">
        <v>104</v>
      </c>
      <c r="D59" s="118"/>
      <c r="E59" s="118"/>
      <c r="F59" s="118"/>
      <c r="G59" s="118"/>
      <c r="H59" s="119"/>
      <c r="I59" s="38" t="str">
        <f ca="1">(IF(E63&gt;99%,"All work completed. Please provide OC.",IF(E63&gt;89.8%,"Plinth, RCC, Brick, Plaster, Flooring, Painting work Completed. Finishing work is in process.",IF(E63&lt;94%,(IF(C63=0,"Work not yet Started.",IF(D63=25%,"Piling work in process",IF(D63=50%,"Excavation work in process",IF(D63=100%,"Excavation work Completed. ","0")))&amp;(IF(C64=0%,"",IF(C64=J65,"Footing work is process",IF(C64=J66,"Footing work Completed",IF(C64=J67,"1st Basement Completed",IF(C64=J68,"1st &amp; 2nd Basement Completed",IF(C64=J69,"1st to 3rd Basement Completed",IF(C64=J70,"1st to 4th Basement Completed",IF(C64=J71,"Plinth work is process",IF(C64=J72,"Plinth work completed","0")))))))))))&amp;(IF(C65=(D60+F60+H60),", RCC Slab",IF(C65&gt;0,", RCC upto "&amp;C65&amp;" Slab",""))&amp;(IF(C66=H60,", Brickwork",IF(C66&gt;0,", Brickwork upto "&amp;C66&amp;" Floor",""))&amp;(IF(C67=H60,", Internal Plaster",IF(C67&gt;0,", Internal Plaster upto "&amp;C67&amp;" Floor",""))&amp;(IF(C68=H60,", External Plaster",IF(C68&gt;0,", External Plaster upto "&amp;C68&amp;" Floor",""))&amp;(IF(C69=H60,", Flooring",IF(C69&gt;0,", Flooring upto "&amp;C69&amp;" Floor",""))&amp;(IF(C70=H60,", Painting",IF(C70&gt;0,", Painting upto "&amp;C70&amp;" Floor",""))&amp;(IF(C71&gt;0,", Finishing upto "&amp;C71&amp;" Floor","")&amp;(IF(C65&gt;0.5," Completed",""))))))))))))))</f>
        <v>Plinth, RCC, Brick, Plaster, Flooring, Painting work Completed. Finishing work is in process.</v>
      </c>
      <c r="J59" s="39"/>
    </row>
    <row r="60" spans="1:11" customFormat="1">
      <c r="A60" s="31" t="s">
        <v>105</v>
      </c>
      <c r="B60" s="27">
        <v>0</v>
      </c>
      <c r="C60" s="27" t="s">
        <v>106</v>
      </c>
      <c r="D60" s="27">
        <v>1</v>
      </c>
      <c r="E60" s="27" t="s">
        <v>107</v>
      </c>
      <c r="F60" s="27">
        <v>0</v>
      </c>
      <c r="G60" s="27" t="s">
        <v>108</v>
      </c>
      <c r="H60" s="32">
        <f ca="1">--TRIM(RIGHT(SUBSTITUTE(LEFT(C59,_xlfn.AGGREGATE(16,6,FIND({0,1,2,3,4,5,6,7,8,9},C59,ROW(INDIRECT("1:"&amp;LEN(C59)))),1))," ",REPT(" ",LEN(C59))),LEN(C59)))</f>
        <v>4</v>
      </c>
      <c r="I60" s="37"/>
      <c r="J60" s="40"/>
    </row>
    <row r="61" spans="1:11" customFormat="1" ht="33" customHeight="1">
      <c r="A61" s="120" t="s">
        <v>109</v>
      </c>
      <c r="B61" s="109"/>
      <c r="C61" s="121" t="str">
        <f ca="1">I59</f>
        <v>Plinth, RCC, Brick, Plaster, Flooring, Painting work Completed. Finishing work is in process.</v>
      </c>
      <c r="D61" s="122"/>
      <c r="E61" s="122"/>
      <c r="F61" s="122"/>
      <c r="G61" s="122"/>
      <c r="H61" s="123"/>
      <c r="I61" s="37" t="s">
        <v>110</v>
      </c>
      <c r="J61" s="40"/>
    </row>
    <row r="62" spans="1:11" customFormat="1" ht="31">
      <c r="A62" s="112" t="s">
        <v>111</v>
      </c>
      <c r="B62" s="113"/>
      <c r="C62" s="33" t="s">
        <v>112</v>
      </c>
      <c r="D62" s="33" t="s">
        <v>113</v>
      </c>
      <c r="E62" s="124" t="s">
        <v>114</v>
      </c>
      <c r="F62" s="125"/>
      <c r="G62" s="124" t="s">
        <v>115</v>
      </c>
      <c r="H62" s="126"/>
      <c r="I62" s="41" t="s">
        <v>116</v>
      </c>
      <c r="J62" s="42">
        <f ca="1">H60*25%</f>
        <v>1</v>
      </c>
    </row>
    <row r="63" spans="1:11" customFormat="1">
      <c r="A63" s="112" t="s">
        <v>117</v>
      </c>
      <c r="B63" s="113"/>
      <c r="C63" s="34">
        <f ca="1">J64</f>
        <v>4</v>
      </c>
      <c r="D63" s="35">
        <f ca="1">((100/H60)*C63)/100</f>
        <v>1</v>
      </c>
      <c r="E63" s="68">
        <f ca="1">(((C64/H60*10)+(40/(D60+F60+H60)*C65)+(7.5/(H60)*C66)+(7.5/(H60)*C67)+(10/H60*C68)+(10/H60*C69)+(5/H60*C70)+(5/H60*C71)+(5/H60*C72))/100)</f>
        <v>0.94374999999999998</v>
      </c>
      <c r="F63" s="69"/>
      <c r="G63" s="68">
        <f ca="1">((((C63/H60)*20)+((C64/H60)*25)+(30/(H60+F60+D60)*C65)+(5/H60*C66)+(5/H60*C67)+(5/H60*C68)+(5/H60*C69)+(0/H60*C70)+(0/H60*C71)+(5/H60*C72))/100)</f>
        <v>0.95</v>
      </c>
      <c r="H63" s="74"/>
      <c r="I63" s="41" t="s">
        <v>118</v>
      </c>
      <c r="J63" s="43">
        <f ca="1">H60*50%</f>
        <v>2</v>
      </c>
    </row>
    <row r="64" spans="1:11" customFormat="1">
      <c r="A64" s="112" t="s">
        <v>119</v>
      </c>
      <c r="B64" s="113"/>
      <c r="C64" s="36">
        <f ca="1">J72</f>
        <v>4</v>
      </c>
      <c r="D64" s="35">
        <f ca="1">((100/H60)*C64)/100</f>
        <v>1</v>
      </c>
      <c r="E64" s="70"/>
      <c r="F64" s="71"/>
      <c r="G64" s="70"/>
      <c r="H64" s="75"/>
      <c r="I64" s="41" t="s">
        <v>120</v>
      </c>
      <c r="J64" s="43">
        <f ca="1">H60</f>
        <v>4</v>
      </c>
    </row>
    <row r="65" spans="1:14" customFormat="1">
      <c r="A65" s="112" t="s">
        <v>121</v>
      </c>
      <c r="B65" s="113"/>
      <c r="C65" s="36">
        <v>5</v>
      </c>
      <c r="D65" s="35">
        <f ca="1">((100/(D60+F60+H60))*C65)/100</f>
        <v>1</v>
      </c>
      <c r="E65" s="70"/>
      <c r="F65" s="71"/>
      <c r="G65" s="70"/>
      <c r="H65" s="75"/>
      <c r="I65" s="41" t="s">
        <v>122</v>
      </c>
      <c r="J65" s="47">
        <f ca="1">(IF(B60&gt;1,(H60/(B60+2)),H60/4))</f>
        <v>1</v>
      </c>
      <c r="L65" s="48"/>
    </row>
    <row r="66" spans="1:14" customFormat="1" ht="15.75" customHeight="1">
      <c r="A66" s="112" t="s">
        <v>123</v>
      </c>
      <c r="B66" s="113" t="s">
        <v>124</v>
      </c>
      <c r="C66" s="34">
        <v>4</v>
      </c>
      <c r="D66" s="35">
        <f ca="1">((100/H60)*C66)/100</f>
        <v>1</v>
      </c>
      <c r="E66" s="70"/>
      <c r="F66" s="71"/>
      <c r="G66" s="70"/>
      <c r="H66" s="75"/>
      <c r="I66" s="41" t="s">
        <v>125</v>
      </c>
      <c r="J66" s="47">
        <f ca="1">(IF(B60&gt;1,(H60/(B60+2)+J65),H60/4+J65))</f>
        <v>2</v>
      </c>
      <c r="L66" s="48"/>
    </row>
    <row r="67" spans="1:14" customFormat="1" ht="15.75" customHeight="1">
      <c r="A67" s="112" t="s">
        <v>126</v>
      </c>
      <c r="B67" s="113" t="s">
        <v>124</v>
      </c>
      <c r="C67" s="34">
        <v>4</v>
      </c>
      <c r="D67" s="35">
        <f ca="1">((100/H60)*C67)/100</f>
        <v>1</v>
      </c>
      <c r="E67" s="70"/>
      <c r="F67" s="71"/>
      <c r="G67" s="70"/>
      <c r="H67" s="75"/>
      <c r="I67" s="41" t="s">
        <v>127</v>
      </c>
      <c r="J67" s="47">
        <f>(IF(B60&gt;1,(H60/(B60+2)+J66),0))</f>
        <v>0</v>
      </c>
      <c r="L67" s="49"/>
      <c r="N67" s="48"/>
    </row>
    <row r="68" spans="1:14" customFormat="1" ht="15.75" customHeight="1">
      <c r="A68" s="112" t="s">
        <v>128</v>
      </c>
      <c r="B68" s="113" t="s">
        <v>129</v>
      </c>
      <c r="C68" s="34">
        <v>4</v>
      </c>
      <c r="D68" s="35">
        <f ca="1">((100/(H60))*C68)/100</f>
        <v>1</v>
      </c>
      <c r="E68" s="70"/>
      <c r="F68" s="71"/>
      <c r="G68" s="70"/>
      <c r="H68" s="75"/>
      <c r="I68" s="41" t="s">
        <v>130</v>
      </c>
      <c r="J68" s="47">
        <f>(IF(B60&gt;2,(H60/(B60+2)+J67),0))</f>
        <v>0</v>
      </c>
      <c r="K68" s="50"/>
      <c r="L68" s="49"/>
    </row>
    <row r="69" spans="1:14" customFormat="1" ht="15.75" customHeight="1">
      <c r="A69" s="112" t="s">
        <v>131</v>
      </c>
      <c r="B69" s="113" t="s">
        <v>131</v>
      </c>
      <c r="C69" s="34">
        <v>4</v>
      </c>
      <c r="D69" s="35">
        <f ca="1">((100/H60)*C69)/100</f>
        <v>1</v>
      </c>
      <c r="E69" s="70"/>
      <c r="F69" s="71"/>
      <c r="G69" s="70"/>
      <c r="H69" s="75"/>
      <c r="I69" s="41" t="s">
        <v>132</v>
      </c>
      <c r="J69" s="51">
        <f>(IF(B60&gt;3,(H60/(B60+2)+J68),0))</f>
        <v>0</v>
      </c>
      <c r="K69" s="50"/>
      <c r="L69" s="49"/>
    </row>
    <row r="70" spans="1:14" customFormat="1" ht="15.75" customHeight="1">
      <c r="A70" s="112" t="s">
        <v>133</v>
      </c>
      <c r="B70" s="113"/>
      <c r="C70" s="34">
        <v>4</v>
      </c>
      <c r="D70" s="35">
        <f ca="1">((100/H60)*C70)/100</f>
        <v>1</v>
      </c>
      <c r="E70" s="70"/>
      <c r="F70" s="71"/>
      <c r="G70" s="70"/>
      <c r="H70" s="75"/>
      <c r="I70" s="41" t="s">
        <v>134</v>
      </c>
      <c r="J70" s="47">
        <f>(IF(B60&gt;4,(H60/(B60+2)+J69),0))</f>
        <v>0</v>
      </c>
      <c r="K70" s="48"/>
      <c r="L70" s="49"/>
    </row>
    <row r="71" spans="1:14" customFormat="1" ht="15.75" customHeight="1">
      <c r="A71" s="112" t="s">
        <v>135</v>
      </c>
      <c r="B71" s="113" t="s">
        <v>135</v>
      </c>
      <c r="C71" s="64">
        <v>3.5</v>
      </c>
      <c r="D71" s="35">
        <f ca="1">((100/(H60))*C71)/100</f>
        <v>0.875</v>
      </c>
      <c r="E71" s="70"/>
      <c r="F71" s="71"/>
      <c r="G71" s="70"/>
      <c r="H71" s="75"/>
      <c r="I71" s="41" t="s">
        <v>136</v>
      </c>
      <c r="J71" s="47">
        <f ca="1">(IF(B60=1,(H60/(B60+3)+J66),IF(B60=0,(H60/4+J66),IF(B60&gt;1,0))))</f>
        <v>3</v>
      </c>
      <c r="K71" s="50"/>
      <c r="L71" s="49"/>
    </row>
    <row r="72" spans="1:14" customFormat="1">
      <c r="A72" s="114" t="s">
        <v>137</v>
      </c>
      <c r="B72" s="115"/>
      <c r="C72" s="45">
        <v>0</v>
      </c>
      <c r="D72" s="46">
        <f ca="1">((100/(H60))*C72)/100</f>
        <v>0</v>
      </c>
      <c r="E72" s="72"/>
      <c r="F72" s="73"/>
      <c r="G72" s="72"/>
      <c r="H72" s="76"/>
      <c r="I72" s="52" t="s">
        <v>138</v>
      </c>
      <c r="J72" s="53">
        <f ca="1">(IF(B60&gt;1.5,(H60/(B60+2)+J66+MAX(0,J67-J66)+MAX(0,J68-J67)+MAX(0,J69-J68)+MAX(0,J70-J69)+MAX(0,J71-J70)),IF(B60=1,(H60/(B60+3)+J71),IF(B60=0,H60/4+J71))))</f>
        <v>4</v>
      </c>
      <c r="K72" s="50"/>
      <c r="L72" s="49"/>
    </row>
    <row r="73" spans="1:14" customFormat="1">
      <c r="A73" s="127" t="s">
        <v>103</v>
      </c>
      <c r="B73" s="128"/>
      <c r="C73" s="117" t="s">
        <v>139</v>
      </c>
      <c r="D73" s="118"/>
      <c r="E73" s="118"/>
      <c r="F73" s="118"/>
      <c r="G73" s="118"/>
      <c r="H73" s="119"/>
      <c r="I73" s="38" t="str">
        <f ca="1">(IF(E77&gt;99%,"All work completed. Please provide OC.",IF(E77&gt;89.8%,"Plinth, RCC, Brick, Plaster, Flooring, Painting work Completed. Finishing work is in process.",IF(E77&lt;94%,(IF(C77=0,"Work not yet Started.",IF(D77=25%,"Piling work in process",IF(D77=50%,"Excavation work in process",IF(D77=100%,"Excavation work Completed. ","0")))&amp;(IF(C78=0%,"",IF(C78=J79,"Footing work is process",IF(C78=J80,"Footing work Completed",IF(C78=J81,"1st Basement Completed",IF(C78=J82,"1st &amp; 2nd Basement Completed",IF(C78=J83,"1st to 3rd Basement Completed",IF(C78=J84,"1st to 4th Basement Completed",IF(C78=J85,"Plinth work is process",IF(C78=J86,"Plinth work completed","0")))))))))))&amp;(IF(C79=(D74+F74+H74),", RCC Slab",IF(C79&gt;0,", RCC upto "&amp;C79&amp;" Slab",""))&amp;(IF(C80=H74,", Brickwork",IF(C80&gt;0,", Brickwork upto "&amp;C80&amp;" Floor",""))&amp;(IF(C81=H74,", Internal Plaster",IF(C81&gt;0,", Internal Plaster upto "&amp;C81&amp;" Floor",""))&amp;(IF(C82=H74,", External Plaster",IF(C82&gt;0,", External Plaster upto "&amp;C82&amp;" Floor",""))&amp;(IF(C83=H74,", Flooring",IF(C83&gt;0,", Flooring upto "&amp;C83&amp;" Floor",""))&amp;(IF(C84=H74,", Painting",IF(C84&gt;0,", Painting upto "&amp;C84&amp;" Floor",""))&amp;(IF(C85&gt;0,", Finishing upto "&amp;C85&amp;" Floor","")&amp;(IF(C79&gt;0.5," Completed",""))))))))))))))</f>
        <v>Plinth, RCC, Brick, Plaster, Flooring, Painting work Completed. Finishing work is in process.</v>
      </c>
      <c r="J73" s="39"/>
    </row>
    <row r="74" spans="1:14" customFormat="1">
      <c r="A74" s="31" t="s">
        <v>105</v>
      </c>
      <c r="B74" s="27">
        <v>0</v>
      </c>
      <c r="C74" s="27" t="s">
        <v>106</v>
      </c>
      <c r="D74" s="27">
        <v>1</v>
      </c>
      <c r="E74" s="27" t="s">
        <v>107</v>
      </c>
      <c r="F74" s="27">
        <v>0</v>
      </c>
      <c r="G74" s="27" t="s">
        <v>108</v>
      </c>
      <c r="H74" s="32">
        <f ca="1">--TRIM(RIGHT(SUBSTITUTE(LEFT(C73,_xlfn.AGGREGATE(16,6,FIND({0,1,2,3,4,5,6,7,8,9},C73,ROW(INDIRECT("1:"&amp;LEN(C73)))),1))," ",REPT(" ",LEN(C73))),LEN(C73)))</f>
        <v>4</v>
      </c>
      <c r="I74" s="37"/>
      <c r="J74" s="40"/>
    </row>
    <row r="75" spans="1:14" customFormat="1" ht="30.75" customHeight="1">
      <c r="A75" s="120" t="s">
        <v>109</v>
      </c>
      <c r="B75" s="109"/>
      <c r="C75" s="121" t="s">
        <v>140</v>
      </c>
      <c r="D75" s="122"/>
      <c r="E75" s="122"/>
      <c r="F75" s="122"/>
      <c r="G75" s="122"/>
      <c r="H75" s="123"/>
      <c r="I75" s="37" t="s">
        <v>110</v>
      </c>
      <c r="J75" s="40"/>
    </row>
    <row r="76" spans="1:14" customFormat="1" ht="31">
      <c r="A76" s="112" t="s">
        <v>111</v>
      </c>
      <c r="B76" s="113"/>
      <c r="C76" s="33" t="s">
        <v>112</v>
      </c>
      <c r="D76" s="33" t="s">
        <v>113</v>
      </c>
      <c r="E76" s="124" t="s">
        <v>114</v>
      </c>
      <c r="F76" s="125"/>
      <c r="G76" s="124" t="s">
        <v>115</v>
      </c>
      <c r="H76" s="126"/>
      <c r="I76" s="41" t="s">
        <v>116</v>
      </c>
      <c r="J76" s="42">
        <f ca="1">H74*25%</f>
        <v>1</v>
      </c>
    </row>
    <row r="77" spans="1:14" customFormat="1">
      <c r="A77" s="112" t="s">
        <v>117</v>
      </c>
      <c r="B77" s="113"/>
      <c r="C77" s="34">
        <f ca="1">J78</f>
        <v>4</v>
      </c>
      <c r="D77" s="35">
        <f ca="1">((100/H74)*C77)/100</f>
        <v>1</v>
      </c>
      <c r="E77" s="68">
        <f ca="1">(((C78/H74*10)+(40/(D74+F74+H74)*C79)+(7.5/(H74)*C80)+(7.5/(H74)*C81)+(10/H74*C82)+(10/H74*C83)+(5/H74*C84)+(5/H74*C85)+(5/H74*C86))/100)</f>
        <v>0.9375</v>
      </c>
      <c r="F77" s="69"/>
      <c r="G77" s="68">
        <f ca="1">((((C77/H74)*20)+((C78/H74)*25)+(30/(H74+F74+D74)*C79)+(5/H74*C80)+(5/H74*C81)+(5/H74*C82)+(5/H74*C83)+(0/H74*C84)+(0/H74*C85)+(5/H74*C86))/100)</f>
        <v>0.95</v>
      </c>
      <c r="H77" s="74"/>
      <c r="I77" s="41" t="s">
        <v>118</v>
      </c>
      <c r="J77" s="43">
        <f ca="1">H74*50%</f>
        <v>2</v>
      </c>
    </row>
    <row r="78" spans="1:14" customFormat="1">
      <c r="A78" s="112" t="s">
        <v>119</v>
      </c>
      <c r="B78" s="113"/>
      <c r="C78" s="36">
        <f ca="1">J86</f>
        <v>4</v>
      </c>
      <c r="D78" s="35">
        <f ca="1">((100/H74)*C78)/100</f>
        <v>1</v>
      </c>
      <c r="E78" s="70"/>
      <c r="F78" s="71"/>
      <c r="G78" s="70"/>
      <c r="H78" s="75"/>
      <c r="I78" s="41" t="s">
        <v>120</v>
      </c>
      <c r="J78" s="43">
        <f ca="1">H74</f>
        <v>4</v>
      </c>
    </row>
    <row r="79" spans="1:14" customFormat="1" ht="15.75" customHeight="1">
      <c r="A79" s="112" t="s">
        <v>121</v>
      </c>
      <c r="B79" s="113"/>
      <c r="C79" s="36">
        <v>5</v>
      </c>
      <c r="D79" s="35">
        <f ca="1">((100/(D74+F74+H74))*C79)/100</f>
        <v>1</v>
      </c>
      <c r="E79" s="70"/>
      <c r="F79" s="71"/>
      <c r="G79" s="70"/>
      <c r="H79" s="75"/>
      <c r="I79" s="41" t="s">
        <v>122</v>
      </c>
      <c r="J79" s="47">
        <f ca="1">(IF(B74&gt;1,(H74/(B74+2)),H74/4))</f>
        <v>1</v>
      </c>
      <c r="L79" s="48"/>
    </row>
    <row r="80" spans="1:14" customFormat="1" ht="15.75" customHeight="1">
      <c r="A80" s="112" t="s">
        <v>123</v>
      </c>
      <c r="B80" s="113" t="s">
        <v>124</v>
      </c>
      <c r="C80" s="34">
        <v>4</v>
      </c>
      <c r="D80" s="35">
        <f ca="1">((100/H74)*C80)/100</f>
        <v>1</v>
      </c>
      <c r="E80" s="70"/>
      <c r="F80" s="71"/>
      <c r="G80" s="70"/>
      <c r="H80" s="75"/>
      <c r="I80" s="41" t="s">
        <v>125</v>
      </c>
      <c r="J80" s="47">
        <f ca="1">(IF(B74&gt;1,(H74/(B74+2)+J79),H74/4+J79))</f>
        <v>2</v>
      </c>
      <c r="L80" s="48"/>
    </row>
    <row r="81" spans="1:14" customFormat="1" ht="15.75" customHeight="1">
      <c r="A81" s="112" t="s">
        <v>126</v>
      </c>
      <c r="B81" s="113" t="s">
        <v>124</v>
      </c>
      <c r="C81" s="34">
        <v>4</v>
      </c>
      <c r="D81" s="35">
        <f ca="1">((100/H74)*C81)/100</f>
        <v>1</v>
      </c>
      <c r="E81" s="70"/>
      <c r="F81" s="71"/>
      <c r="G81" s="70"/>
      <c r="H81" s="75"/>
      <c r="I81" s="41" t="s">
        <v>127</v>
      </c>
      <c r="J81" s="47">
        <f>(IF(B74&gt;1,(H74/(B74+2)+J80),0))</f>
        <v>0</v>
      </c>
      <c r="L81" s="49"/>
      <c r="N81" s="48"/>
    </row>
    <row r="82" spans="1:14" customFormat="1" ht="15.75" customHeight="1">
      <c r="A82" s="112" t="s">
        <v>128</v>
      </c>
      <c r="B82" s="113" t="s">
        <v>129</v>
      </c>
      <c r="C82" s="34">
        <v>4</v>
      </c>
      <c r="D82" s="35">
        <f ca="1">((100/(H74))*C82)/100</f>
        <v>1</v>
      </c>
      <c r="E82" s="70"/>
      <c r="F82" s="71"/>
      <c r="G82" s="70"/>
      <c r="H82" s="75"/>
      <c r="I82" s="41" t="s">
        <v>130</v>
      </c>
      <c r="J82" s="47">
        <f>(IF(B74&gt;2,(H74/(B74+2)+J81),0))</f>
        <v>0</v>
      </c>
      <c r="K82" s="50"/>
      <c r="L82" s="49"/>
    </row>
    <row r="83" spans="1:14" customFormat="1" ht="15.75" customHeight="1">
      <c r="A83" s="112" t="s">
        <v>131</v>
      </c>
      <c r="B83" s="113" t="s">
        <v>131</v>
      </c>
      <c r="C83" s="34">
        <v>4</v>
      </c>
      <c r="D83" s="35">
        <f ca="1">((100/H74)*C83)/100</f>
        <v>1</v>
      </c>
      <c r="E83" s="70"/>
      <c r="F83" s="71"/>
      <c r="G83" s="70"/>
      <c r="H83" s="75"/>
      <c r="I83" s="41" t="s">
        <v>132</v>
      </c>
      <c r="J83" s="51">
        <f>(IF(B74&gt;3,(H74/(B74+2)+J82),0))</f>
        <v>0</v>
      </c>
      <c r="K83" s="50"/>
      <c r="L83" s="49"/>
    </row>
    <row r="84" spans="1:14" customFormat="1" ht="15.75" customHeight="1">
      <c r="A84" s="112" t="s">
        <v>133</v>
      </c>
      <c r="B84" s="113"/>
      <c r="C84" s="34">
        <v>4</v>
      </c>
      <c r="D84" s="35">
        <f ca="1">((100/H74)*C84)/100</f>
        <v>1</v>
      </c>
      <c r="E84" s="70"/>
      <c r="F84" s="71"/>
      <c r="G84" s="70"/>
      <c r="H84" s="75"/>
      <c r="I84" s="41" t="s">
        <v>134</v>
      </c>
      <c r="J84" s="47">
        <f>(IF(B74&gt;4,(H74/(B74+2)+J83),0))</f>
        <v>0</v>
      </c>
      <c r="K84" s="48"/>
      <c r="L84" s="49"/>
    </row>
    <row r="85" spans="1:14" customFormat="1" ht="15.75" customHeight="1">
      <c r="A85" s="112" t="s">
        <v>135</v>
      </c>
      <c r="B85" s="113" t="s">
        <v>135</v>
      </c>
      <c r="C85" s="34">
        <v>3</v>
      </c>
      <c r="D85" s="35">
        <f ca="1">((100/(H74))*C85)/100</f>
        <v>0.75</v>
      </c>
      <c r="E85" s="70"/>
      <c r="F85" s="71"/>
      <c r="G85" s="70"/>
      <c r="H85" s="75"/>
      <c r="I85" s="41" t="s">
        <v>136</v>
      </c>
      <c r="J85" s="47">
        <f ca="1">(IF(B74=1,(H74/(B74+3)+J80),IF(B74=0,(H74/4+J80),IF(B74&gt;1,0))))</f>
        <v>3</v>
      </c>
      <c r="K85" s="50"/>
      <c r="L85" s="49"/>
    </row>
    <row r="86" spans="1:14" customFormat="1">
      <c r="A86" s="114" t="s">
        <v>137</v>
      </c>
      <c r="B86" s="115"/>
      <c r="C86" s="45">
        <v>0</v>
      </c>
      <c r="D86" s="46">
        <f ca="1">((100/(H74))*C86)/100</f>
        <v>0</v>
      </c>
      <c r="E86" s="72"/>
      <c r="F86" s="73"/>
      <c r="G86" s="72"/>
      <c r="H86" s="76"/>
      <c r="I86" s="52" t="s">
        <v>138</v>
      </c>
      <c r="J86" s="53">
        <f ca="1">(IF(B74&gt;1.5,(H74/(B74+2)+J80+MAX(0,J81-J80)+MAX(0,J82-J81)+MAX(0,J83-J82)+MAX(0,J84-J83)+MAX(0,J85-J84)),IF(B74=1,(H74/(B74+3)+J85),IF(B74=0,H74/4+J85))))</f>
        <v>4</v>
      </c>
      <c r="K86" s="50"/>
      <c r="L86" s="49"/>
    </row>
    <row r="87" spans="1:14" customFormat="1">
      <c r="A87" s="127" t="s">
        <v>103</v>
      </c>
      <c r="B87" s="128"/>
      <c r="C87" s="117" t="s">
        <v>141</v>
      </c>
      <c r="D87" s="118"/>
      <c r="E87" s="118"/>
      <c r="F87" s="118"/>
      <c r="G87" s="118"/>
      <c r="H87" s="119"/>
      <c r="I87" s="38" t="str">
        <f ca="1">(IF(E91&gt;99%,"All work completed. Please provide OC.",IF(E91&gt;89.8%,"Plinth, RCC, Brick, Plaster, Flooring, Painting work Completed. Finishing work is in process.",IF(E91&lt;94%,(IF(C91=0,"Work not yet Started.",IF(D91=25%,"Piling work in process",IF(D91=50%,"Excavation work in process",IF(D91=100%,"Excavation work Completed. ","0")))&amp;(IF(C92=0%,"",IF(C92=J93,"Footing work is process",IF(C92=J94,"Footing work Completed",IF(C92=J95,"1st Basement Completed",IF(C92=J96,"1st &amp; 2nd Basement Completed",IF(C92=J97,"1st to 3rd Basement Completed",IF(C92=J98,"1st to 4th Basement Completed",IF(C92=J99,"Plinth work is process",IF(C92=J100,"Plinth work completed","0")))))))))))&amp;(IF(C93=(D88+F88+H88),", RCC Slab",IF(C93&gt;0,", RCC upto "&amp;C93&amp;" Slab",""))&amp;(IF(C94=H88,", Brickwork",IF(C94&gt;0,", Brickwork upto "&amp;C94&amp;" Floor",""))&amp;(IF(C95=H88,", Internal Plaster",IF(C95&gt;0,", Internal Plaster upto "&amp;C95&amp;" Floor",""))&amp;(IF(C96=H88,", External Plaster",IF(C96&gt;0,", External Plaster upto "&amp;C96&amp;" Floor",""))&amp;(IF(C97=H88,", Flooring",IF(C97&gt;0,", Flooring upto "&amp;C97&amp;" Floor",""))&amp;(IF(C98=H88,", Painting",IF(C98&gt;0,", Painting upto "&amp;C98&amp;" Floor",""))&amp;(IF(C99&gt;0,", Finishing upto "&amp;C99&amp;" Floor","")&amp;(IF(C93&gt;0.5," Completed",""))))))))))))))</f>
        <v>Plinth, RCC, Brick, Plaster, Flooring, Painting work Completed. Finishing work is in process.</v>
      </c>
      <c r="J87" s="39"/>
    </row>
    <row r="88" spans="1:14" customFormat="1">
      <c r="A88" s="31" t="s">
        <v>105</v>
      </c>
      <c r="B88" s="27">
        <v>0</v>
      </c>
      <c r="C88" s="27" t="s">
        <v>106</v>
      </c>
      <c r="D88" s="27">
        <v>1</v>
      </c>
      <c r="E88" s="27" t="s">
        <v>107</v>
      </c>
      <c r="F88" s="27">
        <v>0</v>
      </c>
      <c r="G88" s="27" t="s">
        <v>108</v>
      </c>
      <c r="H88" s="32">
        <f ca="1">--TRIM(RIGHT(SUBSTITUTE(LEFT(C87,_xlfn.AGGREGATE(16,6,FIND({0,1,2,3,4,5,6,7,8,9},C87,ROW(INDIRECT("1:"&amp;LEN(C87)))),1))," ",REPT(" ",LEN(C87))),LEN(C87)))</f>
        <v>4</v>
      </c>
      <c r="I88" s="37"/>
      <c r="J88" s="40"/>
    </row>
    <row r="89" spans="1:14" customFormat="1" ht="33" customHeight="1">
      <c r="A89" s="120" t="s">
        <v>109</v>
      </c>
      <c r="B89" s="109"/>
      <c r="C89" s="121" t="str">
        <f ca="1">I87</f>
        <v>Plinth, RCC, Brick, Plaster, Flooring, Painting work Completed. Finishing work is in process.</v>
      </c>
      <c r="D89" s="122"/>
      <c r="E89" s="122"/>
      <c r="F89" s="122"/>
      <c r="G89" s="122"/>
      <c r="H89" s="123"/>
      <c r="I89" s="37" t="s">
        <v>110</v>
      </c>
      <c r="J89" s="40"/>
    </row>
    <row r="90" spans="1:14" customFormat="1" ht="31">
      <c r="A90" s="112" t="s">
        <v>111</v>
      </c>
      <c r="B90" s="113"/>
      <c r="C90" s="33" t="s">
        <v>112</v>
      </c>
      <c r="D90" s="33" t="s">
        <v>113</v>
      </c>
      <c r="E90" s="124" t="s">
        <v>114</v>
      </c>
      <c r="F90" s="125"/>
      <c r="G90" s="124" t="s">
        <v>115</v>
      </c>
      <c r="H90" s="126"/>
      <c r="I90" s="41" t="s">
        <v>116</v>
      </c>
      <c r="J90" s="42">
        <f ca="1">H88*25%</f>
        <v>1</v>
      </c>
    </row>
    <row r="91" spans="1:14" customFormat="1">
      <c r="A91" s="112" t="s">
        <v>117</v>
      </c>
      <c r="B91" s="113"/>
      <c r="C91" s="34">
        <f ca="1">J92</f>
        <v>4</v>
      </c>
      <c r="D91" s="35">
        <f ca="1">((100/H88)*C91)/100</f>
        <v>1</v>
      </c>
      <c r="E91" s="68">
        <f ca="1">(((C92/H88*10)+(40/(D88+F88+H88)*C93)+(7.5/(H88)*C94)+(7.5/(H88)*C95)+(10/H88*C96)+(10/H88*C97)+(5/H88*C98)+(5/H88*C99)+(5/H88*C100))/100)</f>
        <v>0.9375</v>
      </c>
      <c r="F91" s="69"/>
      <c r="G91" s="68">
        <f ca="1">((((C91/H88)*20)+((C92/H88)*25)+(30/(H88+F88+D88)*C93)+(5/H88*C94)+(5/H88*C95)+(5/H88*C96)+(5/H88*C97)+(0/H88*C98)+(0/H88*C99)+(5/H88*C100))/100)</f>
        <v>0.95</v>
      </c>
      <c r="H91" s="74"/>
      <c r="I91" s="41" t="s">
        <v>118</v>
      </c>
      <c r="J91" s="43">
        <f ca="1">H88*50%</f>
        <v>2</v>
      </c>
    </row>
    <row r="92" spans="1:14" customFormat="1">
      <c r="A92" s="112" t="s">
        <v>119</v>
      </c>
      <c r="B92" s="113"/>
      <c r="C92" s="36">
        <f ca="1">J100</f>
        <v>4</v>
      </c>
      <c r="D92" s="35">
        <f ca="1">((100/H88)*C92)/100</f>
        <v>1</v>
      </c>
      <c r="E92" s="70"/>
      <c r="F92" s="71"/>
      <c r="G92" s="70"/>
      <c r="H92" s="75"/>
      <c r="I92" s="41" t="s">
        <v>120</v>
      </c>
      <c r="J92" s="43">
        <f ca="1">H88</f>
        <v>4</v>
      </c>
    </row>
    <row r="93" spans="1:14" customFormat="1">
      <c r="A93" s="112" t="s">
        <v>121</v>
      </c>
      <c r="B93" s="113"/>
      <c r="C93" s="36">
        <v>5</v>
      </c>
      <c r="D93" s="35">
        <f ca="1">((100/(D88+F88+H88))*C93)/100</f>
        <v>1</v>
      </c>
      <c r="E93" s="70"/>
      <c r="F93" s="71"/>
      <c r="G93" s="70"/>
      <c r="H93" s="75"/>
      <c r="I93" s="41" t="s">
        <v>122</v>
      </c>
      <c r="J93" s="47">
        <f ca="1">(IF(B88&gt;1,(H88/(B88+2)),H88/4))</f>
        <v>1</v>
      </c>
      <c r="L93" s="48"/>
    </row>
    <row r="94" spans="1:14" customFormat="1">
      <c r="A94" s="112" t="s">
        <v>123</v>
      </c>
      <c r="B94" s="113" t="s">
        <v>124</v>
      </c>
      <c r="C94" s="34">
        <v>4</v>
      </c>
      <c r="D94" s="35">
        <f ca="1">((100/H88)*C94)/100</f>
        <v>1</v>
      </c>
      <c r="E94" s="70"/>
      <c r="F94" s="71"/>
      <c r="G94" s="70"/>
      <c r="H94" s="75"/>
      <c r="I94" s="41" t="s">
        <v>125</v>
      </c>
      <c r="J94" s="47">
        <f ca="1">(IF(B88&gt;1,(H88/(B88+2)+J93),H88/4+J93))</f>
        <v>2</v>
      </c>
      <c r="L94" s="48"/>
    </row>
    <row r="95" spans="1:14" customFormat="1">
      <c r="A95" s="112" t="s">
        <v>126</v>
      </c>
      <c r="B95" s="113" t="s">
        <v>124</v>
      </c>
      <c r="C95" s="34">
        <v>4</v>
      </c>
      <c r="D95" s="35">
        <f ca="1">((100/H88)*C95)/100</f>
        <v>1</v>
      </c>
      <c r="E95" s="70"/>
      <c r="F95" s="71"/>
      <c r="G95" s="70"/>
      <c r="H95" s="75"/>
      <c r="I95" s="41" t="s">
        <v>127</v>
      </c>
      <c r="J95" s="47">
        <f>(IF(B88&gt;1,(H88/(B88+2)+J94),0))</f>
        <v>0</v>
      </c>
      <c r="L95" s="49"/>
      <c r="N95" s="48"/>
    </row>
    <row r="96" spans="1:14" customFormat="1">
      <c r="A96" s="112" t="s">
        <v>128</v>
      </c>
      <c r="B96" s="113" t="s">
        <v>129</v>
      </c>
      <c r="C96" s="34">
        <v>4</v>
      </c>
      <c r="D96" s="35">
        <f ca="1">((100/(H88))*C96)/100</f>
        <v>1</v>
      </c>
      <c r="E96" s="70"/>
      <c r="F96" s="71"/>
      <c r="G96" s="70"/>
      <c r="H96" s="75"/>
      <c r="I96" s="41" t="s">
        <v>130</v>
      </c>
      <c r="J96" s="47">
        <f>(IF(B88&gt;2,(H88/(B88+2)+J95),0))</f>
        <v>0</v>
      </c>
      <c r="K96" s="50"/>
      <c r="L96" s="49"/>
    </row>
    <row r="97" spans="1:14" customFormat="1">
      <c r="A97" s="112" t="s">
        <v>131</v>
      </c>
      <c r="B97" s="113" t="s">
        <v>131</v>
      </c>
      <c r="C97" s="34">
        <v>4</v>
      </c>
      <c r="D97" s="35">
        <f ca="1">((100/H88)*C97)/100</f>
        <v>1</v>
      </c>
      <c r="E97" s="70"/>
      <c r="F97" s="71"/>
      <c r="G97" s="70"/>
      <c r="H97" s="75"/>
      <c r="I97" s="41" t="s">
        <v>132</v>
      </c>
      <c r="J97" s="51">
        <f>(IF(B88&gt;3,(H88/(B88+2)+J96),0))</f>
        <v>0</v>
      </c>
      <c r="K97" s="50"/>
      <c r="L97" s="49"/>
    </row>
    <row r="98" spans="1:14" customFormat="1">
      <c r="A98" s="112" t="s">
        <v>133</v>
      </c>
      <c r="B98" s="113"/>
      <c r="C98" s="34">
        <v>4</v>
      </c>
      <c r="D98" s="35">
        <f ca="1">((100/H88)*C98)/100</f>
        <v>1</v>
      </c>
      <c r="E98" s="70"/>
      <c r="F98" s="71"/>
      <c r="G98" s="70"/>
      <c r="H98" s="75"/>
      <c r="I98" s="41" t="s">
        <v>134</v>
      </c>
      <c r="J98" s="47">
        <f>(IF(B88&gt;4,(H88/(B88+2)+J97),0))</f>
        <v>0</v>
      </c>
      <c r="K98" s="48"/>
      <c r="L98" s="49"/>
    </row>
    <row r="99" spans="1:14" customFormat="1">
      <c r="A99" s="112" t="s">
        <v>135</v>
      </c>
      <c r="B99" s="113" t="s">
        <v>135</v>
      </c>
      <c r="C99" s="34">
        <v>3</v>
      </c>
      <c r="D99" s="35">
        <f ca="1">((100/(H88))*C99)/100</f>
        <v>0.75</v>
      </c>
      <c r="E99" s="70"/>
      <c r="F99" s="71"/>
      <c r="G99" s="70"/>
      <c r="H99" s="75"/>
      <c r="I99" s="41" t="s">
        <v>136</v>
      </c>
      <c r="J99" s="47">
        <f ca="1">(IF(B88=1,(H88/(B88+3)+J94),IF(B88=0,(H88/4+J94),IF(B88&gt;1,0))))</f>
        <v>3</v>
      </c>
      <c r="K99" s="50"/>
      <c r="L99" s="49"/>
    </row>
    <row r="100" spans="1:14" customFormat="1">
      <c r="A100" s="114" t="s">
        <v>137</v>
      </c>
      <c r="B100" s="115"/>
      <c r="C100" s="45">
        <v>0</v>
      </c>
      <c r="D100" s="46">
        <f ca="1">((100/(H88))*C100)/100</f>
        <v>0</v>
      </c>
      <c r="E100" s="72"/>
      <c r="F100" s="73"/>
      <c r="G100" s="72"/>
      <c r="H100" s="76"/>
      <c r="I100" s="52" t="s">
        <v>138</v>
      </c>
      <c r="J100" s="53">
        <f ca="1">(IF(B88&gt;1.5,(H88/(B88+2)+J94+MAX(0,J95-J94)+MAX(0,J96-J95)+MAX(0,J97-J96)+MAX(0,J98-J97)+MAX(0,J99-J98)),IF(B88=1,(H88/(B88+3)+J99),IF(B88=0,H88/4+J99))))</f>
        <v>4</v>
      </c>
      <c r="K100" s="50"/>
      <c r="L100" s="49"/>
    </row>
    <row r="101" spans="1:14" customFormat="1">
      <c r="A101" s="127" t="s">
        <v>103</v>
      </c>
      <c r="B101" s="128"/>
      <c r="C101" s="117" t="s">
        <v>142</v>
      </c>
      <c r="D101" s="118"/>
      <c r="E101" s="118"/>
      <c r="F101" s="118"/>
      <c r="G101" s="118"/>
      <c r="H101" s="119"/>
      <c r="I101" s="38" t="str">
        <f ca="1">(IF(E105&gt;99%,"All work completed. Please provide OC.",IF(E105&gt;89.8%,"Plinth, RCC, Brick, Plaster, Flooring, Painting work Completed. Finishing work is in process.",IF(E105&lt;94%,(IF(C105=0,"Work not yet Started.",IF(D105=25%,"Piling work in process",IF(D105=50%,"Excavation work in process",IF(D105=100%,"Excavation work Completed. ","0")))&amp;(IF(C106=0%,"",IF(C106=J107,"Footing work is process",IF(C106=J108,"Footing work Completed",IF(C106=J109,"1st Basement Completed",IF(C106=J110,"1st &amp; 2nd Basement Completed",IF(C106=J111,"1st to 3rd Basement Completed",IF(C106=J112,"1st to 4th Basement Completed",IF(C106=J113,"Plinth work is process",IF(C106=J114,"Plinth work completed","0")))))))))))&amp;(IF(C107=(D102+F102+H102),", RCC Slab",IF(C107&gt;0,", RCC upto "&amp;C107&amp;" Slab",""))&amp;(IF(C108=H102,", Brickwork",IF(C108&gt;0,", Brickwork upto "&amp;C108&amp;" Floor",""))&amp;(IF(C109=H102,", Internal Plaster",IF(C109&gt;0,", Internal Plaster upto "&amp;C109&amp;" Floor",""))&amp;(IF(C110=H102,", External Plaster",IF(C110&gt;0,", External Plaster upto "&amp;C110&amp;" Floor",""))&amp;(IF(C111=H102,", Flooring",IF(C111&gt;0,", Flooring upto "&amp;C111&amp;" Floor",""))&amp;(IF(C112=H102,", Painting",IF(C112&gt;0,", Painting upto "&amp;C112&amp;" Floor",""))&amp;(IF(C113&gt;0,", Finishing upto "&amp;C113&amp;" Floor","")&amp;(IF(C107&gt;0.5," Completed",""))))))))))))))</f>
        <v>Plinth, RCC, Brick, Plaster, Flooring, Painting work Completed. Finishing work is in process.</v>
      </c>
      <c r="J101" s="39"/>
    </row>
    <row r="102" spans="1:14" customFormat="1">
      <c r="A102" s="31" t="s">
        <v>105</v>
      </c>
      <c r="B102" s="27">
        <v>0</v>
      </c>
      <c r="C102" s="27" t="s">
        <v>106</v>
      </c>
      <c r="D102" s="27">
        <v>1</v>
      </c>
      <c r="E102" s="27" t="s">
        <v>107</v>
      </c>
      <c r="F102" s="27">
        <v>0</v>
      </c>
      <c r="G102" s="27" t="s">
        <v>108</v>
      </c>
      <c r="H102" s="32">
        <f ca="1">--TRIM(RIGHT(SUBSTITUTE(LEFT(C101,_xlfn.AGGREGATE(16,6,FIND({0,1,2,3,4,5,6,7,8,9},C101,ROW(INDIRECT("1:"&amp;LEN(C101)))),1))," ",REPT(" ",LEN(C101))),LEN(C101)))</f>
        <v>4</v>
      </c>
      <c r="I102" s="37"/>
      <c r="J102" s="40"/>
    </row>
    <row r="103" spans="1:14" customFormat="1" ht="34" customHeight="1">
      <c r="A103" s="120" t="s">
        <v>109</v>
      </c>
      <c r="B103" s="109"/>
      <c r="C103" s="121" t="str">
        <f ca="1">I101</f>
        <v>Plinth, RCC, Brick, Plaster, Flooring, Painting work Completed. Finishing work is in process.</v>
      </c>
      <c r="D103" s="122"/>
      <c r="E103" s="122"/>
      <c r="F103" s="122"/>
      <c r="G103" s="122"/>
      <c r="H103" s="123"/>
      <c r="I103" s="37" t="s">
        <v>110</v>
      </c>
      <c r="J103" s="40"/>
    </row>
    <row r="104" spans="1:14" customFormat="1" ht="31">
      <c r="A104" s="112" t="s">
        <v>111</v>
      </c>
      <c r="B104" s="113"/>
      <c r="C104" s="33" t="s">
        <v>112</v>
      </c>
      <c r="D104" s="33" t="s">
        <v>113</v>
      </c>
      <c r="E104" s="124" t="s">
        <v>114</v>
      </c>
      <c r="F104" s="125"/>
      <c r="G104" s="124" t="s">
        <v>115</v>
      </c>
      <c r="H104" s="126"/>
      <c r="I104" s="41" t="s">
        <v>116</v>
      </c>
      <c r="J104" s="42">
        <f ca="1">H102*25%</f>
        <v>1</v>
      </c>
    </row>
    <row r="105" spans="1:14" customFormat="1">
      <c r="A105" s="112" t="s">
        <v>117</v>
      </c>
      <c r="B105" s="113"/>
      <c r="C105" s="34">
        <f ca="1">J106</f>
        <v>4</v>
      </c>
      <c r="D105" s="35">
        <f ca="1">((100/H102)*C105)/100</f>
        <v>1</v>
      </c>
      <c r="E105" s="68">
        <f ca="1">(((C106/H102*10)+(40/(D102+F102+H102)*C107)+(7.5/(H102)*C108)+(7.5/(H102)*C109)+(10/H102*C110)+(10/H102*C111)+(5/H102*C112)+(5/H102*C113)+(5/H102*C114))/100)</f>
        <v>0.9375</v>
      </c>
      <c r="F105" s="69"/>
      <c r="G105" s="68">
        <f ca="1">((((C105/H102)*20)+((C106/H102)*25)+(30/(H102+F102+D102)*C107)+(5/H102*C108)+(5/H102*C109)+(5/H102*C110)+(5/H102*C111)+(0/H102*C112)+(0/H102*C113)+(5/H102*C114))/100)</f>
        <v>0.95</v>
      </c>
      <c r="H105" s="74"/>
      <c r="I105" s="41" t="s">
        <v>118</v>
      </c>
      <c r="J105" s="43">
        <f ca="1">H102*50%</f>
        <v>2</v>
      </c>
    </row>
    <row r="106" spans="1:14" customFormat="1">
      <c r="A106" s="112" t="s">
        <v>119</v>
      </c>
      <c r="B106" s="113"/>
      <c r="C106" s="36">
        <f ca="1">J114</f>
        <v>4</v>
      </c>
      <c r="D106" s="35">
        <f ca="1">((100/H102)*C106)/100</f>
        <v>1</v>
      </c>
      <c r="E106" s="70"/>
      <c r="F106" s="71"/>
      <c r="G106" s="70"/>
      <c r="H106" s="75"/>
      <c r="I106" s="41" t="s">
        <v>120</v>
      </c>
      <c r="J106" s="43">
        <f ca="1">H102</f>
        <v>4</v>
      </c>
    </row>
    <row r="107" spans="1:14" customFormat="1">
      <c r="A107" s="112" t="s">
        <v>121</v>
      </c>
      <c r="B107" s="113"/>
      <c r="C107" s="36">
        <v>5</v>
      </c>
      <c r="D107" s="35">
        <f ca="1">((100/(D102+F102+H102))*C107)/100</f>
        <v>1</v>
      </c>
      <c r="E107" s="70"/>
      <c r="F107" s="71"/>
      <c r="G107" s="70"/>
      <c r="H107" s="75"/>
      <c r="I107" s="41" t="s">
        <v>122</v>
      </c>
      <c r="J107" s="47">
        <f ca="1">(IF(B102&gt;1,(H102/(B102+2)),H102/4))</f>
        <v>1</v>
      </c>
      <c r="L107" s="48"/>
    </row>
    <row r="108" spans="1:14" customFormat="1">
      <c r="A108" s="112" t="s">
        <v>123</v>
      </c>
      <c r="B108" s="113" t="s">
        <v>124</v>
      </c>
      <c r="C108" s="34">
        <v>4</v>
      </c>
      <c r="D108" s="35">
        <f ca="1">((100/H102)*C108)/100</f>
        <v>1</v>
      </c>
      <c r="E108" s="70"/>
      <c r="F108" s="71"/>
      <c r="G108" s="70"/>
      <c r="H108" s="75"/>
      <c r="I108" s="41" t="s">
        <v>125</v>
      </c>
      <c r="J108" s="47">
        <f ca="1">(IF(B102&gt;1,(H102/(B102+2)+J107),H102/4+J107))</f>
        <v>2</v>
      </c>
      <c r="L108" s="48"/>
    </row>
    <row r="109" spans="1:14" customFormat="1">
      <c r="A109" s="112" t="s">
        <v>126</v>
      </c>
      <c r="B109" s="113" t="s">
        <v>124</v>
      </c>
      <c r="C109" s="34">
        <v>4</v>
      </c>
      <c r="D109" s="35">
        <f ca="1">((100/H102)*C109)/100</f>
        <v>1</v>
      </c>
      <c r="E109" s="70"/>
      <c r="F109" s="71"/>
      <c r="G109" s="70"/>
      <c r="H109" s="75"/>
      <c r="I109" s="41" t="s">
        <v>127</v>
      </c>
      <c r="J109" s="47">
        <f>(IF(B102&gt;1,(H102/(B102+2)+J108),0))</f>
        <v>0</v>
      </c>
      <c r="L109" s="49"/>
      <c r="N109" s="48"/>
    </row>
    <row r="110" spans="1:14" customFormat="1">
      <c r="A110" s="112" t="s">
        <v>128</v>
      </c>
      <c r="B110" s="113" t="s">
        <v>129</v>
      </c>
      <c r="C110" s="34">
        <v>4</v>
      </c>
      <c r="D110" s="35">
        <f ca="1">((100/(H102))*C110)/100</f>
        <v>1</v>
      </c>
      <c r="E110" s="70"/>
      <c r="F110" s="71"/>
      <c r="G110" s="70"/>
      <c r="H110" s="75"/>
      <c r="I110" s="41" t="s">
        <v>130</v>
      </c>
      <c r="J110" s="47">
        <f>(IF(B102&gt;2,(H102/(B102+2)+J109),0))</f>
        <v>0</v>
      </c>
      <c r="K110" s="50"/>
      <c r="L110" s="49"/>
    </row>
    <row r="111" spans="1:14" customFormat="1">
      <c r="A111" s="112" t="s">
        <v>131</v>
      </c>
      <c r="B111" s="113" t="s">
        <v>131</v>
      </c>
      <c r="C111" s="34">
        <v>4</v>
      </c>
      <c r="D111" s="35">
        <f ca="1">((100/H102)*C111)/100</f>
        <v>1</v>
      </c>
      <c r="E111" s="70"/>
      <c r="F111" s="71"/>
      <c r="G111" s="70"/>
      <c r="H111" s="75"/>
      <c r="I111" s="41" t="s">
        <v>132</v>
      </c>
      <c r="J111" s="51">
        <f>(IF(B102&gt;3,(H102/(B102+2)+J110),0))</f>
        <v>0</v>
      </c>
      <c r="K111" s="50"/>
      <c r="L111" s="49"/>
    </row>
    <row r="112" spans="1:14" customFormat="1">
      <c r="A112" s="112" t="s">
        <v>133</v>
      </c>
      <c r="B112" s="113"/>
      <c r="C112" s="34">
        <v>4</v>
      </c>
      <c r="D112" s="35">
        <f ca="1">((100/H102)*C112)/100</f>
        <v>1</v>
      </c>
      <c r="E112" s="70"/>
      <c r="F112" s="71"/>
      <c r="G112" s="70"/>
      <c r="H112" s="75"/>
      <c r="I112" s="41" t="s">
        <v>134</v>
      </c>
      <c r="J112" s="47">
        <f>(IF(B102&gt;4,(H102/(B102+2)+J111),0))</f>
        <v>0</v>
      </c>
      <c r="K112" s="48"/>
      <c r="L112" s="49"/>
    </row>
    <row r="113" spans="1:12" customFormat="1">
      <c r="A113" s="112" t="s">
        <v>135</v>
      </c>
      <c r="B113" s="113" t="s">
        <v>135</v>
      </c>
      <c r="C113" s="44">
        <v>3</v>
      </c>
      <c r="D113" s="35">
        <f ca="1">((100/(H102))*C113)/100</f>
        <v>0.75</v>
      </c>
      <c r="E113" s="70"/>
      <c r="F113" s="71"/>
      <c r="G113" s="70"/>
      <c r="H113" s="75"/>
      <c r="I113" s="41" t="s">
        <v>136</v>
      </c>
      <c r="J113" s="47">
        <f ca="1">(IF(B102=1,(H102/(B102+3)+J108),IF(B102=0,(H102/4+J108),IF(B102&gt;1,0))))</f>
        <v>3</v>
      </c>
      <c r="K113" s="50"/>
      <c r="L113" s="49"/>
    </row>
    <row r="114" spans="1:12" customFormat="1">
      <c r="A114" s="114" t="s">
        <v>137</v>
      </c>
      <c r="B114" s="115"/>
      <c r="C114" s="45">
        <v>0</v>
      </c>
      <c r="D114" s="46">
        <f ca="1">((100/(H102))*C114)/100</f>
        <v>0</v>
      </c>
      <c r="E114" s="72"/>
      <c r="F114" s="73"/>
      <c r="G114" s="72"/>
      <c r="H114" s="76"/>
      <c r="I114" s="52" t="s">
        <v>138</v>
      </c>
      <c r="J114" s="53">
        <f ca="1">(IF(B102&gt;1.5,(H102/(B102+2)+J108+MAX(0,J109-J108)+MAX(0,J110-J109)+MAX(0,J111-J110)+MAX(0,J112-J111)+MAX(0,J113-J112)),IF(B102=1,(H102/(B102+3)+J113),IF(B102=0,H102/4+J113))))</f>
        <v>4</v>
      </c>
      <c r="K114" s="50"/>
      <c r="L114" s="49"/>
    </row>
    <row r="115" spans="1:12">
      <c r="A115" s="116" t="s">
        <v>143</v>
      </c>
      <c r="B115" s="116"/>
      <c r="C115" s="116"/>
      <c r="D115" s="116"/>
      <c r="E115" s="116"/>
      <c r="F115" s="116"/>
      <c r="G115" s="116"/>
      <c r="H115" s="116"/>
    </row>
    <row r="116" spans="1:12">
      <c r="A116" s="77" t="s">
        <v>144</v>
      </c>
      <c r="B116" s="77"/>
      <c r="C116" s="77"/>
      <c r="D116" s="77"/>
      <c r="E116" s="77"/>
      <c r="F116" s="77"/>
      <c r="G116" s="77"/>
      <c r="H116" s="77"/>
    </row>
    <row r="117" spans="1:12" ht="15" customHeight="1">
      <c r="A117" s="109" t="s">
        <v>145</v>
      </c>
      <c r="B117" s="109"/>
      <c r="C117" s="110" t="s">
        <v>146</v>
      </c>
      <c r="D117" s="110"/>
      <c r="E117" s="110"/>
      <c r="F117" s="110"/>
      <c r="G117" s="110"/>
      <c r="H117" s="110"/>
    </row>
    <row r="118" spans="1:12">
      <c r="A118" s="105" t="s">
        <v>147</v>
      </c>
      <c r="B118" s="105"/>
      <c r="C118" s="105"/>
      <c r="D118" s="105"/>
      <c r="E118" s="105"/>
      <c r="F118" s="105"/>
      <c r="G118" s="105"/>
      <c r="H118" s="105"/>
    </row>
    <row r="119" spans="1:12">
      <c r="A119" s="77" t="s">
        <v>148</v>
      </c>
      <c r="B119" s="77"/>
      <c r="C119" s="77"/>
      <c r="D119" s="77"/>
      <c r="E119" s="77"/>
      <c r="F119" s="111">
        <v>4200</v>
      </c>
      <c r="G119" s="111"/>
      <c r="H119" s="111"/>
    </row>
    <row r="120" spans="1:12" hidden="1">
      <c r="A120" s="77" t="s">
        <v>149</v>
      </c>
      <c r="B120" s="77"/>
      <c r="C120" s="77"/>
      <c r="D120" s="77"/>
      <c r="E120" s="77"/>
      <c r="F120" s="106"/>
      <c r="G120" s="106"/>
      <c r="H120" s="106"/>
    </row>
    <row r="121" spans="1:12" hidden="1">
      <c r="A121" s="77" t="s">
        <v>150</v>
      </c>
      <c r="B121" s="77"/>
      <c r="C121" s="77"/>
      <c r="D121" s="77"/>
      <c r="E121" s="77"/>
      <c r="F121" s="106"/>
      <c r="G121" s="106"/>
      <c r="H121" s="106"/>
    </row>
    <row r="122" spans="1:12" s="19" customFormat="1" hidden="1">
      <c r="A122" s="77" t="s">
        <v>151</v>
      </c>
      <c r="B122" s="77"/>
      <c r="C122" s="77"/>
      <c r="D122" s="77"/>
      <c r="E122" s="77"/>
      <c r="F122" s="106" t="s">
        <v>59</v>
      </c>
      <c r="G122" s="106"/>
      <c r="H122" s="106"/>
    </row>
    <row r="123" spans="1:12" s="19" customFormat="1">
      <c r="A123" s="77" t="s">
        <v>152</v>
      </c>
      <c r="B123" s="77"/>
      <c r="C123" s="77"/>
      <c r="D123" s="77"/>
      <c r="E123" s="77"/>
      <c r="F123" s="106">
        <v>130000</v>
      </c>
      <c r="G123" s="106"/>
      <c r="H123" s="106"/>
    </row>
    <row r="124" spans="1:12" s="19" customFormat="1">
      <c r="A124" s="77" t="s">
        <v>153</v>
      </c>
      <c r="B124" s="77"/>
      <c r="C124" s="77"/>
      <c r="D124" s="77"/>
      <c r="E124" s="77"/>
      <c r="F124" s="106">
        <v>35000</v>
      </c>
      <c r="G124" s="106"/>
      <c r="H124" s="106"/>
    </row>
    <row r="125" spans="1:12" s="19" customFormat="1">
      <c r="A125" s="77" t="s">
        <v>154</v>
      </c>
      <c r="B125" s="77"/>
      <c r="C125" s="77"/>
      <c r="D125" s="77"/>
      <c r="E125" s="77"/>
      <c r="F125" s="106">
        <v>10000</v>
      </c>
      <c r="G125" s="106"/>
      <c r="H125" s="106"/>
    </row>
    <row r="126" spans="1:12" s="19" customFormat="1" hidden="1">
      <c r="A126" s="77" t="s">
        <v>155</v>
      </c>
      <c r="B126" s="77"/>
      <c r="C126" s="77"/>
      <c r="D126" s="77"/>
      <c r="E126" s="77"/>
      <c r="F126" s="106" t="s">
        <v>59</v>
      </c>
      <c r="G126" s="106"/>
      <c r="H126" s="106"/>
    </row>
    <row r="127" spans="1:12" s="19" customFormat="1" hidden="1">
      <c r="A127" s="77" t="s">
        <v>156</v>
      </c>
      <c r="B127" s="77"/>
      <c r="C127" s="77"/>
      <c r="D127" s="77"/>
      <c r="E127" s="77"/>
      <c r="F127" s="106" t="s">
        <v>59</v>
      </c>
      <c r="G127" s="106"/>
      <c r="H127" s="106"/>
    </row>
    <row r="128" spans="1:12" s="19" customFormat="1" hidden="1">
      <c r="A128" s="77" t="s">
        <v>157</v>
      </c>
      <c r="B128" s="77"/>
      <c r="C128" s="77"/>
      <c r="D128" s="77"/>
      <c r="E128" s="77"/>
      <c r="F128" s="106" t="s">
        <v>59</v>
      </c>
      <c r="G128" s="106"/>
      <c r="H128" s="106"/>
    </row>
    <row r="129" spans="1:8" s="19" customFormat="1" hidden="1">
      <c r="A129" s="77" t="s">
        <v>158</v>
      </c>
      <c r="B129" s="77"/>
      <c r="C129" s="77"/>
      <c r="D129" s="77"/>
      <c r="E129" s="77"/>
      <c r="F129" s="106" t="s">
        <v>59</v>
      </c>
      <c r="G129" s="106"/>
      <c r="H129" s="106"/>
    </row>
    <row r="130" spans="1:8" s="19" customFormat="1" hidden="1">
      <c r="A130" s="77" t="s">
        <v>159</v>
      </c>
      <c r="B130" s="77"/>
      <c r="C130" s="77"/>
      <c r="D130" s="77"/>
      <c r="E130" s="77"/>
      <c r="F130" s="106" t="s">
        <v>59</v>
      </c>
      <c r="G130" s="106"/>
      <c r="H130" s="106"/>
    </row>
    <row r="131" spans="1:8">
      <c r="A131" s="77" t="s">
        <v>160</v>
      </c>
      <c r="B131" s="77"/>
      <c r="C131" s="77"/>
      <c r="D131" s="77"/>
      <c r="E131" s="77"/>
      <c r="F131" s="108" t="s">
        <v>161</v>
      </c>
      <c r="G131" s="108"/>
      <c r="H131" s="108"/>
    </row>
    <row r="132" spans="1:8" s="20" customFormat="1">
      <c r="A132" s="105" t="s">
        <v>162</v>
      </c>
      <c r="B132" s="105"/>
      <c r="C132" s="105"/>
      <c r="D132" s="105"/>
      <c r="E132" s="105"/>
      <c r="F132" s="106">
        <f>F119*0.8</f>
        <v>3360</v>
      </c>
      <c r="G132" s="106"/>
      <c r="H132" s="106"/>
    </row>
    <row r="133" spans="1:8" s="21" customFormat="1" ht="15.75" hidden="1" customHeight="1">
      <c r="A133" s="102" t="s">
        <v>163</v>
      </c>
      <c r="B133" s="102"/>
      <c r="C133" s="102"/>
      <c r="D133" s="102"/>
      <c r="E133" s="102"/>
      <c r="F133" s="102"/>
      <c r="G133" s="102"/>
      <c r="H133" s="102"/>
    </row>
    <row r="134" spans="1:8" s="21" customFormat="1" ht="15.75" hidden="1" customHeight="1">
      <c r="A134" s="103" t="s">
        <v>164</v>
      </c>
      <c r="B134" s="103"/>
      <c r="C134" s="54" t="s">
        <v>165</v>
      </c>
      <c r="D134" s="104" t="s">
        <v>166</v>
      </c>
      <c r="E134" s="104"/>
      <c r="F134" s="103" t="s">
        <v>167</v>
      </c>
      <c r="G134" s="103"/>
      <c r="H134" s="103"/>
    </row>
    <row r="135" spans="1:8" s="21" customFormat="1" hidden="1">
      <c r="A135" s="92"/>
      <c r="B135" s="92"/>
      <c r="C135" s="55"/>
      <c r="D135" s="93"/>
      <c r="E135" s="93"/>
      <c r="F135" s="107"/>
      <c r="G135" s="107"/>
      <c r="H135" s="107"/>
    </row>
    <row r="136" spans="1:8" s="21" customFormat="1">
      <c r="A136" s="102" t="s">
        <v>168</v>
      </c>
      <c r="B136" s="102"/>
      <c r="C136" s="102"/>
      <c r="D136" s="102"/>
      <c r="E136" s="102"/>
      <c r="F136" s="102"/>
      <c r="G136" s="102"/>
      <c r="H136" s="102"/>
    </row>
    <row r="137" spans="1:8" s="21" customFormat="1">
      <c r="A137" s="103" t="s">
        <v>164</v>
      </c>
      <c r="B137" s="103"/>
      <c r="C137" s="54" t="s">
        <v>165</v>
      </c>
      <c r="D137" s="104" t="s">
        <v>166</v>
      </c>
      <c r="E137" s="104"/>
      <c r="F137" s="103" t="s">
        <v>167</v>
      </c>
      <c r="G137" s="103"/>
      <c r="H137" s="103"/>
    </row>
    <row r="138" spans="1:8" s="21" customFormat="1">
      <c r="A138" s="92" t="s">
        <v>169</v>
      </c>
      <c r="B138" s="92"/>
      <c r="C138" s="55">
        <f>COUNT(D152:D153)+COUNT(D155:D158)*4</f>
        <v>18</v>
      </c>
      <c r="D138" s="93">
        <f>SUM(D152:D153)+SUM(D155:D158)*4</f>
        <v>7130.23506</v>
      </c>
      <c r="E138" s="93"/>
      <c r="F138" s="93">
        <f>SUM(F152:F153)+SUM(F155:F158)*4</f>
        <v>11578.51</v>
      </c>
      <c r="G138" s="93"/>
      <c r="H138" s="93"/>
    </row>
    <row r="139" spans="1:8" s="21" customFormat="1">
      <c r="A139" s="92" t="s">
        <v>170</v>
      </c>
      <c r="B139" s="92"/>
      <c r="C139" s="55">
        <f>COUNT(D161:D162)+COUNT(D164:D167)*4</f>
        <v>18</v>
      </c>
      <c r="D139" s="93">
        <f>SUM(D161:D162)+SUM(D164:D167)*4</f>
        <v>6732.9142920000004</v>
      </c>
      <c r="E139" s="93"/>
      <c r="F139" s="93">
        <f>SUM(F161:F162)+SUM(F164:F167)*4</f>
        <v>10856.23</v>
      </c>
      <c r="G139" s="93"/>
      <c r="H139" s="93"/>
    </row>
    <row r="140" spans="1:8" s="21" customFormat="1">
      <c r="A140" s="92" t="s">
        <v>171</v>
      </c>
      <c r="B140" s="92"/>
      <c r="C140" s="55">
        <f>COUNT(D171:D172)+COUNT(D174:D177)*4</f>
        <v>18</v>
      </c>
      <c r="D140" s="93">
        <f>SUM(D171:D172)+SUM(D174:D177)*4</f>
        <v>7227.54162</v>
      </c>
      <c r="E140" s="93"/>
      <c r="F140" s="93">
        <f>SUM(F171:F172)+SUM(F174:F177)*4</f>
        <v>11734.47</v>
      </c>
      <c r="G140" s="93"/>
      <c r="H140" s="93"/>
    </row>
    <row r="141" spans="1:8" s="21" customFormat="1">
      <c r="A141" s="92" t="s">
        <v>172</v>
      </c>
      <c r="B141" s="92"/>
      <c r="C141" s="55">
        <f>COUNT(D180:D181)+COUNT(D183:D186)*4</f>
        <v>18</v>
      </c>
      <c r="D141" s="93">
        <f>SUM(D180:D181)+SUM(D183:D186)*4</f>
        <v>7227.54162</v>
      </c>
      <c r="E141" s="93"/>
      <c r="F141" s="94">
        <f>SUM(F180:F181)+SUM(F183:F185)*4</f>
        <v>9035.67</v>
      </c>
      <c r="G141" s="95"/>
      <c r="H141" s="96"/>
    </row>
    <row r="142" spans="1:8" s="21" customFormat="1">
      <c r="A142" s="92" t="s">
        <v>173</v>
      </c>
      <c r="B142" s="92"/>
      <c r="C142" s="55">
        <f>COUNT(D190:D191)+COUNT(D193:D196)*2+COUNT(D198:D201)*2</f>
        <v>18</v>
      </c>
      <c r="D142" s="93">
        <f>SUM(D190:D191)+SUM(D193:D196)*2+SUM(D198:D201)*2</f>
        <v>4905.1548000000003</v>
      </c>
      <c r="E142" s="93"/>
      <c r="F142" s="94">
        <f>SUM(F190:F191)+SUM(F193:F196)*2+SUM(F198:F201)*2</f>
        <v>8374.2800000000007</v>
      </c>
      <c r="G142" s="95"/>
      <c r="H142" s="96"/>
    </row>
    <row r="143" spans="1:8" s="21" customFormat="1">
      <c r="A143" s="92" t="s">
        <v>174</v>
      </c>
      <c r="B143" s="92"/>
      <c r="C143" s="55">
        <f>COUNT(D205:D208)*2+COUNT(D210:D213)*2</f>
        <v>16</v>
      </c>
      <c r="D143" s="93">
        <f>SUM(D205:D208)*2+SUM(D210:D213)*2</f>
        <v>4359.8075040000003</v>
      </c>
      <c r="E143" s="93"/>
      <c r="F143" s="94">
        <f>SUM(F205:F208)*2+SUM(F210:F213)*2</f>
        <v>7527.26</v>
      </c>
      <c r="G143" s="95"/>
      <c r="H143" s="96"/>
    </row>
    <row r="144" spans="1:8" s="21" customFormat="1">
      <c r="A144" s="92" t="s">
        <v>175</v>
      </c>
      <c r="B144" s="92"/>
      <c r="C144" s="55">
        <f>COUNT(D216:D217)+COUNT(D219:D222)*2+COUNT(D224:D227)*2</f>
        <v>18</v>
      </c>
      <c r="D144" s="93">
        <f>SUM(D216:D217)+SUM(D219:D222)*2+SUM(D224:D227)*2</f>
        <v>4900.0569696000002</v>
      </c>
      <c r="E144" s="93"/>
      <c r="F144" s="94">
        <f>SUM(F216:F217)+SUM(F219:F222)*2+SUM(F224:F227)*2</f>
        <v>8374.2800000000007</v>
      </c>
      <c r="G144" s="95"/>
      <c r="H144" s="96"/>
    </row>
    <row r="145" spans="1:10" s="22" customFormat="1">
      <c r="A145" s="97" t="s">
        <v>176</v>
      </c>
      <c r="B145" s="97"/>
      <c r="C145" s="56">
        <f>SUM(C138:C144)</f>
        <v>124</v>
      </c>
      <c r="D145" s="98">
        <f>SUM(D138:E144)</f>
        <v>42483.251865600003</v>
      </c>
      <c r="E145" s="98"/>
      <c r="F145" s="99">
        <f>SUM(F138:H144)</f>
        <v>67480.7</v>
      </c>
      <c r="G145" s="100"/>
      <c r="H145" s="101"/>
    </row>
    <row r="146" spans="1:10" s="20" customFormat="1">
      <c r="A146" s="90" t="s">
        <v>177</v>
      </c>
      <c r="B146" s="90"/>
      <c r="C146" s="90"/>
      <c r="D146" s="90"/>
      <c r="E146" s="90"/>
      <c r="F146" s="90"/>
      <c r="G146" s="90"/>
      <c r="H146" s="90"/>
    </row>
    <row r="147" spans="1:10">
      <c r="A147" s="90" t="s">
        <v>178</v>
      </c>
      <c r="B147" s="90"/>
      <c r="C147" s="90"/>
      <c r="D147" s="90"/>
      <c r="E147" s="90"/>
      <c r="F147" s="90"/>
      <c r="G147" s="90"/>
      <c r="H147" s="90"/>
    </row>
    <row r="148" spans="1:10" ht="47.25" customHeight="1">
      <c r="A148" s="91" t="s">
        <v>179</v>
      </c>
      <c r="B148" s="91"/>
      <c r="C148" s="57" t="s">
        <v>180</v>
      </c>
      <c r="D148" s="57" t="s">
        <v>181</v>
      </c>
      <c r="E148" s="58" t="s">
        <v>182</v>
      </c>
      <c r="F148" s="57" t="s">
        <v>183</v>
      </c>
      <c r="G148" s="91" t="s">
        <v>184</v>
      </c>
      <c r="H148" s="91"/>
    </row>
    <row r="149" spans="1:10" s="23" customFormat="1">
      <c r="A149" s="89" t="s">
        <v>185</v>
      </c>
      <c r="B149" s="89"/>
      <c r="C149" s="89"/>
      <c r="D149" s="89"/>
      <c r="E149" s="89"/>
      <c r="F149" s="89"/>
      <c r="G149" s="89"/>
      <c r="H149" s="89"/>
    </row>
    <row r="150" spans="1:10" s="23" customFormat="1">
      <c r="A150" s="89" t="s">
        <v>186</v>
      </c>
      <c r="B150" s="89"/>
      <c r="C150" s="89"/>
      <c r="D150" s="89"/>
      <c r="E150" s="89"/>
      <c r="F150" s="89"/>
      <c r="G150" s="89"/>
      <c r="H150" s="89"/>
    </row>
    <row r="151" spans="1:10" s="23" customFormat="1">
      <c r="A151" s="89" t="s">
        <v>187</v>
      </c>
      <c r="B151" s="89"/>
      <c r="C151" s="89"/>
      <c r="D151" s="89"/>
      <c r="E151" s="89"/>
      <c r="F151" s="89"/>
      <c r="G151" s="89"/>
      <c r="H151" s="89"/>
    </row>
    <row r="152" spans="1:10" s="23" customFormat="1">
      <c r="A152" s="85">
        <v>1</v>
      </c>
      <c r="B152" s="85"/>
      <c r="C152" s="59" t="s">
        <v>188</v>
      </c>
      <c r="D152" s="59">
        <f>32.1*10.764</f>
        <v>345.52440000000001</v>
      </c>
      <c r="E152" s="59">
        <v>0</v>
      </c>
      <c r="F152" s="59">
        <v>552.63</v>
      </c>
      <c r="G152" s="79" t="str">
        <f>A151</f>
        <v>Ground Floor for Residential &amp; Parking</v>
      </c>
      <c r="H152" s="80"/>
      <c r="J152" s="60">
        <f>F152/D152</f>
        <v>1.5993950065465701</v>
      </c>
    </row>
    <row r="153" spans="1:10" s="23" customFormat="1">
      <c r="A153" s="85">
        <v>2</v>
      </c>
      <c r="B153" s="85"/>
      <c r="C153" s="59" t="s">
        <v>188</v>
      </c>
      <c r="D153" s="59">
        <f>32.195*10.764</f>
        <v>346.54698000000002</v>
      </c>
      <c r="E153" s="59">
        <v>0</v>
      </c>
      <c r="F153" s="59">
        <v>554.36</v>
      </c>
      <c r="G153" s="83"/>
      <c r="H153" s="84"/>
    </row>
    <row r="154" spans="1:10" s="23" customFormat="1">
      <c r="A154" s="89" t="s">
        <v>189</v>
      </c>
      <c r="B154" s="89"/>
      <c r="C154" s="89"/>
      <c r="D154" s="89"/>
      <c r="E154" s="89"/>
      <c r="F154" s="89"/>
      <c r="G154" s="89"/>
      <c r="H154" s="89"/>
    </row>
    <row r="155" spans="1:10" s="23" customFormat="1">
      <c r="A155" s="85" t="s">
        <v>190</v>
      </c>
      <c r="B155" s="85"/>
      <c r="C155" s="59" t="s">
        <v>188</v>
      </c>
      <c r="D155" s="59">
        <f>((32.1)+(2.95*1.6))*10.764</f>
        <v>396.33048000000002</v>
      </c>
      <c r="E155" s="59">
        <v>0</v>
      </c>
      <c r="F155" s="59">
        <f>655.59</f>
        <v>655.59</v>
      </c>
      <c r="G155" s="79" t="str">
        <f>A154</f>
        <v>1st to 4th Floor for Residential</v>
      </c>
      <c r="H155" s="80"/>
      <c r="I155" s="23">
        <f>656*4000</f>
        <v>2624000</v>
      </c>
    </row>
    <row r="156" spans="1:10" s="23" customFormat="1">
      <c r="A156" s="85" t="s">
        <v>191</v>
      </c>
      <c r="B156" s="85"/>
      <c r="C156" s="59" t="s">
        <v>188</v>
      </c>
      <c r="D156" s="59">
        <f>((32.195)+(2.8*1+2.95*1))*10.764</f>
        <v>408.43997999999999</v>
      </c>
      <c r="E156" s="59">
        <v>0</v>
      </c>
      <c r="F156" s="59">
        <v>653.35</v>
      </c>
      <c r="G156" s="81"/>
      <c r="H156" s="82"/>
    </row>
    <row r="157" spans="1:10" s="23" customFormat="1">
      <c r="A157" s="85" t="s">
        <v>192</v>
      </c>
      <c r="B157" s="85"/>
      <c r="C157" s="59" t="s">
        <v>188</v>
      </c>
      <c r="D157" s="59">
        <f>((32.195)+(2.8*1+2.95*1))*10.764</f>
        <v>408.43997999999999</v>
      </c>
      <c r="E157" s="59">
        <v>0</v>
      </c>
      <c r="F157" s="59">
        <f>653.35</f>
        <v>653.35</v>
      </c>
      <c r="G157" s="81"/>
      <c r="H157" s="82"/>
    </row>
    <row r="158" spans="1:10" s="23" customFormat="1">
      <c r="A158" s="85" t="s">
        <v>193</v>
      </c>
      <c r="B158" s="85"/>
      <c r="C158" s="59" t="s">
        <v>188</v>
      </c>
      <c r="D158" s="59">
        <f>((32.1)+(2.95*1.6))*10.764</f>
        <v>396.33048000000002</v>
      </c>
      <c r="E158" s="59">
        <v>0</v>
      </c>
      <c r="F158" s="59">
        <f>655.59</f>
        <v>655.59</v>
      </c>
      <c r="G158" s="83"/>
      <c r="H158" s="84"/>
    </row>
    <row r="159" spans="1:10" s="23" customFormat="1">
      <c r="A159" s="89" t="s">
        <v>194</v>
      </c>
      <c r="B159" s="89"/>
      <c r="C159" s="89"/>
      <c r="D159" s="89"/>
      <c r="E159" s="89"/>
      <c r="F159" s="89"/>
      <c r="G159" s="89"/>
      <c r="H159" s="89"/>
    </row>
    <row r="160" spans="1:10" s="23" customFormat="1">
      <c r="A160" s="89" t="s">
        <v>187</v>
      </c>
      <c r="B160" s="89"/>
      <c r="C160" s="89"/>
      <c r="D160" s="89"/>
      <c r="E160" s="89"/>
      <c r="F160" s="89"/>
      <c r="G160" s="89"/>
      <c r="H160" s="89"/>
    </row>
    <row r="161" spans="1:8" s="23" customFormat="1">
      <c r="A161" s="85">
        <v>5</v>
      </c>
      <c r="B161" s="85"/>
      <c r="C161" s="59" t="s">
        <v>188</v>
      </c>
      <c r="D161" s="59">
        <f>32.1*10.764</f>
        <v>345.52440000000001</v>
      </c>
      <c r="E161" s="59">
        <v>0</v>
      </c>
      <c r="F161" s="59">
        <f>552.63</f>
        <v>552.63</v>
      </c>
      <c r="G161" s="79" t="str">
        <f>A160</f>
        <v>Ground Floor for Residential &amp; Parking</v>
      </c>
      <c r="H161" s="80"/>
    </row>
    <row r="162" spans="1:8" s="23" customFormat="1">
      <c r="A162" s="85">
        <v>6</v>
      </c>
      <c r="B162" s="85"/>
      <c r="C162" s="59" t="s">
        <v>188</v>
      </c>
      <c r="D162" s="59">
        <f>32.195*10.764</f>
        <v>346.54698000000002</v>
      </c>
      <c r="E162" s="59">
        <v>0</v>
      </c>
      <c r="F162" s="59">
        <v>554.36</v>
      </c>
      <c r="G162" s="83"/>
      <c r="H162" s="84"/>
    </row>
    <row r="163" spans="1:8" s="23" customFormat="1">
      <c r="A163" s="89" t="s">
        <v>189</v>
      </c>
      <c r="B163" s="89"/>
      <c r="C163" s="89"/>
      <c r="D163" s="89"/>
      <c r="E163" s="89"/>
      <c r="F163" s="89"/>
      <c r="G163" s="89"/>
      <c r="H163" s="89"/>
    </row>
    <row r="164" spans="1:8" s="23" customFormat="1">
      <c r="A164" s="85" t="s">
        <v>195</v>
      </c>
      <c r="B164" s="85"/>
      <c r="C164" s="59" t="s">
        <v>188</v>
      </c>
      <c r="D164" s="59">
        <f>((32.1)+(2.95*1.6))*10.764</f>
        <v>396.33048000000002</v>
      </c>
      <c r="E164" s="59">
        <v>0</v>
      </c>
      <c r="F164" s="59">
        <f>655.59</f>
        <v>655.59</v>
      </c>
      <c r="G164" s="79" t="str">
        <f>A163</f>
        <v>1st to 4th Floor for Residential</v>
      </c>
      <c r="H164" s="80"/>
    </row>
    <row r="165" spans="1:8" s="23" customFormat="1">
      <c r="A165" s="85" t="s">
        <v>196</v>
      </c>
      <c r="B165" s="85"/>
      <c r="C165" s="59" t="s">
        <v>188</v>
      </c>
      <c r="D165" s="59">
        <f>((32.195)+(2.8*1+2.95*1))*10.764</f>
        <v>408.43997999999999</v>
      </c>
      <c r="E165" s="59">
        <v>0</v>
      </c>
      <c r="F165" s="59">
        <f>653.35</f>
        <v>653.35</v>
      </c>
      <c r="G165" s="81"/>
      <c r="H165" s="82"/>
    </row>
    <row r="166" spans="1:8" s="23" customFormat="1">
      <c r="A166" s="85" t="s">
        <v>197</v>
      </c>
      <c r="B166" s="85"/>
      <c r="C166" s="59" t="s">
        <v>188</v>
      </c>
      <c r="D166" s="59">
        <f>((32.195)+(2.8*1+2.95*1))*10.764</f>
        <v>408.43997999999999</v>
      </c>
      <c r="E166" s="59">
        <v>0</v>
      </c>
      <c r="F166" s="59">
        <f>653.35</f>
        <v>653.35</v>
      </c>
      <c r="G166" s="81"/>
      <c r="H166" s="82"/>
    </row>
    <row r="167" spans="1:8" s="23" customFormat="1">
      <c r="A167" s="85" t="s">
        <v>198</v>
      </c>
      <c r="B167" s="85"/>
      <c r="C167" s="59" t="s">
        <v>199</v>
      </c>
      <c r="D167" s="59">
        <f>((22.872)+(2.95*1.6))*10.764</f>
        <v>297.00028800000001</v>
      </c>
      <c r="E167" s="59">
        <v>0</v>
      </c>
      <c r="F167" s="59">
        <v>475.02</v>
      </c>
      <c r="G167" s="83"/>
      <c r="H167" s="84"/>
    </row>
    <row r="168" spans="1:8" s="23" customFormat="1">
      <c r="A168" s="89" t="s">
        <v>200</v>
      </c>
      <c r="B168" s="89"/>
      <c r="C168" s="89"/>
      <c r="D168" s="89"/>
      <c r="E168" s="89"/>
      <c r="F168" s="89"/>
      <c r="G168" s="89"/>
      <c r="H168" s="89"/>
    </row>
    <row r="169" spans="1:8" s="23" customFormat="1" ht="15" customHeight="1">
      <c r="A169" s="89" t="s">
        <v>201</v>
      </c>
      <c r="B169" s="89"/>
      <c r="C169" s="89"/>
      <c r="D169" s="89"/>
      <c r="E169" s="89"/>
      <c r="F169" s="89"/>
      <c r="G169" s="89"/>
      <c r="H169" s="89"/>
    </row>
    <row r="170" spans="1:8" s="23" customFormat="1" ht="15" customHeight="1">
      <c r="A170" s="89" t="s">
        <v>187</v>
      </c>
      <c r="B170" s="89"/>
      <c r="C170" s="89"/>
      <c r="D170" s="89"/>
      <c r="E170" s="89"/>
      <c r="F170" s="89"/>
      <c r="G170" s="89"/>
      <c r="H170" s="89"/>
    </row>
    <row r="171" spans="1:8" s="23" customFormat="1">
      <c r="A171" s="85">
        <v>1</v>
      </c>
      <c r="B171" s="85"/>
      <c r="C171" s="59" t="s">
        <v>188</v>
      </c>
      <c r="D171" s="59">
        <f>(32.1)*10.764</f>
        <v>345.52440000000001</v>
      </c>
      <c r="E171" s="59">
        <v>0</v>
      </c>
      <c r="F171" s="59">
        <f>552.63</f>
        <v>552.63</v>
      </c>
      <c r="G171" s="79" t="str">
        <f>A170</f>
        <v>Ground Floor for Residential &amp; Parking</v>
      </c>
      <c r="H171" s="80"/>
    </row>
    <row r="172" spans="1:8" s="23" customFormat="1">
      <c r="A172" s="85">
        <v>2</v>
      </c>
      <c r="B172" s="85"/>
      <c r="C172" s="59" t="s">
        <v>188</v>
      </c>
      <c r="D172" s="59">
        <f>(32.195)*10.764</f>
        <v>346.54698000000002</v>
      </c>
      <c r="E172" s="59">
        <v>0</v>
      </c>
      <c r="F172" s="59">
        <v>554.36</v>
      </c>
      <c r="G172" s="83">
        <f>F172/D172</f>
        <v>1.59966766987841</v>
      </c>
      <c r="H172" s="84"/>
    </row>
    <row r="173" spans="1:8" s="23" customFormat="1">
      <c r="A173" s="89" t="s">
        <v>189</v>
      </c>
      <c r="B173" s="89"/>
      <c r="C173" s="89"/>
      <c r="D173" s="89"/>
      <c r="E173" s="89"/>
      <c r="F173" s="89"/>
      <c r="G173" s="89"/>
      <c r="H173" s="89"/>
    </row>
    <row r="174" spans="1:8" s="23" customFormat="1">
      <c r="A174" s="85" t="s">
        <v>190</v>
      </c>
      <c r="B174" s="85"/>
      <c r="C174" s="59" t="s">
        <v>188</v>
      </c>
      <c r="D174" s="59">
        <f>((32.1)+(2.825*1+3*1))*10.764</f>
        <v>408.22469999999998</v>
      </c>
      <c r="E174" s="59">
        <v>0</v>
      </c>
      <c r="F174" s="59">
        <v>674.61</v>
      </c>
      <c r="G174" s="79" t="str">
        <f>A173</f>
        <v>1st to 4th Floor for Residential</v>
      </c>
      <c r="H174" s="80"/>
    </row>
    <row r="175" spans="1:8" s="23" customFormat="1">
      <c r="A175" s="85" t="s">
        <v>191</v>
      </c>
      <c r="B175" s="85"/>
      <c r="C175" s="59" t="s">
        <v>188</v>
      </c>
      <c r="D175" s="59">
        <f>((32.195)+(2.825*1+2.95*1))*10.764</f>
        <v>408.70907999999997</v>
      </c>
      <c r="E175" s="59">
        <v>0</v>
      </c>
      <c r="F175" s="59">
        <v>653.78</v>
      </c>
      <c r="G175" s="81"/>
      <c r="H175" s="82"/>
    </row>
    <row r="176" spans="1:8" s="23" customFormat="1">
      <c r="A176" s="85" t="s">
        <v>192</v>
      </c>
      <c r="B176" s="85"/>
      <c r="C176" s="59" t="s">
        <v>188</v>
      </c>
      <c r="D176" s="59">
        <f>((32.195)+(2.825*1+2.95*1))*10.764</f>
        <v>408.70907999999997</v>
      </c>
      <c r="E176" s="59">
        <v>0</v>
      </c>
      <c r="F176" s="59">
        <v>653.78</v>
      </c>
      <c r="G176" s="81"/>
      <c r="H176" s="82"/>
    </row>
    <row r="177" spans="1:8" s="23" customFormat="1">
      <c r="A177" s="85" t="s">
        <v>193</v>
      </c>
      <c r="B177" s="85"/>
      <c r="C177" s="59" t="s">
        <v>188</v>
      </c>
      <c r="D177" s="59">
        <f>((32.1)+(2.825*1+3*1))*10.764</f>
        <v>408.22469999999998</v>
      </c>
      <c r="E177" s="59">
        <v>0</v>
      </c>
      <c r="F177" s="59">
        <v>674.7</v>
      </c>
      <c r="G177" s="83"/>
      <c r="H177" s="84"/>
    </row>
    <row r="178" spans="1:8" s="23" customFormat="1" ht="15" customHeight="1">
      <c r="A178" s="89" t="s">
        <v>194</v>
      </c>
      <c r="B178" s="89"/>
      <c r="C178" s="89"/>
      <c r="D178" s="89"/>
      <c r="E178" s="89"/>
      <c r="F178" s="89"/>
      <c r="G178" s="89"/>
      <c r="H178" s="89"/>
    </row>
    <row r="179" spans="1:8" s="23" customFormat="1" ht="15" customHeight="1">
      <c r="A179" s="89" t="s">
        <v>187</v>
      </c>
      <c r="B179" s="89"/>
      <c r="C179" s="89"/>
      <c r="D179" s="89"/>
      <c r="E179" s="89"/>
      <c r="F179" s="89"/>
      <c r="G179" s="89"/>
      <c r="H179" s="89"/>
    </row>
    <row r="180" spans="1:8" s="23" customFormat="1">
      <c r="A180" s="85">
        <v>5</v>
      </c>
      <c r="B180" s="85"/>
      <c r="C180" s="59" t="s">
        <v>188</v>
      </c>
      <c r="D180" s="59">
        <f>(32.1)*10.764</f>
        <v>345.52440000000001</v>
      </c>
      <c r="E180" s="59">
        <v>0</v>
      </c>
      <c r="F180" s="59">
        <f>552.63</f>
        <v>552.63</v>
      </c>
      <c r="G180" s="79" t="str">
        <f>A179</f>
        <v>Ground Floor for Residential &amp; Parking</v>
      </c>
      <c r="H180" s="80"/>
    </row>
    <row r="181" spans="1:8" s="23" customFormat="1">
      <c r="A181" s="85">
        <v>6</v>
      </c>
      <c r="B181" s="85"/>
      <c r="C181" s="59" t="s">
        <v>188</v>
      </c>
      <c r="D181" s="59">
        <f>(32.195)*10.764</f>
        <v>346.54698000000002</v>
      </c>
      <c r="E181" s="59">
        <v>0</v>
      </c>
      <c r="F181" s="59">
        <v>554.36</v>
      </c>
      <c r="G181" s="83"/>
      <c r="H181" s="84"/>
    </row>
    <row r="182" spans="1:8" s="23" customFormat="1">
      <c r="A182" s="89" t="s">
        <v>189</v>
      </c>
      <c r="B182" s="89"/>
      <c r="C182" s="89"/>
      <c r="D182" s="89"/>
      <c r="E182" s="89"/>
      <c r="F182" s="89"/>
      <c r="G182" s="89"/>
      <c r="H182" s="89"/>
    </row>
    <row r="183" spans="1:8" s="23" customFormat="1">
      <c r="A183" s="85" t="s">
        <v>195</v>
      </c>
      <c r="B183" s="85"/>
      <c r="C183" s="59" t="s">
        <v>188</v>
      </c>
      <c r="D183" s="59">
        <f>((32.1)+(2.825*1+3*1))*10.764</f>
        <v>408.22469999999998</v>
      </c>
      <c r="E183" s="59">
        <v>0</v>
      </c>
      <c r="F183" s="59">
        <v>674.61</v>
      </c>
      <c r="G183" s="79" t="str">
        <f>A182</f>
        <v>1st to 4th Floor for Residential</v>
      </c>
      <c r="H183" s="80"/>
    </row>
    <row r="184" spans="1:8" s="23" customFormat="1">
      <c r="A184" s="85" t="s">
        <v>196</v>
      </c>
      <c r="B184" s="85"/>
      <c r="C184" s="59" t="s">
        <v>188</v>
      </c>
      <c r="D184" s="59">
        <f>((32.195)+(2.825*1+2.95*1))*10.764</f>
        <v>408.70907999999997</v>
      </c>
      <c r="E184" s="59">
        <v>0</v>
      </c>
      <c r="F184" s="59">
        <v>653.78</v>
      </c>
      <c r="G184" s="81"/>
      <c r="H184" s="82"/>
    </row>
    <row r="185" spans="1:8" s="23" customFormat="1">
      <c r="A185" s="85" t="s">
        <v>197</v>
      </c>
      <c r="B185" s="85"/>
      <c r="C185" s="59" t="s">
        <v>188</v>
      </c>
      <c r="D185" s="59">
        <f>((32.195)+(2.825*1+2.95*1))*10.764</f>
        <v>408.70907999999997</v>
      </c>
      <c r="E185" s="59">
        <v>0</v>
      </c>
      <c r="F185" s="59">
        <v>653.78</v>
      </c>
      <c r="G185" s="81"/>
      <c r="H185" s="82"/>
    </row>
    <row r="186" spans="1:8" s="23" customFormat="1">
      <c r="A186" s="85" t="s">
        <v>198</v>
      </c>
      <c r="B186" s="85"/>
      <c r="C186" s="59" t="s">
        <v>188</v>
      </c>
      <c r="D186" s="59">
        <f>((32.1)+(2.825*1+3*1))*10.764</f>
        <v>408.22469999999998</v>
      </c>
      <c r="E186" s="59">
        <v>0</v>
      </c>
      <c r="F186" s="59">
        <v>674.7</v>
      </c>
      <c r="G186" s="83"/>
      <c r="H186" s="84"/>
    </row>
    <row r="187" spans="1:8" s="23" customFormat="1">
      <c r="A187" s="89" t="s">
        <v>202</v>
      </c>
      <c r="B187" s="89"/>
      <c r="C187" s="89"/>
      <c r="D187" s="89"/>
      <c r="E187" s="89"/>
      <c r="F187" s="89"/>
      <c r="G187" s="89"/>
      <c r="H187" s="89"/>
    </row>
    <row r="188" spans="1:8" s="23" customFormat="1">
      <c r="A188" s="89" t="s">
        <v>186</v>
      </c>
      <c r="B188" s="89"/>
      <c r="C188" s="89"/>
      <c r="D188" s="89"/>
      <c r="E188" s="89"/>
      <c r="F188" s="89"/>
      <c r="G188" s="89"/>
      <c r="H188" s="89"/>
    </row>
    <row r="189" spans="1:8" s="23" customFormat="1">
      <c r="A189" s="89" t="s">
        <v>187</v>
      </c>
      <c r="B189" s="89"/>
      <c r="C189" s="89"/>
      <c r="D189" s="89"/>
      <c r="E189" s="89"/>
      <c r="F189" s="89"/>
      <c r="G189" s="89"/>
      <c r="H189" s="89"/>
    </row>
    <row r="190" spans="1:8" s="23" customFormat="1">
      <c r="A190" s="85">
        <v>1</v>
      </c>
      <c r="B190" s="85"/>
      <c r="C190" s="59" t="s">
        <v>199</v>
      </c>
      <c r="D190" s="59">
        <f>19.332*10.764</f>
        <v>208.08964800000001</v>
      </c>
      <c r="E190" s="59">
        <v>0</v>
      </c>
      <c r="F190" s="59">
        <f>332.79</f>
        <v>332.79</v>
      </c>
      <c r="G190" s="79" t="str">
        <f>A189</f>
        <v>Ground Floor for Residential &amp; Parking</v>
      </c>
      <c r="H190" s="80"/>
    </row>
    <row r="191" spans="1:8" s="23" customFormat="1">
      <c r="A191" s="85">
        <v>2</v>
      </c>
      <c r="B191" s="85"/>
      <c r="C191" s="59" t="s">
        <v>199</v>
      </c>
      <c r="D191" s="59">
        <f>19.332*10.764</f>
        <v>208.08964800000001</v>
      </c>
      <c r="E191" s="59">
        <v>0</v>
      </c>
      <c r="F191" s="59">
        <v>332.79</v>
      </c>
      <c r="G191" s="83"/>
      <c r="H191" s="84"/>
    </row>
    <row r="192" spans="1:8" s="23" customFormat="1" ht="15.75" customHeight="1">
      <c r="A192" s="89" t="s">
        <v>203</v>
      </c>
      <c r="B192" s="89"/>
      <c r="C192" s="89"/>
      <c r="D192" s="89"/>
      <c r="E192" s="89"/>
      <c r="F192" s="89"/>
      <c r="G192" s="89"/>
      <c r="H192" s="89"/>
    </row>
    <row r="193" spans="1:8" s="23" customFormat="1">
      <c r="A193" s="85" t="s">
        <v>204</v>
      </c>
      <c r="B193" s="85"/>
      <c r="C193" s="59" t="s">
        <v>199</v>
      </c>
      <c r="D193" s="59">
        <f>((19.332)+(2.5*1.6)+2.4*0.6)*10.764</f>
        <v>266.64580799999999</v>
      </c>
      <c r="E193" s="59">
        <f>(2.85*1.65)*10.764</f>
        <v>50.617710000000002</v>
      </c>
      <c r="F193" s="59">
        <v>500</v>
      </c>
      <c r="G193" s="79" t="str">
        <f>A192</f>
        <v>1st &amp; 3rd Floor for Residential</v>
      </c>
      <c r="H193" s="80"/>
    </row>
    <row r="194" spans="1:8" s="23" customFormat="1">
      <c r="A194" s="85" t="s">
        <v>205</v>
      </c>
      <c r="B194" s="85"/>
      <c r="C194" s="59" t="s">
        <v>199</v>
      </c>
      <c r="D194" s="59">
        <f>((19.332)+(2.5*1.6)+2.4*0.6)*10.764</f>
        <v>266.64580799999999</v>
      </c>
      <c r="E194" s="59">
        <f>(2.85*1.65)*10.764</f>
        <v>50.617710000000002</v>
      </c>
      <c r="F194" s="59">
        <v>500</v>
      </c>
      <c r="G194" s="81"/>
      <c r="H194" s="82"/>
    </row>
    <row r="195" spans="1:8" s="23" customFormat="1">
      <c r="A195" s="85" t="s">
        <v>206</v>
      </c>
      <c r="B195" s="85"/>
      <c r="C195" s="59" t="s">
        <v>188</v>
      </c>
      <c r="D195" s="59">
        <f>((27.503)+(2.425*1.6))*10.764</f>
        <v>337.80661199999997</v>
      </c>
      <c r="E195" s="59">
        <f>(2.9*1.45)*10.764</f>
        <v>45.262619999999998</v>
      </c>
      <c r="F195" s="59">
        <v>608.45000000000005</v>
      </c>
      <c r="G195" s="81"/>
      <c r="H195" s="82"/>
    </row>
    <row r="196" spans="1:8" s="23" customFormat="1">
      <c r="A196" s="85" t="s">
        <v>207</v>
      </c>
      <c r="B196" s="85"/>
      <c r="C196" s="59" t="s">
        <v>199</v>
      </c>
      <c r="D196" s="59">
        <f>((19.332)+(2.425*1.6))*10.764</f>
        <v>249.85396800000001</v>
      </c>
      <c r="E196" s="59">
        <f>(2.85*1.65)*10.764</f>
        <v>50.617710000000002</v>
      </c>
      <c r="F196" s="59">
        <v>476.37</v>
      </c>
      <c r="G196" s="83"/>
      <c r="H196" s="84"/>
    </row>
    <row r="197" spans="1:8" s="23" customFormat="1" ht="15.75" customHeight="1">
      <c r="A197" s="89" t="s">
        <v>208</v>
      </c>
      <c r="B197" s="89"/>
      <c r="C197" s="89"/>
      <c r="D197" s="89"/>
      <c r="E197" s="89"/>
      <c r="F197" s="89"/>
      <c r="G197" s="89"/>
      <c r="H197" s="89"/>
    </row>
    <row r="198" spans="1:8" s="23" customFormat="1">
      <c r="A198" s="85" t="s">
        <v>209</v>
      </c>
      <c r="B198" s="85"/>
      <c r="C198" s="59" t="s">
        <v>199</v>
      </c>
      <c r="D198" s="59">
        <f>((19.332)+(2.5*1.6)+2.4*0.6)*10.764</f>
        <v>266.64580799999999</v>
      </c>
      <c r="E198" s="59">
        <v>0</v>
      </c>
      <c r="F198" s="59">
        <v>419.04</v>
      </c>
      <c r="G198" s="79" t="str">
        <f>A197</f>
        <v>2nd &amp; 4th Floor</v>
      </c>
      <c r="H198" s="80"/>
    </row>
    <row r="199" spans="1:8" s="23" customFormat="1">
      <c r="A199" s="85" t="s">
        <v>210</v>
      </c>
      <c r="B199" s="85"/>
      <c r="C199" s="59" t="s">
        <v>199</v>
      </c>
      <c r="D199" s="59">
        <f>((19.332)+(2.5*1.6)+2.4*0.6)*10.764</f>
        <v>266.64580799999999</v>
      </c>
      <c r="E199" s="59">
        <v>0</v>
      </c>
      <c r="F199" s="59">
        <v>419.04</v>
      </c>
      <c r="G199" s="81"/>
      <c r="H199" s="82"/>
    </row>
    <row r="200" spans="1:8" s="23" customFormat="1">
      <c r="A200" s="85" t="s">
        <v>211</v>
      </c>
      <c r="B200" s="85"/>
      <c r="C200" s="59" t="s">
        <v>188</v>
      </c>
      <c r="D200" s="59">
        <f>((27.503)+(2.5*1.6))*10.764</f>
        <v>339.09829200000001</v>
      </c>
      <c r="E200" s="59">
        <v>0</v>
      </c>
      <c r="F200" s="59">
        <v>536.04999999999995</v>
      </c>
      <c r="G200" s="81"/>
      <c r="H200" s="82"/>
    </row>
    <row r="201" spans="1:8" s="23" customFormat="1">
      <c r="A201" s="85" t="s">
        <v>212</v>
      </c>
      <c r="B201" s="85"/>
      <c r="C201" s="59" t="s">
        <v>199</v>
      </c>
      <c r="D201" s="59">
        <f>((19.332)+(2.5*1.6))*10.764</f>
        <v>251.14564799999999</v>
      </c>
      <c r="E201" s="59">
        <v>0</v>
      </c>
      <c r="F201" s="59">
        <v>395.4</v>
      </c>
      <c r="G201" s="83"/>
      <c r="H201" s="84"/>
    </row>
    <row r="202" spans="1:8" s="23" customFormat="1">
      <c r="A202" s="89" t="s">
        <v>213</v>
      </c>
      <c r="B202" s="89"/>
      <c r="C202" s="89"/>
      <c r="D202" s="89"/>
      <c r="E202" s="89"/>
      <c r="F202" s="89"/>
      <c r="G202" s="89"/>
      <c r="H202" s="89"/>
    </row>
    <row r="203" spans="1:8" s="23" customFormat="1">
      <c r="A203" s="89" t="s">
        <v>214</v>
      </c>
      <c r="B203" s="89"/>
      <c r="C203" s="89"/>
      <c r="D203" s="89"/>
      <c r="E203" s="89"/>
      <c r="F203" s="89"/>
      <c r="G203" s="89"/>
      <c r="H203" s="89"/>
    </row>
    <row r="204" spans="1:8" s="23" customFormat="1" ht="15.75" customHeight="1">
      <c r="A204" s="89" t="s">
        <v>215</v>
      </c>
      <c r="B204" s="89"/>
      <c r="C204" s="89"/>
      <c r="D204" s="89"/>
      <c r="E204" s="89"/>
      <c r="F204" s="89"/>
      <c r="G204" s="89"/>
      <c r="H204" s="89"/>
    </row>
    <row r="205" spans="1:8" s="23" customFormat="1">
      <c r="A205" s="85" t="s">
        <v>216</v>
      </c>
      <c r="B205" s="85"/>
      <c r="C205" s="59" t="s">
        <v>199</v>
      </c>
      <c r="D205" s="59">
        <f>((19.332)+(2.5*1.6))*10.764</f>
        <v>251.14564799999999</v>
      </c>
      <c r="E205" s="59">
        <f>((2.85*1.65))*10.764</f>
        <v>50.617710000000002</v>
      </c>
      <c r="F205" s="59">
        <v>478.29</v>
      </c>
      <c r="G205" s="79" t="str">
        <f>A204</f>
        <v>1st &amp; 3rd Floor for Residential</v>
      </c>
      <c r="H205" s="80"/>
    </row>
    <row r="206" spans="1:8" s="23" customFormat="1">
      <c r="A206" s="85" t="s">
        <v>217</v>
      </c>
      <c r="B206" s="85"/>
      <c r="C206" s="59" t="s">
        <v>199</v>
      </c>
      <c r="D206" s="59">
        <f>((19.332)+(2.5*1.6))*10.764</f>
        <v>251.14564799999999</v>
      </c>
      <c r="E206" s="59">
        <f>(2.85*1.65)*10.764</f>
        <v>50.617710000000002</v>
      </c>
      <c r="F206" s="59">
        <v>478.29</v>
      </c>
      <c r="G206" s="81"/>
      <c r="H206" s="82"/>
    </row>
    <row r="207" spans="1:8" s="23" customFormat="1">
      <c r="A207" s="85" t="s">
        <v>218</v>
      </c>
      <c r="B207" s="85"/>
      <c r="C207" s="59" t="s">
        <v>188</v>
      </c>
      <c r="D207" s="59">
        <f>((27.503)+(2.425*1.6))*10.764</f>
        <v>337.80661199999997</v>
      </c>
      <c r="E207" s="59">
        <f>(2.9*1.45)*10.764</f>
        <v>45.262619999999998</v>
      </c>
      <c r="F207" s="59">
        <v>608.45000000000005</v>
      </c>
      <c r="G207" s="81"/>
      <c r="H207" s="82"/>
    </row>
    <row r="208" spans="1:8" s="23" customFormat="1">
      <c r="A208" s="85" t="s">
        <v>219</v>
      </c>
      <c r="B208" s="85"/>
      <c r="C208" s="59" t="s">
        <v>199</v>
      </c>
      <c r="D208" s="59">
        <f>((19.332)+(2.425*1.6))*10.764</f>
        <v>249.85396800000001</v>
      </c>
      <c r="E208" s="59">
        <f>(2.85*1.65)*10.764</f>
        <v>50.617710000000002</v>
      </c>
      <c r="F208" s="59">
        <v>476.35</v>
      </c>
      <c r="G208" s="83"/>
      <c r="H208" s="84"/>
    </row>
    <row r="209" spans="1:8" s="23" customFormat="1" ht="15.75" customHeight="1">
      <c r="A209" s="89" t="s">
        <v>220</v>
      </c>
      <c r="B209" s="89"/>
      <c r="C209" s="89"/>
      <c r="D209" s="89"/>
      <c r="E209" s="89"/>
      <c r="F209" s="89"/>
      <c r="G209" s="89"/>
      <c r="H209" s="89"/>
    </row>
    <row r="210" spans="1:8" s="23" customFormat="1">
      <c r="A210" s="85" t="s">
        <v>221</v>
      </c>
      <c r="B210" s="85"/>
      <c r="C210" s="59" t="s">
        <v>199</v>
      </c>
      <c r="D210" s="59">
        <f>((19.332)+(2.5*1.6))*10.764</f>
        <v>251.14564799999999</v>
      </c>
      <c r="E210" s="59">
        <v>0</v>
      </c>
      <c r="F210" s="59">
        <v>395.4</v>
      </c>
      <c r="G210" s="79" t="str">
        <f>A209</f>
        <v>2nd &amp; 4th Floor</v>
      </c>
      <c r="H210" s="80"/>
    </row>
    <row r="211" spans="1:8" s="23" customFormat="1">
      <c r="A211" s="85" t="s">
        <v>222</v>
      </c>
      <c r="B211" s="85"/>
      <c r="C211" s="59" t="s">
        <v>199</v>
      </c>
      <c r="D211" s="59">
        <f>((19.332)+(2.5*1.6))*10.764</f>
        <v>251.14564799999999</v>
      </c>
      <c r="E211" s="59">
        <v>0</v>
      </c>
      <c r="F211" s="59">
        <v>395.4</v>
      </c>
      <c r="G211" s="81"/>
      <c r="H211" s="82"/>
    </row>
    <row r="212" spans="1:8" s="23" customFormat="1">
      <c r="A212" s="85" t="s">
        <v>223</v>
      </c>
      <c r="B212" s="85"/>
      <c r="C212" s="59" t="s">
        <v>188</v>
      </c>
      <c r="D212" s="59">
        <f>((27.503)+(2.425*1.6))*10.764</f>
        <v>337.80661199999997</v>
      </c>
      <c r="E212" s="59">
        <v>0</v>
      </c>
      <c r="F212" s="59">
        <v>536.04999999999995</v>
      </c>
      <c r="G212" s="81"/>
      <c r="H212" s="82"/>
    </row>
    <row r="213" spans="1:8" s="23" customFormat="1">
      <c r="A213" s="85" t="s">
        <v>224</v>
      </c>
      <c r="B213" s="85"/>
      <c r="C213" s="59" t="s">
        <v>199</v>
      </c>
      <c r="D213" s="59">
        <f>((19.332)+(2.425*1.6))*10.764</f>
        <v>249.85396800000001</v>
      </c>
      <c r="E213" s="59">
        <v>0</v>
      </c>
      <c r="F213" s="59">
        <v>395.4</v>
      </c>
      <c r="G213" s="83"/>
      <c r="H213" s="84"/>
    </row>
    <row r="214" spans="1:8" s="23" customFormat="1">
      <c r="A214" s="89" t="s">
        <v>225</v>
      </c>
      <c r="B214" s="89"/>
      <c r="C214" s="89"/>
      <c r="D214" s="89"/>
      <c r="E214" s="89"/>
      <c r="F214" s="89"/>
      <c r="G214" s="89"/>
      <c r="H214" s="89"/>
    </row>
    <row r="215" spans="1:8" s="23" customFormat="1" ht="15.75" customHeight="1">
      <c r="A215" s="89" t="s">
        <v>187</v>
      </c>
      <c r="B215" s="89"/>
      <c r="C215" s="89"/>
      <c r="D215" s="89"/>
      <c r="E215" s="89"/>
      <c r="F215" s="89"/>
      <c r="G215" s="89"/>
      <c r="H215" s="89"/>
    </row>
    <row r="216" spans="1:8" s="23" customFormat="1">
      <c r="A216" s="85">
        <v>9</v>
      </c>
      <c r="B216" s="85"/>
      <c r="C216" s="59" t="s">
        <v>199</v>
      </c>
      <c r="D216" s="59">
        <f>19.332*10.764</f>
        <v>208.08964800000001</v>
      </c>
      <c r="E216" s="59">
        <v>0</v>
      </c>
      <c r="F216" s="59">
        <v>332.79</v>
      </c>
      <c r="G216" s="79" t="str">
        <f>A215</f>
        <v>Ground Floor for Residential &amp; Parking</v>
      </c>
      <c r="H216" s="80"/>
    </row>
    <row r="217" spans="1:8" s="23" customFormat="1">
      <c r="A217" s="85">
        <v>10</v>
      </c>
      <c r="B217" s="85"/>
      <c r="C217" s="59" t="s">
        <v>199</v>
      </c>
      <c r="D217" s="59">
        <f>19.332*10.764</f>
        <v>208.08964800000001</v>
      </c>
      <c r="E217" s="59">
        <v>0</v>
      </c>
      <c r="F217" s="59">
        <v>332.79</v>
      </c>
      <c r="G217" s="83"/>
      <c r="H217" s="84"/>
    </row>
    <row r="218" spans="1:8" s="23" customFormat="1" ht="15.75" customHeight="1">
      <c r="A218" s="89" t="s">
        <v>215</v>
      </c>
      <c r="B218" s="89"/>
      <c r="C218" s="89"/>
      <c r="D218" s="89"/>
      <c r="E218" s="89"/>
      <c r="F218" s="89"/>
      <c r="G218" s="89"/>
      <c r="H218" s="89"/>
    </row>
    <row r="219" spans="1:8" s="23" customFormat="1">
      <c r="A219" s="85" t="s">
        <v>226</v>
      </c>
      <c r="B219" s="85"/>
      <c r="C219" s="59" t="s">
        <v>199</v>
      </c>
      <c r="D219" s="59">
        <f>((19.332)+(2.5*1.6)+2.4*0.6)*10.764</f>
        <v>266.64580799999999</v>
      </c>
      <c r="E219" s="59">
        <f>(2.85*1.65)*10.764</f>
        <v>50.617710000000002</v>
      </c>
      <c r="F219" s="59">
        <v>500</v>
      </c>
      <c r="G219" s="79" t="str">
        <f>A218</f>
        <v>1st &amp; 3rd Floor for Residential</v>
      </c>
      <c r="H219" s="80"/>
    </row>
    <row r="220" spans="1:8" s="23" customFormat="1">
      <c r="A220" s="85" t="s">
        <v>227</v>
      </c>
      <c r="B220" s="85"/>
      <c r="C220" s="59" t="s">
        <v>199</v>
      </c>
      <c r="D220" s="59">
        <f>((19.332)+(2.5*1.6)+2.4*0.6)*10.764</f>
        <v>266.64580799999999</v>
      </c>
      <c r="E220" s="59">
        <f>(2.85*1.65)*10.764</f>
        <v>50.617710000000002</v>
      </c>
      <c r="F220" s="59">
        <v>500</v>
      </c>
      <c r="G220" s="81"/>
      <c r="H220" s="82"/>
    </row>
    <row r="221" spans="1:8" s="23" customFormat="1">
      <c r="A221" s="85" t="s">
        <v>228</v>
      </c>
      <c r="B221" s="85"/>
      <c r="C221" s="59" t="s">
        <v>188</v>
      </c>
      <c r="D221" s="59">
        <f>((27.503)+(2.425*1.6))*10.764</f>
        <v>337.80661199999997</v>
      </c>
      <c r="E221" s="59">
        <f>(2.9*1.45)*10.764</f>
        <v>45.262619999999998</v>
      </c>
      <c r="F221" s="59">
        <v>608.45000000000005</v>
      </c>
      <c r="G221" s="81"/>
      <c r="H221" s="82"/>
    </row>
    <row r="222" spans="1:8" s="23" customFormat="1">
      <c r="A222" s="85" t="s">
        <v>229</v>
      </c>
      <c r="B222" s="85"/>
      <c r="C222" s="59" t="s">
        <v>199</v>
      </c>
      <c r="D222" s="59">
        <f>((19.332)+(2.426*1.6))*10.764</f>
        <v>249.87119039999999</v>
      </c>
      <c r="E222" s="59">
        <f>(2.85*1.65)*10.764</f>
        <v>50.617710000000002</v>
      </c>
      <c r="F222" s="59">
        <v>476.37</v>
      </c>
      <c r="G222" s="83"/>
      <c r="H222" s="84"/>
    </row>
    <row r="223" spans="1:8" s="23" customFormat="1" ht="15.75" customHeight="1">
      <c r="A223" s="89" t="s">
        <v>220</v>
      </c>
      <c r="B223" s="89"/>
      <c r="C223" s="89"/>
      <c r="D223" s="89"/>
      <c r="E223" s="89"/>
      <c r="F223" s="89"/>
      <c r="G223" s="89"/>
      <c r="H223" s="89"/>
    </row>
    <row r="224" spans="1:8" s="23" customFormat="1">
      <c r="A224" s="85" t="s">
        <v>230</v>
      </c>
      <c r="B224" s="85"/>
      <c r="C224" s="59" t="s">
        <v>199</v>
      </c>
      <c r="D224" s="59">
        <f>((19.332)+(2.5*1.6)+2.4*0.6)*10.764</f>
        <v>266.64580799999999</v>
      </c>
      <c r="E224" s="59">
        <v>0</v>
      </c>
      <c r="F224" s="59">
        <f>419.04</f>
        <v>419.04</v>
      </c>
      <c r="G224" s="79" t="str">
        <f>A223</f>
        <v>2nd &amp; 4th Floor</v>
      </c>
      <c r="H224" s="80"/>
    </row>
    <row r="225" spans="1:8" s="23" customFormat="1">
      <c r="A225" s="85" t="s">
        <v>231</v>
      </c>
      <c r="B225" s="85"/>
      <c r="C225" s="59" t="s">
        <v>199</v>
      </c>
      <c r="D225" s="59">
        <f>((19.332)+(2.5*1.6)+2.4*0.6)*10.764</f>
        <v>266.64580799999999</v>
      </c>
      <c r="E225" s="59">
        <v>0</v>
      </c>
      <c r="F225" s="59">
        <v>419.04</v>
      </c>
      <c r="G225" s="81"/>
      <c r="H225" s="82"/>
    </row>
    <row r="226" spans="1:8" s="23" customFormat="1">
      <c r="A226" s="85" t="s">
        <v>232</v>
      </c>
      <c r="B226" s="85"/>
      <c r="C226" s="59" t="s">
        <v>188</v>
      </c>
      <c r="D226" s="59">
        <f>((27.503)+(2.425*1.6))*10.764</f>
        <v>337.80661199999997</v>
      </c>
      <c r="E226" s="59">
        <v>0</v>
      </c>
      <c r="F226" s="59">
        <v>536.04999999999995</v>
      </c>
      <c r="G226" s="81"/>
      <c r="H226" s="82"/>
    </row>
    <row r="227" spans="1:8" s="23" customFormat="1">
      <c r="A227" s="85" t="s">
        <v>233</v>
      </c>
      <c r="B227" s="85"/>
      <c r="C227" s="59" t="s">
        <v>199</v>
      </c>
      <c r="D227" s="59">
        <f>((19.332)+(2.426*1.6))*10.764</f>
        <v>249.87119039999999</v>
      </c>
      <c r="E227" s="59">
        <v>0</v>
      </c>
      <c r="F227" s="59">
        <v>395.4</v>
      </c>
      <c r="G227" s="83"/>
      <c r="H227" s="84"/>
    </row>
    <row r="228" spans="1:8" s="21" customFormat="1">
      <c r="A228" s="86" t="s">
        <v>234</v>
      </c>
      <c r="B228" s="86"/>
      <c r="C228" s="86"/>
      <c r="D228" s="86"/>
      <c r="E228" s="86"/>
      <c r="F228" s="86"/>
      <c r="G228" s="86"/>
      <c r="H228" s="86"/>
    </row>
    <row r="229" spans="1:8" s="24" customFormat="1" ht="109" customHeight="1">
      <c r="A229" s="87" t="s">
        <v>283</v>
      </c>
      <c r="B229" s="87"/>
      <c r="C229" s="87"/>
      <c r="D229" s="87"/>
      <c r="E229" s="87"/>
      <c r="F229" s="87"/>
      <c r="G229" s="87"/>
      <c r="H229" s="87"/>
    </row>
    <row r="230" spans="1:8">
      <c r="A230" s="88" t="s">
        <v>235</v>
      </c>
      <c r="B230" s="88"/>
      <c r="C230" s="88"/>
      <c r="D230" s="88"/>
      <c r="E230" s="88"/>
      <c r="F230" s="88"/>
      <c r="G230" s="88"/>
      <c r="H230" s="88"/>
    </row>
    <row r="231" spans="1:8">
      <c r="A231" s="77" t="s">
        <v>236</v>
      </c>
      <c r="B231" s="77"/>
      <c r="C231" s="77"/>
      <c r="D231" s="77"/>
      <c r="E231" s="77"/>
      <c r="F231" s="77"/>
      <c r="G231" s="77"/>
      <c r="H231" s="77"/>
    </row>
    <row r="232" spans="1:8" ht="15.75" customHeight="1">
      <c r="A232" s="88" t="s">
        <v>237</v>
      </c>
      <c r="B232" s="88"/>
      <c r="C232" s="88"/>
      <c r="D232" s="88"/>
      <c r="E232" s="88"/>
      <c r="F232" s="88"/>
      <c r="G232" s="88"/>
      <c r="H232" s="88"/>
    </row>
    <row r="233" spans="1:8">
      <c r="A233" s="77" t="s">
        <v>238</v>
      </c>
      <c r="B233" s="77"/>
      <c r="C233" s="77"/>
      <c r="D233" s="77"/>
      <c r="E233" s="77"/>
      <c r="F233" s="77"/>
      <c r="G233" s="77"/>
      <c r="H233" s="77"/>
    </row>
    <row r="234" spans="1:8">
      <c r="A234" s="77" t="s">
        <v>239</v>
      </c>
      <c r="B234" s="77"/>
      <c r="C234" s="77"/>
      <c r="D234" s="77"/>
      <c r="E234" s="77"/>
      <c r="F234" s="77"/>
      <c r="G234" s="77"/>
      <c r="H234" s="77"/>
    </row>
    <row r="235" spans="1:8">
      <c r="A235" s="77" t="s">
        <v>240</v>
      </c>
      <c r="B235" s="77"/>
      <c r="C235" s="77"/>
      <c r="D235" s="77"/>
      <c r="E235" s="77"/>
      <c r="F235" s="77"/>
      <c r="G235" s="77"/>
      <c r="H235" s="77"/>
    </row>
    <row r="236" spans="1:8" ht="35.25" customHeight="1">
      <c r="A236" s="66" t="s">
        <v>241</v>
      </c>
      <c r="B236" s="66"/>
      <c r="C236" s="66"/>
      <c r="D236" s="66"/>
      <c r="E236" s="66"/>
      <c r="F236" s="66"/>
      <c r="G236" s="66"/>
      <c r="H236" s="66"/>
    </row>
    <row r="237" spans="1:8">
      <c r="A237" s="78" t="s">
        <v>242</v>
      </c>
      <c r="B237" s="78"/>
      <c r="C237" s="78" t="s">
        <v>243</v>
      </c>
      <c r="D237" s="78"/>
      <c r="E237" s="78" t="s">
        <v>244</v>
      </c>
      <c r="F237" s="78"/>
      <c r="G237" s="78" t="s">
        <v>284</v>
      </c>
      <c r="H237" s="78"/>
    </row>
    <row r="238" spans="1:8">
      <c r="A238" s="65" t="s">
        <v>245</v>
      </c>
      <c r="B238" s="65"/>
      <c r="C238" s="65"/>
      <c r="D238" s="65"/>
      <c r="E238" s="65"/>
      <c r="F238" s="65"/>
      <c r="G238" s="65"/>
      <c r="H238" s="65"/>
    </row>
    <row r="239" spans="1:8">
      <c r="A239" s="65"/>
      <c r="B239" s="65"/>
      <c r="C239" s="65"/>
      <c r="D239" s="65"/>
      <c r="E239" s="65"/>
      <c r="F239" s="65"/>
      <c r="G239" s="65"/>
      <c r="H239" s="65"/>
    </row>
    <row r="240" spans="1:8">
      <c r="A240" s="65"/>
      <c r="B240" s="65"/>
      <c r="C240" s="65"/>
      <c r="D240" s="65"/>
      <c r="E240" s="65"/>
      <c r="F240" s="65"/>
      <c r="G240" s="65"/>
      <c r="H240" s="65"/>
    </row>
    <row r="241" spans="1:8">
      <c r="A241" s="65"/>
      <c r="B241" s="65"/>
      <c r="C241" s="65"/>
      <c r="D241" s="65"/>
      <c r="E241" s="65"/>
      <c r="F241" s="65"/>
      <c r="G241" s="65"/>
      <c r="H241" s="65"/>
    </row>
    <row r="242" spans="1:8">
      <c r="A242" s="61" t="s">
        <v>246</v>
      </c>
      <c r="B242" s="62"/>
      <c r="C242" s="62"/>
      <c r="D242" s="61" t="str">
        <f>E8</f>
        <v>EV Heart City</v>
      </c>
      <c r="F242" s="62"/>
      <c r="G242" s="62"/>
      <c r="H242" s="62"/>
    </row>
    <row r="243" spans="1:8">
      <c r="A243" s="62"/>
      <c r="B243" s="62"/>
      <c r="C243" s="62"/>
      <c r="D243" s="62"/>
      <c r="E243" s="62"/>
      <c r="F243" s="62"/>
      <c r="G243" s="62"/>
      <c r="H243" s="62"/>
    </row>
    <row r="244" spans="1:8">
      <c r="A244" s="62"/>
      <c r="B244" s="62"/>
      <c r="C244" s="62"/>
      <c r="D244" s="62"/>
      <c r="E244" s="62"/>
      <c r="F244" s="62"/>
      <c r="G244" s="62"/>
      <c r="H244" s="62"/>
    </row>
    <row r="245" spans="1:8" ht="15" customHeight="1"/>
    <row r="285" spans="1:1">
      <c r="A285" s="63" t="s">
        <v>247</v>
      </c>
    </row>
  </sheetData>
  <mergeCells count="381">
    <mergeCell ref="A1:H1"/>
    <mergeCell ref="A2:H2"/>
    <mergeCell ref="A3:D3"/>
    <mergeCell ref="E3:H3"/>
    <mergeCell ref="A4:D4"/>
    <mergeCell ref="E4:H4"/>
    <mergeCell ref="A5:D5"/>
    <mergeCell ref="E5:H5"/>
    <mergeCell ref="A6:D6"/>
    <mergeCell ref="E6:H6"/>
    <mergeCell ref="A7:D7"/>
    <mergeCell ref="E7:H7"/>
    <mergeCell ref="A8:D8"/>
    <mergeCell ref="E8:H8"/>
    <mergeCell ref="A9:D9"/>
    <mergeCell ref="E9:H9"/>
    <mergeCell ref="A10:D10"/>
    <mergeCell ref="E10:H10"/>
    <mergeCell ref="A11:D11"/>
    <mergeCell ref="E11:H11"/>
    <mergeCell ref="A12:D12"/>
    <mergeCell ref="E12:H12"/>
    <mergeCell ref="A13:B13"/>
    <mergeCell ref="C13:H13"/>
    <mergeCell ref="A14:B14"/>
    <mergeCell ref="C14:H14"/>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21:D21"/>
    <mergeCell ref="E21:H21"/>
    <mergeCell ref="A22:D22"/>
    <mergeCell ref="E22:H22"/>
    <mergeCell ref="A23:D23"/>
    <mergeCell ref="E23:H23"/>
    <mergeCell ref="A24:D24"/>
    <mergeCell ref="E24:H24"/>
    <mergeCell ref="A25:D25"/>
    <mergeCell ref="E25:H25"/>
    <mergeCell ref="A26:D26"/>
    <mergeCell ref="E26:H26"/>
    <mergeCell ref="A27:D27"/>
    <mergeCell ref="E27:H27"/>
    <mergeCell ref="A28:D28"/>
    <mergeCell ref="E28:H28"/>
    <mergeCell ref="A29:B29"/>
    <mergeCell ref="C29:E29"/>
    <mergeCell ref="F29:H29"/>
    <mergeCell ref="A30:B30"/>
    <mergeCell ref="C30:E30"/>
    <mergeCell ref="F30:H30"/>
    <mergeCell ref="A31:B31"/>
    <mergeCell ref="C31:E31"/>
    <mergeCell ref="F31:H31"/>
    <mergeCell ref="A32:B32"/>
    <mergeCell ref="C32:E32"/>
    <mergeCell ref="F32:H32"/>
    <mergeCell ref="A33:B33"/>
    <mergeCell ref="C33:E33"/>
    <mergeCell ref="F33:H33"/>
    <mergeCell ref="A34:H34"/>
    <mergeCell ref="A35:B35"/>
    <mergeCell ref="C35:H35"/>
    <mergeCell ref="A36:B36"/>
    <mergeCell ref="C36:H36"/>
    <mergeCell ref="A37:H37"/>
    <mergeCell ref="A38:D38"/>
    <mergeCell ref="E38:H38"/>
    <mergeCell ref="A39:D39"/>
    <mergeCell ref="E39:H39"/>
    <mergeCell ref="A40:D40"/>
    <mergeCell ref="E40:H40"/>
    <mergeCell ref="A41:D41"/>
    <mergeCell ref="E41:H41"/>
    <mergeCell ref="A42:D42"/>
    <mergeCell ref="E42:H42"/>
    <mergeCell ref="A43:D43"/>
    <mergeCell ref="E43:H43"/>
    <mergeCell ref="A44:H44"/>
    <mergeCell ref="A45:B45"/>
    <mergeCell ref="C45:E45"/>
    <mergeCell ref="G45:H45"/>
    <mergeCell ref="A46:B46"/>
    <mergeCell ref="C46:E46"/>
    <mergeCell ref="G46:H46"/>
    <mergeCell ref="C47:E47"/>
    <mergeCell ref="G47:H47"/>
    <mergeCell ref="C48:H48"/>
    <mergeCell ref="A49:B49"/>
    <mergeCell ref="C49:E49"/>
    <mergeCell ref="G49:H49"/>
    <mergeCell ref="A50:H50"/>
    <mergeCell ref="A51:C51"/>
    <mergeCell ref="D51:H51"/>
    <mergeCell ref="A47:B48"/>
    <mergeCell ref="A52:C52"/>
    <mergeCell ref="D52:H52"/>
    <mergeCell ref="A53:C53"/>
    <mergeCell ref="D53:H53"/>
    <mergeCell ref="A54:C54"/>
    <mergeCell ref="D54:H54"/>
    <mergeCell ref="A55:C55"/>
    <mergeCell ref="D55:H55"/>
    <mergeCell ref="A56:C56"/>
    <mergeCell ref="D56:H56"/>
    <mergeCell ref="A57:C57"/>
    <mergeCell ref="D57:H57"/>
    <mergeCell ref="A58:C58"/>
    <mergeCell ref="D58:H58"/>
    <mergeCell ref="A59:B59"/>
    <mergeCell ref="C59:H59"/>
    <mergeCell ref="A61:B61"/>
    <mergeCell ref="C61:H61"/>
    <mergeCell ref="A62:B62"/>
    <mergeCell ref="E62:F62"/>
    <mergeCell ref="G62:H62"/>
    <mergeCell ref="A63:B63"/>
    <mergeCell ref="A64:B64"/>
    <mergeCell ref="A65:B65"/>
    <mergeCell ref="A66:B66"/>
    <mergeCell ref="A67:B67"/>
    <mergeCell ref="A68:B68"/>
    <mergeCell ref="A69:B69"/>
    <mergeCell ref="A70:B70"/>
    <mergeCell ref="A71:B71"/>
    <mergeCell ref="A72:B72"/>
    <mergeCell ref="A73:B73"/>
    <mergeCell ref="C73:H73"/>
    <mergeCell ref="A75:B75"/>
    <mergeCell ref="C75:H75"/>
    <mergeCell ref="A76:B76"/>
    <mergeCell ref="E76:F76"/>
    <mergeCell ref="G76:H76"/>
    <mergeCell ref="A77:B77"/>
    <mergeCell ref="A78:B78"/>
    <mergeCell ref="A79:B79"/>
    <mergeCell ref="A80:B80"/>
    <mergeCell ref="A81:B81"/>
    <mergeCell ref="A82:B82"/>
    <mergeCell ref="A83:B83"/>
    <mergeCell ref="A84:B84"/>
    <mergeCell ref="A85:B85"/>
    <mergeCell ref="A86:B86"/>
    <mergeCell ref="A87:B87"/>
    <mergeCell ref="C87:H87"/>
    <mergeCell ref="A89:B89"/>
    <mergeCell ref="C89:H89"/>
    <mergeCell ref="A90:B90"/>
    <mergeCell ref="E90:F90"/>
    <mergeCell ref="G90:H90"/>
    <mergeCell ref="A91:B91"/>
    <mergeCell ref="A92:B92"/>
    <mergeCell ref="A93:B93"/>
    <mergeCell ref="A94:B94"/>
    <mergeCell ref="A95:B95"/>
    <mergeCell ref="A96:B96"/>
    <mergeCell ref="A97:B97"/>
    <mergeCell ref="A98:B98"/>
    <mergeCell ref="A99:B99"/>
    <mergeCell ref="A100:B100"/>
    <mergeCell ref="A101:B101"/>
    <mergeCell ref="C101:H101"/>
    <mergeCell ref="A103:B103"/>
    <mergeCell ref="C103:H103"/>
    <mergeCell ref="A104:B104"/>
    <mergeCell ref="E104:F104"/>
    <mergeCell ref="G104:H104"/>
    <mergeCell ref="A105:B105"/>
    <mergeCell ref="A106:B106"/>
    <mergeCell ref="A107:B107"/>
    <mergeCell ref="A108:B108"/>
    <mergeCell ref="A109:B109"/>
    <mergeCell ref="A110:B110"/>
    <mergeCell ref="A111:B111"/>
    <mergeCell ref="A112:B112"/>
    <mergeCell ref="A113:B113"/>
    <mergeCell ref="A114:B114"/>
    <mergeCell ref="A115:H115"/>
    <mergeCell ref="A116:H116"/>
    <mergeCell ref="A117:B117"/>
    <mergeCell ref="C117:H117"/>
    <mergeCell ref="A118:H118"/>
    <mergeCell ref="A119:E119"/>
    <mergeCell ref="F119:H119"/>
    <mergeCell ref="A120:E120"/>
    <mergeCell ref="F120:H120"/>
    <mergeCell ref="A121:E121"/>
    <mergeCell ref="F121:H121"/>
    <mergeCell ref="A122:E122"/>
    <mergeCell ref="F122:H122"/>
    <mergeCell ref="A123:E123"/>
    <mergeCell ref="F123:H123"/>
    <mergeCell ref="A124:E124"/>
    <mergeCell ref="F124:H124"/>
    <mergeCell ref="A125:E125"/>
    <mergeCell ref="F125:H125"/>
    <mergeCell ref="A126:E126"/>
    <mergeCell ref="F126:H126"/>
    <mergeCell ref="A127:E127"/>
    <mergeCell ref="F127:H127"/>
    <mergeCell ref="A128:E128"/>
    <mergeCell ref="F128:H128"/>
    <mergeCell ref="A129:E129"/>
    <mergeCell ref="F129:H129"/>
    <mergeCell ref="A130:E130"/>
    <mergeCell ref="F130:H130"/>
    <mergeCell ref="A131:E131"/>
    <mergeCell ref="F131:H131"/>
    <mergeCell ref="A132:E132"/>
    <mergeCell ref="F132:H132"/>
    <mergeCell ref="A133:H133"/>
    <mergeCell ref="A134:B134"/>
    <mergeCell ref="D134:E134"/>
    <mergeCell ref="F134:H134"/>
    <mergeCell ref="A135:B135"/>
    <mergeCell ref="D135:E135"/>
    <mergeCell ref="F135:H135"/>
    <mergeCell ref="A136:H136"/>
    <mergeCell ref="A137:B137"/>
    <mergeCell ref="D137:E137"/>
    <mergeCell ref="F137:H137"/>
    <mergeCell ref="A138:B138"/>
    <mergeCell ref="D138:E138"/>
    <mergeCell ref="F138:H138"/>
    <mergeCell ref="A139:B139"/>
    <mergeCell ref="D139:E139"/>
    <mergeCell ref="F139:H139"/>
    <mergeCell ref="A140:B140"/>
    <mergeCell ref="D140:E140"/>
    <mergeCell ref="F140:H140"/>
    <mergeCell ref="A141:B141"/>
    <mergeCell ref="D141:E141"/>
    <mergeCell ref="F141:H141"/>
    <mergeCell ref="A142:B142"/>
    <mergeCell ref="D142:E142"/>
    <mergeCell ref="F142:H142"/>
    <mergeCell ref="A143:B143"/>
    <mergeCell ref="D143:E143"/>
    <mergeCell ref="F143:H143"/>
    <mergeCell ref="A144:B144"/>
    <mergeCell ref="D144:E144"/>
    <mergeCell ref="F144:H144"/>
    <mergeCell ref="A145:B145"/>
    <mergeCell ref="D145:E145"/>
    <mergeCell ref="F145:H145"/>
    <mergeCell ref="A146:H146"/>
    <mergeCell ref="A147:H147"/>
    <mergeCell ref="A148:B148"/>
    <mergeCell ref="G148:H148"/>
    <mergeCell ref="A149:H149"/>
    <mergeCell ref="A150:H150"/>
    <mergeCell ref="A151:H151"/>
    <mergeCell ref="A152:B152"/>
    <mergeCell ref="A153:B153"/>
    <mergeCell ref="G152:H153"/>
    <mergeCell ref="A154:H154"/>
    <mergeCell ref="A155:B155"/>
    <mergeCell ref="A156:B156"/>
    <mergeCell ref="A157:B157"/>
    <mergeCell ref="A158:B158"/>
    <mergeCell ref="A159:H159"/>
    <mergeCell ref="A160:H160"/>
    <mergeCell ref="A161:B161"/>
    <mergeCell ref="A162:B162"/>
    <mergeCell ref="G155:H158"/>
    <mergeCell ref="G161:H162"/>
    <mergeCell ref="A163:H163"/>
    <mergeCell ref="A164:B164"/>
    <mergeCell ref="A165:B165"/>
    <mergeCell ref="A166:B166"/>
    <mergeCell ref="A167:B167"/>
    <mergeCell ref="A168:H168"/>
    <mergeCell ref="A169:H169"/>
    <mergeCell ref="A170:H170"/>
    <mergeCell ref="A171:B171"/>
    <mergeCell ref="G164:H167"/>
    <mergeCell ref="A172:B172"/>
    <mergeCell ref="A173:H173"/>
    <mergeCell ref="A174:B174"/>
    <mergeCell ref="A175:B175"/>
    <mergeCell ref="A176:B176"/>
    <mergeCell ref="A177:B177"/>
    <mergeCell ref="A178:H178"/>
    <mergeCell ref="A179:H179"/>
    <mergeCell ref="A180:B180"/>
    <mergeCell ref="G171:H172"/>
    <mergeCell ref="G174:H177"/>
    <mergeCell ref="A181:B181"/>
    <mergeCell ref="A182:H182"/>
    <mergeCell ref="A183:B183"/>
    <mergeCell ref="A184:B184"/>
    <mergeCell ref="A185:B185"/>
    <mergeCell ref="A186:B186"/>
    <mergeCell ref="A187:H187"/>
    <mergeCell ref="A188:H188"/>
    <mergeCell ref="A189:H189"/>
    <mergeCell ref="G183:H186"/>
    <mergeCell ref="G180:H181"/>
    <mergeCell ref="A190:B190"/>
    <mergeCell ref="A191:B191"/>
    <mergeCell ref="A192:H192"/>
    <mergeCell ref="A193:B193"/>
    <mergeCell ref="A194:B194"/>
    <mergeCell ref="A195:B195"/>
    <mergeCell ref="A196:B196"/>
    <mergeCell ref="A197:H197"/>
    <mergeCell ref="A198:B198"/>
    <mergeCell ref="G190:H191"/>
    <mergeCell ref="G193:H196"/>
    <mergeCell ref="A199:B199"/>
    <mergeCell ref="A200:B200"/>
    <mergeCell ref="A201:B201"/>
    <mergeCell ref="A202:H202"/>
    <mergeCell ref="A203:H203"/>
    <mergeCell ref="A204:H204"/>
    <mergeCell ref="A205:B205"/>
    <mergeCell ref="A206:B206"/>
    <mergeCell ref="A207:B207"/>
    <mergeCell ref="G198:H201"/>
    <mergeCell ref="A208:B208"/>
    <mergeCell ref="A209:H209"/>
    <mergeCell ref="A210:B210"/>
    <mergeCell ref="A211:B211"/>
    <mergeCell ref="A212:B212"/>
    <mergeCell ref="A213:B213"/>
    <mergeCell ref="A214:H214"/>
    <mergeCell ref="A215:H215"/>
    <mergeCell ref="A216:B216"/>
    <mergeCell ref="G205:H208"/>
    <mergeCell ref="G210:H213"/>
    <mergeCell ref="A230:H230"/>
    <mergeCell ref="A231:H231"/>
    <mergeCell ref="A232:H232"/>
    <mergeCell ref="A233:H233"/>
    <mergeCell ref="A234:H234"/>
    <mergeCell ref="A217:B217"/>
    <mergeCell ref="A218:H218"/>
    <mergeCell ref="A219:B219"/>
    <mergeCell ref="A220:B220"/>
    <mergeCell ref="A221:B221"/>
    <mergeCell ref="A222:B222"/>
    <mergeCell ref="A223:H223"/>
    <mergeCell ref="A224:B224"/>
    <mergeCell ref="A225:B225"/>
    <mergeCell ref="A238:H241"/>
    <mergeCell ref="A19:D20"/>
    <mergeCell ref="E19:H20"/>
    <mergeCell ref="E63:F72"/>
    <mergeCell ref="G63:H72"/>
    <mergeCell ref="E77:F86"/>
    <mergeCell ref="G77:H86"/>
    <mergeCell ref="E91:F100"/>
    <mergeCell ref="G91:H100"/>
    <mergeCell ref="E105:F114"/>
    <mergeCell ref="G105:H114"/>
    <mergeCell ref="A235:H235"/>
    <mergeCell ref="A236:H236"/>
    <mergeCell ref="A237:B237"/>
    <mergeCell ref="C237:D237"/>
    <mergeCell ref="E237:F237"/>
    <mergeCell ref="G237:H237"/>
    <mergeCell ref="G219:H222"/>
    <mergeCell ref="G224:H227"/>
    <mergeCell ref="G216:H217"/>
    <mergeCell ref="A226:B226"/>
    <mergeCell ref="A227:B227"/>
    <mergeCell ref="A228:H228"/>
    <mergeCell ref="A229:H229"/>
  </mergeCells>
  <hyperlinks>
    <hyperlink ref="C36" r:id="rId1"/>
  </hyperlinks>
  <printOptions horizontalCentered="1"/>
  <pageMargins left="0.39370078740157499" right="0.39370078740157499" top="0.78740157480314998" bottom="0.78740157480314998" header="0.196850393700787" footer="0.196850393700787"/>
  <pageSetup fitToHeight="0" orientation="portrait" r:id="rId2"/>
  <headerFooter>
    <oddHeader>&amp;C&amp;G</oddHeader>
    <oddFooter>&amp;L&amp;"Times New Roman,Bold"&amp;12Ref No: &amp;F&amp;C&amp;G&amp;R&amp;"Times New Roman,Bold"&amp;12                                &amp;P</oddFooter>
  </headerFooter>
  <rowBreaks count="5" manualBreakCount="5">
    <brk id="58" max="16383" man="1"/>
    <brk id="86" max="16383" man="1"/>
    <brk id="135" max="16383" man="1"/>
    <brk id="241" max="16383" man="1"/>
    <brk id="28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6" sqref="C16"/>
    </sheetView>
  </sheetViews>
  <sheetFormatPr defaultColWidth="9"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opLeftCell="C1" zoomScale="115" zoomScaleNormal="115" workbookViewId="0">
      <selection activeCell="G11" sqref="G11"/>
    </sheetView>
  </sheetViews>
  <sheetFormatPr defaultColWidth="8.6328125" defaultRowHeight="14.5"/>
  <cols>
    <col min="1" max="1" width="8.6328125" style="6"/>
    <col min="2" max="2" width="22.08984375" style="6" customWidth="1"/>
    <col min="3" max="3" width="37" style="6" customWidth="1"/>
    <col min="4" max="5" width="11.453125" style="6" customWidth="1"/>
    <col min="6" max="6" width="14" style="6" customWidth="1"/>
    <col min="7" max="7" width="20" style="6" customWidth="1"/>
    <col min="8" max="8" width="16.453125" style="6" customWidth="1"/>
    <col min="9" max="16384" width="8.6328125" style="6"/>
  </cols>
  <sheetData>
    <row r="1" spans="1:9" ht="15" customHeight="1"/>
    <row r="2" spans="1:9" ht="15" customHeight="1">
      <c r="A2" s="7"/>
      <c r="B2" s="7"/>
      <c r="C2" s="7"/>
      <c r="D2" s="7"/>
      <c r="E2" s="7"/>
      <c r="F2" s="7"/>
      <c r="G2" s="7"/>
      <c r="H2" s="7"/>
    </row>
    <row r="3" spans="1:9" ht="15.75" customHeight="1">
      <c r="A3" s="7"/>
      <c r="B3" s="153" t="s">
        <v>248</v>
      </c>
      <c r="C3" s="153"/>
      <c r="D3" s="153"/>
      <c r="E3" s="153"/>
      <c r="F3" s="153"/>
      <c r="G3" s="153"/>
      <c r="H3" s="153"/>
    </row>
    <row r="4" spans="1:9">
      <c r="A4" s="7"/>
      <c r="B4" s="8" t="s">
        <v>249</v>
      </c>
      <c r="C4" s="8" t="s">
        <v>250</v>
      </c>
      <c r="D4" s="8" t="s">
        <v>251</v>
      </c>
      <c r="E4" s="8" t="s">
        <v>252</v>
      </c>
      <c r="F4" s="8" t="s">
        <v>253</v>
      </c>
      <c r="G4" s="8" t="s">
        <v>254</v>
      </c>
      <c r="H4" s="8" t="s">
        <v>255</v>
      </c>
    </row>
    <row r="5" spans="1:9" ht="15" customHeight="1">
      <c r="A5" s="7"/>
      <c r="B5" s="9" t="s">
        <v>256</v>
      </c>
      <c r="C5" s="10" t="s">
        <v>10</v>
      </c>
      <c r="D5" s="9" t="s">
        <v>188</v>
      </c>
      <c r="E5" s="9">
        <v>0</v>
      </c>
      <c r="F5" s="11">
        <v>421</v>
      </c>
      <c r="G5" s="11">
        <f>H5/F5</f>
        <v>5199.5249406175799</v>
      </c>
      <c r="H5" s="12">
        <v>2189000</v>
      </c>
    </row>
    <row r="6" spans="1:9">
      <c r="A6" s="7"/>
      <c r="B6" s="9" t="s">
        <v>256</v>
      </c>
      <c r="C6" s="10" t="s">
        <v>10</v>
      </c>
      <c r="D6" s="9" t="s">
        <v>188</v>
      </c>
      <c r="E6" s="9">
        <v>0</v>
      </c>
      <c r="F6" s="11">
        <v>519</v>
      </c>
      <c r="G6" s="11">
        <f t="shared" ref="G6:G8" si="0">H6/F6</f>
        <v>5200.3853564547198</v>
      </c>
      <c r="H6" s="12">
        <v>2699000</v>
      </c>
    </row>
    <row r="7" spans="1:9" ht="15" customHeight="1">
      <c r="A7" s="7"/>
      <c r="B7" s="9" t="s">
        <v>257</v>
      </c>
      <c r="C7" s="10" t="s">
        <v>10</v>
      </c>
      <c r="D7" s="9" t="s">
        <v>188</v>
      </c>
      <c r="E7" s="9">
        <v>345.52</v>
      </c>
      <c r="F7" s="11">
        <f>E7*2</f>
        <v>691.04</v>
      </c>
      <c r="G7" s="11">
        <f t="shared" si="0"/>
        <v>3400.6714517249402</v>
      </c>
      <c r="H7" s="12">
        <v>2350000</v>
      </c>
    </row>
    <row r="8" spans="1:9">
      <c r="A8" s="7"/>
      <c r="B8" s="9" t="s">
        <v>258</v>
      </c>
      <c r="C8" s="10" t="s">
        <v>10</v>
      </c>
      <c r="D8" s="9" t="s">
        <v>188</v>
      </c>
      <c r="E8" s="9">
        <v>0</v>
      </c>
      <c r="F8" s="11">
        <v>497</v>
      </c>
      <c r="G8" s="11">
        <f t="shared" si="0"/>
        <v>3498.9939637827001</v>
      </c>
      <c r="H8" s="12">
        <v>1739000</v>
      </c>
    </row>
    <row r="9" spans="1:9" ht="15" customHeight="1">
      <c r="A9" s="7"/>
      <c r="B9" s="13" t="s">
        <v>259</v>
      </c>
      <c r="C9" s="9"/>
      <c r="D9" s="9"/>
      <c r="E9" s="9"/>
      <c r="F9" s="9"/>
      <c r="G9" s="14">
        <f>AVERAGE(G5:G8)</f>
        <v>4324.8939281449802</v>
      </c>
      <c r="H9" s="9"/>
    </row>
    <row r="10" spans="1:9" ht="15" customHeight="1">
      <c r="B10" s="13" t="s">
        <v>260</v>
      </c>
      <c r="C10" s="9"/>
      <c r="D10" s="9"/>
      <c r="E10" s="9"/>
      <c r="F10" s="15"/>
      <c r="G10" s="13">
        <v>4300</v>
      </c>
      <c r="H10" s="13"/>
      <c r="I10" s="16"/>
    </row>
    <row r="11" spans="1:9" ht="15" customHeight="1"/>
    <row r="12" spans="1:9" ht="15" customHeight="1"/>
    <row r="13" spans="1:9" ht="15" customHeight="1"/>
  </sheetData>
  <mergeCells count="1">
    <mergeCell ref="B3:H3"/>
  </mergeCells>
  <pageMargins left="0.7" right="0.7" top="0.75" bottom="0.75" header="0.3" footer="0.3"/>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G21" sqref="G21"/>
    </sheetView>
  </sheetViews>
  <sheetFormatPr defaultColWidth="9" defaultRowHeight="14.5"/>
  <cols>
    <col min="2" max="2" width="12.36328125" customWidth="1"/>
  </cols>
  <sheetData>
    <row r="2" spans="1:12">
      <c r="B2" s="1" t="s">
        <v>261</v>
      </c>
      <c r="C2" s="154">
        <v>105</v>
      </c>
      <c r="D2" s="154"/>
    </row>
    <row r="3" spans="1:12">
      <c r="D3" s="2"/>
      <c r="E3" s="2"/>
      <c r="F3" s="2"/>
      <c r="G3" s="2"/>
      <c r="H3" s="2"/>
      <c r="I3" s="2"/>
    </row>
    <row r="4" spans="1:12">
      <c r="A4" s="1" t="s">
        <v>251</v>
      </c>
      <c r="B4" s="3" t="s">
        <v>262</v>
      </c>
      <c r="C4" s="155" t="s">
        <v>263</v>
      </c>
      <c r="D4" s="155"/>
      <c r="E4" s="155"/>
      <c r="F4" s="4"/>
      <c r="G4" s="155" t="s">
        <v>264</v>
      </c>
      <c r="H4" s="155"/>
      <c r="I4" s="155"/>
      <c r="J4" s="155" t="s">
        <v>265</v>
      </c>
      <c r="K4" s="155"/>
      <c r="L4" s="155"/>
    </row>
    <row r="5" spans="1:12">
      <c r="A5" s="1">
        <v>202</v>
      </c>
      <c r="B5" s="3"/>
      <c r="C5" s="3" t="s">
        <v>266</v>
      </c>
      <c r="D5" s="3" t="s">
        <v>267</v>
      </c>
      <c r="E5" s="3" t="s">
        <v>268</v>
      </c>
      <c r="F5" s="3"/>
      <c r="G5" s="3" t="s">
        <v>266</v>
      </c>
      <c r="H5" s="3" t="s">
        <v>267</v>
      </c>
      <c r="I5" s="3" t="s">
        <v>268</v>
      </c>
      <c r="J5" s="3" t="s">
        <v>266</v>
      </c>
      <c r="K5" s="3" t="s">
        <v>267</v>
      </c>
      <c r="L5" s="3" t="s">
        <v>268</v>
      </c>
    </row>
    <row r="6" spans="1:12">
      <c r="B6" s="5" t="s">
        <v>269</v>
      </c>
      <c r="C6" s="5">
        <v>2.75</v>
      </c>
      <c r="D6" s="5">
        <v>4.7</v>
      </c>
      <c r="E6" s="5">
        <f>C6*D6</f>
        <v>12.925000000000001</v>
      </c>
      <c r="F6" s="5" t="s">
        <v>270</v>
      </c>
      <c r="G6" s="5"/>
      <c r="H6" s="5"/>
      <c r="I6" s="5">
        <f>G6*H6</f>
        <v>0</v>
      </c>
      <c r="J6" s="5"/>
      <c r="K6" s="5"/>
      <c r="L6" s="5">
        <f>J6*K6</f>
        <v>0</v>
      </c>
    </row>
    <row r="7" spans="1:12">
      <c r="B7" s="5"/>
      <c r="C7" s="5"/>
      <c r="D7" s="5"/>
      <c r="E7" s="5">
        <f t="shared" ref="E7:E33" si="0">C7*D7</f>
        <v>0</v>
      </c>
      <c r="F7" s="5" t="s">
        <v>271</v>
      </c>
      <c r="G7" s="5"/>
      <c r="H7" s="5"/>
      <c r="I7" s="5">
        <f t="shared" ref="I7:I33" si="1">G7*H7</f>
        <v>0</v>
      </c>
      <c r="J7" s="5"/>
      <c r="K7" s="5"/>
      <c r="L7" s="5">
        <f t="shared" ref="L7:L33" si="2">J7*K7</f>
        <v>0</v>
      </c>
    </row>
    <row r="8" spans="1:12">
      <c r="B8" s="5"/>
      <c r="C8" s="5"/>
      <c r="D8" s="5"/>
      <c r="E8" s="5">
        <f t="shared" si="0"/>
        <v>0</v>
      </c>
      <c r="F8" s="5"/>
      <c r="G8" s="5"/>
      <c r="H8" s="5"/>
      <c r="I8" s="5">
        <f t="shared" si="1"/>
        <v>0</v>
      </c>
      <c r="J8" s="5"/>
      <c r="K8" s="5"/>
      <c r="L8" s="5">
        <f t="shared" si="2"/>
        <v>0</v>
      </c>
    </row>
    <row r="9" spans="1:12">
      <c r="B9" s="5" t="s">
        <v>272</v>
      </c>
      <c r="C9" s="5">
        <v>2.5</v>
      </c>
      <c r="D9" s="5">
        <v>1.8</v>
      </c>
      <c r="E9" s="5">
        <f t="shared" si="0"/>
        <v>4.5</v>
      </c>
      <c r="F9" s="5" t="s">
        <v>270</v>
      </c>
      <c r="G9" s="5"/>
      <c r="H9" s="5"/>
      <c r="I9" s="5">
        <f t="shared" si="1"/>
        <v>0</v>
      </c>
      <c r="J9" s="5"/>
      <c r="K9" s="5"/>
      <c r="L9" s="5">
        <f t="shared" si="2"/>
        <v>0</v>
      </c>
    </row>
    <row r="10" spans="1:12">
      <c r="B10" s="5"/>
      <c r="C10" s="5"/>
      <c r="D10" s="5"/>
      <c r="E10" s="5">
        <f t="shared" si="0"/>
        <v>0</v>
      </c>
      <c r="F10" s="5" t="s">
        <v>271</v>
      </c>
      <c r="G10" s="5"/>
      <c r="H10" s="5"/>
      <c r="I10" s="5">
        <f t="shared" si="1"/>
        <v>0</v>
      </c>
      <c r="J10" s="5"/>
      <c r="K10" s="5"/>
      <c r="L10" s="5">
        <f t="shared" si="2"/>
        <v>0</v>
      </c>
    </row>
    <row r="11" spans="1:12">
      <c r="B11" s="5"/>
      <c r="C11" s="5"/>
      <c r="D11" s="5"/>
      <c r="E11" s="5">
        <f t="shared" si="0"/>
        <v>0</v>
      </c>
      <c r="F11" s="5"/>
      <c r="G11" s="5"/>
      <c r="H11" s="5"/>
      <c r="I11" s="5">
        <f t="shared" si="1"/>
        <v>0</v>
      </c>
      <c r="J11" s="5"/>
      <c r="K11" s="5"/>
      <c r="L11" s="5">
        <f t="shared" si="2"/>
        <v>0</v>
      </c>
    </row>
    <row r="12" spans="1:12">
      <c r="B12" s="5"/>
      <c r="C12" s="5"/>
      <c r="D12" s="5"/>
      <c r="E12" s="5">
        <f t="shared" si="0"/>
        <v>0</v>
      </c>
      <c r="F12" s="5"/>
      <c r="G12" s="5"/>
      <c r="H12" s="5"/>
      <c r="I12" s="5">
        <f t="shared" si="1"/>
        <v>0</v>
      </c>
      <c r="J12" s="5"/>
      <c r="K12" s="5"/>
      <c r="L12" s="5">
        <f t="shared" si="2"/>
        <v>0</v>
      </c>
    </row>
    <row r="13" spans="1:12">
      <c r="B13" s="5" t="s">
        <v>273</v>
      </c>
      <c r="C13" s="5">
        <v>2.7</v>
      </c>
      <c r="D13" s="5">
        <v>2.8</v>
      </c>
      <c r="E13" s="5">
        <f t="shared" si="0"/>
        <v>7.56</v>
      </c>
      <c r="F13" s="5" t="s">
        <v>270</v>
      </c>
      <c r="G13" s="5"/>
      <c r="H13" s="5"/>
      <c r="I13" s="5">
        <f t="shared" si="1"/>
        <v>0</v>
      </c>
      <c r="J13" s="5"/>
      <c r="K13" s="5"/>
      <c r="L13" s="5">
        <f t="shared" si="2"/>
        <v>0</v>
      </c>
    </row>
    <row r="14" spans="1:12">
      <c r="B14" s="5"/>
      <c r="C14" s="5"/>
      <c r="D14" s="5"/>
      <c r="E14" s="5">
        <f t="shared" si="0"/>
        <v>0</v>
      </c>
      <c r="F14" s="5" t="s">
        <v>271</v>
      </c>
      <c r="G14" s="5"/>
      <c r="H14" s="5"/>
      <c r="I14" s="5">
        <f t="shared" si="1"/>
        <v>0</v>
      </c>
      <c r="J14" s="5"/>
      <c r="K14" s="5"/>
      <c r="L14" s="5">
        <f t="shared" si="2"/>
        <v>0</v>
      </c>
    </row>
    <row r="15" spans="1:12">
      <c r="B15" s="5"/>
      <c r="C15" s="5"/>
      <c r="D15" s="5"/>
      <c r="E15" s="5">
        <f t="shared" si="0"/>
        <v>0</v>
      </c>
      <c r="F15" s="5"/>
      <c r="G15" s="5"/>
      <c r="H15" s="5"/>
      <c r="I15" s="5">
        <f t="shared" si="1"/>
        <v>0</v>
      </c>
      <c r="J15" s="5"/>
      <c r="K15" s="5"/>
      <c r="L15" s="5">
        <f t="shared" si="2"/>
        <v>0</v>
      </c>
    </row>
    <row r="16" spans="1:12">
      <c r="B16" s="5"/>
      <c r="C16" s="5"/>
      <c r="D16" s="5"/>
      <c r="E16" s="5">
        <f t="shared" si="0"/>
        <v>0</v>
      </c>
      <c r="F16" s="5"/>
      <c r="G16" s="5"/>
      <c r="H16" s="5"/>
      <c r="I16" s="5">
        <f t="shared" si="1"/>
        <v>0</v>
      </c>
      <c r="J16" s="5"/>
      <c r="K16" s="5"/>
      <c r="L16" s="5">
        <f t="shared" si="2"/>
        <v>0</v>
      </c>
    </row>
    <row r="17" spans="2:12">
      <c r="B17" s="5" t="s">
        <v>274</v>
      </c>
      <c r="C17" s="5"/>
      <c r="D17" s="5"/>
      <c r="E17" s="5">
        <f t="shared" si="0"/>
        <v>0</v>
      </c>
      <c r="F17" s="5" t="s">
        <v>270</v>
      </c>
      <c r="G17" s="5"/>
      <c r="H17" s="5"/>
      <c r="I17" s="5">
        <f t="shared" si="1"/>
        <v>0</v>
      </c>
      <c r="J17" s="5"/>
      <c r="K17" s="5"/>
      <c r="L17" s="5">
        <f t="shared" si="2"/>
        <v>0</v>
      </c>
    </row>
    <row r="18" spans="2:12">
      <c r="B18" s="5"/>
      <c r="C18" s="5"/>
      <c r="D18" s="5"/>
      <c r="E18" s="5">
        <f t="shared" si="0"/>
        <v>0</v>
      </c>
      <c r="F18" s="5" t="s">
        <v>271</v>
      </c>
      <c r="G18" s="5"/>
      <c r="H18" s="5"/>
      <c r="I18" s="5">
        <f t="shared" si="1"/>
        <v>0</v>
      </c>
      <c r="J18" s="5"/>
      <c r="K18" s="5"/>
      <c r="L18" s="5">
        <f t="shared" si="2"/>
        <v>0</v>
      </c>
    </row>
    <row r="19" spans="2:12">
      <c r="B19" s="5"/>
      <c r="C19" s="5"/>
      <c r="D19" s="5"/>
      <c r="E19" s="5">
        <f t="shared" si="0"/>
        <v>0</v>
      </c>
      <c r="F19" s="5"/>
      <c r="G19" s="5"/>
      <c r="H19" s="5"/>
      <c r="I19" s="5">
        <f t="shared" si="1"/>
        <v>0</v>
      </c>
      <c r="J19" s="5"/>
      <c r="K19" s="5"/>
      <c r="L19" s="5">
        <f t="shared" si="2"/>
        <v>0</v>
      </c>
    </row>
    <row r="20" spans="2:12">
      <c r="B20" s="5" t="s">
        <v>274</v>
      </c>
      <c r="C20" s="5"/>
      <c r="D20" s="5"/>
      <c r="E20" s="5">
        <f t="shared" si="0"/>
        <v>0</v>
      </c>
      <c r="F20" s="5" t="s">
        <v>270</v>
      </c>
      <c r="G20" s="5"/>
      <c r="H20" s="5"/>
      <c r="I20" s="5">
        <f t="shared" si="1"/>
        <v>0</v>
      </c>
      <c r="J20" s="5"/>
      <c r="K20" s="5"/>
      <c r="L20" s="5">
        <f t="shared" si="2"/>
        <v>0</v>
      </c>
    </row>
    <row r="21" spans="2:12">
      <c r="B21" s="5"/>
      <c r="C21" s="5"/>
      <c r="D21" s="5"/>
      <c r="E21" s="5">
        <f t="shared" si="0"/>
        <v>0</v>
      </c>
      <c r="F21" s="5" t="s">
        <v>271</v>
      </c>
      <c r="G21" s="5"/>
      <c r="H21" s="5"/>
      <c r="I21" s="5">
        <f t="shared" si="1"/>
        <v>0</v>
      </c>
      <c r="J21" s="5"/>
      <c r="K21" s="5"/>
      <c r="L21" s="5">
        <f t="shared" si="2"/>
        <v>0</v>
      </c>
    </row>
    <row r="22" spans="2:12">
      <c r="B22" s="5"/>
      <c r="C22" s="5"/>
      <c r="D22" s="5"/>
      <c r="E22" s="5">
        <f t="shared" si="0"/>
        <v>0</v>
      </c>
      <c r="F22" s="5"/>
      <c r="G22" s="5"/>
      <c r="H22" s="5"/>
      <c r="I22" s="5">
        <f t="shared" si="1"/>
        <v>0</v>
      </c>
      <c r="J22" s="5"/>
      <c r="K22" s="5"/>
      <c r="L22" s="5">
        <f t="shared" si="2"/>
        <v>0</v>
      </c>
    </row>
    <row r="23" spans="2:12">
      <c r="B23" s="5" t="s">
        <v>275</v>
      </c>
      <c r="C23" s="5">
        <v>1.2</v>
      </c>
      <c r="D23" s="5">
        <v>1.5</v>
      </c>
      <c r="E23" s="5">
        <f t="shared" si="0"/>
        <v>1.8</v>
      </c>
      <c r="F23" s="5" t="s">
        <v>276</v>
      </c>
      <c r="G23" s="5"/>
      <c r="H23" s="5"/>
      <c r="I23" s="5">
        <f t="shared" si="1"/>
        <v>0</v>
      </c>
      <c r="J23" s="5"/>
      <c r="K23" s="5"/>
      <c r="L23" s="5">
        <f t="shared" si="2"/>
        <v>0</v>
      </c>
    </row>
    <row r="24" spans="2:12">
      <c r="B24" s="5" t="s">
        <v>277</v>
      </c>
      <c r="C24" s="5">
        <v>1.4</v>
      </c>
      <c r="D24" s="5">
        <v>0.9</v>
      </c>
      <c r="E24" s="5">
        <f t="shared" si="0"/>
        <v>1.26</v>
      </c>
      <c r="F24" s="5" t="s">
        <v>276</v>
      </c>
      <c r="G24" s="5"/>
      <c r="H24" s="5"/>
      <c r="I24" s="5">
        <f t="shared" si="1"/>
        <v>0</v>
      </c>
      <c r="J24" s="5"/>
      <c r="K24" s="5"/>
      <c r="L24" s="5">
        <f t="shared" si="2"/>
        <v>0</v>
      </c>
    </row>
    <row r="25" spans="2:12">
      <c r="B25" s="5" t="s">
        <v>278</v>
      </c>
      <c r="C25" s="5"/>
      <c r="D25" s="5"/>
      <c r="E25" s="5">
        <f t="shared" si="0"/>
        <v>0</v>
      </c>
      <c r="F25" s="5" t="s">
        <v>276</v>
      </c>
      <c r="G25" s="5"/>
      <c r="H25" s="5"/>
      <c r="I25" s="5">
        <f t="shared" si="1"/>
        <v>0</v>
      </c>
      <c r="J25" s="5"/>
      <c r="K25" s="5"/>
      <c r="L25" s="5">
        <f t="shared" si="2"/>
        <v>0</v>
      </c>
    </row>
    <row r="26" spans="2:12">
      <c r="B26" s="5"/>
      <c r="C26" s="5"/>
      <c r="D26" s="5"/>
      <c r="E26" s="5">
        <f t="shared" si="0"/>
        <v>0</v>
      </c>
      <c r="F26" s="5"/>
      <c r="G26" s="5"/>
      <c r="H26" s="5"/>
      <c r="I26" s="5">
        <f t="shared" si="1"/>
        <v>0</v>
      </c>
      <c r="J26" s="5"/>
      <c r="K26" s="5"/>
      <c r="L26" s="5">
        <f t="shared" si="2"/>
        <v>0</v>
      </c>
    </row>
    <row r="27" spans="2:12">
      <c r="B27" s="5" t="s">
        <v>279</v>
      </c>
      <c r="C27" s="5">
        <v>0.1</v>
      </c>
      <c r="D27" s="5">
        <v>2.5</v>
      </c>
      <c r="E27" s="5">
        <f t="shared" si="0"/>
        <v>0.25</v>
      </c>
      <c r="F27" s="5"/>
      <c r="G27" s="5"/>
      <c r="H27" s="5"/>
      <c r="I27" s="5">
        <f t="shared" si="1"/>
        <v>0</v>
      </c>
      <c r="J27" s="5"/>
      <c r="K27" s="5"/>
      <c r="L27" s="5">
        <f t="shared" si="2"/>
        <v>0</v>
      </c>
    </row>
    <row r="28" spans="2:12">
      <c r="B28" s="5" t="s">
        <v>280</v>
      </c>
      <c r="C28" s="5">
        <v>0.3</v>
      </c>
      <c r="D28" s="5">
        <v>1.2</v>
      </c>
      <c r="E28" s="5">
        <f t="shared" si="0"/>
        <v>0.36</v>
      </c>
      <c r="F28" s="5"/>
      <c r="G28" s="5"/>
      <c r="H28" s="5"/>
      <c r="I28" s="5">
        <f t="shared" si="1"/>
        <v>0</v>
      </c>
      <c r="J28" s="5"/>
      <c r="K28" s="5"/>
      <c r="L28" s="5">
        <f t="shared" si="2"/>
        <v>0</v>
      </c>
    </row>
    <row r="29" spans="2:12">
      <c r="B29" s="5" t="s">
        <v>281</v>
      </c>
      <c r="C29" s="5">
        <v>0.45</v>
      </c>
      <c r="D29" s="5">
        <v>2.4</v>
      </c>
      <c r="E29" s="5">
        <f t="shared" si="0"/>
        <v>1.08</v>
      </c>
      <c r="F29" s="5"/>
      <c r="G29" s="5"/>
      <c r="H29" s="5"/>
      <c r="I29" s="5">
        <f t="shared" si="1"/>
        <v>0</v>
      </c>
      <c r="J29" s="5"/>
      <c r="K29" s="5"/>
      <c r="L29" s="5">
        <f t="shared" si="2"/>
        <v>0</v>
      </c>
    </row>
    <row r="30" spans="2:12">
      <c r="B30" s="5" t="s">
        <v>282</v>
      </c>
      <c r="C30" s="5"/>
      <c r="D30" s="5"/>
      <c r="E30" s="5">
        <f t="shared" si="0"/>
        <v>0</v>
      </c>
      <c r="F30" s="5"/>
      <c r="G30" s="5"/>
      <c r="H30" s="5"/>
      <c r="I30" s="5">
        <f t="shared" si="1"/>
        <v>0</v>
      </c>
      <c r="J30" s="5"/>
      <c r="K30" s="5"/>
      <c r="L30" s="5">
        <f t="shared" si="2"/>
        <v>0</v>
      </c>
    </row>
    <row r="31" spans="2:12">
      <c r="B31" s="5"/>
      <c r="C31" s="5"/>
      <c r="D31" s="5"/>
      <c r="E31" s="5">
        <f t="shared" si="0"/>
        <v>0</v>
      </c>
      <c r="F31" s="5"/>
      <c r="G31" s="5"/>
      <c r="H31" s="5"/>
      <c r="I31" s="5">
        <f t="shared" si="1"/>
        <v>0</v>
      </c>
      <c r="J31" s="5"/>
      <c r="K31" s="5"/>
      <c r="L31" s="5">
        <f t="shared" si="2"/>
        <v>0</v>
      </c>
    </row>
    <row r="32" spans="2:12">
      <c r="B32" s="5"/>
      <c r="C32" s="5"/>
      <c r="D32" s="5"/>
      <c r="E32" s="5">
        <f t="shared" si="0"/>
        <v>0</v>
      </c>
      <c r="F32" s="5"/>
      <c r="G32" s="5"/>
      <c r="H32" s="5"/>
      <c r="I32" s="5">
        <f t="shared" si="1"/>
        <v>0</v>
      </c>
      <c r="J32" s="5"/>
      <c r="K32" s="5"/>
      <c r="L32" s="5">
        <f t="shared" si="2"/>
        <v>0</v>
      </c>
    </row>
    <row r="33" spans="2:12">
      <c r="B33" s="5"/>
      <c r="C33" s="5"/>
      <c r="D33" s="5"/>
      <c r="E33" s="5">
        <f t="shared" si="0"/>
        <v>0</v>
      </c>
      <c r="F33" s="5"/>
      <c r="G33" s="5"/>
      <c r="H33" s="5"/>
      <c r="I33" s="5">
        <f t="shared" si="1"/>
        <v>0</v>
      </c>
      <c r="J33" s="5"/>
      <c r="K33" s="5"/>
      <c r="L33" s="5">
        <f t="shared" si="2"/>
        <v>0</v>
      </c>
    </row>
    <row r="34" spans="2:12">
      <c r="B34" s="5" t="s">
        <v>176</v>
      </c>
      <c r="C34" s="5"/>
      <c r="D34" s="5">
        <f>E34*10.764</f>
        <v>320.06754000000001</v>
      </c>
      <c r="E34" s="5">
        <f>SUM(E6:E33)</f>
        <v>29.734999999999999</v>
      </c>
      <c r="F34" s="5"/>
      <c r="G34" s="5"/>
      <c r="H34" s="5">
        <f>I34*10.764</f>
        <v>0</v>
      </c>
      <c r="I34" s="5">
        <f>SUM(I6:I33)</f>
        <v>0</v>
      </c>
      <c r="J34" s="5"/>
      <c r="K34" s="5">
        <f>L34*10.764</f>
        <v>0</v>
      </c>
      <c r="L34" s="5">
        <f>SUM(L6:L33)</f>
        <v>0</v>
      </c>
    </row>
    <row r="36" spans="2:12">
      <c r="D36">
        <f>D34+H34</f>
        <v>320.06754000000001</v>
      </c>
      <c r="E36">
        <f>E34+I34</f>
        <v>29.734999999999999</v>
      </c>
    </row>
  </sheetData>
  <mergeCells count="4">
    <mergeCell ref="C2:D2"/>
    <mergeCell ref="C4:E4"/>
    <mergeCell ref="G4:I4"/>
    <mergeCell ref="J4: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11" workbookViewId="0">
      <selection activeCell="D28" sqref="D28"/>
    </sheetView>
  </sheetViews>
  <sheetFormatPr defaultColWidth="9" defaultRowHeight="14.5"/>
  <cols>
    <col min="2" max="2" width="12.36328125" customWidth="1"/>
  </cols>
  <sheetData>
    <row r="2" spans="1:12">
      <c r="B2" s="1" t="s">
        <v>261</v>
      </c>
      <c r="C2" s="154">
        <v>108</v>
      </c>
      <c r="D2" s="154"/>
    </row>
    <row r="3" spans="1:12">
      <c r="D3" s="2"/>
      <c r="E3" s="2"/>
      <c r="F3" s="2"/>
      <c r="G3" s="2"/>
      <c r="H3" s="2"/>
      <c r="I3" s="2"/>
    </row>
    <row r="4" spans="1:12">
      <c r="A4" s="1" t="s">
        <v>251</v>
      </c>
      <c r="B4" s="3" t="s">
        <v>262</v>
      </c>
      <c r="C4" s="155" t="s">
        <v>263</v>
      </c>
      <c r="D4" s="155"/>
      <c r="E4" s="155"/>
      <c r="F4" s="4"/>
      <c r="G4" s="155" t="s">
        <v>264</v>
      </c>
      <c r="H4" s="155"/>
      <c r="I4" s="155"/>
      <c r="J4" s="155" t="s">
        <v>265</v>
      </c>
      <c r="K4" s="155"/>
      <c r="L4" s="155"/>
    </row>
    <row r="5" spans="1:12">
      <c r="A5" s="1">
        <v>202</v>
      </c>
      <c r="B5" s="3"/>
      <c r="C5" s="3" t="s">
        <v>266</v>
      </c>
      <c r="D5" s="3" t="s">
        <v>267</v>
      </c>
      <c r="E5" s="3" t="s">
        <v>268</v>
      </c>
      <c r="F5" s="3"/>
      <c r="G5" s="3" t="s">
        <v>266</v>
      </c>
      <c r="H5" s="3" t="s">
        <v>267</v>
      </c>
      <c r="I5" s="3" t="s">
        <v>268</v>
      </c>
      <c r="J5" s="3" t="s">
        <v>266</v>
      </c>
      <c r="K5" s="3" t="s">
        <v>267</v>
      </c>
      <c r="L5" s="3" t="s">
        <v>268</v>
      </c>
    </row>
    <row r="6" spans="1:12">
      <c r="B6" s="5" t="s">
        <v>269</v>
      </c>
      <c r="C6" s="5">
        <v>2.7</v>
      </c>
      <c r="D6" s="5">
        <v>4.7</v>
      </c>
      <c r="E6" s="5">
        <f>C6*D6</f>
        <v>12.69</v>
      </c>
      <c r="F6" s="5" t="s">
        <v>270</v>
      </c>
      <c r="G6" s="5"/>
      <c r="H6" s="5"/>
      <c r="I6" s="5">
        <f>G6*H6</f>
        <v>0</v>
      </c>
      <c r="J6" s="5"/>
      <c r="K6" s="5"/>
      <c r="L6" s="5">
        <f>J6*K6</f>
        <v>0</v>
      </c>
    </row>
    <row r="7" spans="1:12">
      <c r="B7" s="5"/>
      <c r="C7" s="5"/>
      <c r="D7" s="5"/>
      <c r="E7" s="5">
        <f t="shared" ref="E7:E33" si="0">C7*D7</f>
        <v>0</v>
      </c>
      <c r="F7" s="5" t="s">
        <v>271</v>
      </c>
      <c r="G7" s="5"/>
      <c r="H7" s="5"/>
      <c r="I7" s="5">
        <f t="shared" ref="I7:I33" si="1">G7*H7</f>
        <v>0</v>
      </c>
      <c r="J7" s="5"/>
      <c r="K7" s="5"/>
      <c r="L7" s="5">
        <f t="shared" ref="L7:L33" si="2">J7*K7</f>
        <v>0</v>
      </c>
    </row>
    <row r="8" spans="1:12">
      <c r="B8" s="5"/>
      <c r="C8" s="5"/>
      <c r="D8" s="5"/>
      <c r="E8" s="5">
        <f t="shared" si="0"/>
        <v>0</v>
      </c>
      <c r="F8" s="5"/>
      <c r="G8" s="5"/>
      <c r="H8" s="5"/>
      <c r="I8" s="5">
        <f t="shared" si="1"/>
        <v>0</v>
      </c>
      <c r="J8" s="5"/>
      <c r="K8" s="5"/>
      <c r="L8" s="5">
        <f t="shared" si="2"/>
        <v>0</v>
      </c>
    </row>
    <row r="9" spans="1:12">
      <c r="B9" s="5" t="s">
        <v>272</v>
      </c>
      <c r="C9" s="5">
        <v>2.5</v>
      </c>
      <c r="D9" s="5">
        <v>1.8</v>
      </c>
      <c r="E9" s="5">
        <f t="shared" si="0"/>
        <v>4.5</v>
      </c>
      <c r="F9" s="5" t="s">
        <v>270</v>
      </c>
      <c r="G9" s="5"/>
      <c r="H9" s="5"/>
      <c r="I9" s="5">
        <f t="shared" si="1"/>
        <v>0</v>
      </c>
      <c r="J9" s="5"/>
      <c r="K9" s="5"/>
      <c r="L9" s="5">
        <f t="shared" si="2"/>
        <v>0</v>
      </c>
    </row>
    <row r="10" spans="1:12">
      <c r="B10" s="5"/>
      <c r="C10" s="5"/>
      <c r="D10" s="5"/>
      <c r="E10" s="5">
        <f t="shared" si="0"/>
        <v>0</v>
      </c>
      <c r="F10" s="5" t="s">
        <v>271</v>
      </c>
      <c r="G10" s="5"/>
      <c r="H10" s="5"/>
      <c r="I10" s="5">
        <f t="shared" si="1"/>
        <v>0</v>
      </c>
      <c r="J10" s="5"/>
      <c r="K10" s="5"/>
      <c r="L10" s="5">
        <f t="shared" si="2"/>
        <v>0</v>
      </c>
    </row>
    <row r="11" spans="1:12">
      <c r="B11" s="5"/>
      <c r="C11" s="5"/>
      <c r="D11" s="5"/>
      <c r="E11" s="5">
        <f t="shared" si="0"/>
        <v>0</v>
      </c>
      <c r="F11" s="5"/>
      <c r="G11" s="5"/>
      <c r="H11" s="5"/>
      <c r="I11" s="5">
        <f t="shared" si="1"/>
        <v>0</v>
      </c>
      <c r="J11" s="5"/>
      <c r="K11" s="5"/>
      <c r="L11" s="5">
        <f t="shared" si="2"/>
        <v>0</v>
      </c>
    </row>
    <row r="12" spans="1:12">
      <c r="B12" s="5"/>
      <c r="C12" s="5"/>
      <c r="D12" s="5"/>
      <c r="E12" s="5">
        <f t="shared" si="0"/>
        <v>0</v>
      </c>
      <c r="F12" s="5"/>
      <c r="G12" s="5"/>
      <c r="H12" s="5"/>
      <c r="I12" s="5">
        <f t="shared" si="1"/>
        <v>0</v>
      </c>
      <c r="J12" s="5"/>
      <c r="K12" s="5"/>
      <c r="L12" s="5">
        <f t="shared" si="2"/>
        <v>0</v>
      </c>
    </row>
    <row r="13" spans="1:12">
      <c r="B13" s="5" t="s">
        <v>273</v>
      </c>
      <c r="C13" s="5"/>
      <c r="D13" s="5"/>
      <c r="E13" s="5">
        <f t="shared" si="0"/>
        <v>0</v>
      </c>
      <c r="F13" s="5" t="s">
        <v>270</v>
      </c>
      <c r="G13" s="5"/>
      <c r="H13" s="5"/>
      <c r="I13" s="5">
        <f t="shared" si="1"/>
        <v>0</v>
      </c>
      <c r="J13" s="5"/>
      <c r="K13" s="5"/>
      <c r="L13" s="5">
        <f t="shared" si="2"/>
        <v>0</v>
      </c>
    </row>
    <row r="14" spans="1:12">
      <c r="B14" s="5"/>
      <c r="C14" s="5"/>
      <c r="D14" s="5"/>
      <c r="E14" s="5">
        <f t="shared" si="0"/>
        <v>0</v>
      </c>
      <c r="F14" s="5" t="s">
        <v>271</v>
      </c>
      <c r="G14" s="5"/>
      <c r="H14" s="5"/>
      <c r="I14" s="5">
        <f t="shared" si="1"/>
        <v>0</v>
      </c>
      <c r="J14" s="5"/>
      <c r="K14" s="5"/>
      <c r="L14" s="5">
        <f t="shared" si="2"/>
        <v>0</v>
      </c>
    </row>
    <row r="15" spans="1:12">
      <c r="B15" s="5"/>
      <c r="C15" s="5"/>
      <c r="D15" s="5"/>
      <c r="E15" s="5">
        <f t="shared" si="0"/>
        <v>0</v>
      </c>
      <c r="F15" s="5"/>
      <c r="G15" s="5"/>
      <c r="H15" s="5"/>
      <c r="I15" s="5">
        <f t="shared" si="1"/>
        <v>0</v>
      </c>
      <c r="J15" s="5"/>
      <c r="K15" s="5"/>
      <c r="L15" s="5">
        <f t="shared" si="2"/>
        <v>0</v>
      </c>
    </row>
    <row r="16" spans="1:12">
      <c r="B16" s="5"/>
      <c r="C16" s="5"/>
      <c r="D16" s="5"/>
      <c r="E16" s="5">
        <f t="shared" si="0"/>
        <v>0</v>
      </c>
      <c r="F16" s="5"/>
      <c r="G16" s="5"/>
      <c r="H16" s="5"/>
      <c r="I16" s="5">
        <f t="shared" si="1"/>
        <v>0</v>
      </c>
      <c r="J16" s="5"/>
      <c r="K16" s="5"/>
      <c r="L16" s="5">
        <f t="shared" si="2"/>
        <v>0</v>
      </c>
    </row>
    <row r="17" spans="2:12">
      <c r="B17" s="5" t="s">
        <v>274</v>
      </c>
      <c r="C17" s="5"/>
      <c r="D17" s="5"/>
      <c r="E17" s="5">
        <f t="shared" si="0"/>
        <v>0</v>
      </c>
      <c r="F17" s="5" t="s">
        <v>270</v>
      </c>
      <c r="G17" s="5"/>
      <c r="H17" s="5"/>
      <c r="I17" s="5">
        <f t="shared" si="1"/>
        <v>0</v>
      </c>
      <c r="J17" s="5"/>
      <c r="K17" s="5"/>
      <c r="L17" s="5">
        <f t="shared" si="2"/>
        <v>0</v>
      </c>
    </row>
    <row r="18" spans="2:12">
      <c r="B18" s="5"/>
      <c r="C18" s="5"/>
      <c r="D18" s="5"/>
      <c r="E18" s="5">
        <f t="shared" si="0"/>
        <v>0</v>
      </c>
      <c r="F18" s="5" t="s">
        <v>271</v>
      </c>
      <c r="G18" s="5"/>
      <c r="H18" s="5"/>
      <c r="I18" s="5">
        <f t="shared" si="1"/>
        <v>0</v>
      </c>
      <c r="J18" s="5"/>
      <c r="K18" s="5"/>
      <c r="L18" s="5">
        <f t="shared" si="2"/>
        <v>0</v>
      </c>
    </row>
    <row r="19" spans="2:12">
      <c r="B19" s="5"/>
      <c r="C19" s="5"/>
      <c r="D19" s="5"/>
      <c r="E19" s="5">
        <f t="shared" si="0"/>
        <v>0</v>
      </c>
      <c r="F19" s="5"/>
      <c r="G19" s="5"/>
      <c r="H19" s="5"/>
      <c r="I19" s="5">
        <f t="shared" si="1"/>
        <v>0</v>
      </c>
      <c r="J19" s="5"/>
      <c r="K19" s="5"/>
      <c r="L19" s="5">
        <f t="shared" si="2"/>
        <v>0</v>
      </c>
    </row>
    <row r="20" spans="2:12">
      <c r="B20" s="5" t="s">
        <v>274</v>
      </c>
      <c r="C20" s="5"/>
      <c r="D20" s="5"/>
      <c r="E20" s="5">
        <f t="shared" si="0"/>
        <v>0</v>
      </c>
      <c r="F20" s="5" t="s">
        <v>270</v>
      </c>
      <c r="G20" s="5"/>
      <c r="H20" s="5"/>
      <c r="I20" s="5">
        <f t="shared" si="1"/>
        <v>0</v>
      </c>
      <c r="J20" s="5"/>
      <c r="K20" s="5"/>
      <c r="L20" s="5">
        <f t="shared" si="2"/>
        <v>0</v>
      </c>
    </row>
    <row r="21" spans="2:12">
      <c r="B21" s="5"/>
      <c r="C21" s="5"/>
      <c r="D21" s="5"/>
      <c r="E21" s="5">
        <f t="shared" si="0"/>
        <v>0</v>
      </c>
      <c r="F21" s="5" t="s">
        <v>271</v>
      </c>
      <c r="G21" s="5"/>
      <c r="H21" s="5"/>
      <c r="I21" s="5">
        <f t="shared" si="1"/>
        <v>0</v>
      </c>
      <c r="J21" s="5"/>
      <c r="K21" s="5"/>
      <c r="L21" s="5">
        <f t="shared" si="2"/>
        <v>0</v>
      </c>
    </row>
    <row r="22" spans="2:12">
      <c r="B22" s="5"/>
      <c r="C22" s="5"/>
      <c r="D22" s="5"/>
      <c r="E22" s="5">
        <f t="shared" si="0"/>
        <v>0</v>
      </c>
      <c r="F22" s="5"/>
      <c r="G22" s="5"/>
      <c r="H22" s="5"/>
      <c r="I22" s="5">
        <f t="shared" si="1"/>
        <v>0</v>
      </c>
      <c r="J22" s="5"/>
      <c r="K22" s="5"/>
      <c r="L22" s="5">
        <f t="shared" si="2"/>
        <v>0</v>
      </c>
    </row>
    <row r="23" spans="2:12">
      <c r="B23" s="5" t="s">
        <v>275</v>
      </c>
      <c r="C23" s="5">
        <v>1.2</v>
      </c>
      <c r="D23" s="5">
        <v>1.05</v>
      </c>
      <c r="E23" s="5">
        <f t="shared" si="0"/>
        <v>1.26</v>
      </c>
      <c r="F23" s="5" t="s">
        <v>276</v>
      </c>
      <c r="G23" s="5"/>
      <c r="H23" s="5"/>
      <c r="I23" s="5">
        <f t="shared" si="1"/>
        <v>0</v>
      </c>
      <c r="J23" s="5"/>
      <c r="K23" s="5"/>
      <c r="L23" s="5">
        <f t="shared" si="2"/>
        <v>0</v>
      </c>
    </row>
    <row r="24" spans="2:12">
      <c r="B24" s="5" t="s">
        <v>277</v>
      </c>
      <c r="C24" s="5">
        <v>1.2</v>
      </c>
      <c r="D24" s="5">
        <v>1.5</v>
      </c>
      <c r="E24" s="5">
        <f t="shared" si="0"/>
        <v>1.8</v>
      </c>
      <c r="F24" s="5" t="s">
        <v>276</v>
      </c>
      <c r="G24" s="5"/>
      <c r="H24" s="5"/>
      <c r="I24" s="5">
        <f t="shared" si="1"/>
        <v>0</v>
      </c>
      <c r="J24" s="5"/>
      <c r="K24" s="5"/>
      <c r="L24" s="5">
        <f t="shared" si="2"/>
        <v>0</v>
      </c>
    </row>
    <row r="25" spans="2:12">
      <c r="B25" s="5" t="s">
        <v>278</v>
      </c>
      <c r="C25" s="5"/>
      <c r="D25" s="5"/>
      <c r="E25" s="5">
        <f t="shared" si="0"/>
        <v>0</v>
      </c>
      <c r="F25" s="5" t="s">
        <v>276</v>
      </c>
      <c r="G25" s="5"/>
      <c r="H25" s="5"/>
      <c r="I25" s="5">
        <f t="shared" si="1"/>
        <v>0</v>
      </c>
      <c r="J25" s="5"/>
      <c r="K25" s="5"/>
      <c r="L25" s="5">
        <f t="shared" si="2"/>
        <v>0</v>
      </c>
    </row>
    <row r="26" spans="2:12">
      <c r="B26" s="5"/>
      <c r="C26" s="5"/>
      <c r="D26" s="5"/>
      <c r="E26" s="5">
        <f t="shared" si="0"/>
        <v>0</v>
      </c>
      <c r="F26" s="5"/>
      <c r="G26" s="5"/>
      <c r="H26" s="5"/>
      <c r="I26" s="5">
        <f t="shared" si="1"/>
        <v>0</v>
      </c>
      <c r="J26" s="5"/>
      <c r="K26" s="5"/>
      <c r="L26" s="5">
        <f t="shared" si="2"/>
        <v>0</v>
      </c>
    </row>
    <row r="27" spans="2:12">
      <c r="B27" s="5" t="s">
        <v>279</v>
      </c>
      <c r="C27" s="5">
        <v>1.2</v>
      </c>
      <c r="D27" s="5">
        <v>1.05</v>
      </c>
      <c r="E27" s="5">
        <f t="shared" si="0"/>
        <v>1.26</v>
      </c>
      <c r="F27" s="5"/>
      <c r="G27" s="5"/>
      <c r="H27" s="5"/>
      <c r="I27" s="5">
        <f t="shared" si="1"/>
        <v>0</v>
      </c>
      <c r="J27" s="5"/>
      <c r="K27" s="5"/>
      <c r="L27" s="5">
        <f t="shared" si="2"/>
        <v>0</v>
      </c>
    </row>
    <row r="28" spans="2:12">
      <c r="B28" s="5" t="s">
        <v>280</v>
      </c>
      <c r="C28" s="5"/>
      <c r="D28" s="5"/>
      <c r="E28" s="5">
        <f t="shared" si="0"/>
        <v>0</v>
      </c>
      <c r="F28" s="5"/>
      <c r="G28" s="5"/>
      <c r="H28" s="5"/>
      <c r="I28" s="5">
        <f t="shared" si="1"/>
        <v>0</v>
      </c>
      <c r="J28" s="5"/>
      <c r="K28" s="5"/>
      <c r="L28" s="5">
        <f t="shared" si="2"/>
        <v>0</v>
      </c>
    </row>
    <row r="29" spans="2:12">
      <c r="B29" s="5" t="s">
        <v>281</v>
      </c>
      <c r="C29" s="5"/>
      <c r="D29" s="5"/>
      <c r="E29" s="5">
        <f t="shared" si="0"/>
        <v>0</v>
      </c>
      <c r="F29" s="5"/>
      <c r="G29" s="5"/>
      <c r="H29" s="5"/>
      <c r="I29" s="5">
        <f t="shared" si="1"/>
        <v>0</v>
      </c>
      <c r="J29" s="5"/>
      <c r="K29" s="5"/>
      <c r="L29" s="5">
        <f t="shared" si="2"/>
        <v>0</v>
      </c>
    </row>
    <row r="30" spans="2:12">
      <c r="B30" s="5" t="s">
        <v>282</v>
      </c>
      <c r="C30" s="5"/>
      <c r="D30" s="5"/>
      <c r="E30" s="5">
        <f t="shared" si="0"/>
        <v>0</v>
      </c>
      <c r="F30" s="5"/>
      <c r="G30" s="5"/>
      <c r="H30" s="5"/>
      <c r="I30" s="5">
        <f t="shared" si="1"/>
        <v>0</v>
      </c>
      <c r="J30" s="5"/>
      <c r="K30" s="5"/>
      <c r="L30" s="5">
        <f t="shared" si="2"/>
        <v>0</v>
      </c>
    </row>
    <row r="31" spans="2:12">
      <c r="B31" s="5"/>
      <c r="C31" s="5"/>
      <c r="D31" s="5"/>
      <c r="E31" s="5">
        <f t="shared" si="0"/>
        <v>0</v>
      </c>
      <c r="F31" s="5"/>
      <c r="G31" s="5"/>
      <c r="H31" s="5"/>
      <c r="I31" s="5">
        <f t="shared" si="1"/>
        <v>0</v>
      </c>
      <c r="J31" s="5"/>
      <c r="K31" s="5"/>
      <c r="L31" s="5">
        <f t="shared" si="2"/>
        <v>0</v>
      </c>
    </row>
    <row r="32" spans="2:12">
      <c r="B32" s="5"/>
      <c r="C32" s="5"/>
      <c r="D32" s="5"/>
      <c r="E32" s="5">
        <f t="shared" si="0"/>
        <v>0</v>
      </c>
      <c r="F32" s="5"/>
      <c r="G32" s="5"/>
      <c r="H32" s="5"/>
      <c r="I32" s="5">
        <f t="shared" si="1"/>
        <v>0</v>
      </c>
      <c r="J32" s="5"/>
      <c r="K32" s="5"/>
      <c r="L32" s="5">
        <f t="shared" si="2"/>
        <v>0</v>
      </c>
    </row>
    <row r="33" spans="2:12">
      <c r="B33" s="5"/>
      <c r="C33" s="5"/>
      <c r="D33" s="5"/>
      <c r="E33" s="5">
        <f t="shared" si="0"/>
        <v>0</v>
      </c>
      <c r="F33" s="5"/>
      <c r="G33" s="5"/>
      <c r="H33" s="5"/>
      <c r="I33" s="5">
        <f t="shared" si="1"/>
        <v>0</v>
      </c>
      <c r="J33" s="5"/>
      <c r="K33" s="5"/>
      <c r="L33" s="5">
        <f t="shared" si="2"/>
        <v>0</v>
      </c>
    </row>
    <row r="34" spans="2:12">
      <c r="B34" s="5" t="s">
        <v>176</v>
      </c>
      <c r="C34" s="5"/>
      <c r="D34" s="5">
        <f>E34*10.764</f>
        <v>231.53363999999999</v>
      </c>
      <c r="E34" s="5">
        <f>SUM(E6:E33)</f>
        <v>21.51</v>
      </c>
      <c r="F34" s="5"/>
      <c r="G34" s="5"/>
      <c r="H34" s="5">
        <f>I34*10.764</f>
        <v>0</v>
      </c>
      <c r="I34" s="5">
        <f>SUM(I6:I33)</f>
        <v>0</v>
      </c>
      <c r="J34" s="5"/>
      <c r="K34" s="5">
        <f>L34*10.764</f>
        <v>0</v>
      </c>
      <c r="L34" s="5">
        <f>SUM(L6:L33)</f>
        <v>0</v>
      </c>
    </row>
    <row r="36" spans="2:12">
      <c r="D36">
        <f>D34+H34</f>
        <v>231.53363999999999</v>
      </c>
      <c r="E36">
        <f>E34+I34</f>
        <v>21.51</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Note</vt:lpstr>
      <vt:lpstr>valuation</vt:lpstr>
      <vt:lpstr>Flat detail</vt:lpstr>
      <vt:lpstr>Flat detail </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2025-09-11T05:29:05Z</cp:lastPrinted>
  <dcterms:created xsi:type="dcterms:W3CDTF">2019-07-16T09:29:00Z</dcterms:created>
  <dcterms:modified xsi:type="dcterms:W3CDTF">2025-09-11T05:30:16Z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14B5DF30C1B748058AB26CA2105279EF_12</vt:lpwstr>
  </property>
  <property fmtid="{D5CDD505-2E9C-101B-9397-08002B2CF9AE}" pid="3" name="KSOProductBuildVer">
    <vt:lpwstr>1033-12.2.0.20326</vt:lpwstr>
  </property>
</Properties>
</file>