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K185" i="1"/>
  <c r="K192" i="1"/>
  <c r="K198" i="1"/>
  <c r="K200" i="1"/>
  <c r="D227" i="1" l="1"/>
  <c r="F227" i="1" s="1"/>
  <c r="D226" i="1"/>
  <c r="D225" i="1"/>
  <c r="D224" i="1"/>
  <c r="D223" i="1"/>
  <c r="D221" i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2" i="1"/>
  <c r="F212" i="1" s="1"/>
  <c r="D211" i="1"/>
  <c r="F211" i="1" s="1"/>
  <c r="D210" i="1"/>
  <c r="D206" i="1"/>
  <c r="F206" i="1" s="1"/>
  <c r="K206" i="1" s="1"/>
  <c r="D205" i="1"/>
  <c r="F205" i="1" s="1"/>
  <c r="K205" i="1" s="1"/>
  <c r="D204" i="1"/>
  <c r="F204" i="1" s="1"/>
  <c r="K204" i="1" s="1"/>
  <c r="D203" i="1"/>
  <c r="F203" i="1" s="1"/>
  <c r="K203" i="1" s="1"/>
  <c r="D202" i="1"/>
  <c r="F202" i="1" s="1"/>
  <c r="K202" i="1" s="1"/>
  <c r="D201" i="1"/>
  <c r="F201" i="1" s="1"/>
  <c r="K201" i="1" s="1"/>
  <c r="D199" i="1"/>
  <c r="F199" i="1" s="1"/>
  <c r="K199" i="1" s="1"/>
  <c r="D197" i="1"/>
  <c r="F197" i="1" s="1"/>
  <c r="K197" i="1" s="1"/>
  <c r="D196" i="1"/>
  <c r="F196" i="1" s="1"/>
  <c r="K196" i="1" s="1"/>
  <c r="D195" i="1"/>
  <c r="F195" i="1" s="1"/>
  <c r="K195" i="1" s="1"/>
  <c r="D194" i="1"/>
  <c r="F194" i="1" s="1"/>
  <c r="K194" i="1" s="1"/>
  <c r="D193" i="1"/>
  <c r="F193" i="1" s="1"/>
  <c r="K193" i="1" s="1"/>
  <c r="D191" i="1"/>
  <c r="F191" i="1" s="1"/>
  <c r="K191" i="1" s="1"/>
  <c r="D190" i="1"/>
  <c r="D189" i="1"/>
  <c r="D188" i="1"/>
  <c r="D187" i="1"/>
  <c r="D186" i="1"/>
  <c r="D184" i="1"/>
  <c r="D183" i="1"/>
  <c r="D182" i="1"/>
  <c r="D175" i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E167" i="1"/>
  <c r="E166" i="1"/>
  <c r="E165" i="1"/>
  <c r="E164" i="1"/>
  <c r="E163" i="1"/>
  <c r="E162" i="1"/>
  <c r="E161" i="1"/>
  <c r="D167" i="1"/>
  <c r="D166" i="1"/>
  <c r="D165" i="1"/>
  <c r="D164" i="1"/>
  <c r="D163" i="1"/>
  <c r="D162" i="1"/>
  <c r="D161" i="1"/>
  <c r="D157" i="1"/>
  <c r="F157" i="1" s="1"/>
  <c r="D156" i="1"/>
  <c r="F156" i="1" s="1"/>
  <c r="D155" i="1"/>
  <c r="F155" i="1" s="1"/>
  <c r="D154" i="1"/>
  <c r="F154" i="1" s="1"/>
  <c r="K138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I133" i="1"/>
  <c r="A202" i="1"/>
  <c r="A203" i="1" s="1"/>
  <c r="A204" i="1" s="1"/>
  <c r="A205" i="1" s="1"/>
  <c r="A206" i="1" s="1"/>
  <c r="G201" i="1"/>
  <c r="A223" i="1"/>
  <c r="A224" i="1" s="1"/>
  <c r="A225" i="1" s="1"/>
  <c r="A226" i="1" s="1"/>
  <c r="A227" i="1" s="1"/>
  <c r="A194" i="1"/>
  <c r="A195" i="1" s="1"/>
  <c r="A196" i="1" s="1"/>
  <c r="A197" i="1" s="1"/>
  <c r="A199" i="1" s="1"/>
  <c r="G193" i="1"/>
  <c r="A215" i="1"/>
  <c r="A216" i="1" s="1"/>
  <c r="A217" i="1" s="1"/>
  <c r="A218" i="1" s="1"/>
  <c r="A219" i="1" s="1"/>
  <c r="G214" i="1"/>
  <c r="A211" i="1"/>
  <c r="A212" i="1" s="1"/>
  <c r="G210" i="1"/>
  <c r="I184" i="1"/>
  <c r="I182" i="1"/>
  <c r="F175" i="1"/>
  <c r="A170" i="1"/>
  <c r="A171" i="1" s="1"/>
  <c r="A172" i="1" s="1"/>
  <c r="A173" i="1" s="1"/>
  <c r="A174" i="1" s="1"/>
  <c r="A175" i="1" s="1"/>
  <c r="G169" i="1"/>
  <c r="G161" i="1"/>
  <c r="G162" i="1" s="1"/>
  <c r="G163" i="1" s="1"/>
  <c r="A145" i="1"/>
  <c r="A146" i="1" s="1"/>
  <c r="A147" i="1" s="1"/>
  <c r="G144" i="1"/>
  <c r="J129" i="1"/>
  <c r="I129" i="1"/>
  <c r="A162" i="1"/>
  <c r="A163" i="1" s="1"/>
  <c r="A164" i="1" s="1"/>
  <c r="A165" i="1" s="1"/>
  <c r="A166" i="1" s="1"/>
  <c r="A167" i="1" s="1"/>
  <c r="F166" i="1" l="1"/>
  <c r="C119" i="1"/>
  <c r="C113" i="1"/>
  <c r="C112" i="1"/>
  <c r="C118" i="1"/>
  <c r="C114" i="1"/>
  <c r="F210" i="1"/>
  <c r="E111" i="1"/>
  <c r="F147" i="1"/>
  <c r="G112" i="1" s="1"/>
  <c r="E119" i="1"/>
  <c r="E113" i="1"/>
  <c r="G114" i="1"/>
  <c r="E114" i="1"/>
  <c r="C111" i="1"/>
  <c r="E118" i="1"/>
  <c r="E112" i="1"/>
  <c r="F133" i="1"/>
  <c r="F135" i="1"/>
  <c r="F137" i="1"/>
  <c r="F139" i="1"/>
  <c r="F141" i="1"/>
  <c r="F161" i="1"/>
  <c r="F163" i="1"/>
  <c r="F134" i="1"/>
  <c r="F136" i="1"/>
  <c r="J137" i="1" s="1"/>
  <c r="F138" i="1"/>
  <c r="F140" i="1"/>
  <c r="F167" i="1"/>
  <c r="F165" i="1"/>
  <c r="F162" i="1"/>
  <c r="F142" i="1"/>
  <c r="K137" i="1" s="1"/>
  <c r="K139" i="1" s="1"/>
  <c r="A148" i="1"/>
  <c r="A149" i="1" s="1"/>
  <c r="A150" i="1" s="1"/>
  <c r="A151" i="1" s="1"/>
  <c r="A152" i="1" s="1"/>
  <c r="A153" i="1" s="1"/>
  <c r="A154" i="1" s="1"/>
  <c r="A155" i="1" s="1"/>
  <c r="A156" i="1" s="1"/>
  <c r="A157" i="1" s="1"/>
  <c r="F164" i="1"/>
  <c r="G164" i="1"/>
  <c r="G165" i="1" s="1"/>
  <c r="G166" i="1" s="1"/>
  <c r="G167" i="1" s="1"/>
  <c r="G49" i="1"/>
  <c r="G50" i="1" s="1"/>
  <c r="C120" i="1" l="1"/>
  <c r="C115" i="1"/>
  <c r="C121" i="1" s="1"/>
  <c r="E120" i="1"/>
  <c r="E115" i="1"/>
  <c r="E121" i="1" s="1"/>
  <c r="G113" i="1"/>
  <c r="E42" i="1" l="1"/>
  <c r="E43" i="1" s="1"/>
  <c r="C14" i="1" l="1"/>
  <c r="E29" i="1" l="1"/>
  <c r="F183" i="1" l="1"/>
  <c r="F184" i="1"/>
  <c r="F182" i="1"/>
  <c r="A183" i="1"/>
  <c r="A184" i="1" s="1"/>
  <c r="G182" i="1"/>
  <c r="L120" i="1" l="1"/>
  <c r="J121" i="1"/>
  <c r="J183" i="1"/>
  <c r="K183" i="1"/>
  <c r="K121" i="1"/>
  <c r="K182" i="1"/>
  <c r="J120" i="1"/>
  <c r="K184" i="1"/>
  <c r="F108" i="1"/>
  <c r="F130" i="1" l="1"/>
  <c r="J139" i="1" s="1"/>
  <c r="F131" i="1"/>
  <c r="F132" i="1"/>
  <c r="F129" i="1"/>
  <c r="J140" i="1" s="1"/>
  <c r="J141" i="1" l="1"/>
  <c r="G111" i="1"/>
  <c r="G115" i="1" s="1"/>
  <c r="B230" i="1"/>
  <c r="F226" i="1" l="1"/>
  <c r="F225" i="1"/>
  <c r="J122" i="1" s="1"/>
  <c r="J123" i="1" s="1"/>
  <c r="F224" i="1"/>
  <c r="F223" i="1"/>
  <c r="F221" i="1"/>
  <c r="F190" i="1"/>
  <c r="K190" i="1" s="1"/>
  <c r="F189" i="1"/>
  <c r="F187" i="1"/>
  <c r="K187" i="1" s="1"/>
  <c r="F186" i="1"/>
  <c r="F188" i="1"/>
  <c r="J193" i="1" l="1"/>
  <c r="K120" i="1"/>
  <c r="K189" i="1"/>
  <c r="L121" i="1"/>
  <c r="K188" i="1"/>
  <c r="K186" i="1"/>
  <c r="J186" i="1"/>
  <c r="L122" i="1"/>
  <c r="G118" i="1"/>
  <c r="G119" i="1"/>
  <c r="B231" i="1"/>
  <c r="L123" i="1" l="1"/>
  <c r="G120" i="1"/>
  <c r="G121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2" i="1"/>
  <c r="G221" i="1"/>
  <c r="G186" i="1"/>
  <c r="A187" i="1"/>
  <c r="A188" i="1" s="1"/>
  <c r="A189" i="1" s="1"/>
  <c r="A190" i="1" s="1"/>
  <c r="A191" i="1" s="1"/>
  <c r="A130" i="1"/>
  <c r="A131" i="1" s="1"/>
  <c r="A132" i="1" s="1"/>
  <c r="G129" i="1"/>
  <c r="B81" i="1"/>
  <c r="B67" i="1"/>
  <c r="D54" i="1"/>
  <c r="C49" i="1"/>
  <c r="E26" i="1"/>
  <c r="E24" i="1"/>
  <c r="E3" i="1"/>
  <c r="A133" i="1" l="1"/>
  <c r="A134" i="1" s="1"/>
  <c r="A135" i="1" s="1"/>
  <c r="A136" i="1" s="1"/>
  <c r="A137" i="1" s="1"/>
  <c r="D60" i="1"/>
  <c r="H81" i="1"/>
  <c r="H67" i="1"/>
  <c r="D93" i="1" l="1"/>
  <c r="J84" i="1"/>
  <c r="D90" i="1"/>
  <c r="D92" i="1"/>
  <c r="D87" i="1"/>
  <c r="D88" i="1"/>
  <c r="J85" i="1"/>
  <c r="C84" i="1" s="1"/>
  <c r="D84" i="1" s="1"/>
  <c r="J86" i="1"/>
  <c r="J87" i="1" s="1"/>
  <c r="J92" i="1" s="1"/>
  <c r="D89" i="1"/>
  <c r="J83" i="1"/>
  <c r="J80" i="1"/>
  <c r="J82" i="1" s="1"/>
  <c r="D91" i="1"/>
  <c r="D75" i="1"/>
  <c r="J72" i="1"/>
  <c r="J73" i="1" s="1"/>
  <c r="J78" i="1" s="1"/>
  <c r="D73" i="1"/>
  <c r="D74" i="1"/>
  <c r="J70" i="1"/>
  <c r="D77" i="1"/>
  <c r="J69" i="1"/>
  <c r="J66" i="1"/>
  <c r="J68" i="1" s="1"/>
  <c r="D78" i="1"/>
  <c r="J71" i="1"/>
  <c r="C70" i="1" s="1"/>
  <c r="D70" i="1" s="1"/>
  <c r="D76" i="1"/>
  <c r="D79" i="1"/>
  <c r="A138" i="1"/>
  <c r="A139" i="1" s="1"/>
  <c r="A140" i="1" s="1"/>
  <c r="A141" i="1" s="1"/>
  <c r="A142" i="1" s="1"/>
  <c r="J88" i="1"/>
  <c r="J89" i="1" s="1"/>
  <c r="J90" i="1" s="1"/>
  <c r="J91" i="1" s="1"/>
  <c r="J74" i="1"/>
  <c r="J75" i="1" s="1"/>
  <c r="J76" i="1" s="1"/>
  <c r="J77" i="1" s="1"/>
  <c r="D86" i="1"/>
  <c r="D72" i="1"/>
  <c r="J79" i="1" l="1"/>
  <c r="C71" i="1" s="1"/>
  <c r="G70" i="1" s="1"/>
  <c r="D64" i="1" s="1"/>
  <c r="D65" i="1" s="1"/>
  <c r="J93" i="1"/>
  <c r="C85" i="1" l="1"/>
  <c r="J81" i="1" s="1"/>
  <c r="J67" i="1"/>
  <c r="D71" i="1"/>
  <c r="I67" i="1" s="1"/>
  <c r="I68" i="1" s="1"/>
  <c r="E70" i="1"/>
  <c r="F65" i="1"/>
  <c r="G84" i="1" l="1"/>
  <c r="D85" i="1"/>
  <c r="I81" i="1" s="1"/>
  <c r="I82" i="1" s="1"/>
  <c r="E84" i="1"/>
  <c r="I66" i="1"/>
  <c r="C68" i="1" s="1"/>
  <c r="I80" i="1" l="1"/>
  <c r="C82" i="1" s="1"/>
</calcChain>
</file>

<file path=xl/sharedStrings.xml><?xml version="1.0" encoding="utf-8"?>
<sst xmlns="http://schemas.openxmlformats.org/spreadsheetml/2006/main" count="423" uniqueCount="254">
  <si>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</si>
  <si>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</si>
  <si>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</si>
  <si>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</si>
  <si>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</si>
  <si>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</si>
  <si>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</si>
  <si>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</si>
  <si>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</si>
  <si>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</si>
  <si>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</si>
  <si>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</si>
  <si>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</si>
  <si>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</si>
  <si>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</si>
  <si>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</si>
  <si>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</si>
  <si>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</si>
  <si>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</si>
  <si>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</si>
  <si>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</si>
  <si>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</si>
  <si>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</si>
  <si>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</si>
  <si>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</si>
  <si>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</si>
  <si>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</si>
  <si>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</si>
  <si>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</si>
  <si>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</si>
  <si>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</si>
  <si>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</si>
  <si>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</si>
  <si>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</si>
  <si>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</si>
  <si>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</si>
  <si>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</si>
  <si>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</si>
  <si>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</si>
  <si>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</si>
  <si>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</si>
  <si>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</si>
  <si>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</si>
  <si>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</si>
  <si>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</si>
  <si>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</si>
  <si>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</si>
  <si>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</si>
  <si>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</si>
  <si>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</si>
  <si>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</si>
  <si>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</si>
  <si>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</si>
  <si>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</si>
  <si>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</si>
  <si>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</si>
  <si>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</si>
  <si>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</si>
  <si>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</si>
  <si>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</si>
  <si>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</si>
  <si>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</si>
  <si>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</si>
  <si>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</si>
  <si>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</si>
  <si>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</si>
  <si>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</si>
  <si>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</si>
  <si>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</si>
  <si>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</si>
  <si>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</si>
  <si>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</si>
  <si>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</si>
  <si>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</si>
  <si>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</si>
  <si>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</si>
  <si>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</si>
  <si>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</si>
  <si>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</si>
  <si>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</si>
  <si>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</si>
  <si>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</si>
  <si>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</si>
  <si>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</si>
  <si>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</si>
  <si>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</si>
  <si>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</si>
  <si>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</si>
  <si>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</si>
  <si>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</si>
  <si>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</si>
  <si>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</si>
  <si>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</si>
  <si>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</si>
  <si>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</si>
  <si>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</si>
  <si>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</si>
  <si>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</si>
  <si>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</si>
  <si>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</si>
  <si>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</si>
  <si>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</si>
  <si>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</si>
  <si>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</si>
  <si>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</si>
  <si>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</si>
  <si>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</si>
  <si>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</si>
  <si>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</si>
  <si>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</si>
  <si>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</si>
  <si>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</si>
  <si>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</si>
  <si>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</si>
  <si>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</si>
  <si>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</si>
  <si>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</si>
  <si>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</si>
  <si>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</si>
  <si>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</si>
  <si>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</si>
  <si>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</si>
  <si>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</si>
  <si>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</si>
  <si>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</si>
  <si>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</si>
  <si>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</si>
  <si>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</si>
  <si>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</si>
  <si>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</si>
  <si>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</si>
  <si>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</si>
  <si>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</si>
  <si>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</si>
  <si>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</si>
  <si>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</si>
  <si>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</si>
  <si>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</si>
  <si>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</si>
  <si>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</si>
  <si>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</si>
  <si>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</si>
  <si>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</si>
  <si>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</si>
  <si>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</si>
  <si>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</si>
  <si>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</si>
  <si>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</si>
  <si>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</si>
  <si>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</si>
  <si>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</si>
  <si>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</si>
  <si>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</si>
  <si>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</si>
  <si>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</si>
  <si>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</si>
  <si>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</si>
  <si>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</si>
  <si>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</si>
  <si>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</si>
  <si>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</si>
  <si>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</si>
  <si>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</si>
  <si>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</si>
  <si>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</si>
  <si>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</si>
  <si>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</si>
  <si>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</si>
  <si>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</si>
  <si>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</si>
  <si>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</si>
  <si>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</si>
  <si>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</si>
  <si>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Foresta</t>
  </si>
  <si>
    <t>02 Buildings</t>
  </si>
  <si>
    <t>Survey No</t>
  </si>
  <si>
    <t>89PT</t>
  </si>
  <si>
    <t>Kashi</t>
  </si>
  <si>
    <t>Thane</t>
  </si>
  <si>
    <t>Saint Xavier's High School Road</t>
  </si>
  <si>
    <t xml:space="preserve">Saint Xavier's High School </t>
  </si>
  <si>
    <t>https://goo.gl/maps/dY6uMhAB2g21zXTB7</t>
  </si>
  <si>
    <t xml:space="preserve">Open Plot </t>
  </si>
  <si>
    <t>Mira-Bhayandar Municipal Corporation</t>
  </si>
  <si>
    <t>P51800008744</t>
  </si>
  <si>
    <t>Oyster Corporation</t>
  </si>
  <si>
    <t>Name of the builder</t>
  </si>
  <si>
    <t>Tejas Tarun Vyas</t>
  </si>
  <si>
    <t>Mandvi Pada</t>
  </si>
  <si>
    <t>4.9 KM from Mira road Railway Station</t>
  </si>
  <si>
    <t>Mira road (East)</t>
  </si>
  <si>
    <t>Building</t>
  </si>
  <si>
    <t xml:space="preserve">St.Xavier's High School Kashigaon </t>
  </si>
  <si>
    <t>19.269056, 72.888048</t>
  </si>
  <si>
    <t>Gymnasium, Meditation Deck, Yoga Space, Senior Citizen Area, Kids Play Area etc.</t>
  </si>
  <si>
    <t>MBMNP/NR/348/2023-24</t>
  </si>
  <si>
    <t>MNP/NR/348/2023-2024</t>
  </si>
  <si>
    <t>Ground Floor For Entrance Lobby, Society Office, Meter Room, Drivers Room &amp; Parking</t>
  </si>
  <si>
    <t>Shop</t>
  </si>
  <si>
    <t>Shop Duplex With 1st Floor</t>
  </si>
  <si>
    <t>Attached Loft/Otla area</t>
  </si>
  <si>
    <t>Ground Floor For Entrance Lobby, Fitness Center, Club House, Meter Room</t>
  </si>
  <si>
    <t>1st Floor For Part Commercial</t>
  </si>
  <si>
    <t>Office</t>
  </si>
  <si>
    <t>Office Duplex With Ground Floor</t>
  </si>
  <si>
    <t>1st Floor For Part Residential</t>
  </si>
  <si>
    <t>2BHK</t>
  </si>
  <si>
    <t>1BHK</t>
  </si>
  <si>
    <t>1RK</t>
  </si>
  <si>
    <t>2nd to 7th &amp; 9th Floor For Residential</t>
  </si>
  <si>
    <t>8th Floor (Refuge Area Provided)</t>
  </si>
  <si>
    <t>-</t>
  </si>
  <si>
    <t>Refuge Area</t>
  </si>
  <si>
    <t>10th Floor</t>
  </si>
  <si>
    <t>Approved Plans, CC, Sale Plans, Cost Sheet</t>
  </si>
  <si>
    <t>We considered Gross carpet area = Net carpet + Balcony.</t>
  </si>
  <si>
    <t>Building No. 1 (Wing A + B1)
Building No. 2 (Wing B2 + C)</t>
  </si>
  <si>
    <t>Building No.1 (Wing A + B1) = G + 1st to 10th Floor
Building No.2 (Wing B2 + C) = G + 1st to 9th Floor</t>
  </si>
  <si>
    <t>Building No.1 (Wing A + B1) = G + 1st to 24th Floor</t>
  </si>
  <si>
    <t>Building No.2 (Wing B2 + C) = G + 1st to 24th Floor</t>
  </si>
  <si>
    <t>Building No.1
(Wing A + B1)</t>
  </si>
  <si>
    <t>Building No.2
(Wing B2 + C)</t>
  </si>
  <si>
    <t>Flats - 108, Shops - 21, Offices - 18</t>
  </si>
  <si>
    <t xml:space="preserve">Building No.1 </t>
  </si>
  <si>
    <t>(Wing A + B1)</t>
  </si>
  <si>
    <t xml:space="preserve">Building No.2 </t>
  </si>
  <si>
    <t>(Wing B2 + C)</t>
  </si>
  <si>
    <t>Building No.1</t>
  </si>
  <si>
    <t xml:space="preserve"> (Wing A + B1)</t>
  </si>
  <si>
    <t>Society Formation Charges &amp; Other Charges</t>
  </si>
  <si>
    <t>Cost Sheet</t>
  </si>
  <si>
    <t>1BHK - 60 to 65 Lac</t>
  </si>
  <si>
    <t>2BHK - 70 to 80 Lac</t>
  </si>
  <si>
    <t xml:space="preserve">https://www.magicbricks.com/foresta-mira-road-mumbai-pdpid-4d4235303933333237 </t>
  </si>
  <si>
    <t>Prop in</t>
  </si>
  <si>
    <t xml:space="preserve">https://www.propi.in/project/foresta-mira-road-by-oyster-living/28908 </t>
  </si>
  <si>
    <t>Hiral Shree samarth</t>
  </si>
  <si>
    <t>0.350M</t>
  </si>
  <si>
    <t>Unique Elanza</t>
  </si>
  <si>
    <t>Recommended rate of the Shop Per Sq. Ft. (Gr + 1st) Duplex</t>
  </si>
  <si>
    <t>Recommended rate of the Shop Per Sq. Ft. Ground Floor</t>
  </si>
  <si>
    <t xml:space="preserve">Recommended rate of the Office Per Sq. Ft. </t>
  </si>
  <si>
    <t xml:space="preserve">                                                                         </t>
  </si>
  <si>
    <t>9819666272 / 8657506020</t>
  </si>
  <si>
    <t>As per RERA, completion period of project Foresta is expired on 30/12/2023 but still project is under construction.</t>
  </si>
  <si>
    <t>As per RERA - 31/12/2027</t>
  </si>
  <si>
    <t>Mr. Aditya 7559201484.</t>
  </si>
  <si>
    <t>Mr. Umesh 9029166157</t>
  </si>
  <si>
    <t>Building No.1 (Wing A + B1) = G + 1st to 24th Floor
Building No.2 (Wing B2 + C) = G + 1st to 24th Floor</t>
  </si>
  <si>
    <t>Residential details Floor Wise</t>
  </si>
  <si>
    <t>As checked on RERA portal on date 19/09/2025, we have observed that above project "Foresta" is kept under abeyance. Please check from your end.</t>
  </si>
  <si>
    <t>Pooja Kawale</t>
  </si>
  <si>
    <t>Ranjan Sharma</t>
  </si>
  <si>
    <t>Bldg No. 1 &amp; 2 = Construction Work is in process at the time of visit.
Bldg No. 2 = Construction Work is same as last visit (12/09/2024).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</si>
</sst>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272727"/>
      <name val="Arial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9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8" xfId="1" applyFont="1" applyBorder="1"/>
    <xf numFmtId="0" fontId="17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5" xfId="0" applyFont="1" applyFill="1" applyBorder="1"/>
    <xf numFmtId="0" fontId="25" fillId="0" borderId="26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67" fontId="7" fillId="0" borderId="0" xfId="9" applyNumberFormat="1" applyFont="1" applyAlignment="1">
      <alignment horizontal="right" vertical="center"/>
    </xf>
    <xf numFmtId="167" fontId="6" fillId="0" borderId="0" xfId="9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167" fontId="10" fillId="0" borderId="0" xfId="1" applyNumberFormat="1" applyFont="1"/>
    <xf numFmtId="167" fontId="7" fillId="0" borderId="0" xfId="9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6" fillId="0" borderId="0" xfId="10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7" fillId="0" borderId="0" xfId="0" applyFont="1"/>
    <xf numFmtId="167" fontId="10" fillId="0" borderId="0" xfId="9" applyNumberFormat="1" applyFont="1"/>
    <xf numFmtId="167" fontId="10" fillId="0" borderId="0" xfId="9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right"/>
    </xf>
    <xf numFmtId="167" fontId="7" fillId="0" borderId="0" xfId="9" applyNumberFormat="1" applyFont="1" applyAlignment="1">
      <alignment horizontal="right"/>
    </xf>
    <xf numFmtId="167" fontId="10" fillId="0" borderId="0" xfId="1" applyNumberFormat="1" applyFont="1" applyAlignment="1">
      <alignment horizontal="right"/>
    </xf>
    <xf numFmtId="0" fontId="27" fillId="0" borderId="0" xfId="0" applyFont="1" applyFill="1" applyBorder="1" applyAlignment="1">
      <alignment vertical="top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1" fontId="10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28" fillId="0" borderId="6" xfId="0" applyNumberFormat="1" applyFont="1" applyBorder="1" applyAlignment="1" applyProtection="1">
      <alignment vertical="top" wrapText="1"/>
      <protection locked="0"/>
    </xf>
    <xf numFmtId="1" fontId="28" fillId="0" borderId="19" xfId="0" applyNumberFormat="1" applyFont="1" applyBorder="1" applyAlignment="1" applyProtection="1">
      <alignment vertical="top" wrapText="1"/>
      <protection locked="0"/>
    </xf>
    <xf numFmtId="1" fontId="28" fillId="0" borderId="7" xfId="0" applyNumberFormat="1" applyFont="1" applyBorder="1" applyAlignment="1" applyProtection="1">
      <alignment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0" fillId="0" borderId="6" xfId="0" applyNumberFormat="1" applyFont="1" applyBorder="1" applyAlignment="1" applyProtection="1">
      <alignment vertical="top" wrapText="1"/>
      <protection locked="0"/>
    </xf>
    <xf numFmtId="1" fontId="10" fillId="0" borderId="19" xfId="0" applyNumberFormat="1" applyFont="1" applyBorder="1" applyAlignment="1" applyProtection="1">
      <alignment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24" fillId="2" borderId="13" xfId="0" applyFont="1" applyFill="1" applyBorder="1"/>
    <xf numFmtId="0" fontId="25" fillId="0" borderId="7" xfId="0" applyFont="1" applyBorder="1"/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5.png"/><Relationship Id="rId1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684068</xdr:colOff>
      <xdr:row>334</xdr:row>
      <xdr:rowOff>8659</xdr:rowOff>
    </xdr:from>
    <xdr:to>
      <xdr:col>7</xdr:col>
      <xdr:colOff>125045</xdr:colOff>
      <xdr:row>350</xdr:row>
      <xdr:rowOff>62114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4068" y="61592114"/>
          <a:ext cx="5130000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684068</xdr:colOff>
      <xdr:row>351</xdr:row>
      <xdr:rowOff>24523</xdr:rowOff>
    </xdr:from>
    <xdr:to>
      <xdr:col>7</xdr:col>
      <xdr:colOff>152260</xdr:colOff>
      <xdr:row>367</xdr:row>
      <xdr:rowOff>77977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4068" y="64993682"/>
          <a:ext cx="5157215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859706</xdr:colOff>
      <xdr:row>358</xdr:row>
      <xdr:rowOff>83412</xdr:rowOff>
    </xdr:from>
    <xdr:to>
      <xdr:col>4</xdr:col>
      <xdr:colOff>204285</xdr:colOff>
      <xdr:row>362</xdr:row>
      <xdr:rowOff>161344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20418592">
          <a:off x="3266933" y="66446685"/>
          <a:ext cx="288420" cy="874568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2</xdr:col>
      <xdr:colOff>60613</xdr:colOff>
      <xdr:row>311</xdr:row>
      <xdr:rowOff>93657</xdr:rowOff>
    </xdr:from>
    <xdr:to>
      <xdr:col>5</xdr:col>
      <xdr:colOff>726917</xdr:colOff>
      <xdr:row>325</xdr:row>
      <xdr:rowOff>185430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49" y="65443816"/>
          <a:ext cx="323805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91069</xdr:colOff>
      <xdr:row>296</xdr:row>
      <xdr:rowOff>8659</xdr:rowOff>
    </xdr:from>
    <xdr:to>
      <xdr:col>5</xdr:col>
      <xdr:colOff>696462</xdr:colOff>
      <xdr:row>310</xdr:row>
      <xdr:rowOff>100432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9705" y="62371432"/>
          <a:ext cx="3177143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0</xdr:colOff>
      <xdr:row>298</xdr:row>
      <xdr:rowOff>17318</xdr:rowOff>
    </xdr:from>
    <xdr:to>
      <xdr:col>4</xdr:col>
      <xdr:colOff>294409</xdr:colOff>
      <xdr:row>299</xdr:row>
      <xdr:rowOff>95250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407227" y="62778409"/>
          <a:ext cx="1238250" cy="27709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40699</xdr:colOff>
      <xdr:row>252</xdr:row>
      <xdr:rowOff>128156</xdr:rowOff>
    </xdr:from>
    <xdr:to>
      <xdr:col>8</xdr:col>
      <xdr:colOff>1031299</xdr:colOff>
      <xdr:row>253</xdr:row>
      <xdr:rowOff>197428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565324" y="54820706"/>
          <a:ext cx="990600" cy="269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Building No.1</a:t>
          </a:r>
        </a:p>
      </xdr:txBody>
    </xdr:sp>
    <xdr:clientData/>
  </xdr:twoCellAnchor>
  <xdr:twoCellAnchor>
    <xdr:from>
      <xdr:col>8</xdr:col>
      <xdr:colOff>2373974</xdr:colOff>
      <xdr:row>252</xdr:row>
      <xdr:rowOff>128155</xdr:rowOff>
    </xdr:from>
    <xdr:to>
      <xdr:col>9</xdr:col>
      <xdr:colOff>236044</xdr:colOff>
      <xdr:row>253</xdr:row>
      <xdr:rowOff>197427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98599" y="54820705"/>
          <a:ext cx="986270" cy="269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Building No.2</a:t>
          </a:r>
        </a:p>
      </xdr:txBody>
    </xdr:sp>
    <xdr:clientData/>
  </xdr:twoCellAnchor>
  <xdr:twoCellAnchor editAs="oneCell">
    <xdr:from>
      <xdr:col>11</xdr:col>
      <xdr:colOff>694764</xdr:colOff>
      <xdr:row>128</xdr:row>
      <xdr:rowOff>201706</xdr:rowOff>
    </xdr:from>
    <xdr:to>
      <xdr:col>16</xdr:col>
      <xdr:colOff>30984</xdr:colOff>
      <xdr:row>134</xdr:row>
      <xdr:rowOff>66950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1999" y="28608618"/>
          <a:ext cx="3123809" cy="2285714"/>
        </a:xfrm>
        <a:prstGeom prst="rect">
          <a:avLst/>
        </a:prstGeom>
      </xdr:spPr>
    </xdr:pic>
    <xdr:clientData/>
  </xdr:twoCellAnchor>
  <xdr:twoCellAnchor editAs="oneCell">
    <xdr:from>
      <xdr:col>8</xdr:col>
      <xdr:colOff>1670050</xdr:colOff>
      <xdr:row>0</xdr:row>
      <xdr:rowOff>330200</xdr:rowOff>
    </xdr:from>
    <xdr:to>
      <xdr:col>13</xdr:col>
      <xdr:colOff>313650</xdr:colOff>
      <xdr:row>13</xdr:row>
      <xdr:rowOff>192700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10650" y="330200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393700</xdr:colOff>
      <xdr:row>251</xdr:row>
      <xdr:rowOff>50800</xdr:rowOff>
    </xdr:from>
    <xdr:to>
      <xdr:col>12</xdr:col>
      <xdr:colOff>649603</xdr:colOff>
      <xdr:row>285</xdr:row>
      <xdr:rowOff>116983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DAE7B405-7044-4493-AA6D-580F06A6276E}"/>
            </a:ext>
          </a:extLst>
        </xdr:cNvPr>
        <xdr:cNvGrpSpPr/>
      </xdr:nvGrpSpPr>
      <xdr:grpSpPr>
        <a:xfrm>
          <a:off x="7734300" y="51644550"/>
          <a:ext cx="6186803" cy="6752733"/>
          <a:chOff x="398930" y="366289"/>
          <a:chExt cx="5907403" cy="6857508"/>
        </a:xfrm>
      </xdr:grpSpPr>
      <xdr:grpSp>
        <xdr:nvGrpSpPr>
          <xdr:cNvPr id="55" name="Group 54">
            <a:extLst>
              <a:ext uri="{FF2B5EF4-FFF2-40B4-BE49-F238E27FC236}">
                <a16:creationId xmlns:a16="http://schemas.microsoft.com/office/drawing/2014/main" id="{22964946-0A01-4737-A4C0-C59E111A504F}"/>
              </a:ext>
            </a:extLst>
          </xdr:cNvPr>
          <xdr:cNvGrpSpPr/>
        </xdr:nvGrpSpPr>
        <xdr:grpSpPr>
          <a:xfrm>
            <a:off x="398930" y="366289"/>
            <a:ext cx="5907403" cy="6857508"/>
            <a:chOff x="398930" y="366289"/>
            <a:chExt cx="5907403" cy="6857508"/>
          </a:xfrm>
        </xdr:grpSpPr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id="{FEEA4F52-91C4-40A2-BE21-B617E52CA7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8930" y="366289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id="{BB985063-1388-44B1-9199-8E4BDCB0EE2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366289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3" name="Picture 62">
              <a:extLst>
                <a:ext uri="{FF2B5EF4-FFF2-40B4-BE49-F238E27FC236}">
                  <a16:creationId xmlns:a16="http://schemas.microsoft.com/office/drawing/2014/main" id="{5C593DB8-5292-46E5-BACC-5EC01474A09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8930" y="2715043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E497C9FE-EAC9-4DAE-8648-479BE6D7555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6097" y="5063797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B4D54014-07D6-4D1F-8CE9-83CFDA9D27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8999" y="2715043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1C7AF840-FC8A-456E-A3E4-81FC362306D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30198" y="5063797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7" name="Picture 66">
              <a:extLst>
                <a:ext uri="{FF2B5EF4-FFF2-40B4-BE49-F238E27FC236}">
                  <a16:creationId xmlns:a16="http://schemas.microsoft.com/office/drawing/2014/main" id="{925B73AA-A1DD-494A-94E5-48CD666E56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4299" y="5063797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6" name="TextBox 18">
            <a:extLst>
              <a:ext uri="{FF2B5EF4-FFF2-40B4-BE49-F238E27FC236}">
                <a16:creationId xmlns:a16="http://schemas.microsoft.com/office/drawing/2014/main" id="{232F9695-BBD7-44EA-8952-FB48B40CDEE2}"/>
              </a:ext>
            </a:extLst>
          </xdr:cNvPr>
          <xdr:cNvSpPr txBox="1"/>
        </xdr:nvSpPr>
        <xdr:spPr>
          <a:xfrm>
            <a:off x="771715" y="1935870"/>
            <a:ext cx="1486304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Bldg No. 1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57" name="TextBox 22">
            <a:extLst>
              <a:ext uri="{FF2B5EF4-FFF2-40B4-BE49-F238E27FC236}">
                <a16:creationId xmlns:a16="http://schemas.microsoft.com/office/drawing/2014/main" id="{4FC4AE68-33C0-4788-9094-4A6AFB53EFCE}"/>
              </a:ext>
            </a:extLst>
          </xdr:cNvPr>
          <xdr:cNvSpPr txBox="1"/>
        </xdr:nvSpPr>
        <xdr:spPr>
          <a:xfrm>
            <a:off x="4391912" y="1893029"/>
            <a:ext cx="1486304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Bldg No. 2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58" name="TextBox 23">
            <a:extLst>
              <a:ext uri="{FF2B5EF4-FFF2-40B4-BE49-F238E27FC236}">
                <a16:creationId xmlns:a16="http://schemas.microsoft.com/office/drawing/2014/main" id="{39EF8ADF-3982-4C00-ABCB-43D415F71EAA}"/>
              </a:ext>
            </a:extLst>
          </xdr:cNvPr>
          <xdr:cNvSpPr txBox="1"/>
        </xdr:nvSpPr>
        <xdr:spPr>
          <a:xfrm>
            <a:off x="499579" y="2888109"/>
            <a:ext cx="1486304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Bldg No. 1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59" name="TextBox 24">
            <a:extLst>
              <a:ext uri="{FF2B5EF4-FFF2-40B4-BE49-F238E27FC236}">
                <a16:creationId xmlns:a16="http://schemas.microsoft.com/office/drawing/2014/main" id="{C46A908A-45D6-4572-A726-FD79E8466B61}"/>
              </a:ext>
            </a:extLst>
          </xdr:cNvPr>
          <xdr:cNvSpPr txBox="1"/>
        </xdr:nvSpPr>
        <xdr:spPr>
          <a:xfrm>
            <a:off x="4684337" y="2621977"/>
            <a:ext cx="1271502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Bldg No. 1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60" name="TextBox 25">
            <a:extLst>
              <a:ext uri="{FF2B5EF4-FFF2-40B4-BE49-F238E27FC236}">
                <a16:creationId xmlns:a16="http://schemas.microsoft.com/office/drawing/2014/main" id="{27A58CB1-39ED-4351-9EAF-EC513D780318}"/>
              </a:ext>
            </a:extLst>
          </xdr:cNvPr>
          <xdr:cNvSpPr txBox="1"/>
        </xdr:nvSpPr>
        <xdr:spPr>
          <a:xfrm>
            <a:off x="3466099" y="3115153"/>
            <a:ext cx="1271502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Bldg No. 2</a:t>
            </a:r>
            <a:endParaRPr lang="en-IN" sz="20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393700</xdr:colOff>
      <xdr:row>253</xdr:row>
      <xdr:rowOff>57150</xdr:rowOff>
    </xdr:from>
    <xdr:to>
      <xdr:col>7</xdr:col>
      <xdr:colOff>855212</xdr:colOff>
      <xdr:row>287</xdr:row>
      <xdr:rowOff>183147</xdr:rowOff>
    </xdr:to>
    <xdr:grpSp>
      <xdr:nvGrpSpPr>
        <xdr:cNvPr id="3" name="Group 2"/>
        <xdr:cNvGrpSpPr/>
      </xdr:nvGrpSpPr>
      <xdr:grpSpPr>
        <a:xfrm>
          <a:off x="393700" y="52044600"/>
          <a:ext cx="6436862" cy="6812547"/>
          <a:chOff x="393700" y="51879500"/>
          <a:chExt cx="6436862" cy="6812547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7984" y="518795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6131" y="55956047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9501" y="518795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78562" y="55956047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3700" y="55956047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504265</xdr:colOff>
      <xdr:row>13</xdr:row>
      <xdr:rowOff>179294</xdr:rowOff>
    </xdr:from>
    <xdr:to>
      <xdr:col>6</xdr:col>
      <xdr:colOff>9315</xdr:colOff>
      <xdr:row>26</xdr:row>
      <xdr:rowOff>42794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65" y="2667000"/>
          <a:ext cx="6486315" cy="23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246529</xdr:colOff>
      <xdr:row>13</xdr:row>
      <xdr:rowOff>156883</xdr:rowOff>
    </xdr:from>
    <xdr:to>
      <xdr:col>9</xdr:col>
      <xdr:colOff>355956</xdr:colOff>
      <xdr:row>25</xdr:row>
      <xdr:rowOff>156597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7794" y="2644589"/>
          <a:ext cx="3123809" cy="2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123265</xdr:rowOff>
    </xdr:from>
    <xdr:to>
      <xdr:col>5</xdr:col>
      <xdr:colOff>180956</xdr:colOff>
      <xdr:row>34</xdr:row>
      <xdr:rowOff>39265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87471"/>
          <a:ext cx="6232132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pi.in/project/foresta-mira-road-by-oyster-living/28908" TargetMode="External"/><Relationship Id="rId2" Type="http://schemas.openxmlformats.org/officeDocument/2006/relationships/hyperlink" Target="https://www.magicbricks.com/foresta-mira-road-mumbai-pdpid-4d4235303933333237" TargetMode="External"/><Relationship Id="rId1" Type="http://schemas.openxmlformats.org/officeDocument/2006/relationships/hyperlink" Target="https://goo.gl/maps/dY6uMhAB2g21zXTB7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33"/>
  <sheetViews>
    <sheetView tabSelected="1" view="pageBreakPreview" topLeftCell="A255" zoomScaleNormal="100" zoomScaleSheetLayoutView="100" workbookViewId="0">
      <selection activeCell="B230" sqref="B230:H230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9.54296875" style="39" customWidth="1"/>
    <col min="9" max="9" width="46.81640625" style="20" customWidth="1"/>
    <col min="10" max="10" width="12.26953125" style="20" customWidth="1"/>
    <col min="11" max="11" width="15.26953125" style="20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12" ht="46.5" customHeight="1" x14ac:dyDescent="0.35">
      <c r="A1" s="146" t="s">
        <v>167</v>
      </c>
      <c r="B1" s="146"/>
      <c r="C1" s="146"/>
      <c r="D1" s="146"/>
      <c r="E1" s="146"/>
      <c r="F1" s="146"/>
      <c r="G1" s="146"/>
      <c r="H1" s="146"/>
    </row>
    <row r="2" spans="1:12" ht="16.5" customHeight="1" x14ac:dyDescent="0.35">
      <c r="A2" s="147" t="s">
        <v>0</v>
      </c>
      <c r="B2" s="147"/>
      <c r="C2" s="147"/>
      <c r="D2" s="147"/>
      <c r="E2" s="147"/>
      <c r="F2" s="147"/>
      <c r="G2" s="147"/>
      <c r="H2" s="147"/>
    </row>
    <row r="3" spans="1:12" x14ac:dyDescent="0.35">
      <c r="A3" s="81" t="s">
        <v>1</v>
      </c>
      <c r="B3" s="81"/>
      <c r="C3" s="81"/>
      <c r="D3" s="81"/>
      <c r="E3" s="81" t="str">
        <f ca="1">TEXT(TODAY(),"DD/MM/YYYY")</f>
        <v>19/09/2025</v>
      </c>
      <c r="F3" s="81"/>
      <c r="G3" s="81"/>
      <c r="H3" s="81"/>
    </row>
    <row r="4" spans="1:12" ht="15" customHeight="1" x14ac:dyDescent="0.35">
      <c r="A4" s="81" t="s">
        <v>2</v>
      </c>
      <c r="B4" s="81"/>
      <c r="C4" s="81"/>
      <c r="D4" s="81"/>
      <c r="E4" s="81" t="s">
        <v>172</v>
      </c>
      <c r="F4" s="81"/>
      <c r="G4" s="81"/>
      <c r="H4" s="81"/>
    </row>
    <row r="5" spans="1:12" x14ac:dyDescent="0.35">
      <c r="A5" s="81" t="s">
        <v>3</v>
      </c>
      <c r="B5" s="81"/>
      <c r="C5" s="81"/>
      <c r="D5" s="81"/>
      <c r="E5" s="148">
        <v>45905</v>
      </c>
      <c r="F5" s="149"/>
      <c r="G5" s="149"/>
      <c r="H5" s="149"/>
    </row>
    <row r="6" spans="1:12" ht="16.5" customHeight="1" x14ac:dyDescent="0.35">
      <c r="A6" s="81" t="s">
        <v>186</v>
      </c>
      <c r="B6" s="81"/>
      <c r="C6" s="81"/>
      <c r="D6" s="81"/>
      <c r="E6" s="81" t="s">
        <v>187</v>
      </c>
      <c r="F6" s="81"/>
      <c r="G6" s="81"/>
      <c r="H6" s="81"/>
    </row>
    <row r="7" spans="1:12" x14ac:dyDescent="0.35">
      <c r="A7" s="81" t="s">
        <v>4</v>
      </c>
      <c r="B7" s="81"/>
      <c r="C7" s="81"/>
      <c r="D7" s="81"/>
      <c r="E7" s="81" t="s">
        <v>185</v>
      </c>
      <c r="F7" s="81"/>
      <c r="G7" s="81"/>
      <c r="H7" s="81"/>
    </row>
    <row r="8" spans="1:12" x14ac:dyDescent="0.35">
      <c r="A8" s="81" t="s">
        <v>5</v>
      </c>
      <c r="B8" s="81"/>
      <c r="C8" s="81"/>
      <c r="D8" s="81"/>
      <c r="E8" s="106" t="s">
        <v>173</v>
      </c>
      <c r="F8" s="106"/>
      <c r="G8" s="106"/>
      <c r="H8" s="106"/>
    </row>
    <row r="9" spans="1:12" x14ac:dyDescent="0.35">
      <c r="A9" s="81" t="s">
        <v>170</v>
      </c>
      <c r="B9" s="81"/>
      <c r="C9" s="81"/>
      <c r="D9" s="81"/>
      <c r="E9" s="81" t="s">
        <v>243</v>
      </c>
      <c r="F9" s="81"/>
      <c r="G9" s="81"/>
      <c r="H9" s="81"/>
    </row>
    <row r="10" spans="1:12" x14ac:dyDescent="0.35">
      <c r="A10" s="81" t="s">
        <v>171</v>
      </c>
      <c r="B10" s="81"/>
      <c r="C10" s="81"/>
      <c r="D10" s="81"/>
      <c r="E10" s="81" t="s">
        <v>247</v>
      </c>
      <c r="F10" s="81"/>
      <c r="G10" s="81"/>
      <c r="H10" s="81"/>
      <c r="I10" s="20" t="s">
        <v>246</v>
      </c>
    </row>
    <row r="11" spans="1:12" ht="31.5" customHeight="1" x14ac:dyDescent="0.35">
      <c r="A11" s="81" t="s">
        <v>6</v>
      </c>
      <c r="B11" s="81"/>
      <c r="C11" s="81"/>
      <c r="D11" s="81"/>
      <c r="E11" s="92" t="s">
        <v>216</v>
      </c>
      <c r="F11" s="81"/>
      <c r="G11" s="81"/>
      <c r="H11" s="81"/>
      <c r="I11" s="81" t="s">
        <v>247</v>
      </c>
      <c r="J11" s="81"/>
      <c r="K11" s="81"/>
      <c r="L11" s="81"/>
    </row>
    <row r="12" spans="1:12" x14ac:dyDescent="0.35">
      <c r="A12" s="109" t="s">
        <v>7</v>
      </c>
      <c r="B12" s="109"/>
      <c r="C12" s="109"/>
      <c r="D12" s="109"/>
      <c r="E12" s="92" t="s">
        <v>214</v>
      </c>
      <c r="F12" s="92"/>
      <c r="G12" s="92"/>
      <c r="H12" s="92"/>
    </row>
    <row r="13" spans="1:12" x14ac:dyDescent="0.35">
      <c r="A13" s="109" t="s">
        <v>8</v>
      </c>
      <c r="B13" s="109"/>
      <c r="C13" s="109"/>
      <c r="D13" s="109"/>
      <c r="E13" s="150" t="s">
        <v>184</v>
      </c>
      <c r="F13" s="149"/>
      <c r="G13" s="149"/>
      <c r="H13" s="149"/>
    </row>
    <row r="14" spans="1:12" ht="31.5" customHeight="1" x14ac:dyDescent="0.35">
      <c r="A14" s="110" t="s">
        <v>9</v>
      </c>
      <c r="B14" s="110"/>
      <c r="C14" s="11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Foresta, Survey No.89PT, near Saint Xavier's High School , Saint Xavier's High School Road, Mandvi Pada, Kashi, Mira road (East), Thane, Thane - 400101.</v>
      </c>
      <c r="D14" s="110"/>
      <c r="E14" s="110"/>
      <c r="F14" s="110"/>
      <c r="G14" s="110"/>
      <c r="H14" s="110"/>
    </row>
    <row r="15" spans="1:12" x14ac:dyDescent="0.35">
      <c r="A15" s="150" t="s">
        <v>175</v>
      </c>
      <c r="B15" s="150"/>
      <c r="C15" s="150" t="s">
        <v>176</v>
      </c>
      <c r="D15" s="150"/>
      <c r="E15" s="150"/>
      <c r="F15" s="150"/>
      <c r="G15" s="150"/>
      <c r="H15" s="150"/>
    </row>
    <row r="16" spans="1:12" ht="15.75" customHeight="1" x14ac:dyDescent="0.35">
      <c r="A16" s="92" t="s">
        <v>165</v>
      </c>
      <c r="B16" s="92"/>
      <c r="C16" s="92" t="s">
        <v>188</v>
      </c>
      <c r="D16" s="92"/>
      <c r="E16" s="92"/>
      <c r="F16" s="92"/>
      <c r="G16" s="92"/>
      <c r="H16" s="92"/>
    </row>
    <row r="17" spans="1:8" ht="15.75" customHeight="1" x14ac:dyDescent="0.35">
      <c r="A17" s="110" t="s">
        <v>10</v>
      </c>
      <c r="B17" s="110"/>
      <c r="C17" s="81" t="s">
        <v>179</v>
      </c>
      <c r="D17" s="81"/>
      <c r="E17" s="110" t="s">
        <v>74</v>
      </c>
      <c r="F17" s="110"/>
      <c r="G17" s="92" t="s">
        <v>177</v>
      </c>
      <c r="H17" s="92"/>
    </row>
    <row r="18" spans="1:8" x14ac:dyDescent="0.35">
      <c r="A18" s="109" t="s">
        <v>12</v>
      </c>
      <c r="B18" s="109"/>
      <c r="C18" s="92" t="s">
        <v>190</v>
      </c>
      <c r="D18" s="92"/>
      <c r="E18" s="110" t="s">
        <v>11</v>
      </c>
      <c r="F18" s="110"/>
      <c r="G18" s="151" t="s">
        <v>178</v>
      </c>
      <c r="H18" s="151"/>
    </row>
    <row r="19" spans="1:8" x14ac:dyDescent="0.35">
      <c r="A19" s="109" t="s">
        <v>75</v>
      </c>
      <c r="B19" s="109"/>
      <c r="C19" s="92" t="s">
        <v>178</v>
      </c>
      <c r="D19" s="92"/>
      <c r="E19" s="110" t="s">
        <v>13</v>
      </c>
      <c r="F19" s="110"/>
      <c r="G19" s="92">
        <v>400101</v>
      </c>
      <c r="H19" s="92"/>
    </row>
    <row r="20" spans="1:8" ht="32.25" customHeight="1" x14ac:dyDescent="0.35">
      <c r="A20" s="109" t="s">
        <v>125</v>
      </c>
      <c r="B20" s="109"/>
      <c r="C20" s="92" t="s">
        <v>180</v>
      </c>
      <c r="D20" s="92"/>
      <c r="E20" s="110" t="s">
        <v>14</v>
      </c>
      <c r="F20" s="110"/>
      <c r="G20" s="92" t="s">
        <v>189</v>
      </c>
      <c r="H20" s="92"/>
    </row>
    <row r="21" spans="1:8" ht="15" customHeight="1" x14ac:dyDescent="0.35">
      <c r="A21" s="110" t="s">
        <v>78</v>
      </c>
      <c r="B21" s="110"/>
      <c r="C21" s="110"/>
      <c r="D21" s="110"/>
      <c r="E21" s="81" t="s">
        <v>15</v>
      </c>
      <c r="F21" s="81"/>
      <c r="G21" s="81"/>
      <c r="H21" s="81"/>
    </row>
    <row r="22" spans="1:8" ht="18.75" customHeight="1" x14ac:dyDescent="0.35">
      <c r="A22" s="110"/>
      <c r="B22" s="110"/>
      <c r="C22" s="110"/>
      <c r="D22" s="110"/>
      <c r="E22" s="81"/>
      <c r="F22" s="81"/>
      <c r="G22" s="81"/>
      <c r="H22" s="81"/>
    </row>
    <row r="23" spans="1:8" ht="15" customHeight="1" x14ac:dyDescent="0.35">
      <c r="A23" s="110" t="s">
        <v>16</v>
      </c>
      <c r="B23" s="110"/>
      <c r="C23" s="110"/>
      <c r="D23" s="110"/>
      <c r="E23" s="92" t="s">
        <v>17</v>
      </c>
      <c r="F23" s="92"/>
      <c r="G23" s="92"/>
      <c r="H23" s="92"/>
    </row>
    <row r="24" spans="1:8" ht="15" customHeight="1" x14ac:dyDescent="0.35">
      <c r="A24" s="109" t="s">
        <v>18</v>
      </c>
      <c r="B24" s="109"/>
      <c r="C24" s="109"/>
      <c r="D24" s="109"/>
      <c r="E24" s="92" t="str">
        <f>IF(AND(G18="Mumbai"),"Upper Class","Middle Class")</f>
        <v>Middle Class</v>
      </c>
      <c r="F24" s="92"/>
      <c r="G24" s="92"/>
      <c r="H24" s="92"/>
    </row>
    <row r="25" spans="1:8" x14ac:dyDescent="0.35">
      <c r="A25" s="109" t="s">
        <v>19</v>
      </c>
      <c r="B25" s="109"/>
      <c r="C25" s="109"/>
      <c r="D25" s="109"/>
      <c r="E25" s="92" t="s">
        <v>20</v>
      </c>
      <c r="F25" s="92"/>
      <c r="G25" s="92"/>
      <c r="H25" s="92"/>
    </row>
    <row r="26" spans="1:8" ht="15.75" customHeight="1" x14ac:dyDescent="0.35">
      <c r="A26" s="109" t="s">
        <v>21</v>
      </c>
      <c r="B26" s="109"/>
      <c r="C26" s="109"/>
      <c r="D26" s="109"/>
      <c r="E26" s="92" t="str">
        <f>IF(AND(G18="Mumbai"),"Developed","Developing")</f>
        <v>Developing</v>
      </c>
      <c r="F26" s="92"/>
      <c r="G26" s="92"/>
      <c r="H26" s="92"/>
    </row>
    <row r="27" spans="1:8" x14ac:dyDescent="0.35">
      <c r="A27" s="109" t="s">
        <v>22</v>
      </c>
      <c r="B27" s="109"/>
      <c r="C27" s="109"/>
      <c r="D27" s="109"/>
      <c r="E27" s="92" t="s">
        <v>23</v>
      </c>
      <c r="F27" s="92"/>
      <c r="G27" s="92"/>
      <c r="H27" s="92"/>
    </row>
    <row r="28" spans="1:8" ht="15.75" customHeight="1" x14ac:dyDescent="0.35">
      <c r="A28" s="109" t="s">
        <v>83</v>
      </c>
      <c r="B28" s="109"/>
      <c r="C28" s="109"/>
      <c r="D28" s="109"/>
      <c r="E28" s="92" t="s">
        <v>84</v>
      </c>
      <c r="F28" s="92"/>
      <c r="G28" s="92"/>
      <c r="H28" s="92"/>
    </row>
    <row r="29" spans="1:8" ht="15" customHeight="1" x14ac:dyDescent="0.35">
      <c r="A29" s="109" t="s">
        <v>32</v>
      </c>
      <c r="B29" s="109"/>
      <c r="C29" s="109"/>
      <c r="D29" s="109"/>
      <c r="E29" s="9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92"/>
      <c r="G29" s="92"/>
      <c r="H29" s="92"/>
    </row>
    <row r="30" spans="1:8" ht="15.75" customHeight="1" x14ac:dyDescent="0.35">
      <c r="A30" s="109" t="s">
        <v>95</v>
      </c>
      <c r="B30" s="109"/>
      <c r="C30" s="109"/>
      <c r="D30" s="109"/>
      <c r="E30" s="92" t="s">
        <v>33</v>
      </c>
      <c r="F30" s="92"/>
      <c r="G30" s="92"/>
      <c r="H30" s="92"/>
    </row>
    <row r="31" spans="1:8" s="21" customFormat="1" x14ac:dyDescent="0.35">
      <c r="A31" s="155" t="s">
        <v>96</v>
      </c>
      <c r="B31" s="155"/>
      <c r="C31" s="154" t="s">
        <v>28</v>
      </c>
      <c r="D31" s="154"/>
      <c r="E31" s="154"/>
      <c r="F31" s="154" t="s">
        <v>30</v>
      </c>
      <c r="G31" s="154"/>
      <c r="H31" s="154"/>
    </row>
    <row r="32" spans="1:8" s="21" customFormat="1" x14ac:dyDescent="0.35">
      <c r="A32" s="152" t="s">
        <v>24</v>
      </c>
      <c r="B32" s="152" t="s">
        <v>29</v>
      </c>
      <c r="C32" s="153" t="s">
        <v>29</v>
      </c>
      <c r="D32" s="153"/>
      <c r="E32" s="153"/>
      <c r="F32" s="153" t="s">
        <v>192</v>
      </c>
      <c r="G32" s="153"/>
      <c r="H32" s="153"/>
    </row>
    <row r="33" spans="1:8" x14ac:dyDescent="0.35">
      <c r="A33" s="152" t="s">
        <v>25</v>
      </c>
      <c r="B33" s="152" t="s">
        <v>29</v>
      </c>
      <c r="C33" s="153" t="s">
        <v>29</v>
      </c>
      <c r="D33" s="153"/>
      <c r="E33" s="153"/>
      <c r="F33" s="156" t="s">
        <v>191</v>
      </c>
      <c r="G33" s="153"/>
      <c r="H33" s="153"/>
    </row>
    <row r="34" spans="1:8" s="21" customFormat="1" x14ac:dyDescent="0.35">
      <c r="A34" s="152" t="s">
        <v>27</v>
      </c>
      <c r="B34" s="152" t="s">
        <v>29</v>
      </c>
      <c r="C34" s="153" t="s">
        <v>29</v>
      </c>
      <c r="D34" s="153"/>
      <c r="E34" s="153"/>
      <c r="F34" s="153" t="s">
        <v>179</v>
      </c>
      <c r="G34" s="153"/>
      <c r="H34" s="153"/>
    </row>
    <row r="35" spans="1:8" x14ac:dyDescent="0.35">
      <c r="A35" s="152" t="s">
        <v>26</v>
      </c>
      <c r="B35" s="152" t="s">
        <v>29</v>
      </c>
      <c r="C35" s="153" t="s">
        <v>29</v>
      </c>
      <c r="D35" s="153"/>
      <c r="E35" s="153"/>
      <c r="F35" s="153" t="s">
        <v>182</v>
      </c>
      <c r="G35" s="153"/>
      <c r="H35" s="153"/>
    </row>
    <row r="36" spans="1:8" x14ac:dyDescent="0.35">
      <c r="A36" s="109" t="s">
        <v>31</v>
      </c>
      <c r="B36" s="109"/>
      <c r="C36" s="109"/>
      <c r="D36" s="109"/>
      <c r="E36" s="109"/>
      <c r="F36" s="109"/>
      <c r="G36" s="109"/>
      <c r="H36" s="109"/>
    </row>
    <row r="37" spans="1:8" ht="15.75" customHeight="1" x14ac:dyDescent="0.35">
      <c r="A37" s="109" t="s">
        <v>168</v>
      </c>
      <c r="B37" s="109"/>
      <c r="C37" s="160" t="s">
        <v>193</v>
      </c>
      <c r="D37" s="160"/>
      <c r="E37" s="160"/>
      <c r="F37" s="160"/>
      <c r="G37" s="160"/>
      <c r="H37" s="160"/>
    </row>
    <row r="38" spans="1:8" x14ac:dyDescent="0.35">
      <c r="A38" s="109" t="s">
        <v>164</v>
      </c>
      <c r="B38" s="109"/>
      <c r="C38" s="167" t="s">
        <v>181</v>
      </c>
      <c r="D38" s="92"/>
      <c r="E38" s="92"/>
      <c r="F38" s="92"/>
      <c r="G38" s="92"/>
      <c r="H38" s="92"/>
    </row>
    <row r="39" spans="1:8" x14ac:dyDescent="0.35">
      <c r="A39" s="160" t="s">
        <v>34</v>
      </c>
      <c r="B39" s="160"/>
      <c r="C39" s="160"/>
      <c r="D39" s="160"/>
      <c r="E39" s="160"/>
      <c r="F39" s="160"/>
      <c r="G39" s="160"/>
      <c r="H39" s="160"/>
    </row>
    <row r="40" spans="1:8" x14ac:dyDescent="0.35">
      <c r="A40" s="109" t="s">
        <v>35</v>
      </c>
      <c r="B40" s="109"/>
      <c r="C40" s="109"/>
      <c r="D40" s="109"/>
      <c r="E40" s="171">
        <v>2170.0700000000002</v>
      </c>
      <c r="F40" s="171"/>
      <c r="G40" s="171"/>
      <c r="H40" s="171"/>
    </row>
    <row r="41" spans="1:8" x14ac:dyDescent="0.35">
      <c r="A41" s="109" t="s">
        <v>36</v>
      </c>
      <c r="B41" s="109"/>
      <c r="C41" s="109"/>
      <c r="D41" s="109"/>
      <c r="E41" s="158">
        <v>1.1000000000000001</v>
      </c>
      <c r="F41" s="158"/>
      <c r="G41" s="158"/>
      <c r="H41" s="158"/>
    </row>
    <row r="42" spans="1:8" x14ac:dyDescent="0.35">
      <c r="A42" s="109" t="s">
        <v>37</v>
      </c>
      <c r="B42" s="109"/>
      <c r="C42" s="109"/>
      <c r="D42" s="109"/>
      <c r="E42" s="158">
        <f>E44/E40-E41</f>
        <v>2.451996018561613</v>
      </c>
      <c r="F42" s="158"/>
      <c r="G42" s="158"/>
      <c r="H42" s="158"/>
    </row>
    <row r="43" spans="1:8" x14ac:dyDescent="0.35">
      <c r="A43" s="109" t="s">
        <v>38</v>
      </c>
      <c r="B43" s="109"/>
      <c r="C43" s="109"/>
      <c r="D43" s="109"/>
      <c r="E43" s="158">
        <f>E41+E42</f>
        <v>3.5519960185616131</v>
      </c>
      <c r="F43" s="158"/>
      <c r="G43" s="158"/>
      <c r="H43" s="158"/>
    </row>
    <row r="44" spans="1:8" x14ac:dyDescent="0.35">
      <c r="A44" s="109" t="s">
        <v>94</v>
      </c>
      <c r="B44" s="109"/>
      <c r="C44" s="109"/>
      <c r="D44" s="109"/>
      <c r="E44" s="159">
        <v>7708.08</v>
      </c>
      <c r="F44" s="159"/>
      <c r="G44" s="159"/>
      <c r="H44" s="159"/>
    </row>
    <row r="45" spans="1:8" x14ac:dyDescent="0.35">
      <c r="A45" s="81" t="s">
        <v>39</v>
      </c>
      <c r="B45" s="81"/>
      <c r="C45" s="81"/>
      <c r="D45" s="81"/>
      <c r="E45" s="81" t="s">
        <v>174</v>
      </c>
      <c r="F45" s="81"/>
      <c r="G45" s="81"/>
      <c r="H45" s="81"/>
    </row>
    <row r="46" spans="1:8" x14ac:dyDescent="0.35">
      <c r="A46" s="160" t="s">
        <v>40</v>
      </c>
      <c r="B46" s="160"/>
      <c r="C46" s="160"/>
      <c r="D46" s="160"/>
      <c r="E46" s="160"/>
      <c r="F46" s="160"/>
      <c r="G46" s="160"/>
      <c r="H46" s="160"/>
    </row>
    <row r="47" spans="1:8" ht="33.75" customHeight="1" x14ac:dyDescent="0.35">
      <c r="A47" s="95" t="s">
        <v>154</v>
      </c>
      <c r="B47" s="97"/>
      <c r="C47" s="168" t="s">
        <v>183</v>
      </c>
      <c r="D47" s="169"/>
      <c r="E47" s="169"/>
      <c r="F47" s="169"/>
      <c r="G47" s="169"/>
      <c r="H47" s="170"/>
    </row>
    <row r="48" spans="1:8" ht="15.75" customHeight="1" x14ac:dyDescent="0.35">
      <c r="A48" s="95" t="s">
        <v>41</v>
      </c>
      <c r="B48" s="97"/>
      <c r="C48" s="95" t="s">
        <v>195</v>
      </c>
      <c r="D48" s="96"/>
      <c r="E48" s="97"/>
      <c r="F48" s="18" t="s">
        <v>42</v>
      </c>
      <c r="G48" s="162">
        <v>45043</v>
      </c>
      <c r="H48" s="97"/>
    </row>
    <row r="49" spans="1:14" x14ac:dyDescent="0.35">
      <c r="A49" s="95" t="s">
        <v>43</v>
      </c>
      <c r="B49" s="97"/>
      <c r="C49" s="95" t="str">
        <f>C48</f>
        <v>MBMNP/NR/348/2023-24</v>
      </c>
      <c r="D49" s="96"/>
      <c r="E49" s="97"/>
      <c r="F49" s="18" t="s">
        <v>42</v>
      </c>
      <c r="G49" s="162">
        <f>G48</f>
        <v>45043</v>
      </c>
      <c r="H49" s="97"/>
    </row>
    <row r="50" spans="1:14" s="22" customFormat="1" ht="15.75" customHeight="1" x14ac:dyDescent="0.35">
      <c r="A50" s="163" t="s">
        <v>158</v>
      </c>
      <c r="B50" s="164"/>
      <c r="C50" s="95" t="s">
        <v>196</v>
      </c>
      <c r="D50" s="96"/>
      <c r="E50" s="97"/>
      <c r="F50" s="18" t="s">
        <v>42</v>
      </c>
      <c r="G50" s="162">
        <f>G49</f>
        <v>45043</v>
      </c>
      <c r="H50" s="97"/>
    </row>
    <row r="51" spans="1:14" s="22" customFormat="1" ht="33.75" customHeight="1" x14ac:dyDescent="0.35">
      <c r="A51" s="165"/>
      <c r="B51" s="166"/>
      <c r="C51" s="95" t="s">
        <v>217</v>
      </c>
      <c r="D51" s="96"/>
      <c r="E51" s="96"/>
      <c r="F51" s="96"/>
      <c r="G51" s="96"/>
      <c r="H51" s="97"/>
    </row>
    <row r="52" spans="1:14" ht="33" customHeight="1" x14ac:dyDescent="0.35">
      <c r="A52" s="175" t="s">
        <v>44</v>
      </c>
      <c r="B52" s="176"/>
      <c r="C52" s="175" t="s">
        <v>107</v>
      </c>
      <c r="D52" s="177"/>
      <c r="E52" s="176"/>
      <c r="F52" s="44" t="s">
        <v>42</v>
      </c>
      <c r="G52" s="93" t="s">
        <v>29</v>
      </c>
      <c r="H52" s="94"/>
    </row>
    <row r="53" spans="1:14" x14ac:dyDescent="0.35">
      <c r="A53" s="118" t="s">
        <v>46</v>
      </c>
      <c r="B53" s="118"/>
      <c r="C53" s="118"/>
      <c r="D53" s="118"/>
      <c r="E53" s="118"/>
      <c r="F53" s="118"/>
      <c r="G53" s="118"/>
      <c r="H53" s="118"/>
    </row>
    <row r="54" spans="1:14" x14ac:dyDescent="0.35">
      <c r="A54" s="110" t="s">
        <v>93</v>
      </c>
      <c r="B54" s="110"/>
      <c r="C54" s="110"/>
      <c r="D54" s="109">
        <f>E44</f>
        <v>7708.08</v>
      </c>
      <c r="E54" s="109"/>
      <c r="F54" s="109"/>
      <c r="G54" s="109"/>
      <c r="H54" s="109"/>
    </row>
    <row r="55" spans="1:14" x14ac:dyDescent="0.35">
      <c r="A55" s="92" t="s">
        <v>47</v>
      </c>
      <c r="B55" s="81"/>
      <c r="C55" s="81"/>
      <c r="D55" s="81" t="s">
        <v>222</v>
      </c>
      <c r="E55" s="81"/>
      <c r="F55" s="81"/>
      <c r="G55" s="81"/>
      <c r="H55" s="81"/>
      <c r="I55" s="23"/>
    </row>
    <row r="56" spans="1:14" ht="33" customHeight="1" x14ac:dyDescent="0.35">
      <c r="A56" s="98" t="s">
        <v>48</v>
      </c>
      <c r="B56" s="99"/>
      <c r="C56" s="100"/>
      <c r="D56" s="137" t="s">
        <v>217</v>
      </c>
      <c r="E56" s="161"/>
      <c r="F56" s="161"/>
      <c r="G56" s="161"/>
      <c r="H56" s="161"/>
    </row>
    <row r="57" spans="1:14" ht="15.75" customHeight="1" x14ac:dyDescent="0.35">
      <c r="A57" s="98" t="s">
        <v>91</v>
      </c>
      <c r="B57" s="99"/>
      <c r="C57" s="99"/>
      <c r="D57" s="98" t="s">
        <v>218</v>
      </c>
      <c r="E57" s="99"/>
      <c r="F57" s="99"/>
      <c r="G57" s="99"/>
      <c r="H57" s="100"/>
    </row>
    <row r="58" spans="1:14" x14ac:dyDescent="0.35">
      <c r="A58" s="173"/>
      <c r="B58" s="174"/>
      <c r="C58" s="174"/>
      <c r="D58" s="101" t="s">
        <v>219</v>
      </c>
      <c r="E58" s="102"/>
      <c r="F58" s="102"/>
      <c r="G58" s="102"/>
      <c r="H58" s="103"/>
    </row>
    <row r="59" spans="1:14" ht="15.75" customHeight="1" x14ac:dyDescent="0.35">
      <c r="A59" s="109" t="s">
        <v>45</v>
      </c>
      <c r="B59" s="109"/>
      <c r="C59" s="109"/>
      <c r="D59" s="172" t="s">
        <v>245</v>
      </c>
      <c r="E59" s="172"/>
      <c r="F59" s="172"/>
      <c r="G59" s="172"/>
      <c r="H59" s="172"/>
      <c r="J59" s="24"/>
      <c r="K59" s="23"/>
      <c r="N59" s="23"/>
    </row>
    <row r="60" spans="1:14" ht="15.75" customHeight="1" x14ac:dyDescent="0.35">
      <c r="A60" s="109" t="s">
        <v>89</v>
      </c>
      <c r="B60" s="109"/>
      <c r="C60" s="109"/>
      <c r="D60" s="157" t="str">
        <f>(IF(G52="NA","60 Years After Completion",IF(G52&lt;&gt;"NA",""&amp;60-ROUNDDOWN((E3-G52)/360,0)&amp;" Years"," ")))</f>
        <v>60 Years After Completion</v>
      </c>
      <c r="E60" s="157"/>
      <c r="F60" s="157"/>
      <c r="G60" s="157"/>
      <c r="H60" s="157"/>
      <c r="N60" s="23"/>
    </row>
    <row r="61" spans="1:14" ht="15.75" customHeight="1" x14ac:dyDescent="0.35">
      <c r="A61" s="109" t="s">
        <v>90</v>
      </c>
      <c r="B61" s="109"/>
      <c r="C61" s="109"/>
      <c r="D61" s="110" t="s">
        <v>23</v>
      </c>
      <c r="E61" s="110"/>
      <c r="F61" s="110"/>
      <c r="G61" s="110"/>
      <c r="H61" s="110"/>
      <c r="J61" s="25"/>
      <c r="K61" s="25"/>
    </row>
    <row r="62" spans="1:14" ht="33" customHeight="1" x14ac:dyDescent="0.35">
      <c r="A62" s="109" t="s">
        <v>76</v>
      </c>
      <c r="B62" s="109"/>
      <c r="C62" s="109"/>
      <c r="D62" s="92" t="s">
        <v>194</v>
      </c>
      <c r="E62" s="110"/>
      <c r="F62" s="110"/>
      <c r="G62" s="110"/>
      <c r="H62" s="110"/>
    </row>
    <row r="63" spans="1:14" x14ac:dyDescent="0.35">
      <c r="A63" s="110" t="s">
        <v>151</v>
      </c>
      <c r="B63" s="110"/>
      <c r="C63" s="110"/>
      <c r="D63" s="110" t="s">
        <v>29</v>
      </c>
      <c r="E63" s="110"/>
      <c r="F63" s="110"/>
      <c r="G63" s="110"/>
      <c r="H63" s="110"/>
      <c r="I63" s="26"/>
      <c r="J63" s="26"/>
      <c r="K63" s="26"/>
      <c r="L63" s="26"/>
      <c r="M63" s="26"/>
      <c r="N63" s="26"/>
    </row>
    <row r="64" spans="1:14" ht="15.75" customHeight="1" x14ac:dyDescent="0.35">
      <c r="A64" s="136" t="s">
        <v>88</v>
      </c>
      <c r="B64" s="136"/>
      <c r="C64" s="136"/>
      <c r="D64" s="137" t="str">
        <f ca="1">(IF(G70&gt;95%,"Nothing",IF(G70&gt;0%,"Cement, Aggregate, Steel, etc",IF(G70=0%,"Work not yet Started"))))</f>
        <v>Cement, Aggregate, Steel, etc</v>
      </c>
      <c r="E64" s="137"/>
      <c r="F64" s="137"/>
      <c r="G64" s="137"/>
      <c r="H64" s="137"/>
      <c r="J64" s="25"/>
    </row>
    <row r="65" spans="1:10" ht="33.75" customHeight="1" thickBot="1" x14ac:dyDescent="0.4">
      <c r="A65" s="111" t="s">
        <v>120</v>
      </c>
      <c r="B65" s="111"/>
      <c r="C65" s="111"/>
      <c r="D65" s="137" t="str">
        <f ca="1">(IF(D64="Nothing","Yes",IF(D64="Cement, Aggregate, Steel, etc","Under Construction",IF(D64="Work not yet Started","Work not yet Started"))))</f>
        <v>Under Construction</v>
      </c>
      <c r="E65" s="137"/>
      <c r="F65" s="137" t="str">
        <f ca="1">(IF(D64="Nothing","Yes",IF(D64="Cement, Aggregate, Steel, etc","Under Construction",IF(D64="Work not yet Started","Work not yet Started"))))</f>
        <v>Under Construction</v>
      </c>
      <c r="G65" s="137"/>
      <c r="H65" s="137"/>
    </row>
    <row r="66" spans="1:10" ht="31.5" customHeight="1" x14ac:dyDescent="0.35">
      <c r="A66" s="82" t="s">
        <v>143</v>
      </c>
      <c r="B66" s="83"/>
      <c r="C66" s="84" t="s">
        <v>248</v>
      </c>
      <c r="D66" s="85"/>
      <c r="E66" s="85"/>
      <c r="F66" s="85"/>
      <c r="G66" s="85"/>
      <c r="H66" s="86"/>
      <c r="I66" s="48" t="str">
        <f ca="1">IF(D79=100%,"All work Completed. Possession granted to the Building.",IF(D78=100%,"All work Completed, Waiting for OC",I67&amp;""&amp;I68&amp;""&amp;J67&amp;""&amp;J66&amp;" "&amp;J68))</f>
        <v>Excavation, Plinth Completed, RCC upto 6 Slab, Brickwork upto 2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6 Slab, Brickwork upto 2 Floor</v>
      </c>
    </row>
    <row r="67" spans="1:10" x14ac:dyDescent="0.35">
      <c r="A67" s="16" t="s">
        <v>145</v>
      </c>
      <c r="B67" s="52">
        <f>IF(AND(ISNUMBER(SEARCH("1B",C66))),1,IF(AND(ISNUMBER(SEARCH("2B",C66))),2,IF(AND(ISNUMBER(SEARCH("3B",C66))),3,IF(AND(ISNUMBER(SEARCH("4B",C66))),4,IF(ISNUMBER(SEARCH("5B",C66)),5,0)))))</f>
        <v>0</v>
      </c>
      <c r="C67" s="46" t="s">
        <v>73</v>
      </c>
      <c r="D67" s="46">
        <v>1</v>
      </c>
      <c r="E67" s="46" t="s">
        <v>72</v>
      </c>
      <c r="F67" s="57">
        <v>0</v>
      </c>
      <c r="G67" s="47" t="s">
        <v>82</v>
      </c>
      <c r="H67" s="17">
        <f ca="1">--TRIM(RIGHT(SUBSTITUTE(LEFT(C66,_xlfn.AGGREGATE(16,6,FIND({0,1,2,3,4,5,6,7,8,9},C66,ROW(INDIRECT("1:"&amp;LEN(C66)))),1))," ",REPT(" ",LEN(C66))),LEN(C66)))</f>
        <v>24</v>
      </c>
      <c r="I67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35">
      <c r="A68" s="145" t="s">
        <v>92</v>
      </c>
      <c r="B68" s="106"/>
      <c r="C68" s="107" t="str">
        <f ca="1">I66</f>
        <v>Excavation, Plinth Completed, RCC upto 6 Slab, Brickwork upto 2 Floor Completed</v>
      </c>
      <c r="D68" s="107"/>
      <c r="E68" s="107"/>
      <c r="F68" s="107"/>
      <c r="G68" s="107"/>
      <c r="H68" s="108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35">
      <c r="A69" s="87" t="s">
        <v>49</v>
      </c>
      <c r="B69" s="88"/>
      <c r="C69" s="43" t="s">
        <v>142</v>
      </c>
      <c r="D69" s="43" t="s">
        <v>85</v>
      </c>
      <c r="E69" s="88" t="s">
        <v>87</v>
      </c>
      <c r="F69" s="88"/>
      <c r="G69" s="88" t="s">
        <v>86</v>
      </c>
      <c r="H69" s="138"/>
      <c r="I69" s="14" t="s">
        <v>144</v>
      </c>
      <c r="J69" s="27">
        <f ca="1">H67*25%</f>
        <v>6</v>
      </c>
    </row>
    <row r="70" spans="1:10" x14ac:dyDescent="0.35">
      <c r="A70" s="88" t="s">
        <v>131</v>
      </c>
      <c r="B70" s="88"/>
      <c r="C70" s="79">
        <f ca="1">J71</f>
        <v>24</v>
      </c>
      <c r="D70" s="19">
        <f ca="1">((100/H67)*C70)/100</f>
        <v>1</v>
      </c>
      <c r="E70" s="211">
        <f ca="1">(((C71/H67*10)+(40/(D67+F67+H67)*C72)+(7.5/(H67)*C73)+(7.5/(H67)*C74)+(10/H67*C75)+(10/H67*C76)+(5/H67*C77)+(5/H67*C78)+(5/H67*C79))/100)</f>
        <v>0.20225000000000001</v>
      </c>
      <c r="F70" s="211"/>
      <c r="G70" s="211">
        <f ca="1">((((C70/H67)*20)+((C71/H67)*25)+(30/(H67+F67+D67)*C72)+(5/H67*C73)+(5/H67*C74)+(5/H67*C75)+(5/H67*C76)+(0/H67*C77)+(0/H67*C78)+(5/H67*C79))/100)</f>
        <v>0.52616666666666667</v>
      </c>
      <c r="H70" s="211"/>
      <c r="I70" s="14" t="s">
        <v>102</v>
      </c>
      <c r="J70" s="28">
        <f ca="1">H67*50%</f>
        <v>12</v>
      </c>
    </row>
    <row r="71" spans="1:10" x14ac:dyDescent="0.35">
      <c r="A71" s="88" t="s">
        <v>50</v>
      </c>
      <c r="B71" s="88"/>
      <c r="C71" s="79">
        <f ca="1">J79</f>
        <v>24</v>
      </c>
      <c r="D71" s="19">
        <f ca="1">((100/H67)*C71)/100</f>
        <v>1</v>
      </c>
      <c r="E71" s="211"/>
      <c r="F71" s="211"/>
      <c r="G71" s="211"/>
      <c r="H71" s="211"/>
      <c r="I71" s="14" t="s">
        <v>103</v>
      </c>
      <c r="J71" s="28">
        <f ca="1">H67</f>
        <v>24</v>
      </c>
    </row>
    <row r="72" spans="1:10" ht="15.75" customHeight="1" x14ac:dyDescent="0.35">
      <c r="A72" s="88" t="s">
        <v>132</v>
      </c>
      <c r="B72" s="88"/>
      <c r="C72" s="79">
        <v>6</v>
      </c>
      <c r="D72" s="19">
        <f ca="1">((100/(D67+F67+H67))*C72)/100</f>
        <v>0.24</v>
      </c>
      <c r="E72" s="211"/>
      <c r="F72" s="211"/>
      <c r="G72" s="211"/>
      <c r="H72" s="211"/>
      <c r="I72" s="14" t="s">
        <v>104</v>
      </c>
      <c r="J72" s="29">
        <f ca="1">(IF(B67&gt;1,(H67/(B67+2)),H67/4))</f>
        <v>6</v>
      </c>
    </row>
    <row r="73" spans="1:10" ht="15.75" customHeight="1" x14ac:dyDescent="0.35">
      <c r="A73" s="88" t="s">
        <v>139</v>
      </c>
      <c r="B73" s="88" t="s">
        <v>133</v>
      </c>
      <c r="C73" s="79">
        <v>2</v>
      </c>
      <c r="D73" s="19">
        <f ca="1">((100/H67)*C73)/100</f>
        <v>8.3333333333333343E-2</v>
      </c>
      <c r="E73" s="211"/>
      <c r="F73" s="211"/>
      <c r="G73" s="211"/>
      <c r="H73" s="211"/>
      <c r="I73" s="14" t="s">
        <v>105</v>
      </c>
      <c r="J73" s="29">
        <f ca="1">(IF(B67&gt;1,(H67/(B67+2)+J72),H67/4+J72))</f>
        <v>12</v>
      </c>
    </row>
    <row r="74" spans="1:10" ht="15.75" customHeight="1" x14ac:dyDescent="0.35">
      <c r="A74" s="88" t="s">
        <v>140</v>
      </c>
      <c r="B74" s="88" t="s">
        <v>133</v>
      </c>
      <c r="C74" s="79">
        <v>0</v>
      </c>
      <c r="D74" s="19">
        <f ca="1">((100/H67)*C74)/100</f>
        <v>0</v>
      </c>
      <c r="E74" s="211"/>
      <c r="F74" s="211"/>
      <c r="G74" s="211"/>
      <c r="H74" s="211"/>
      <c r="I74" s="14" t="s">
        <v>149</v>
      </c>
      <c r="J74" s="29">
        <f>(IF(B67&gt;1,(H67/(B67+2)+J73),0))</f>
        <v>0</v>
      </c>
    </row>
    <row r="75" spans="1:10" ht="15" customHeight="1" x14ac:dyDescent="0.35">
      <c r="A75" s="88" t="s">
        <v>138</v>
      </c>
      <c r="B75" s="88" t="s">
        <v>135</v>
      </c>
      <c r="C75" s="79">
        <v>0</v>
      </c>
      <c r="D75" s="19">
        <f ca="1">((100/(H67))*C75)/100</f>
        <v>0</v>
      </c>
      <c r="E75" s="211"/>
      <c r="F75" s="211"/>
      <c r="G75" s="211"/>
      <c r="H75" s="211"/>
      <c r="I75" s="14" t="s">
        <v>146</v>
      </c>
      <c r="J75" s="29">
        <f>(IF(B67&gt;2,(H67/(B67+2)+J74),0))</f>
        <v>0</v>
      </c>
    </row>
    <row r="76" spans="1:10" ht="15.75" customHeight="1" x14ac:dyDescent="0.35">
      <c r="A76" s="88" t="s">
        <v>134</v>
      </c>
      <c r="B76" s="88" t="s">
        <v>134</v>
      </c>
      <c r="C76" s="79">
        <v>0</v>
      </c>
      <c r="D76" s="19">
        <f ca="1">((100/H67)*C76)/100</f>
        <v>0</v>
      </c>
      <c r="E76" s="211"/>
      <c r="F76" s="211"/>
      <c r="G76" s="211"/>
      <c r="H76" s="211"/>
      <c r="I76" s="14" t="s">
        <v>147</v>
      </c>
      <c r="J76" s="30">
        <f>(IF(B67&gt;3,(H67/(B67+2)+J75),0))</f>
        <v>0</v>
      </c>
    </row>
    <row r="77" spans="1:10" ht="15.75" customHeight="1" x14ac:dyDescent="0.35">
      <c r="A77" s="88" t="s">
        <v>141</v>
      </c>
      <c r="B77" s="88"/>
      <c r="C77" s="79">
        <v>0</v>
      </c>
      <c r="D77" s="19">
        <f ca="1">((100/H67)*C77)/100</f>
        <v>0</v>
      </c>
      <c r="E77" s="211"/>
      <c r="F77" s="211"/>
      <c r="G77" s="211"/>
      <c r="H77" s="211"/>
      <c r="I77" s="14" t="s">
        <v>148</v>
      </c>
      <c r="J77" s="29">
        <f>(IF(B67&gt;4,(H67/(B67+2)+J76),0))</f>
        <v>0</v>
      </c>
    </row>
    <row r="78" spans="1:10" ht="15.75" customHeight="1" x14ac:dyDescent="0.35">
      <c r="A78" s="88" t="s">
        <v>136</v>
      </c>
      <c r="B78" s="88" t="s">
        <v>136</v>
      </c>
      <c r="C78" s="79">
        <v>0</v>
      </c>
      <c r="D78" s="19">
        <f ca="1">((100/(H67))*C78)/100</f>
        <v>0</v>
      </c>
      <c r="E78" s="211"/>
      <c r="F78" s="211"/>
      <c r="G78" s="211"/>
      <c r="H78" s="211"/>
      <c r="I78" s="14" t="s">
        <v>150</v>
      </c>
      <c r="J78" s="29">
        <f ca="1">(IF(B67=1,(H67/(B67+3)+J73),IF(B67=0,(H67/4+J73),IF(B67&gt;1,0))))</f>
        <v>18</v>
      </c>
    </row>
    <row r="79" spans="1:10" ht="16" thickBot="1" x14ac:dyDescent="0.4">
      <c r="A79" s="88" t="s">
        <v>137</v>
      </c>
      <c r="B79" s="88"/>
      <c r="C79" s="79">
        <v>0</v>
      </c>
      <c r="D79" s="19">
        <f ca="1">((100/(H67))*C79)/100</f>
        <v>0</v>
      </c>
      <c r="E79" s="211"/>
      <c r="F79" s="211"/>
      <c r="G79" s="211"/>
      <c r="H79" s="211"/>
      <c r="I79" s="15" t="s">
        <v>106</v>
      </c>
      <c r="J79" s="31">
        <f ca="1">(IF(B67&gt;1.5,(H67/(B67+2)+J73+MAX(0,J74-J73)+MAX(0,J75-J74)+MAX(0,J76-J75)+MAX(0,J77-J76)+MAX(0,J78-J77)),IF(B67=1,(H67/(B67+3)+J78),IF(B67=0,H67/4+J78))))</f>
        <v>24</v>
      </c>
    </row>
    <row r="80" spans="1:10" ht="15.75" hidden="1" customHeight="1" x14ac:dyDescent="0.35">
      <c r="A80" s="212" t="s">
        <v>143</v>
      </c>
      <c r="B80" s="212"/>
      <c r="C80" s="212" t="str">
        <f>D58</f>
        <v>Building No.2 (Wing B2 + C) = G + 1st to 24th Floor</v>
      </c>
      <c r="D80" s="212"/>
      <c r="E80" s="212"/>
      <c r="F80" s="212"/>
      <c r="G80" s="212"/>
      <c r="H80" s="212"/>
      <c r="I80" s="209" t="str">
        <f ca="1">IF(D93=100%,"All work Completed. Possession granted to the Building.",IF(D92=100%,"All work Completed, Waiting for OC",I81&amp;""&amp;I82&amp;""&amp;J81&amp;""&amp;J80&amp;" "&amp;J82))</f>
        <v>Excavation, Plinth Completed, RCC upto 5 Slab, Brickwork upto 2 Floor Completed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5 Slab, Brickwork upto 2 Floor</v>
      </c>
    </row>
    <row r="81" spans="1:10" hidden="1" x14ac:dyDescent="0.35">
      <c r="A81" s="80" t="s">
        <v>145</v>
      </c>
      <c r="B81" s="80">
        <f>IF(AND(ISNUMBER(SEARCH("1B",C80))),1,IF(AND(ISNUMBER(SEARCH("2B",C80))),2,IF(AND(ISNUMBER(SEARCH("3B",C80))),3,IF(AND(ISNUMBER(SEARCH("4B",C80))),4,IF(ISNUMBER(SEARCH("5B",C80)),5,0)))))</f>
        <v>0</v>
      </c>
      <c r="C81" s="80" t="s">
        <v>73</v>
      </c>
      <c r="D81" s="80">
        <v>1</v>
      </c>
      <c r="E81" s="80" t="s">
        <v>72</v>
      </c>
      <c r="F81" s="80">
        <v>0</v>
      </c>
      <c r="G81" s="47" t="s">
        <v>82</v>
      </c>
      <c r="H81" s="80">
        <f ca="1">--TRIM(RIGHT(SUBSTITUTE(LEFT(C80,_xlfn.AGGREGATE(16,6,FIND({0,1,2,3,4,5,6,7,8,9},C80,ROW(INDIRECT("1:"&amp;LEN(C80)))),1))," ",REPT(" ",LEN(C80))),LEN(C80)))</f>
        <v>24</v>
      </c>
      <c r="I81" s="21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idden="1" x14ac:dyDescent="0.35">
      <c r="A82" s="106" t="s">
        <v>92</v>
      </c>
      <c r="B82" s="106"/>
      <c r="C82" s="107" t="str">
        <f ca="1">(IF($G$52="NA",I80,"All work Completed. OC Received."))</f>
        <v>Excavation, Plinth Completed, RCC upto 5 Slab, Brickwork upto 2 Floor Completed</v>
      </c>
      <c r="D82" s="107"/>
      <c r="E82" s="107"/>
      <c r="F82" s="107"/>
      <c r="G82" s="107"/>
      <c r="H82" s="107"/>
      <c r="I82" s="210" t="str">
        <f ca="1">IF(I81&lt;&gt;""," Completed","")</f>
        <v xml:space="preserve"> Completed</v>
      </c>
      <c r="J82" s="51" t="str">
        <f ca="1">IF(J80&lt;&gt;"","Completed","")</f>
        <v>Completed</v>
      </c>
    </row>
    <row r="83" spans="1:10" ht="15.75" hidden="1" customHeight="1" x14ac:dyDescent="0.35">
      <c r="A83" s="88" t="s">
        <v>49</v>
      </c>
      <c r="B83" s="88"/>
      <c r="C83" s="79" t="s">
        <v>142</v>
      </c>
      <c r="D83" s="79" t="s">
        <v>85</v>
      </c>
      <c r="E83" s="88" t="s">
        <v>87</v>
      </c>
      <c r="F83" s="88"/>
      <c r="G83" s="88" t="s">
        <v>86</v>
      </c>
      <c r="H83" s="88"/>
      <c r="I83" s="14" t="s">
        <v>144</v>
      </c>
      <c r="J83" s="27">
        <f ca="1">H81*25%</f>
        <v>6</v>
      </c>
    </row>
    <row r="84" spans="1:10" hidden="1" x14ac:dyDescent="0.35">
      <c r="A84" s="88" t="s">
        <v>131</v>
      </c>
      <c r="B84" s="88"/>
      <c r="C84" s="79">
        <f ca="1">J85</f>
        <v>24</v>
      </c>
      <c r="D84" s="19">
        <f ca="1">((100/H81)*C84)/100</f>
        <v>1</v>
      </c>
      <c r="E84" s="211">
        <f ca="1">(((C85/H81*10)+(40/(D81+F81+H81)*C86)+(7.5/(H81)*C87)+(7.5/(H81)*C88)+(10/H81*C89)+(10/H81*C90)+(5/H81*C91)+(5/H81*C92)+(5/H81*C93))/100)</f>
        <v>0.18625</v>
      </c>
      <c r="F84" s="211"/>
      <c r="G84" s="211">
        <f ca="1">((((C84/H81)*20)+((C85/H81)*25)+(30/(H81+F81+D81)*C86)+(5/H81*C87)+(5/H81*C88)+(5/H81*C89)+(5/H81*C90)+(0/H81*C91)+(0/H81*C92)+(5/H81*C93))/100)</f>
        <v>0.51416666666666666</v>
      </c>
      <c r="H84" s="211"/>
      <c r="I84" s="14" t="s">
        <v>102</v>
      </c>
      <c r="J84" s="28">
        <f ca="1">H81*50%</f>
        <v>12</v>
      </c>
    </row>
    <row r="85" spans="1:10" hidden="1" x14ac:dyDescent="0.35">
      <c r="A85" s="88" t="s">
        <v>50</v>
      </c>
      <c r="B85" s="88"/>
      <c r="C85" s="53">
        <f ca="1">J93</f>
        <v>24</v>
      </c>
      <c r="D85" s="19">
        <f ca="1">((100/H81)*C85)/100</f>
        <v>1</v>
      </c>
      <c r="E85" s="211"/>
      <c r="F85" s="211"/>
      <c r="G85" s="211"/>
      <c r="H85" s="211"/>
      <c r="I85" s="14" t="s">
        <v>103</v>
      </c>
      <c r="J85" s="28">
        <f ca="1">H81</f>
        <v>24</v>
      </c>
    </row>
    <row r="86" spans="1:10" ht="15.75" hidden="1" customHeight="1" x14ac:dyDescent="0.35">
      <c r="A86" s="88" t="s">
        <v>132</v>
      </c>
      <c r="B86" s="88"/>
      <c r="C86" s="79">
        <v>5</v>
      </c>
      <c r="D86" s="19">
        <f ca="1">((100/(D81+F81+H81))*C86)/100</f>
        <v>0.2</v>
      </c>
      <c r="E86" s="211"/>
      <c r="F86" s="211"/>
      <c r="G86" s="211"/>
      <c r="H86" s="211"/>
      <c r="I86" s="14" t="s">
        <v>104</v>
      </c>
      <c r="J86" s="29">
        <f ca="1">(IF(B81&gt;1,(H81/(B81+2)),H81/4))</f>
        <v>6</v>
      </c>
    </row>
    <row r="87" spans="1:10" ht="15.75" hidden="1" customHeight="1" x14ac:dyDescent="0.35">
      <c r="A87" s="88" t="s">
        <v>139</v>
      </c>
      <c r="B87" s="88" t="s">
        <v>133</v>
      </c>
      <c r="C87" s="79">
        <v>2</v>
      </c>
      <c r="D87" s="19">
        <f ca="1">((100/H81)*C87)/100</f>
        <v>8.3333333333333343E-2</v>
      </c>
      <c r="E87" s="211"/>
      <c r="F87" s="211"/>
      <c r="G87" s="211"/>
      <c r="H87" s="211"/>
      <c r="I87" s="14" t="s">
        <v>105</v>
      </c>
      <c r="J87" s="29">
        <f ca="1">(IF(B81&gt;1,(H81/(B81+2)+J86),H81/4+J86))</f>
        <v>12</v>
      </c>
    </row>
    <row r="88" spans="1:10" ht="15.75" hidden="1" customHeight="1" x14ac:dyDescent="0.35">
      <c r="A88" s="88" t="s">
        <v>140</v>
      </c>
      <c r="B88" s="88" t="s">
        <v>133</v>
      </c>
      <c r="C88" s="79">
        <v>0</v>
      </c>
      <c r="D88" s="19">
        <f ca="1">((100/H81)*C88)/100</f>
        <v>0</v>
      </c>
      <c r="E88" s="211"/>
      <c r="F88" s="211"/>
      <c r="G88" s="211"/>
      <c r="H88" s="211"/>
      <c r="I88" s="14" t="s">
        <v>149</v>
      </c>
      <c r="J88" s="29">
        <f>(IF(B81&gt;1,(H81/(B81+2)+J87),0))</f>
        <v>0</v>
      </c>
    </row>
    <row r="89" spans="1:10" ht="15" hidden="1" customHeight="1" x14ac:dyDescent="0.35">
      <c r="A89" s="88" t="s">
        <v>138</v>
      </c>
      <c r="B89" s="88" t="s">
        <v>135</v>
      </c>
      <c r="C89" s="79">
        <v>0</v>
      </c>
      <c r="D89" s="19">
        <f ca="1">((100/(H81))*C89)/100</f>
        <v>0</v>
      </c>
      <c r="E89" s="211"/>
      <c r="F89" s="211"/>
      <c r="G89" s="211"/>
      <c r="H89" s="211"/>
      <c r="I89" s="14" t="s">
        <v>146</v>
      </c>
      <c r="J89" s="29">
        <f>(IF(B81&gt;2,(H81/(B81+2)+J88),0))</f>
        <v>0</v>
      </c>
    </row>
    <row r="90" spans="1:10" ht="15.75" hidden="1" customHeight="1" x14ac:dyDescent="0.35">
      <c r="A90" s="88" t="s">
        <v>134</v>
      </c>
      <c r="B90" s="88" t="s">
        <v>134</v>
      </c>
      <c r="C90" s="79">
        <v>0</v>
      </c>
      <c r="D90" s="19">
        <f ca="1">((100/H81)*C90)/100</f>
        <v>0</v>
      </c>
      <c r="E90" s="211"/>
      <c r="F90" s="211"/>
      <c r="G90" s="211"/>
      <c r="H90" s="211"/>
      <c r="I90" s="14" t="s">
        <v>147</v>
      </c>
      <c r="J90" s="30">
        <f>(IF(B81&gt;3,(H81/(B81+2)+J89),0))</f>
        <v>0</v>
      </c>
    </row>
    <row r="91" spans="1:10" ht="15.75" hidden="1" customHeight="1" x14ac:dyDescent="0.35">
      <c r="A91" s="88" t="s">
        <v>141</v>
      </c>
      <c r="B91" s="88"/>
      <c r="C91" s="79">
        <v>0</v>
      </c>
      <c r="D91" s="19">
        <f ca="1">((100/H81)*C91)/100</f>
        <v>0</v>
      </c>
      <c r="E91" s="211"/>
      <c r="F91" s="211"/>
      <c r="G91" s="211"/>
      <c r="H91" s="211"/>
      <c r="I91" s="14" t="s">
        <v>148</v>
      </c>
      <c r="J91" s="29">
        <f>(IF(B81&gt;4,(H81/(B81+2)+J90),0))</f>
        <v>0</v>
      </c>
    </row>
    <row r="92" spans="1:10" ht="15.75" hidden="1" customHeight="1" x14ac:dyDescent="0.35">
      <c r="A92" s="88" t="s">
        <v>136</v>
      </c>
      <c r="B92" s="88" t="s">
        <v>136</v>
      </c>
      <c r="C92" s="79">
        <v>0</v>
      </c>
      <c r="D92" s="19">
        <f ca="1">((100/(H81))*C92)/100</f>
        <v>0</v>
      </c>
      <c r="E92" s="211"/>
      <c r="F92" s="211"/>
      <c r="G92" s="211"/>
      <c r="H92" s="211"/>
      <c r="I92" s="14" t="s">
        <v>150</v>
      </c>
      <c r="J92" s="29">
        <f ca="1">(IF(B81=1,(H81/(B81+3)+J87),IF(B81=0,(H81/4+J87),IF(B81&gt;1,0))))</f>
        <v>18</v>
      </c>
    </row>
    <row r="93" spans="1:10" ht="16" hidden="1" thickBot="1" x14ac:dyDescent="0.4">
      <c r="A93" s="88" t="s">
        <v>137</v>
      </c>
      <c r="B93" s="88"/>
      <c r="C93" s="79">
        <v>0</v>
      </c>
      <c r="D93" s="19">
        <f ca="1">((100/(H81))*C93)/100</f>
        <v>0</v>
      </c>
      <c r="E93" s="211"/>
      <c r="F93" s="211"/>
      <c r="G93" s="211"/>
      <c r="H93" s="211"/>
      <c r="I93" s="15" t="s">
        <v>106</v>
      </c>
      <c r="J93" s="31">
        <f ca="1">(IF(B81&gt;1.5,(H81/(B81+2)+J87+MAX(0,J88-J87)+MAX(0,J89-J88)+MAX(0,J90-J89)+MAX(0,J91-J90)+MAX(0,J92-J91)),IF(B81=1,(H81/(B81+3)+J92),IF(B81=0,H81/4+J92))))</f>
        <v>24</v>
      </c>
    </row>
    <row r="94" spans="1:10" x14ac:dyDescent="0.35">
      <c r="A94" s="106" t="s">
        <v>159</v>
      </c>
      <c r="B94" s="106"/>
      <c r="C94" s="106"/>
      <c r="D94" s="106"/>
      <c r="E94" s="106"/>
      <c r="F94" s="154" t="s">
        <v>162</v>
      </c>
      <c r="G94" s="154"/>
      <c r="H94" s="154"/>
    </row>
    <row r="95" spans="1:10" x14ac:dyDescent="0.35">
      <c r="A95" s="81" t="s">
        <v>161</v>
      </c>
      <c r="B95" s="81"/>
      <c r="C95" s="81"/>
      <c r="D95" s="81"/>
      <c r="E95" s="81"/>
      <c r="F95" s="89">
        <v>8500</v>
      </c>
      <c r="G95" s="89"/>
      <c r="H95" s="89"/>
    </row>
    <row r="96" spans="1:10" x14ac:dyDescent="0.35">
      <c r="A96" s="81" t="s">
        <v>240</v>
      </c>
      <c r="B96" s="81"/>
      <c r="C96" s="81"/>
      <c r="D96" s="81"/>
      <c r="E96" s="81"/>
      <c r="F96" s="105">
        <v>15000</v>
      </c>
      <c r="G96" s="105"/>
      <c r="H96" s="105"/>
    </row>
    <row r="97" spans="1:8" x14ac:dyDescent="0.35">
      <c r="A97" s="81" t="s">
        <v>239</v>
      </c>
      <c r="B97" s="81"/>
      <c r="C97" s="81"/>
      <c r="D97" s="81"/>
      <c r="E97" s="81"/>
      <c r="F97" s="105">
        <v>14000</v>
      </c>
      <c r="G97" s="105"/>
      <c r="H97" s="105"/>
    </row>
    <row r="98" spans="1:8" x14ac:dyDescent="0.35">
      <c r="A98" s="81" t="s">
        <v>241</v>
      </c>
      <c r="B98" s="81"/>
      <c r="C98" s="81"/>
      <c r="D98" s="81"/>
      <c r="E98" s="81"/>
      <c r="F98" s="105">
        <v>13000</v>
      </c>
      <c r="G98" s="105"/>
      <c r="H98" s="105"/>
    </row>
    <row r="99" spans="1:8" s="32" customFormat="1" hidden="1" x14ac:dyDescent="0.3">
      <c r="A99" s="81" t="s">
        <v>160</v>
      </c>
      <c r="B99" s="81"/>
      <c r="C99" s="81"/>
      <c r="D99" s="81"/>
      <c r="E99" s="81"/>
      <c r="F99" s="105"/>
      <c r="G99" s="105"/>
      <c r="H99" s="105"/>
    </row>
    <row r="100" spans="1:8" s="32" customFormat="1" x14ac:dyDescent="0.3">
      <c r="A100" s="81" t="s">
        <v>97</v>
      </c>
      <c r="B100" s="81"/>
      <c r="C100" s="81"/>
      <c r="D100" s="81"/>
      <c r="E100" s="81"/>
      <c r="F100" s="105">
        <v>300000</v>
      </c>
      <c r="G100" s="105"/>
      <c r="H100" s="105"/>
    </row>
    <row r="101" spans="1:8" s="32" customFormat="1" hidden="1" x14ac:dyDescent="0.3">
      <c r="A101" s="81" t="s">
        <v>98</v>
      </c>
      <c r="B101" s="81"/>
      <c r="C101" s="81"/>
      <c r="D101" s="81"/>
      <c r="E101" s="81"/>
      <c r="F101" s="105"/>
      <c r="G101" s="105"/>
      <c r="H101" s="105"/>
    </row>
    <row r="102" spans="1:8" s="32" customFormat="1" hidden="1" x14ac:dyDescent="0.3">
      <c r="A102" s="81" t="s">
        <v>163</v>
      </c>
      <c r="B102" s="81"/>
      <c r="C102" s="81"/>
      <c r="D102" s="81"/>
      <c r="E102" s="81"/>
      <c r="F102" s="105"/>
      <c r="G102" s="105"/>
      <c r="H102" s="105"/>
    </row>
    <row r="103" spans="1:8" s="32" customFormat="1" hidden="1" x14ac:dyDescent="0.3">
      <c r="A103" s="81" t="s">
        <v>99</v>
      </c>
      <c r="B103" s="81"/>
      <c r="C103" s="81"/>
      <c r="D103" s="81"/>
      <c r="E103" s="81"/>
      <c r="F103" s="105"/>
      <c r="G103" s="105"/>
      <c r="H103" s="105"/>
    </row>
    <row r="104" spans="1:8" s="32" customFormat="1" hidden="1" x14ac:dyDescent="0.3">
      <c r="A104" s="81" t="s">
        <v>100</v>
      </c>
      <c r="B104" s="81"/>
      <c r="C104" s="81"/>
      <c r="D104" s="81"/>
      <c r="E104" s="81"/>
      <c r="F104" s="105"/>
      <c r="G104" s="105"/>
      <c r="H104" s="105"/>
    </row>
    <row r="105" spans="1:8" s="32" customFormat="1" x14ac:dyDescent="0.3">
      <c r="A105" s="81" t="s">
        <v>229</v>
      </c>
      <c r="B105" s="81"/>
      <c r="C105" s="81"/>
      <c r="D105" s="81"/>
      <c r="E105" s="81"/>
      <c r="F105" s="105">
        <v>175000</v>
      </c>
      <c r="G105" s="105"/>
      <c r="H105" s="105"/>
    </row>
    <row r="106" spans="1:8" s="32" customFormat="1" hidden="1" x14ac:dyDescent="0.3">
      <c r="A106" s="81" t="s">
        <v>101</v>
      </c>
      <c r="B106" s="81"/>
      <c r="C106" s="81"/>
      <c r="D106" s="81"/>
      <c r="E106" s="81"/>
      <c r="F106" s="105"/>
      <c r="G106" s="105"/>
      <c r="H106" s="105"/>
    </row>
    <row r="107" spans="1:8" x14ac:dyDescent="0.35">
      <c r="A107" s="81" t="s">
        <v>51</v>
      </c>
      <c r="B107" s="81"/>
      <c r="C107" s="81"/>
      <c r="D107" s="81"/>
      <c r="E107" s="81"/>
      <c r="F107" s="105">
        <v>300000</v>
      </c>
      <c r="G107" s="105"/>
      <c r="H107" s="105"/>
    </row>
    <row r="108" spans="1:8" s="33" customFormat="1" x14ac:dyDescent="0.35">
      <c r="A108" s="106" t="s">
        <v>52</v>
      </c>
      <c r="B108" s="106"/>
      <c r="C108" s="106"/>
      <c r="D108" s="106"/>
      <c r="E108" s="106"/>
      <c r="F108" s="105">
        <f>F95*0.8</f>
        <v>6800</v>
      </c>
      <c r="G108" s="105"/>
      <c r="H108" s="105"/>
    </row>
    <row r="109" spans="1:8" s="34" customFormat="1" ht="15.75" customHeight="1" x14ac:dyDescent="0.35">
      <c r="A109" s="104" t="s">
        <v>77</v>
      </c>
      <c r="B109" s="104"/>
      <c r="C109" s="104"/>
      <c r="D109" s="104"/>
      <c r="E109" s="104"/>
      <c r="F109" s="104"/>
      <c r="G109" s="104"/>
      <c r="H109" s="104"/>
    </row>
    <row r="110" spans="1:8" s="34" customFormat="1" ht="15.75" customHeight="1" x14ac:dyDescent="0.35">
      <c r="A110" s="140" t="s">
        <v>53</v>
      </c>
      <c r="B110" s="140"/>
      <c r="C110" s="144" t="s">
        <v>80</v>
      </c>
      <c r="D110" s="144"/>
      <c r="E110" s="139" t="s">
        <v>54</v>
      </c>
      <c r="F110" s="139"/>
      <c r="G110" s="140" t="s">
        <v>55</v>
      </c>
      <c r="H110" s="140"/>
    </row>
    <row r="111" spans="1:8" s="34" customFormat="1" ht="33" customHeight="1" x14ac:dyDescent="0.35">
      <c r="A111" s="188" t="s">
        <v>220</v>
      </c>
      <c r="B111" s="56" t="s">
        <v>198</v>
      </c>
      <c r="C111" s="141">
        <f>COUNT(D129:D142)</f>
        <v>14</v>
      </c>
      <c r="D111" s="142"/>
      <c r="E111" s="90">
        <f>SUM(D129:D142)</f>
        <v>4094.9485200000004</v>
      </c>
      <c r="F111" s="91"/>
      <c r="G111" s="90">
        <f>SUM(F129:F142)</f>
        <v>7340.414000400001</v>
      </c>
      <c r="H111" s="91"/>
    </row>
    <row r="112" spans="1:8" s="34" customFormat="1" ht="33.75" customHeight="1" x14ac:dyDescent="0.35">
      <c r="A112" s="189"/>
      <c r="B112" s="56" t="s">
        <v>203</v>
      </c>
      <c r="C112" s="141">
        <f>COUNT(D147:D157)</f>
        <v>11</v>
      </c>
      <c r="D112" s="142"/>
      <c r="E112" s="90">
        <f>SUM(D147:D157)</f>
        <v>1670.5728000000001</v>
      </c>
      <c r="F112" s="91"/>
      <c r="G112" s="90">
        <f>SUM(F147:F157)</f>
        <v>2589.3878400000003</v>
      </c>
      <c r="H112" s="91"/>
    </row>
    <row r="113" spans="1:12" s="34" customFormat="1" ht="30.75" customHeight="1" x14ac:dyDescent="0.35">
      <c r="A113" s="188" t="s">
        <v>221</v>
      </c>
      <c r="B113" s="56" t="s">
        <v>198</v>
      </c>
      <c r="C113" s="141">
        <f>COUNT(D161:D167)</f>
        <v>7</v>
      </c>
      <c r="D113" s="142"/>
      <c r="E113" s="90">
        <f>SUM(D161:D167)</f>
        <v>969.83640000000014</v>
      </c>
      <c r="F113" s="91"/>
      <c r="G113" s="90">
        <f>SUM(F161:F167)</f>
        <v>1911.8758464</v>
      </c>
      <c r="H113" s="91"/>
    </row>
    <row r="114" spans="1:12" s="34" customFormat="1" ht="33.75" customHeight="1" x14ac:dyDescent="0.35">
      <c r="A114" s="189"/>
      <c r="B114" s="56" t="s">
        <v>203</v>
      </c>
      <c r="C114" s="141">
        <f>COUNT(D169:D175)</f>
        <v>7</v>
      </c>
      <c r="D114" s="142"/>
      <c r="E114" s="90">
        <f>SUM(D169:D175)</f>
        <v>969.83640000000014</v>
      </c>
      <c r="F114" s="91"/>
      <c r="G114" s="90">
        <f>SUM(F169:F175)</f>
        <v>1503.2464199999999</v>
      </c>
      <c r="H114" s="91"/>
    </row>
    <row r="115" spans="1:12" s="34" customFormat="1" x14ac:dyDescent="0.35">
      <c r="A115" s="104" t="s">
        <v>153</v>
      </c>
      <c r="B115" s="104"/>
      <c r="C115" s="143">
        <f>SUM(C111:C114)</f>
        <v>39</v>
      </c>
      <c r="D115" s="144"/>
      <c r="E115" s="143">
        <f t="shared" ref="E115" si="0">SUM(E111:E114)</f>
        <v>7705.194120000001</v>
      </c>
      <c r="F115" s="144"/>
      <c r="G115" s="143">
        <f t="shared" ref="G115" si="1">SUM(G111:G114)</f>
        <v>13344.924106800001</v>
      </c>
      <c r="H115" s="144"/>
    </row>
    <row r="116" spans="1:12" s="34" customFormat="1" x14ac:dyDescent="0.35">
      <c r="A116" s="104" t="s">
        <v>71</v>
      </c>
      <c r="B116" s="104"/>
      <c r="C116" s="104"/>
      <c r="D116" s="104"/>
      <c r="E116" s="104"/>
      <c r="F116" s="104"/>
      <c r="G116" s="104"/>
      <c r="H116" s="104"/>
    </row>
    <row r="117" spans="1:12" s="34" customFormat="1" ht="15.75" customHeight="1" x14ac:dyDescent="0.35">
      <c r="A117" s="140" t="s">
        <v>53</v>
      </c>
      <c r="B117" s="140"/>
      <c r="C117" s="144" t="s">
        <v>80</v>
      </c>
      <c r="D117" s="144"/>
      <c r="E117" s="139" t="s">
        <v>54</v>
      </c>
      <c r="F117" s="139"/>
      <c r="G117" s="140" t="s">
        <v>55</v>
      </c>
      <c r="H117" s="140"/>
      <c r="I117" s="67" t="s">
        <v>233</v>
      </c>
    </row>
    <row r="118" spans="1:12" s="34" customFormat="1" ht="31.5" customHeight="1" x14ac:dyDescent="0.35">
      <c r="A118" s="115" t="s">
        <v>220</v>
      </c>
      <c r="B118" s="115"/>
      <c r="C118" s="141">
        <f>COUNT(D182:D184)+COUNT(D186:D191)*7+COUNT(D193:D197,D199)+COUNT(D201:D206)</f>
        <v>57</v>
      </c>
      <c r="D118" s="141"/>
      <c r="E118" s="90">
        <f>SUM(D182:D184)+SUM(D186:D191)*7+SUM(D193:D197,D199)+SUM(D201:D206)</f>
        <v>28289.164410000001</v>
      </c>
      <c r="F118" s="90"/>
      <c r="G118" s="90">
        <f>SUM(F182:F184)+SUM(F186:F191)*7+SUM(F193:F197,F199)+SUM(F201:F206)</f>
        <v>42433.746614999996</v>
      </c>
      <c r="H118" s="90"/>
      <c r="I118" s="67" t="s">
        <v>235</v>
      </c>
    </row>
    <row r="119" spans="1:12" s="34" customFormat="1" ht="31.5" customHeight="1" x14ac:dyDescent="0.35">
      <c r="A119" s="115" t="s">
        <v>221</v>
      </c>
      <c r="B119" s="115"/>
      <c r="C119" s="141">
        <f>COUNT(D210:D212)+COUNT(D214:D219)*7+COUNT(D221,D223:D227)</f>
        <v>51</v>
      </c>
      <c r="D119" s="141"/>
      <c r="E119" s="90">
        <f>SUM(D210:D212)+SUM(D214:D219)*7+SUM(D221,D223:D227)</f>
        <v>25429.277250000003</v>
      </c>
      <c r="F119" s="90"/>
      <c r="G119" s="90">
        <f>SUM(F210:F212)+SUM(F214:F219)*7+SUM(F221,F223:F227)</f>
        <v>38143.915875000006</v>
      </c>
      <c r="H119" s="90"/>
      <c r="I119" s="34" t="s">
        <v>231</v>
      </c>
      <c r="J119" s="66" t="s">
        <v>230</v>
      </c>
      <c r="K119" s="66" t="s">
        <v>114</v>
      </c>
      <c r="L119" s="63" t="s">
        <v>234</v>
      </c>
    </row>
    <row r="120" spans="1:12" s="34" customFormat="1" ht="16" thickBot="1" x14ac:dyDescent="0.4">
      <c r="A120" s="207" t="s">
        <v>153</v>
      </c>
      <c r="B120" s="207"/>
      <c r="C120" s="186">
        <f>SUM(C118:C119)</f>
        <v>108</v>
      </c>
      <c r="D120" s="187"/>
      <c r="E120" s="186">
        <f t="shared" ref="E120" si="2">SUM(E118:E119)</f>
        <v>53718.441660000004</v>
      </c>
      <c r="F120" s="187"/>
      <c r="G120" s="186">
        <f t="shared" ref="G120" si="3">SUM(G118:G119)</f>
        <v>80577.662490000002</v>
      </c>
      <c r="H120" s="187"/>
      <c r="I120" s="34" t="s">
        <v>232</v>
      </c>
      <c r="J120" s="61">
        <f>2790000/F184</f>
        <v>6876.8566819809839</v>
      </c>
      <c r="K120" s="65">
        <f>6900000/F189</f>
        <v>10061.814758971745</v>
      </c>
      <c r="L120" s="61">
        <f>3400000/F183</f>
        <v>6940.0501424746371</v>
      </c>
    </row>
    <row r="121" spans="1:12" s="34" customFormat="1" ht="16" thickBot="1" x14ac:dyDescent="0.4">
      <c r="A121" s="198" t="s">
        <v>169</v>
      </c>
      <c r="B121" s="199"/>
      <c r="C121" s="119">
        <f>C115+C120</f>
        <v>147</v>
      </c>
      <c r="D121" s="119"/>
      <c r="E121" s="120">
        <f>E115+E120</f>
        <v>61423.635780000004</v>
      </c>
      <c r="F121" s="120"/>
      <c r="G121" s="199">
        <f>G115+G120</f>
        <v>93922.5865968</v>
      </c>
      <c r="H121" s="206"/>
      <c r="J121" s="61">
        <f>3930000/F183</f>
        <v>8021.8814882133311</v>
      </c>
      <c r="K121" s="65">
        <f>8800000/F182</f>
        <v>8701.2832884957697</v>
      </c>
      <c r="L121" s="61">
        <f>4600000/F188</f>
        <v>6879.9875609824894</v>
      </c>
    </row>
    <row r="122" spans="1:12" s="33" customFormat="1" x14ac:dyDescent="0.35">
      <c r="A122" s="190" t="s">
        <v>56</v>
      </c>
      <c r="B122" s="190"/>
      <c r="C122" s="190"/>
      <c r="D122" s="190"/>
      <c r="E122" s="190"/>
      <c r="F122" s="190"/>
      <c r="G122" s="190"/>
      <c r="H122" s="190"/>
      <c r="J122" s="62">
        <f>5700000/F225</f>
        <v>8525.2019777391724</v>
      </c>
      <c r="L122" s="62">
        <f>6800000/F186</f>
        <v>6723.7189047467309</v>
      </c>
    </row>
    <row r="123" spans="1:12" x14ac:dyDescent="0.35">
      <c r="A123" s="147" t="s">
        <v>57</v>
      </c>
      <c r="B123" s="147"/>
      <c r="C123" s="147"/>
      <c r="D123" s="147"/>
      <c r="E123" s="147"/>
      <c r="F123" s="147"/>
      <c r="G123" s="147"/>
      <c r="H123" s="147"/>
      <c r="J123" s="64">
        <f>AVERAGE(J120:J122)</f>
        <v>7807.9800493111625</v>
      </c>
      <c r="L123" s="70">
        <f>AVERAGE(L120:L122)</f>
        <v>6847.9188694012855</v>
      </c>
    </row>
    <row r="124" spans="1:12" ht="47.25" customHeight="1" x14ac:dyDescent="0.35">
      <c r="A124" s="129" t="s">
        <v>122</v>
      </c>
      <c r="B124" s="129" t="s">
        <v>121</v>
      </c>
      <c r="C124" s="129" t="s">
        <v>58</v>
      </c>
      <c r="D124" s="129" t="s">
        <v>59</v>
      </c>
      <c r="E124" s="131" t="s">
        <v>200</v>
      </c>
      <c r="F124" s="42" t="s">
        <v>152</v>
      </c>
      <c r="G124" s="182" t="s">
        <v>61</v>
      </c>
      <c r="H124" s="183"/>
    </row>
    <row r="125" spans="1:12" s="36" customFormat="1" x14ac:dyDescent="0.35">
      <c r="A125" s="130"/>
      <c r="B125" s="130"/>
      <c r="C125" s="130"/>
      <c r="D125" s="130"/>
      <c r="E125" s="132"/>
      <c r="F125" s="13">
        <v>0.55000000000000004</v>
      </c>
      <c r="G125" s="184"/>
      <c r="H125" s="185"/>
    </row>
    <row r="126" spans="1:12" s="55" customFormat="1" x14ac:dyDescent="0.35">
      <c r="A126" s="179" t="s">
        <v>223</v>
      </c>
      <c r="B126" s="180"/>
      <c r="C126" s="180"/>
      <c r="D126" s="180"/>
      <c r="E126" s="180"/>
      <c r="F126" s="180"/>
      <c r="G126" s="180"/>
      <c r="H126" s="181"/>
      <c r="J126" s="35"/>
    </row>
    <row r="127" spans="1:12" s="60" customFormat="1" x14ac:dyDescent="0.35">
      <c r="A127" s="179" t="s">
        <v>224</v>
      </c>
      <c r="B127" s="180"/>
      <c r="C127" s="180"/>
      <c r="D127" s="180"/>
      <c r="E127" s="180"/>
      <c r="F127" s="180"/>
      <c r="G127" s="180"/>
      <c r="H127" s="181"/>
      <c r="J127" s="35"/>
    </row>
    <row r="128" spans="1:12" s="36" customFormat="1" x14ac:dyDescent="0.35">
      <c r="A128" s="179" t="s">
        <v>197</v>
      </c>
      <c r="B128" s="180"/>
      <c r="C128" s="180"/>
      <c r="D128" s="180"/>
      <c r="E128" s="180"/>
      <c r="F128" s="180"/>
      <c r="G128" s="180"/>
      <c r="H128" s="181"/>
      <c r="J128" s="35"/>
    </row>
    <row r="129" spans="1:14" s="36" customFormat="1" ht="47.25" customHeight="1" x14ac:dyDescent="0.35">
      <c r="A129" s="116">
        <v>1</v>
      </c>
      <c r="B129" s="117"/>
      <c r="C129" s="41" t="s">
        <v>199</v>
      </c>
      <c r="D129" s="59">
        <f>(36.99+73.76)*(10.764)</f>
        <v>1192.1129999999998</v>
      </c>
      <c r="E129" s="59">
        <f>(1.2*5.2)*(10.764)</f>
        <v>67.167360000000002</v>
      </c>
      <c r="F129" s="41">
        <f>(D129+E129)*(($F$125)+1)</f>
        <v>1951.8845579999997</v>
      </c>
      <c r="G129" s="191" t="str">
        <f>A128</f>
        <v>Ground Floor For Entrance Lobby, Society Office, Meter Room, Drivers Room &amp; Parking</v>
      </c>
      <c r="H129" s="192"/>
      <c r="I129" s="58">
        <f>7.21*5.2</f>
        <v>37.492000000000004</v>
      </c>
      <c r="J129" s="36">
        <f>8.55*5.2+6.83*3.65+1.8*1.4+1.15*1.8</f>
        <v>73.979500000000002</v>
      </c>
      <c r="L129" s="178"/>
      <c r="M129" s="178"/>
      <c r="N129" s="35"/>
    </row>
    <row r="130" spans="1:14" s="36" customFormat="1" ht="47.25" customHeight="1" x14ac:dyDescent="0.35">
      <c r="A130" s="116">
        <f t="shared" ref="A130:A142" si="4">A129+1</f>
        <v>2</v>
      </c>
      <c r="B130" s="117"/>
      <c r="C130" s="54" t="s">
        <v>199</v>
      </c>
      <c r="D130" s="59">
        <f>(25.34+37.1)*(10.764)</f>
        <v>672.10415999999998</v>
      </c>
      <c r="E130" s="59">
        <f>(1.2*3+1.2*6.4)*(10.764)</f>
        <v>121.41791999999998</v>
      </c>
      <c r="F130" s="41">
        <f t="shared" ref="F130:F132" si="5">(D130+E130)*(($F$125)+1)</f>
        <v>1229.9592239999999</v>
      </c>
      <c r="G130" s="193"/>
      <c r="H130" s="194"/>
      <c r="I130" s="35"/>
      <c r="L130" s="178"/>
      <c r="M130" s="178"/>
      <c r="N130" s="35"/>
    </row>
    <row r="131" spans="1:14" s="36" customFormat="1" ht="47.25" customHeight="1" x14ac:dyDescent="0.35">
      <c r="A131" s="116">
        <f t="shared" si="4"/>
        <v>3</v>
      </c>
      <c r="B131" s="117"/>
      <c r="C131" s="54" t="s">
        <v>199</v>
      </c>
      <c r="D131" s="59">
        <f>(24.17+27.87)*(10.764)</f>
        <v>560.15856000000008</v>
      </c>
      <c r="E131" s="59">
        <f>(1.2*3)*(10.764)</f>
        <v>38.750399999999992</v>
      </c>
      <c r="F131" s="41">
        <f t="shared" si="5"/>
        <v>928.30888800000014</v>
      </c>
      <c r="G131" s="193"/>
      <c r="H131" s="194"/>
      <c r="I131" s="35"/>
      <c r="L131" s="178"/>
      <c r="M131" s="178"/>
      <c r="N131" s="35"/>
    </row>
    <row r="132" spans="1:14" s="36" customFormat="1" ht="15.75" customHeight="1" x14ac:dyDescent="0.35">
      <c r="A132" s="116">
        <f t="shared" si="4"/>
        <v>4</v>
      </c>
      <c r="B132" s="117"/>
      <c r="C132" s="54" t="s">
        <v>198</v>
      </c>
      <c r="D132" s="59">
        <f>(12.8)*(10.764)</f>
        <v>137.7792</v>
      </c>
      <c r="E132" s="59">
        <f>(1.2*2.9)*(10.764)</f>
        <v>37.45872</v>
      </c>
      <c r="F132" s="41">
        <f t="shared" si="5"/>
        <v>271.61877600000003</v>
      </c>
      <c r="G132" s="193"/>
      <c r="H132" s="194"/>
      <c r="I132" s="35"/>
      <c r="L132" s="178"/>
      <c r="M132" s="178"/>
      <c r="N132" s="35"/>
    </row>
    <row r="133" spans="1:14" s="55" customFormat="1" x14ac:dyDescent="0.35">
      <c r="A133" s="116">
        <f t="shared" si="4"/>
        <v>5</v>
      </c>
      <c r="B133" s="117"/>
      <c r="C133" s="54" t="s">
        <v>198</v>
      </c>
      <c r="D133" s="59">
        <f>(10.72)*(10.764)</f>
        <v>115.39008</v>
      </c>
      <c r="E133" s="59">
        <f>(1.2*2.43)*(10.764)</f>
        <v>31.387823999999998</v>
      </c>
      <c r="F133" s="54">
        <f>(D133+E133)*(($F$125)+1)</f>
        <v>227.50575120000002</v>
      </c>
      <c r="G133" s="193"/>
      <c r="H133" s="194"/>
      <c r="I133" s="59">
        <f>10.764</f>
        <v>10.763999999999999</v>
      </c>
      <c r="L133" s="178"/>
      <c r="M133" s="178"/>
      <c r="N133" s="35"/>
    </row>
    <row r="134" spans="1:14" s="55" customFormat="1" x14ac:dyDescent="0.35">
      <c r="A134" s="116">
        <f t="shared" si="4"/>
        <v>6</v>
      </c>
      <c r="B134" s="117"/>
      <c r="C134" s="54" t="s">
        <v>198</v>
      </c>
      <c r="D134" s="59">
        <f>(12.8)*(10.764)</f>
        <v>137.7792</v>
      </c>
      <c r="E134" s="59">
        <f>(1.2*2.9)*(10.764)</f>
        <v>37.45872</v>
      </c>
      <c r="F134" s="54">
        <f t="shared" ref="F134:F137" si="6">(D134+E134)*(($F$125)+1)</f>
        <v>271.61877600000003</v>
      </c>
      <c r="G134" s="193"/>
      <c r="H134" s="194"/>
      <c r="I134" s="35"/>
      <c r="L134" s="178"/>
      <c r="M134" s="178"/>
      <c r="N134" s="35"/>
    </row>
    <row r="135" spans="1:14" s="55" customFormat="1" x14ac:dyDescent="0.35">
      <c r="A135" s="116">
        <f t="shared" si="4"/>
        <v>7</v>
      </c>
      <c r="B135" s="117"/>
      <c r="C135" s="54" t="s">
        <v>198</v>
      </c>
      <c r="D135" s="59">
        <f>(12.8)*(10.764)</f>
        <v>137.7792</v>
      </c>
      <c r="E135" s="59">
        <f>(1.2*2.9)*(10.764)</f>
        <v>37.45872</v>
      </c>
      <c r="F135" s="54">
        <f t="shared" si="6"/>
        <v>271.61877600000003</v>
      </c>
      <c r="G135" s="193"/>
      <c r="H135" s="194"/>
      <c r="I135" s="35"/>
      <c r="L135" s="178"/>
      <c r="M135" s="178"/>
      <c r="N135" s="35"/>
    </row>
    <row r="136" spans="1:14" s="55" customFormat="1" x14ac:dyDescent="0.3">
      <c r="A136" s="116">
        <f t="shared" si="4"/>
        <v>8</v>
      </c>
      <c r="B136" s="117"/>
      <c r="C136" s="54" t="s">
        <v>198</v>
      </c>
      <c r="D136" s="59">
        <f>(17.43)*(10.764)</f>
        <v>187.61651999999998</v>
      </c>
      <c r="E136" s="59">
        <f>(1.2*3.95)*(10.764)</f>
        <v>51.021360000000001</v>
      </c>
      <c r="F136" s="54">
        <f t="shared" si="6"/>
        <v>369.88871399999999</v>
      </c>
      <c r="G136" s="193"/>
      <c r="H136" s="194"/>
      <c r="I136" s="35"/>
      <c r="J136" s="72" t="s">
        <v>198</v>
      </c>
      <c r="K136" s="73" t="s">
        <v>203</v>
      </c>
      <c r="L136" s="178"/>
      <c r="M136" s="178"/>
      <c r="N136" s="35"/>
    </row>
    <row r="137" spans="1:14" s="55" customFormat="1" x14ac:dyDescent="0.35">
      <c r="A137" s="116">
        <f t="shared" si="4"/>
        <v>9</v>
      </c>
      <c r="B137" s="117"/>
      <c r="C137" s="54" t="s">
        <v>198</v>
      </c>
      <c r="D137" s="59">
        <f>(13.47)*(10.764)</f>
        <v>144.99108000000001</v>
      </c>
      <c r="E137" s="59">
        <f>(1.2*3.05)*(10.764)</f>
        <v>39.396239999999992</v>
      </c>
      <c r="F137" s="54">
        <f t="shared" si="6"/>
        <v>285.80034599999999</v>
      </c>
      <c r="G137" s="193"/>
      <c r="H137" s="194"/>
      <c r="I137" s="35"/>
      <c r="J137" s="65">
        <f>4000000/F136</f>
        <v>10814.06338880618</v>
      </c>
      <c r="K137" s="74">
        <f>8600000/F142</f>
        <v>26085.917938215636</v>
      </c>
      <c r="L137" s="178"/>
      <c r="M137" s="178"/>
      <c r="N137" s="35"/>
    </row>
    <row r="138" spans="1:14" s="55" customFormat="1" x14ac:dyDescent="0.35">
      <c r="A138" s="116">
        <f t="shared" si="4"/>
        <v>10</v>
      </c>
      <c r="B138" s="117"/>
      <c r="C138" s="54" t="s">
        <v>198</v>
      </c>
      <c r="D138" s="59">
        <f>(10.06)*(10.764)</f>
        <v>108.28583999999999</v>
      </c>
      <c r="E138" s="59">
        <f>(1.2*2.28)*(10.764)</f>
        <v>29.450303999999996</v>
      </c>
      <c r="F138" s="54">
        <f>(D138+E138)*(($F$125)+1)</f>
        <v>213.4910232</v>
      </c>
      <c r="G138" s="193"/>
      <c r="H138" s="194"/>
      <c r="I138" s="35"/>
      <c r="J138" s="65"/>
      <c r="K138" s="74">
        <f>6000000/F154</f>
        <v>22089.783660611149</v>
      </c>
      <c r="L138" s="178"/>
      <c r="M138" s="178"/>
      <c r="N138" s="35"/>
    </row>
    <row r="139" spans="1:14" s="55" customFormat="1" x14ac:dyDescent="0.3">
      <c r="A139" s="116">
        <f t="shared" si="4"/>
        <v>11</v>
      </c>
      <c r="B139" s="117"/>
      <c r="C139" s="54" t="s">
        <v>198</v>
      </c>
      <c r="D139" s="59">
        <f>(16.28)*(10.764)</f>
        <v>175.23792</v>
      </c>
      <c r="E139" s="59">
        <f>(1.2*2.9)*(10.764)</f>
        <v>37.45872</v>
      </c>
      <c r="F139" s="54">
        <f t="shared" ref="F139:F141" si="7">(D139+E139)*(($F$125)+1)</f>
        <v>329.67979200000002</v>
      </c>
      <c r="G139" s="193"/>
      <c r="H139" s="194"/>
      <c r="I139" s="35"/>
      <c r="J139" s="65">
        <f>18000000/F130</f>
        <v>14634.631497344664</v>
      </c>
      <c r="K139" s="75">
        <f>AVERAGE(K137:K138)</f>
        <v>24087.850799413391</v>
      </c>
      <c r="L139" s="178"/>
      <c r="M139" s="178"/>
      <c r="N139" s="35"/>
    </row>
    <row r="140" spans="1:14" s="55" customFormat="1" x14ac:dyDescent="0.35">
      <c r="A140" s="116">
        <f t="shared" si="4"/>
        <v>12</v>
      </c>
      <c r="B140" s="117"/>
      <c r="C140" s="54" t="s">
        <v>198</v>
      </c>
      <c r="D140" s="59">
        <f>(16.28)*(10.764)</f>
        <v>175.23792</v>
      </c>
      <c r="E140" s="59">
        <f>(1.2*2.9)*(10.764)</f>
        <v>37.45872</v>
      </c>
      <c r="F140" s="54">
        <f t="shared" si="7"/>
        <v>329.67979200000002</v>
      </c>
      <c r="G140" s="193"/>
      <c r="H140" s="194"/>
      <c r="I140" s="35"/>
      <c r="J140" s="65">
        <f>28000000/F129</f>
        <v>14345.110670218235</v>
      </c>
      <c r="L140" s="178"/>
      <c r="M140" s="178"/>
      <c r="N140" s="35"/>
    </row>
    <row r="141" spans="1:14" s="55" customFormat="1" x14ac:dyDescent="0.35">
      <c r="A141" s="116">
        <f t="shared" si="4"/>
        <v>13</v>
      </c>
      <c r="B141" s="117"/>
      <c r="C141" s="54" t="s">
        <v>198</v>
      </c>
      <c r="D141" s="59">
        <f>(16.28)*(10.764)</f>
        <v>175.23792</v>
      </c>
      <c r="E141" s="59">
        <f>(1.2*2.9)*(10.764)</f>
        <v>37.45872</v>
      </c>
      <c r="F141" s="54">
        <f t="shared" si="7"/>
        <v>329.67979200000002</v>
      </c>
      <c r="G141" s="193"/>
      <c r="H141" s="194"/>
      <c r="I141" s="35"/>
      <c r="J141" s="71">
        <f>AVERAGE(J137:J140)</f>
        <v>13264.601852123027</v>
      </c>
      <c r="L141" s="178"/>
      <c r="M141" s="178"/>
      <c r="N141" s="35"/>
    </row>
    <row r="142" spans="1:14" s="55" customFormat="1" x14ac:dyDescent="0.35">
      <c r="A142" s="116">
        <f t="shared" si="4"/>
        <v>14</v>
      </c>
      <c r="B142" s="117"/>
      <c r="C142" s="54" t="s">
        <v>198</v>
      </c>
      <c r="D142" s="59">
        <f>(16.28)*(10.764)</f>
        <v>175.23792</v>
      </c>
      <c r="E142" s="59">
        <f>(1.2*2.9)*(10.764)</f>
        <v>37.45872</v>
      </c>
      <c r="F142" s="54">
        <f t="shared" ref="F142" si="8">(D142+E142)*(($F$125)+1)</f>
        <v>329.67979200000002</v>
      </c>
      <c r="G142" s="195"/>
      <c r="H142" s="196"/>
      <c r="I142" s="35"/>
      <c r="L142" s="178"/>
      <c r="M142" s="178"/>
      <c r="N142" s="35"/>
    </row>
    <row r="143" spans="1:14" s="55" customFormat="1" x14ac:dyDescent="0.35">
      <c r="A143" s="179" t="s">
        <v>202</v>
      </c>
      <c r="B143" s="180"/>
      <c r="C143" s="180"/>
      <c r="D143" s="180"/>
      <c r="E143" s="180"/>
      <c r="F143" s="180"/>
      <c r="G143" s="180"/>
      <c r="H143" s="181"/>
      <c r="J143" s="35"/>
    </row>
    <row r="144" spans="1:14" s="55" customFormat="1" ht="15.75" customHeight="1" x14ac:dyDescent="0.35">
      <c r="A144" s="116">
        <v>1</v>
      </c>
      <c r="B144" s="117"/>
      <c r="C144" s="116" t="s">
        <v>204</v>
      </c>
      <c r="D144" s="197"/>
      <c r="E144" s="197"/>
      <c r="F144" s="117"/>
      <c r="G144" s="191" t="str">
        <f>A143</f>
        <v>1st Floor For Part Commercial</v>
      </c>
      <c r="H144" s="192"/>
      <c r="I144" s="35"/>
      <c r="L144" s="178"/>
      <c r="M144" s="178"/>
      <c r="N144" s="35"/>
    </row>
    <row r="145" spans="1:14" s="55" customFormat="1" ht="15.75" customHeight="1" x14ac:dyDescent="0.3">
      <c r="A145" s="116">
        <f t="shared" ref="A145:A157" si="9">A144+1</f>
        <v>2</v>
      </c>
      <c r="B145" s="117"/>
      <c r="C145" s="116" t="s">
        <v>204</v>
      </c>
      <c r="D145" s="197"/>
      <c r="E145" s="197"/>
      <c r="F145" s="117"/>
      <c r="G145" s="193"/>
      <c r="H145" s="194"/>
      <c r="I145" s="69" t="s">
        <v>236</v>
      </c>
      <c r="J145" s="71">
        <v>6700</v>
      </c>
      <c r="K145" s="68" t="s">
        <v>237</v>
      </c>
      <c r="L145" s="205"/>
      <c r="M145" s="205"/>
      <c r="N145" s="35"/>
    </row>
    <row r="146" spans="1:14" s="55" customFormat="1" ht="15.75" customHeight="1" x14ac:dyDescent="0.35">
      <c r="A146" s="116">
        <f t="shared" si="9"/>
        <v>3</v>
      </c>
      <c r="B146" s="117"/>
      <c r="C146" s="116" t="s">
        <v>204</v>
      </c>
      <c r="D146" s="197"/>
      <c r="E146" s="197"/>
      <c r="F146" s="117"/>
      <c r="G146" s="193"/>
      <c r="H146" s="194"/>
      <c r="I146" s="35"/>
      <c r="J146" s="65"/>
      <c r="L146" s="178"/>
      <c r="M146" s="178"/>
      <c r="N146" s="35"/>
    </row>
    <row r="147" spans="1:14" s="55" customFormat="1" ht="15.75" customHeight="1" x14ac:dyDescent="0.35">
      <c r="A147" s="116">
        <f t="shared" si="9"/>
        <v>4</v>
      </c>
      <c r="B147" s="117"/>
      <c r="C147" s="54" t="s">
        <v>203</v>
      </c>
      <c r="D147" s="59">
        <f>(12.8)*(10.764)</f>
        <v>137.7792</v>
      </c>
      <c r="E147" s="54">
        <v>0</v>
      </c>
      <c r="F147" s="54">
        <f t="shared" ref="F147" si="10">(D147+E147)*(($F$125)+1)</f>
        <v>213.55776</v>
      </c>
      <c r="G147" s="193"/>
      <c r="H147" s="204"/>
      <c r="I147" s="76" t="s">
        <v>238</v>
      </c>
      <c r="J147" s="71">
        <v>7800</v>
      </c>
      <c r="L147" s="178"/>
      <c r="M147" s="178"/>
      <c r="N147" s="35"/>
    </row>
    <row r="148" spans="1:14" s="55" customFormat="1" ht="15.75" customHeight="1" x14ac:dyDescent="0.35">
      <c r="A148" s="116">
        <f t="shared" si="9"/>
        <v>5</v>
      </c>
      <c r="B148" s="117"/>
      <c r="C148" s="54" t="s">
        <v>203</v>
      </c>
      <c r="D148" s="59">
        <f>(10.72)*(10.764)</f>
        <v>115.39008</v>
      </c>
      <c r="E148" s="54">
        <v>0</v>
      </c>
      <c r="F148" s="54">
        <f>(D148+E148)*(($F$125)+1)</f>
        <v>178.854624</v>
      </c>
      <c r="G148" s="193"/>
      <c r="H148" s="194"/>
      <c r="I148" s="35"/>
      <c r="L148" s="178"/>
      <c r="M148" s="178"/>
      <c r="N148" s="35"/>
    </row>
    <row r="149" spans="1:14" s="55" customFormat="1" ht="15.75" customHeight="1" x14ac:dyDescent="0.35">
      <c r="A149" s="116">
        <f t="shared" si="9"/>
        <v>6</v>
      </c>
      <c r="B149" s="117"/>
      <c r="C149" s="54" t="s">
        <v>203</v>
      </c>
      <c r="D149" s="59">
        <f>(12.8)*(10.764)</f>
        <v>137.7792</v>
      </c>
      <c r="E149" s="54">
        <v>0</v>
      </c>
      <c r="F149" s="54">
        <f t="shared" ref="F149:F151" si="11">(D149+E149)*(($F$125)+1)</f>
        <v>213.55776</v>
      </c>
      <c r="G149" s="193"/>
      <c r="H149" s="194"/>
      <c r="I149" s="35"/>
      <c r="L149" s="178"/>
      <c r="M149" s="178"/>
      <c r="N149" s="35"/>
    </row>
    <row r="150" spans="1:14" s="55" customFormat="1" ht="15.75" customHeight="1" x14ac:dyDescent="0.35">
      <c r="A150" s="116">
        <f t="shared" si="9"/>
        <v>7</v>
      </c>
      <c r="B150" s="117"/>
      <c r="C150" s="54" t="s">
        <v>203</v>
      </c>
      <c r="D150" s="59">
        <f>(12.8)*(10.764)</f>
        <v>137.7792</v>
      </c>
      <c r="E150" s="54">
        <v>0</v>
      </c>
      <c r="F150" s="54">
        <f t="shared" si="11"/>
        <v>213.55776</v>
      </c>
      <c r="G150" s="193"/>
      <c r="H150" s="194"/>
      <c r="I150" s="35"/>
      <c r="L150" s="178"/>
      <c r="M150" s="178"/>
      <c r="N150" s="35"/>
    </row>
    <row r="151" spans="1:14" s="55" customFormat="1" ht="15.75" customHeight="1" x14ac:dyDescent="0.35">
      <c r="A151" s="116">
        <f t="shared" si="9"/>
        <v>8</v>
      </c>
      <c r="B151" s="117"/>
      <c r="C151" s="54" t="s">
        <v>203</v>
      </c>
      <c r="D151" s="59">
        <f>(17.43)*(10.764)</f>
        <v>187.61651999999998</v>
      </c>
      <c r="E151" s="54">
        <v>0</v>
      </c>
      <c r="F151" s="54">
        <f t="shared" si="11"/>
        <v>290.80560599999995</v>
      </c>
      <c r="G151" s="193"/>
      <c r="H151" s="194"/>
      <c r="I151" s="35"/>
      <c r="L151" s="178"/>
      <c r="M151" s="178"/>
      <c r="N151" s="35"/>
    </row>
    <row r="152" spans="1:14" s="55" customFormat="1" ht="15.75" customHeight="1" x14ac:dyDescent="0.35">
      <c r="A152" s="116">
        <f t="shared" si="9"/>
        <v>9</v>
      </c>
      <c r="B152" s="117"/>
      <c r="C152" s="54" t="s">
        <v>203</v>
      </c>
      <c r="D152" s="59">
        <f>(13.47)*(10.764)</f>
        <v>144.99108000000001</v>
      </c>
      <c r="E152" s="54">
        <v>0</v>
      </c>
      <c r="F152" s="54">
        <f>(D152+E152)*(($F$125)+1)</f>
        <v>224.73617400000003</v>
      </c>
      <c r="G152" s="193"/>
      <c r="H152" s="194"/>
      <c r="I152" s="35"/>
      <c r="L152" s="178"/>
      <c r="M152" s="178"/>
      <c r="N152" s="35"/>
    </row>
    <row r="153" spans="1:14" s="55" customFormat="1" ht="15.75" customHeight="1" x14ac:dyDescent="0.35">
      <c r="A153" s="116">
        <f t="shared" si="9"/>
        <v>10</v>
      </c>
      <c r="B153" s="117"/>
      <c r="C153" s="54" t="s">
        <v>203</v>
      </c>
      <c r="D153" s="59">
        <f>(10.06)*(10.764)</f>
        <v>108.28583999999999</v>
      </c>
      <c r="E153" s="54">
        <v>0</v>
      </c>
      <c r="F153" s="54">
        <f t="shared" ref="F153:F155" si="12">(D153+E153)*(($F$125)+1)</f>
        <v>167.843052</v>
      </c>
      <c r="G153" s="193"/>
      <c r="H153" s="194"/>
      <c r="I153" s="35"/>
      <c r="L153" s="178"/>
      <c r="M153" s="178"/>
      <c r="N153" s="35"/>
    </row>
    <row r="154" spans="1:14" s="55" customFormat="1" ht="15.75" customHeight="1" x14ac:dyDescent="0.35">
      <c r="A154" s="116">
        <f t="shared" si="9"/>
        <v>11</v>
      </c>
      <c r="B154" s="117"/>
      <c r="C154" s="54" t="s">
        <v>203</v>
      </c>
      <c r="D154" s="59">
        <f>(16.28)*(10.764)</f>
        <v>175.23792</v>
      </c>
      <c r="E154" s="54">
        <v>0</v>
      </c>
      <c r="F154" s="54">
        <f t="shared" si="12"/>
        <v>271.61877600000003</v>
      </c>
      <c r="G154" s="193"/>
      <c r="H154" s="194"/>
      <c r="I154" s="35"/>
      <c r="L154" s="178"/>
      <c r="M154" s="178"/>
      <c r="N154" s="35"/>
    </row>
    <row r="155" spans="1:14" s="55" customFormat="1" ht="15.75" customHeight="1" x14ac:dyDescent="0.35">
      <c r="A155" s="116">
        <f t="shared" si="9"/>
        <v>12</v>
      </c>
      <c r="B155" s="117"/>
      <c r="C155" s="54" t="s">
        <v>203</v>
      </c>
      <c r="D155" s="59">
        <f>(16.28)*(10.764)</f>
        <v>175.23792</v>
      </c>
      <c r="E155" s="54">
        <v>0</v>
      </c>
      <c r="F155" s="54">
        <f t="shared" si="12"/>
        <v>271.61877600000003</v>
      </c>
      <c r="G155" s="193"/>
      <c r="H155" s="194"/>
      <c r="I155" s="35"/>
      <c r="L155" s="178"/>
      <c r="M155" s="178"/>
      <c r="N155" s="35"/>
    </row>
    <row r="156" spans="1:14" s="55" customFormat="1" ht="15.75" customHeight="1" x14ac:dyDescent="0.35">
      <c r="A156" s="116">
        <f t="shared" si="9"/>
        <v>13</v>
      </c>
      <c r="B156" s="117"/>
      <c r="C156" s="54" t="s">
        <v>203</v>
      </c>
      <c r="D156" s="59">
        <f>(16.28)*(10.764)</f>
        <v>175.23792</v>
      </c>
      <c r="E156" s="54">
        <v>0</v>
      </c>
      <c r="F156" s="54">
        <f t="shared" ref="F156:F157" si="13">(D156+E156)*(($F$125)+1)</f>
        <v>271.61877600000003</v>
      </c>
      <c r="G156" s="193"/>
      <c r="H156" s="194"/>
      <c r="I156" s="35"/>
      <c r="L156" s="178"/>
      <c r="M156" s="178"/>
      <c r="N156" s="35"/>
    </row>
    <row r="157" spans="1:14" s="55" customFormat="1" ht="15.75" customHeight="1" x14ac:dyDescent="0.35">
      <c r="A157" s="116">
        <f t="shared" si="9"/>
        <v>14</v>
      </c>
      <c r="B157" s="117"/>
      <c r="C157" s="54" t="s">
        <v>203</v>
      </c>
      <c r="D157" s="59">
        <f>(16.28)*(10.764)</f>
        <v>175.23792</v>
      </c>
      <c r="E157" s="54">
        <v>0</v>
      </c>
      <c r="F157" s="54">
        <f t="shared" si="13"/>
        <v>271.61877600000003</v>
      </c>
      <c r="G157" s="195"/>
      <c r="H157" s="196"/>
      <c r="I157" s="35"/>
      <c r="L157" s="178"/>
      <c r="M157" s="178"/>
      <c r="N157" s="35"/>
    </row>
    <row r="158" spans="1:14" s="55" customFormat="1" x14ac:dyDescent="0.35">
      <c r="A158" s="179" t="s">
        <v>225</v>
      </c>
      <c r="B158" s="180"/>
      <c r="C158" s="180"/>
      <c r="D158" s="180"/>
      <c r="E158" s="180"/>
      <c r="F158" s="180"/>
      <c r="G158" s="180"/>
      <c r="H158" s="181"/>
      <c r="J158" s="35"/>
    </row>
    <row r="159" spans="1:14" s="60" customFormat="1" x14ac:dyDescent="0.35">
      <c r="A159" s="179" t="s">
        <v>226</v>
      </c>
      <c r="B159" s="180"/>
      <c r="C159" s="180"/>
      <c r="D159" s="180"/>
      <c r="E159" s="180"/>
      <c r="F159" s="180"/>
      <c r="G159" s="180"/>
      <c r="H159" s="181"/>
      <c r="J159" s="35"/>
    </row>
    <row r="160" spans="1:14" s="55" customFormat="1" x14ac:dyDescent="0.35">
      <c r="A160" s="179" t="s">
        <v>201</v>
      </c>
      <c r="B160" s="180"/>
      <c r="C160" s="180"/>
      <c r="D160" s="180"/>
      <c r="E160" s="180"/>
      <c r="F160" s="180"/>
      <c r="G160" s="180"/>
      <c r="H160" s="181"/>
      <c r="J160" s="35"/>
    </row>
    <row r="161" spans="1:14" s="55" customFormat="1" ht="15.75" customHeight="1" x14ac:dyDescent="0.35">
      <c r="A161" s="116">
        <v>15</v>
      </c>
      <c r="B161" s="117"/>
      <c r="C161" s="54" t="s">
        <v>198</v>
      </c>
      <c r="D161" s="59">
        <f>(10.06)*(10.764)</f>
        <v>108.28583999999999</v>
      </c>
      <c r="E161" s="59">
        <f>(1.2*2.28)*(10.764)</f>
        <v>29.450303999999996</v>
      </c>
      <c r="F161" s="54">
        <f t="shared" ref="F161:F163" si="14">(D161+E161)*(($F$125)+1)</f>
        <v>213.4910232</v>
      </c>
      <c r="G161" s="193" t="str">
        <f>A160</f>
        <v>Ground Floor For Entrance Lobby, Fitness Center, Club House, Meter Room</v>
      </c>
      <c r="H161" s="194"/>
      <c r="I161" s="35"/>
      <c r="L161" s="178"/>
      <c r="M161" s="178"/>
      <c r="N161" s="35"/>
    </row>
    <row r="162" spans="1:14" s="55" customFormat="1" ht="15.75" customHeight="1" x14ac:dyDescent="0.35">
      <c r="A162" s="116">
        <f t="shared" ref="A162:A167" si="15">A161+1</f>
        <v>16</v>
      </c>
      <c r="B162" s="117"/>
      <c r="C162" s="54" t="s">
        <v>198</v>
      </c>
      <c r="D162" s="59">
        <f>(13.47)*(10.764)</f>
        <v>144.99108000000001</v>
      </c>
      <c r="E162" s="59">
        <f>(1.2*3.05)*(10.764)</f>
        <v>39.396239999999992</v>
      </c>
      <c r="F162" s="54">
        <f t="shared" si="14"/>
        <v>285.80034599999999</v>
      </c>
      <c r="G162" s="193" t="str">
        <f t="shared" ref="G162:G167" si="16">G161</f>
        <v>Ground Floor For Entrance Lobby, Fitness Center, Club House, Meter Room</v>
      </c>
      <c r="H162" s="194"/>
      <c r="I162" s="35"/>
      <c r="L162" s="178"/>
      <c r="M162" s="178"/>
      <c r="N162" s="35"/>
    </row>
    <row r="163" spans="1:14" s="55" customFormat="1" ht="15.75" customHeight="1" x14ac:dyDescent="0.35">
      <c r="A163" s="116">
        <f t="shared" si="15"/>
        <v>17</v>
      </c>
      <c r="B163" s="117"/>
      <c r="C163" s="54" t="s">
        <v>198</v>
      </c>
      <c r="D163" s="59">
        <f>(17.45)*(10.764)</f>
        <v>187.83179999999999</v>
      </c>
      <c r="E163" s="59">
        <f>(1.2*3.95)*(10.764)</f>
        <v>51.021360000000001</v>
      </c>
      <c r="F163" s="54">
        <f t="shared" si="14"/>
        <v>370.222398</v>
      </c>
      <c r="G163" s="193" t="str">
        <f t="shared" si="16"/>
        <v>Ground Floor For Entrance Lobby, Fitness Center, Club House, Meter Room</v>
      </c>
      <c r="H163" s="194"/>
      <c r="I163" s="35"/>
      <c r="L163" s="178"/>
      <c r="M163" s="178"/>
      <c r="N163" s="35"/>
    </row>
    <row r="164" spans="1:14" s="55" customFormat="1" x14ac:dyDescent="0.35">
      <c r="A164" s="116">
        <f t="shared" si="15"/>
        <v>18</v>
      </c>
      <c r="B164" s="117"/>
      <c r="C164" s="54" t="s">
        <v>198</v>
      </c>
      <c r="D164" s="59">
        <f>(12.8)*(10.764)</f>
        <v>137.7792</v>
      </c>
      <c r="E164" s="59">
        <f>(1.2*2.9)*(10.764)</f>
        <v>37.45872</v>
      </c>
      <c r="F164" s="54">
        <f>(D164+E164)*(($F$125)+1)</f>
        <v>271.61877600000003</v>
      </c>
      <c r="G164" s="193">
        <f>A163</f>
        <v>17</v>
      </c>
      <c r="H164" s="194"/>
      <c r="I164" s="35"/>
      <c r="L164" s="178"/>
      <c r="M164" s="178"/>
      <c r="N164" s="35"/>
    </row>
    <row r="165" spans="1:14" s="55" customFormat="1" x14ac:dyDescent="0.35">
      <c r="A165" s="116">
        <f t="shared" si="15"/>
        <v>19</v>
      </c>
      <c r="B165" s="117"/>
      <c r="C165" s="54" t="s">
        <v>198</v>
      </c>
      <c r="D165" s="59">
        <f>(12.8)*(10.764)</f>
        <v>137.7792</v>
      </c>
      <c r="E165" s="59">
        <f>(1.2*2.9)*(10.764)</f>
        <v>37.45872</v>
      </c>
      <c r="F165" s="54">
        <f t="shared" ref="F165:F167" si="17">(D165+E165)*(($F$125)+1)</f>
        <v>271.61877600000003</v>
      </c>
      <c r="G165" s="193">
        <f t="shared" si="16"/>
        <v>17</v>
      </c>
      <c r="H165" s="194"/>
      <c r="I165" s="35"/>
      <c r="L165" s="178"/>
      <c r="M165" s="178"/>
      <c r="N165" s="35"/>
    </row>
    <row r="166" spans="1:14" s="55" customFormat="1" x14ac:dyDescent="0.35">
      <c r="A166" s="116">
        <f t="shared" si="15"/>
        <v>20</v>
      </c>
      <c r="B166" s="117"/>
      <c r="C166" s="54" t="s">
        <v>198</v>
      </c>
      <c r="D166" s="59">
        <f>(10.72)*(10.764)</f>
        <v>115.39008</v>
      </c>
      <c r="E166" s="59">
        <f>(1.2*2.43)*(10.764)</f>
        <v>31.387823999999998</v>
      </c>
      <c r="F166" s="54">
        <f t="shared" si="17"/>
        <v>227.50575120000002</v>
      </c>
      <c r="G166" s="193">
        <f t="shared" si="16"/>
        <v>17</v>
      </c>
      <c r="H166" s="194"/>
      <c r="I166" s="35"/>
      <c r="L166" s="178"/>
      <c r="M166" s="178"/>
      <c r="N166" s="35"/>
    </row>
    <row r="167" spans="1:14" s="55" customFormat="1" x14ac:dyDescent="0.35">
      <c r="A167" s="116">
        <f t="shared" si="15"/>
        <v>21</v>
      </c>
      <c r="B167" s="117"/>
      <c r="C167" s="54" t="s">
        <v>198</v>
      </c>
      <c r="D167" s="59">
        <f>(12.8)*(10.764)</f>
        <v>137.7792</v>
      </c>
      <c r="E167" s="59">
        <f>(1.2*2.9)*(10.764)</f>
        <v>37.45872</v>
      </c>
      <c r="F167" s="54">
        <f t="shared" si="17"/>
        <v>271.61877600000003</v>
      </c>
      <c r="G167" s="193">
        <f t="shared" si="16"/>
        <v>17</v>
      </c>
      <c r="H167" s="194"/>
      <c r="I167" s="35"/>
      <c r="L167" s="178"/>
      <c r="M167" s="178"/>
      <c r="N167" s="35"/>
    </row>
    <row r="168" spans="1:14" s="55" customFormat="1" x14ac:dyDescent="0.35">
      <c r="A168" s="179" t="s">
        <v>202</v>
      </c>
      <c r="B168" s="180"/>
      <c r="C168" s="180"/>
      <c r="D168" s="180"/>
      <c r="E168" s="180"/>
      <c r="F168" s="180"/>
      <c r="G168" s="180"/>
      <c r="H168" s="181"/>
      <c r="J168" s="35"/>
    </row>
    <row r="169" spans="1:14" s="55" customFormat="1" x14ac:dyDescent="0.35">
      <c r="A169" s="116">
        <v>15</v>
      </c>
      <c r="B169" s="117"/>
      <c r="C169" s="54" t="s">
        <v>203</v>
      </c>
      <c r="D169" s="59">
        <f>(10.06)*(10.764)</f>
        <v>108.28583999999999</v>
      </c>
      <c r="E169" s="54">
        <v>0</v>
      </c>
      <c r="F169" s="54">
        <f>(D169+E169)*(($F$125)+1)</f>
        <v>167.843052</v>
      </c>
      <c r="G169" s="191" t="str">
        <f>A168</f>
        <v>1st Floor For Part Commercial</v>
      </c>
      <c r="H169" s="192"/>
      <c r="I169" s="35"/>
      <c r="L169" s="178"/>
      <c r="M169" s="178"/>
      <c r="N169" s="35"/>
    </row>
    <row r="170" spans="1:14" s="55" customFormat="1" x14ac:dyDescent="0.35">
      <c r="A170" s="116">
        <f t="shared" ref="A170:A175" si="18">A169+1</f>
        <v>16</v>
      </c>
      <c r="B170" s="117"/>
      <c r="C170" s="54" t="s">
        <v>203</v>
      </c>
      <c r="D170" s="59">
        <f>(13.47)*(10.764)</f>
        <v>144.99108000000001</v>
      </c>
      <c r="E170" s="54">
        <v>0</v>
      </c>
      <c r="F170" s="54">
        <f t="shared" ref="F170:F172" si="19">(D170+E170)*(($F$125)+1)</f>
        <v>224.73617400000003</v>
      </c>
      <c r="G170" s="193"/>
      <c r="H170" s="194"/>
      <c r="I170" s="35"/>
      <c r="L170" s="178"/>
      <c r="M170" s="178"/>
      <c r="N170" s="35"/>
    </row>
    <row r="171" spans="1:14" s="55" customFormat="1" x14ac:dyDescent="0.35">
      <c r="A171" s="116">
        <f t="shared" si="18"/>
        <v>17</v>
      </c>
      <c r="B171" s="117"/>
      <c r="C171" s="54" t="s">
        <v>203</v>
      </c>
      <c r="D171" s="59">
        <f>(17.45)*(10.764)</f>
        <v>187.83179999999999</v>
      </c>
      <c r="E171" s="54">
        <v>0</v>
      </c>
      <c r="F171" s="54">
        <f t="shared" si="19"/>
        <v>291.13928999999996</v>
      </c>
      <c r="G171" s="193"/>
      <c r="H171" s="194"/>
      <c r="I171" s="35"/>
      <c r="L171" s="178"/>
      <c r="M171" s="178"/>
      <c r="N171" s="35"/>
    </row>
    <row r="172" spans="1:14" s="55" customFormat="1" x14ac:dyDescent="0.35">
      <c r="A172" s="116">
        <f t="shared" si="18"/>
        <v>18</v>
      </c>
      <c r="B172" s="117"/>
      <c r="C172" s="54" t="s">
        <v>203</v>
      </c>
      <c r="D172" s="59">
        <f>(12.8)*(10.764)</f>
        <v>137.7792</v>
      </c>
      <c r="E172" s="54">
        <v>0</v>
      </c>
      <c r="F172" s="54">
        <f t="shared" si="19"/>
        <v>213.55776</v>
      </c>
      <c r="G172" s="193"/>
      <c r="H172" s="194"/>
      <c r="I172" s="35"/>
      <c r="L172" s="178"/>
      <c r="M172" s="178"/>
      <c r="N172" s="35"/>
    </row>
    <row r="173" spans="1:14" s="55" customFormat="1" x14ac:dyDescent="0.35">
      <c r="A173" s="116">
        <f t="shared" si="18"/>
        <v>19</v>
      </c>
      <c r="B173" s="117"/>
      <c r="C173" s="54" t="s">
        <v>203</v>
      </c>
      <c r="D173" s="59">
        <f>(12.8)*(10.764)</f>
        <v>137.7792</v>
      </c>
      <c r="E173" s="54">
        <v>0</v>
      </c>
      <c r="F173" s="54">
        <f>(D173+E173)*(($F$125)+1)</f>
        <v>213.55776</v>
      </c>
      <c r="G173" s="193"/>
      <c r="H173" s="194"/>
      <c r="I173" s="35"/>
      <c r="L173" s="178"/>
      <c r="M173" s="178"/>
      <c r="N173" s="35"/>
    </row>
    <row r="174" spans="1:14" s="55" customFormat="1" x14ac:dyDescent="0.35">
      <c r="A174" s="116">
        <f t="shared" si="18"/>
        <v>20</v>
      </c>
      <c r="B174" s="117"/>
      <c r="C174" s="54" t="s">
        <v>203</v>
      </c>
      <c r="D174" s="59">
        <f>(10.72)*(10.764)</f>
        <v>115.39008</v>
      </c>
      <c r="E174" s="54">
        <v>0</v>
      </c>
      <c r="F174" s="54">
        <f t="shared" ref="F174:F175" si="20">(D174+E174)*(($F$125)+1)</f>
        <v>178.854624</v>
      </c>
      <c r="G174" s="193"/>
      <c r="H174" s="194"/>
      <c r="I174" s="35"/>
      <c r="L174" s="178"/>
      <c r="M174" s="178"/>
      <c r="N174" s="35"/>
    </row>
    <row r="175" spans="1:14" s="55" customFormat="1" x14ac:dyDescent="0.35">
      <c r="A175" s="116">
        <f t="shared" si="18"/>
        <v>21</v>
      </c>
      <c r="B175" s="117"/>
      <c r="C175" s="54" t="s">
        <v>203</v>
      </c>
      <c r="D175" s="59">
        <f>(12.8)*(10.764)</f>
        <v>137.7792</v>
      </c>
      <c r="E175" s="54">
        <v>0</v>
      </c>
      <c r="F175" s="54">
        <f t="shared" si="20"/>
        <v>213.55776</v>
      </c>
      <c r="G175" s="195"/>
      <c r="H175" s="196"/>
      <c r="I175" s="35"/>
      <c r="L175" s="178"/>
      <c r="M175" s="178"/>
      <c r="N175" s="35"/>
    </row>
    <row r="176" spans="1:14" s="36" customFormat="1" x14ac:dyDescent="0.35">
      <c r="A176" s="190" t="s">
        <v>249</v>
      </c>
      <c r="B176" s="190"/>
      <c r="C176" s="190"/>
      <c r="D176" s="190"/>
      <c r="E176" s="190"/>
      <c r="F176" s="190"/>
      <c r="G176" s="190"/>
      <c r="H176" s="190"/>
      <c r="I176" s="35"/>
      <c r="N176" s="35"/>
    </row>
    <row r="177" spans="1:14" ht="47.25" customHeight="1" x14ac:dyDescent="0.35">
      <c r="A177" s="182" t="s">
        <v>123</v>
      </c>
      <c r="B177" s="182" t="s">
        <v>124</v>
      </c>
      <c r="C177" s="129" t="s">
        <v>58</v>
      </c>
      <c r="D177" s="129" t="s">
        <v>59</v>
      </c>
      <c r="E177" s="131" t="s">
        <v>60</v>
      </c>
      <c r="F177" s="42" t="s">
        <v>152</v>
      </c>
      <c r="G177" s="182" t="s">
        <v>61</v>
      </c>
      <c r="H177" s="183"/>
      <c r="I177" s="35"/>
    </row>
    <row r="178" spans="1:14" s="36" customFormat="1" x14ac:dyDescent="0.35">
      <c r="A178" s="184"/>
      <c r="B178" s="184"/>
      <c r="C178" s="130"/>
      <c r="D178" s="130"/>
      <c r="E178" s="132"/>
      <c r="F178" s="13">
        <v>0.5</v>
      </c>
      <c r="G178" s="184"/>
      <c r="H178" s="185"/>
      <c r="I178" s="35"/>
    </row>
    <row r="179" spans="1:14" s="55" customFormat="1" ht="15.75" customHeight="1" x14ac:dyDescent="0.35">
      <c r="A179" s="179" t="s">
        <v>227</v>
      </c>
      <c r="B179" s="180"/>
      <c r="C179" s="180"/>
      <c r="D179" s="180"/>
      <c r="E179" s="180"/>
      <c r="F179" s="180"/>
      <c r="G179" s="180"/>
      <c r="H179" s="181"/>
      <c r="J179" s="35"/>
    </row>
    <row r="180" spans="1:14" s="60" customFormat="1" ht="15.75" customHeight="1" x14ac:dyDescent="0.35">
      <c r="A180" s="179" t="s">
        <v>228</v>
      </c>
      <c r="B180" s="180"/>
      <c r="C180" s="180"/>
      <c r="D180" s="180"/>
      <c r="E180" s="180"/>
      <c r="F180" s="180"/>
      <c r="G180" s="180"/>
      <c r="H180" s="181"/>
      <c r="J180" s="35"/>
    </row>
    <row r="181" spans="1:14" s="36" customFormat="1" ht="15.75" customHeight="1" x14ac:dyDescent="0.35">
      <c r="A181" s="179" t="s">
        <v>205</v>
      </c>
      <c r="B181" s="180"/>
      <c r="C181" s="180"/>
      <c r="D181" s="180"/>
      <c r="E181" s="180"/>
      <c r="F181" s="180"/>
      <c r="G181" s="180"/>
      <c r="H181" s="181"/>
      <c r="J181" s="35"/>
    </row>
    <row r="182" spans="1:14" s="36" customFormat="1" ht="16.5" customHeight="1" x14ac:dyDescent="0.35">
      <c r="A182" s="116">
        <v>1</v>
      </c>
      <c r="B182" s="117"/>
      <c r="C182" s="41" t="s">
        <v>206</v>
      </c>
      <c r="D182" s="59">
        <f>(54.29+0.75*(3.05+2.28+2.9+2.9))*(10.764)</f>
        <v>674.23005000000001</v>
      </c>
      <c r="E182" s="41">
        <v>0</v>
      </c>
      <c r="F182" s="41">
        <f>D182*(($F$178)+1)+(IF(E182&lt;101,E182,IF(E182&lt;201,E182/2,IF(E182&lt;=301,E182/3,E182/4))))</f>
        <v>1011.345075</v>
      </c>
      <c r="G182" s="191" t="str">
        <f>A181</f>
        <v>1st Floor For Part Residential</v>
      </c>
      <c r="H182" s="192"/>
      <c r="I182" s="35">
        <f>3.05*4.28+2.28*2.6+2.9*3.05+2.9*3.5+2.13*0.6+2.13*1.23+1.39*0.6+2.28*1.23+1*5.7</f>
        <v>51.213300000000004</v>
      </c>
      <c r="K182" s="71">
        <f>6700*F182</f>
        <v>6776012.0024999995</v>
      </c>
      <c r="L182" s="178"/>
      <c r="M182" s="178"/>
      <c r="N182" s="35"/>
    </row>
    <row r="183" spans="1:14" s="36" customFormat="1" ht="15.75" customHeight="1" x14ac:dyDescent="0.35">
      <c r="A183" s="116">
        <f t="shared" ref="A183:A184" si="21">A182+1</f>
        <v>2</v>
      </c>
      <c r="B183" s="117"/>
      <c r="C183" s="41" t="s">
        <v>207</v>
      </c>
      <c r="D183" s="59">
        <f>(26.33+0.75*(3.05+2.3))*(10.764)</f>
        <v>326.60666999999995</v>
      </c>
      <c r="E183" s="41">
        <v>0</v>
      </c>
      <c r="F183" s="41">
        <f>D183*(($F$178)+1)+(IF(E183&lt;101,E183,IF(E183&lt;201,E183/2,IF(E183&lt;=301,E183/3,E183/4))))</f>
        <v>489.91000499999996</v>
      </c>
      <c r="G183" s="193"/>
      <c r="H183" s="194"/>
      <c r="I183" s="35"/>
      <c r="J183" s="35">
        <f>6500000/F183</f>
        <v>13267.742919436807</v>
      </c>
      <c r="K183" s="71">
        <f t="shared" ref="K183:K206" si="22">6700*F183</f>
        <v>3282397.0334999999</v>
      </c>
      <c r="L183" s="178"/>
      <c r="M183" s="178"/>
      <c r="N183" s="35"/>
    </row>
    <row r="184" spans="1:14" s="36" customFormat="1" ht="15.75" customHeight="1" x14ac:dyDescent="0.35">
      <c r="A184" s="116">
        <f t="shared" si="21"/>
        <v>3</v>
      </c>
      <c r="B184" s="117"/>
      <c r="C184" s="41" t="s">
        <v>208</v>
      </c>
      <c r="D184" s="59">
        <f>(21.34+0.75*(2.9+2.15))*(10.764)</f>
        <v>270.47240999999997</v>
      </c>
      <c r="E184" s="41">
        <v>0</v>
      </c>
      <c r="F184" s="41">
        <f>D184*(($F$178)+1)+(IF(E184&lt;101,E184,IF(E184&lt;201,E184/2,IF(E184&lt;=301,E184/3,E184/4))))</f>
        <v>405.70861499999995</v>
      </c>
      <c r="G184" s="195"/>
      <c r="H184" s="196"/>
      <c r="I184" s="35">
        <f>2.9*4.05+2.15*2.75+1.8*1.4</f>
        <v>20.177499999999998</v>
      </c>
      <c r="K184" s="71">
        <f t="shared" si="22"/>
        <v>2718247.7204999998</v>
      </c>
      <c r="L184" s="178"/>
      <c r="M184" s="178"/>
      <c r="N184" s="35"/>
    </row>
    <row r="185" spans="1:14" s="36" customFormat="1" x14ac:dyDescent="0.35">
      <c r="A185" s="114" t="s">
        <v>209</v>
      </c>
      <c r="B185" s="114"/>
      <c r="C185" s="114"/>
      <c r="D185" s="114"/>
      <c r="E185" s="114"/>
      <c r="F185" s="114"/>
      <c r="G185" s="114"/>
      <c r="H185" s="114"/>
      <c r="I185" s="35"/>
      <c r="K185" s="65">
        <f t="shared" si="22"/>
        <v>0</v>
      </c>
      <c r="L185" s="178"/>
      <c r="M185" s="178"/>
    </row>
    <row r="186" spans="1:14" s="36" customFormat="1" ht="15.75" customHeight="1" x14ac:dyDescent="0.35">
      <c r="A186" s="128">
        <v>1</v>
      </c>
      <c r="B186" s="128"/>
      <c r="C186" s="41" t="s">
        <v>206</v>
      </c>
      <c r="D186" s="59">
        <f>(54.29+0.75*(3.05+2.28+2.9+2.9))*(10.764)</f>
        <v>674.23005000000001</v>
      </c>
      <c r="E186" s="41">
        <v>0</v>
      </c>
      <c r="F186" s="41">
        <f t="shared" ref="F186:F187" si="23">D186*(($F$178)+1)+(IF(E186&lt;101,E186,IF(E186&lt;201,E186/2,IF(E186&lt;=301,E186/3,E186/4))))</f>
        <v>1011.345075</v>
      </c>
      <c r="G186" s="191" t="str">
        <f>A185</f>
        <v>2nd to 7th &amp; 9th Floor For Residential</v>
      </c>
      <c r="H186" s="192"/>
      <c r="I186" s="35"/>
      <c r="J186" s="35">
        <f>7500000/F186</f>
        <v>7415.8664390588947</v>
      </c>
      <c r="K186" s="65">
        <f t="shared" si="22"/>
        <v>6776012.0024999995</v>
      </c>
      <c r="N186" s="35"/>
    </row>
    <row r="187" spans="1:14" s="36" customFormat="1" ht="15.75" customHeight="1" x14ac:dyDescent="0.35">
      <c r="A187" s="128">
        <f>A186+1</f>
        <v>2</v>
      </c>
      <c r="B187" s="128"/>
      <c r="C187" s="54" t="s">
        <v>207</v>
      </c>
      <c r="D187" s="59">
        <f>(26.33+0.75*(3.05+2.3))*(10.764)</f>
        <v>326.60666999999995</v>
      </c>
      <c r="E187" s="41">
        <v>0</v>
      </c>
      <c r="F187" s="41">
        <f t="shared" si="23"/>
        <v>489.91000499999996</v>
      </c>
      <c r="G187" s="193"/>
      <c r="H187" s="194"/>
      <c r="I187" s="35"/>
      <c r="K187" s="65">
        <f t="shared" si="22"/>
        <v>3282397.0334999999</v>
      </c>
      <c r="N187" s="35"/>
    </row>
    <row r="188" spans="1:14" s="36" customFormat="1" ht="15.75" customHeight="1" x14ac:dyDescent="0.35">
      <c r="A188" s="128">
        <f>A187+1</f>
        <v>3</v>
      </c>
      <c r="B188" s="128"/>
      <c r="C188" s="54" t="s">
        <v>207</v>
      </c>
      <c r="D188" s="59">
        <f>(35.56+0.75*(2.9+2.15+2.75))*(10.764)</f>
        <v>445.73723999999999</v>
      </c>
      <c r="E188" s="41">
        <v>0</v>
      </c>
      <c r="F188" s="41">
        <f>D188*(($F$178)+1)+(IF(E188&lt;101,E188,IF(E188&lt;201,E188/2,IF(E188&lt;=301,E188/3,E188/4))))</f>
        <v>668.60586000000001</v>
      </c>
      <c r="G188" s="193"/>
      <c r="H188" s="194"/>
      <c r="I188" s="35"/>
      <c r="K188" s="71">
        <f t="shared" si="22"/>
        <v>4479659.2620000001</v>
      </c>
      <c r="N188" s="35"/>
    </row>
    <row r="189" spans="1:14" s="36" customFormat="1" ht="15.75" customHeight="1" x14ac:dyDescent="0.35">
      <c r="A189" s="128">
        <f>A188+1</f>
        <v>4</v>
      </c>
      <c r="B189" s="128"/>
      <c r="C189" s="54" t="s">
        <v>207</v>
      </c>
      <c r="D189" s="59">
        <f>(36.3+0.75*(2.9+2.43+2.9))*(10.764)</f>
        <v>457.17398999999995</v>
      </c>
      <c r="E189" s="41">
        <v>0</v>
      </c>
      <c r="F189" s="41">
        <f>D189*(($F$178)+1)+(IF(E189&lt;101,E189,IF(E189&lt;201,E189/2,IF(E189&lt;=301,E189/3,E189/4))))</f>
        <v>685.76098499999989</v>
      </c>
      <c r="G189" s="193"/>
      <c r="H189" s="194"/>
      <c r="I189" s="35"/>
      <c r="K189" s="65">
        <f t="shared" si="22"/>
        <v>4594598.5994999995</v>
      </c>
      <c r="N189" s="35"/>
    </row>
    <row r="190" spans="1:14" s="36" customFormat="1" ht="15.75" customHeight="1" x14ac:dyDescent="0.35">
      <c r="A190" s="128">
        <f>A189+1</f>
        <v>5</v>
      </c>
      <c r="B190" s="128"/>
      <c r="C190" s="54" t="s">
        <v>207</v>
      </c>
      <c r="D190" s="59">
        <f>(36.3+0.75*(2.9+2.43+2.9))*(10.764)</f>
        <v>457.17398999999995</v>
      </c>
      <c r="E190" s="41">
        <v>0</v>
      </c>
      <c r="F190" s="41">
        <f>D190*(($F$178)+1)+(IF(E190&lt;101,E190,IF(E190&lt;201,E190/2,IF(E190&lt;=301,E190/3,E190/4))))</f>
        <v>685.76098499999989</v>
      </c>
      <c r="G190" s="193"/>
      <c r="H190" s="194"/>
      <c r="I190" s="35"/>
      <c r="K190" s="65">
        <f t="shared" si="22"/>
        <v>4594598.5994999995</v>
      </c>
      <c r="N190" s="35"/>
    </row>
    <row r="191" spans="1:14" s="55" customFormat="1" ht="15.75" customHeight="1" x14ac:dyDescent="0.35">
      <c r="A191" s="128">
        <f>A190+1</f>
        <v>6</v>
      </c>
      <c r="B191" s="128"/>
      <c r="C191" s="54" t="s">
        <v>206</v>
      </c>
      <c r="D191" s="59">
        <f>(54.29+0.75*(3.05+2.28+2.9+2.9))*(10.764)</f>
        <v>674.23005000000001</v>
      </c>
      <c r="E191" s="54">
        <v>0</v>
      </c>
      <c r="F191" s="54">
        <f>D191*(($F$178)+1)+(IF(E191&lt;101,E191,IF(E191&lt;201,E191/2,IF(E191&lt;=301,E191/3,E191/4))))</f>
        <v>1011.345075</v>
      </c>
      <c r="G191" s="195"/>
      <c r="H191" s="196"/>
      <c r="I191" s="35"/>
      <c r="K191" s="71">
        <f t="shared" si="22"/>
        <v>6776012.0024999995</v>
      </c>
      <c r="N191" s="35"/>
    </row>
    <row r="192" spans="1:14" s="55" customFormat="1" ht="15.75" customHeight="1" x14ac:dyDescent="0.35">
      <c r="A192" s="179" t="s">
        <v>210</v>
      </c>
      <c r="B192" s="180"/>
      <c r="C192" s="180"/>
      <c r="D192" s="180"/>
      <c r="E192" s="180"/>
      <c r="F192" s="180"/>
      <c r="G192" s="180"/>
      <c r="H192" s="181"/>
      <c r="I192" s="35"/>
      <c r="K192" s="65">
        <f t="shared" si="22"/>
        <v>0</v>
      </c>
    </row>
    <row r="193" spans="1:14" s="55" customFormat="1" x14ac:dyDescent="0.35">
      <c r="A193" s="116">
        <v>1</v>
      </c>
      <c r="B193" s="117"/>
      <c r="C193" s="54" t="s">
        <v>206</v>
      </c>
      <c r="D193" s="59">
        <f>(54.29+0.75*(3.05+2.28+2.9+2.9))*(10.764)</f>
        <v>674.23005000000001</v>
      </c>
      <c r="E193" s="54">
        <v>0</v>
      </c>
      <c r="F193" s="54">
        <f>D193*(($F$178)+1)+(IF(E193&lt;101,E193,IF(E193&lt;201,E193/2,IF(E193&lt;=301,E193/3,E193/4))))</f>
        <v>1011.345075</v>
      </c>
      <c r="G193" s="191" t="str">
        <f>A192</f>
        <v>8th Floor (Refuge Area Provided)</v>
      </c>
      <c r="H193" s="192"/>
      <c r="I193" s="35"/>
      <c r="J193" s="55">
        <f>5900000/F189</f>
        <v>8603.5807359323608</v>
      </c>
      <c r="K193" s="65">
        <f t="shared" si="22"/>
        <v>6776012.0024999995</v>
      </c>
    </row>
    <row r="194" spans="1:14" s="55" customFormat="1" x14ac:dyDescent="0.35">
      <c r="A194" s="116">
        <f>A193+1</f>
        <v>2</v>
      </c>
      <c r="B194" s="117"/>
      <c r="C194" s="54" t="s">
        <v>207</v>
      </c>
      <c r="D194" s="59">
        <f>(26.33+0.75*(3.05+2.3))*(10.764)</f>
        <v>326.60666999999995</v>
      </c>
      <c r="E194" s="54">
        <v>0</v>
      </c>
      <c r="F194" s="54">
        <f>D194*(($F$178)+1)+(IF(E194&lt;101,E194,IF(E194&lt;201,E194/2,IF(E194&lt;=301,E194/3,E194/4))))</f>
        <v>489.91000499999996</v>
      </c>
      <c r="G194" s="193"/>
      <c r="H194" s="194"/>
      <c r="I194" s="35"/>
      <c r="K194" s="65">
        <f t="shared" si="22"/>
        <v>3282397.0334999999</v>
      </c>
    </row>
    <row r="195" spans="1:14" s="55" customFormat="1" ht="15.75" customHeight="1" x14ac:dyDescent="0.35">
      <c r="A195" s="116">
        <f t="shared" ref="A195:A197" si="24">A194+1</f>
        <v>3</v>
      </c>
      <c r="B195" s="117"/>
      <c r="C195" s="54" t="s">
        <v>207</v>
      </c>
      <c r="D195" s="59">
        <f>(35.56+0.75*(2.9+2.15+2.75))*(10.764)</f>
        <v>445.73723999999999</v>
      </c>
      <c r="E195" s="54">
        <v>0</v>
      </c>
      <c r="F195" s="54">
        <f>D195*(($F$178)+1)+(IF(E195&lt;101,E195,IF(E195&lt;201,E195/2,IF(E195&lt;=301,E195/3,E195/4))))</f>
        <v>668.60586000000001</v>
      </c>
      <c r="G195" s="193"/>
      <c r="H195" s="194"/>
      <c r="I195" s="35"/>
      <c r="K195" s="65">
        <f t="shared" si="22"/>
        <v>4479659.2620000001</v>
      </c>
    </row>
    <row r="196" spans="1:14" s="55" customFormat="1" ht="15.75" customHeight="1" x14ac:dyDescent="0.35">
      <c r="A196" s="116">
        <f t="shared" si="24"/>
        <v>4</v>
      </c>
      <c r="B196" s="117"/>
      <c r="C196" s="54" t="s">
        <v>208</v>
      </c>
      <c r="D196" s="59">
        <f>(24.8+0.75*(2.43+2.9+1.5))*(10.764)</f>
        <v>322.08578999999997</v>
      </c>
      <c r="E196" s="54">
        <v>0</v>
      </c>
      <c r="F196" s="54">
        <f>D196*(($F$178)+1)+(IF(E196&lt;101,E196,IF(E196&lt;201,E196/2,IF(E196&lt;=301,E196/3,E196/4))))</f>
        <v>483.12868499999996</v>
      </c>
      <c r="G196" s="193"/>
      <c r="H196" s="194"/>
      <c r="I196" s="35"/>
      <c r="K196" s="65">
        <f t="shared" si="22"/>
        <v>3236962.1894999999</v>
      </c>
    </row>
    <row r="197" spans="1:14" s="55" customFormat="1" ht="15.75" customHeight="1" x14ac:dyDescent="0.35">
      <c r="A197" s="116">
        <f t="shared" si="24"/>
        <v>5</v>
      </c>
      <c r="B197" s="117"/>
      <c r="C197" s="54" t="s">
        <v>208</v>
      </c>
      <c r="D197" s="59">
        <f>(22.94+0.75*(2.9+2.9))*(10.764)</f>
        <v>293.74955999999997</v>
      </c>
      <c r="E197" s="54">
        <v>0</v>
      </c>
      <c r="F197" s="54">
        <f>D197*(($F$178)+1)+(IF(E197&lt;101,E197,IF(E197&lt;201,E197/2,IF(E197&lt;=301,E197/3,E197/4))))</f>
        <v>440.62433999999996</v>
      </c>
      <c r="G197" s="193"/>
      <c r="H197" s="194"/>
      <c r="I197" s="35"/>
      <c r="K197" s="65">
        <f t="shared" si="22"/>
        <v>2952183.0779999997</v>
      </c>
    </row>
    <row r="198" spans="1:14" s="55" customFormat="1" ht="15.75" customHeight="1" x14ac:dyDescent="0.35">
      <c r="A198" s="116" t="s">
        <v>211</v>
      </c>
      <c r="B198" s="117"/>
      <c r="C198" s="116" t="s">
        <v>212</v>
      </c>
      <c r="D198" s="197"/>
      <c r="E198" s="197"/>
      <c r="F198" s="117"/>
      <c r="G198" s="193"/>
      <c r="H198" s="194"/>
      <c r="I198" s="35"/>
      <c r="K198" s="65">
        <f t="shared" si="22"/>
        <v>0</v>
      </c>
    </row>
    <row r="199" spans="1:14" s="55" customFormat="1" ht="15.75" customHeight="1" x14ac:dyDescent="0.35">
      <c r="A199" s="116">
        <f>A197+1</f>
        <v>6</v>
      </c>
      <c r="B199" s="117"/>
      <c r="C199" s="54" t="s">
        <v>206</v>
      </c>
      <c r="D199" s="59">
        <f>(54.29+0.75*(3.05+2.28+2.9+2.9))*(10.764)</f>
        <v>674.23005000000001</v>
      </c>
      <c r="E199" s="54">
        <v>0</v>
      </c>
      <c r="F199" s="54">
        <f>D199*(($F$178)+1)+(IF(E199&lt;101,E199,IF(E199&lt;201,E199/2,IF(E199&lt;=301,E199/3,E199/4))))</f>
        <v>1011.345075</v>
      </c>
      <c r="G199" s="195"/>
      <c r="H199" s="196"/>
      <c r="I199" s="35"/>
      <c r="K199" s="65">
        <f t="shared" si="22"/>
        <v>6776012.0024999995</v>
      </c>
    </row>
    <row r="200" spans="1:14" s="55" customFormat="1" x14ac:dyDescent="0.35">
      <c r="A200" s="114" t="s">
        <v>213</v>
      </c>
      <c r="B200" s="114"/>
      <c r="C200" s="114"/>
      <c r="D200" s="114"/>
      <c r="E200" s="114"/>
      <c r="F200" s="114"/>
      <c r="G200" s="114"/>
      <c r="H200" s="114"/>
      <c r="I200" s="35"/>
      <c r="K200" s="65">
        <f t="shared" si="22"/>
        <v>0</v>
      </c>
      <c r="L200" s="178"/>
      <c r="M200" s="178"/>
    </row>
    <row r="201" spans="1:14" s="55" customFormat="1" ht="15.75" customHeight="1" x14ac:dyDescent="0.35">
      <c r="A201" s="128">
        <v>1</v>
      </c>
      <c r="B201" s="128"/>
      <c r="C201" s="54" t="s">
        <v>206</v>
      </c>
      <c r="D201" s="59">
        <f>(54.29+0.75*(3.05+2.28+2.9+2.9))*(10.764)</f>
        <v>674.23005000000001</v>
      </c>
      <c r="E201" s="54">
        <v>0</v>
      </c>
      <c r="F201" s="54">
        <f t="shared" ref="F201:F202" si="25">D201*(($F$178)+1)+(IF(E201&lt;101,E201,IF(E201&lt;201,E201/2,IF(E201&lt;=301,E201/3,E201/4))))</f>
        <v>1011.345075</v>
      </c>
      <c r="G201" s="191" t="str">
        <f>A200</f>
        <v>10th Floor</v>
      </c>
      <c r="H201" s="192"/>
      <c r="I201" s="35"/>
      <c r="K201" s="65">
        <f t="shared" si="22"/>
        <v>6776012.0024999995</v>
      </c>
      <c r="N201" s="35"/>
    </row>
    <row r="202" spans="1:14" s="55" customFormat="1" ht="15.75" customHeight="1" x14ac:dyDescent="0.35">
      <c r="A202" s="128">
        <f>A201+1</f>
        <v>2</v>
      </c>
      <c r="B202" s="128"/>
      <c r="C202" s="54" t="s">
        <v>207</v>
      </c>
      <c r="D202" s="59">
        <f>(26.33+0.75*(3.05+2.3))*(10.764)</f>
        <v>326.60666999999995</v>
      </c>
      <c r="E202" s="54">
        <v>0</v>
      </c>
      <c r="F202" s="54">
        <f t="shared" si="25"/>
        <v>489.91000499999996</v>
      </c>
      <c r="G202" s="193"/>
      <c r="H202" s="194"/>
      <c r="I202" s="35"/>
      <c r="K202" s="65">
        <f t="shared" si="22"/>
        <v>3282397.0334999999</v>
      </c>
      <c r="N202" s="35"/>
    </row>
    <row r="203" spans="1:14" s="55" customFormat="1" ht="15.75" customHeight="1" x14ac:dyDescent="0.35">
      <c r="A203" s="128">
        <f>A202+1</f>
        <v>3</v>
      </c>
      <c r="B203" s="128"/>
      <c r="C203" s="54" t="s">
        <v>207</v>
      </c>
      <c r="D203" s="59">
        <f>(35.56+0.75*(2.9+2.15+2.75))*(10.764)</f>
        <v>445.73723999999999</v>
      </c>
      <c r="E203" s="54">
        <v>0</v>
      </c>
      <c r="F203" s="54">
        <f>D203*(($F$178)+1)+(IF(E203&lt;101,E203,IF(E203&lt;201,E203/2,IF(E203&lt;=301,E203/3,E203/4))))</f>
        <v>668.60586000000001</v>
      </c>
      <c r="G203" s="193"/>
      <c r="H203" s="194"/>
      <c r="I203" s="35"/>
      <c r="K203" s="65">
        <f t="shared" si="22"/>
        <v>4479659.2620000001</v>
      </c>
      <c r="N203" s="35"/>
    </row>
    <row r="204" spans="1:14" s="55" customFormat="1" ht="15.75" customHeight="1" x14ac:dyDescent="0.35">
      <c r="A204" s="128">
        <f>A203+1</f>
        <v>4</v>
      </c>
      <c r="B204" s="128"/>
      <c r="C204" s="54" t="s">
        <v>207</v>
      </c>
      <c r="D204" s="59">
        <f>(36.3+0.75*(2.9+2.43+2.9))*(10.764)</f>
        <v>457.17398999999995</v>
      </c>
      <c r="E204" s="54">
        <v>0</v>
      </c>
      <c r="F204" s="54">
        <f>D204*(($F$178)+1)+(IF(E204&lt;101,E204,IF(E204&lt;201,E204/2,IF(E204&lt;=301,E204/3,E204/4))))</f>
        <v>685.76098499999989</v>
      </c>
      <c r="G204" s="193"/>
      <c r="H204" s="194"/>
      <c r="I204" s="35"/>
      <c r="K204" s="65">
        <f t="shared" si="22"/>
        <v>4594598.5994999995</v>
      </c>
      <c r="N204" s="35"/>
    </row>
    <row r="205" spans="1:14" s="55" customFormat="1" ht="15.75" customHeight="1" x14ac:dyDescent="0.35">
      <c r="A205" s="128">
        <f>A204+1</f>
        <v>5</v>
      </c>
      <c r="B205" s="128"/>
      <c r="C205" s="54" t="s">
        <v>207</v>
      </c>
      <c r="D205" s="59">
        <f>(36.3+0.75*(2.9+2.43+2.9))*(10.764)</f>
        <v>457.17398999999995</v>
      </c>
      <c r="E205" s="54">
        <v>0</v>
      </c>
      <c r="F205" s="54">
        <f>D205*(($F$178)+1)+(IF(E205&lt;101,E205,IF(E205&lt;201,E205/2,IF(E205&lt;=301,E205/3,E205/4))))</f>
        <v>685.76098499999989</v>
      </c>
      <c r="G205" s="193"/>
      <c r="H205" s="194"/>
      <c r="I205" s="35"/>
      <c r="K205" s="65">
        <f t="shared" si="22"/>
        <v>4594598.5994999995</v>
      </c>
      <c r="N205" s="35"/>
    </row>
    <row r="206" spans="1:14" s="55" customFormat="1" ht="15.75" customHeight="1" x14ac:dyDescent="0.35">
      <c r="A206" s="128">
        <f>A205+1</f>
        <v>6</v>
      </c>
      <c r="B206" s="128"/>
      <c r="C206" s="54" t="s">
        <v>206</v>
      </c>
      <c r="D206" s="59">
        <f>(54.29+0.75*(3.05+2.28+2.9+2.9))*(10.764)</f>
        <v>674.23005000000001</v>
      </c>
      <c r="E206" s="54">
        <v>0</v>
      </c>
      <c r="F206" s="54">
        <f>D206*(($F$178)+1)+(IF(E206&lt;101,E206,IF(E206&lt;201,E206/2,IF(E206&lt;=301,E206/3,E206/4))))</f>
        <v>1011.345075</v>
      </c>
      <c r="G206" s="195"/>
      <c r="H206" s="196"/>
      <c r="I206" s="35"/>
      <c r="K206" s="65">
        <f t="shared" si="22"/>
        <v>6776012.0024999995</v>
      </c>
      <c r="N206" s="35"/>
    </row>
    <row r="207" spans="1:14" s="55" customFormat="1" ht="15.75" customHeight="1" x14ac:dyDescent="0.35">
      <c r="A207" s="179" t="s">
        <v>225</v>
      </c>
      <c r="B207" s="180"/>
      <c r="C207" s="180"/>
      <c r="D207" s="180"/>
      <c r="E207" s="180"/>
      <c r="F207" s="180"/>
      <c r="G207" s="180"/>
      <c r="H207" s="181"/>
      <c r="J207" s="35"/>
    </row>
    <row r="208" spans="1:14" s="60" customFormat="1" ht="15.75" customHeight="1" x14ac:dyDescent="0.35">
      <c r="A208" s="179" t="s">
        <v>226</v>
      </c>
      <c r="B208" s="180"/>
      <c r="C208" s="180"/>
      <c r="D208" s="180"/>
      <c r="E208" s="180"/>
      <c r="F208" s="180"/>
      <c r="G208" s="180"/>
      <c r="H208" s="181"/>
      <c r="J208" s="35"/>
    </row>
    <row r="209" spans="1:14" s="55" customFormat="1" ht="15.75" customHeight="1" x14ac:dyDescent="0.35">
      <c r="A209" s="179" t="s">
        <v>205</v>
      </c>
      <c r="B209" s="180"/>
      <c r="C209" s="180"/>
      <c r="D209" s="180"/>
      <c r="E209" s="180"/>
      <c r="F209" s="180"/>
      <c r="G209" s="180"/>
      <c r="H209" s="181"/>
      <c r="J209" s="35"/>
    </row>
    <row r="210" spans="1:14" s="55" customFormat="1" ht="15.75" customHeight="1" x14ac:dyDescent="0.35">
      <c r="A210" s="116">
        <v>1</v>
      </c>
      <c r="B210" s="117"/>
      <c r="C210" s="54" t="s">
        <v>207</v>
      </c>
      <c r="D210" s="59">
        <f>(35.56+0.75*(2.9+2.15+2.75))*(10.764)</f>
        <v>445.73723999999999</v>
      </c>
      <c r="E210" s="54">
        <v>0</v>
      </c>
      <c r="F210" s="54">
        <f>D210*(($F$178)+1)+(IF(E210&lt;101,E210,IF(E210&lt;201,E210/2,IF(E210&lt;=301,E210/3,E210/4))))</f>
        <v>668.60586000000001</v>
      </c>
      <c r="G210" s="191" t="str">
        <f>A209</f>
        <v>1st Floor For Part Residential</v>
      </c>
      <c r="H210" s="192"/>
      <c r="I210" s="35"/>
      <c r="L210" s="178"/>
      <c r="M210" s="178"/>
      <c r="N210" s="35"/>
    </row>
    <row r="211" spans="1:14" s="55" customFormat="1" ht="15.75" customHeight="1" x14ac:dyDescent="0.35">
      <c r="A211" s="116">
        <f t="shared" ref="A211:A212" si="26">A210+1</f>
        <v>2</v>
      </c>
      <c r="B211" s="117"/>
      <c r="C211" s="54" t="s">
        <v>207</v>
      </c>
      <c r="D211" s="59">
        <f>(26.33+0.75*(3.05+2.3))*(10.764)</f>
        <v>326.60666999999995</v>
      </c>
      <c r="E211" s="54">
        <v>0</v>
      </c>
      <c r="F211" s="54">
        <f>D211*(($F$178)+1)+(IF(E211&lt;101,E211,IF(E211&lt;201,E211/2,IF(E211&lt;=301,E211/3,E211/4))))</f>
        <v>489.91000499999996</v>
      </c>
      <c r="G211" s="193"/>
      <c r="H211" s="194"/>
      <c r="I211" s="35"/>
      <c r="L211" s="178"/>
      <c r="M211" s="178"/>
      <c r="N211" s="35"/>
    </row>
    <row r="212" spans="1:14" s="55" customFormat="1" ht="15.75" customHeight="1" x14ac:dyDescent="0.35">
      <c r="A212" s="116">
        <f t="shared" si="26"/>
        <v>3</v>
      </c>
      <c r="B212" s="117"/>
      <c r="C212" s="54" t="s">
        <v>206</v>
      </c>
      <c r="D212" s="59">
        <f>(54.29+0.75*(3.05+2.28+2.9+2.9))*(10.764)</f>
        <v>674.23005000000001</v>
      </c>
      <c r="E212" s="54">
        <v>0</v>
      </c>
      <c r="F212" s="54">
        <f>D212*(($F$178)+1)+(IF(E212&lt;101,E212,IF(E212&lt;201,E212/2,IF(E212&lt;=301,E212/3,E212/4))))</f>
        <v>1011.345075</v>
      </c>
      <c r="G212" s="195"/>
      <c r="H212" s="196"/>
      <c r="I212" s="35"/>
      <c r="L212" s="178"/>
      <c r="M212" s="178"/>
      <c r="N212" s="35"/>
    </row>
    <row r="213" spans="1:14" s="55" customFormat="1" x14ac:dyDescent="0.35">
      <c r="A213" s="114" t="s">
        <v>209</v>
      </c>
      <c r="B213" s="114"/>
      <c r="C213" s="114"/>
      <c r="D213" s="114"/>
      <c r="E213" s="114"/>
      <c r="F213" s="114"/>
      <c r="G213" s="114"/>
      <c r="H213" s="114"/>
      <c r="I213" s="35"/>
      <c r="L213" s="178"/>
      <c r="M213" s="178"/>
    </row>
    <row r="214" spans="1:14" s="55" customFormat="1" ht="15.75" customHeight="1" x14ac:dyDescent="0.35">
      <c r="A214" s="128">
        <v>1</v>
      </c>
      <c r="B214" s="128"/>
      <c r="C214" s="54" t="s">
        <v>206</v>
      </c>
      <c r="D214" s="59">
        <f>(54.29+0.75*(3.05+2.28+2.9+2.9))*(10.764)</f>
        <v>674.23005000000001</v>
      </c>
      <c r="E214" s="54">
        <v>0</v>
      </c>
      <c r="F214" s="54">
        <f t="shared" ref="F214:F215" si="27">D214*(($F$178)+1)+(IF(E214&lt;101,E214,IF(E214&lt;201,E214/2,IF(E214&lt;=301,E214/3,E214/4))))</f>
        <v>1011.345075</v>
      </c>
      <c r="G214" s="191" t="str">
        <f>A213</f>
        <v>2nd to 7th &amp; 9th Floor For Residential</v>
      </c>
      <c r="H214" s="192"/>
      <c r="I214" s="35"/>
      <c r="N214" s="35"/>
    </row>
    <row r="215" spans="1:14" s="55" customFormat="1" ht="15.75" customHeight="1" x14ac:dyDescent="0.35">
      <c r="A215" s="128">
        <f>A214+1</f>
        <v>2</v>
      </c>
      <c r="B215" s="128"/>
      <c r="C215" s="54" t="s">
        <v>207</v>
      </c>
      <c r="D215" s="59">
        <f>(36.3+0.75*(2.9+2.43+2.9))*(10.764)</f>
        <v>457.17398999999995</v>
      </c>
      <c r="E215" s="54">
        <v>0</v>
      </c>
      <c r="F215" s="54">
        <f t="shared" si="27"/>
        <v>685.76098499999989</v>
      </c>
      <c r="G215" s="193"/>
      <c r="H215" s="194"/>
      <c r="I215" s="35"/>
      <c r="N215" s="35"/>
    </row>
    <row r="216" spans="1:14" s="55" customFormat="1" ht="15.75" customHeight="1" x14ac:dyDescent="0.35">
      <c r="A216" s="128">
        <f>A215+1</f>
        <v>3</v>
      </c>
      <c r="B216" s="128"/>
      <c r="C216" s="54" t="s">
        <v>207</v>
      </c>
      <c r="D216" s="59">
        <f>(36.3+0.75*(2.9+2.43+2.9))*(10.764)</f>
        <v>457.17398999999995</v>
      </c>
      <c r="E216" s="54">
        <v>0</v>
      </c>
      <c r="F216" s="54">
        <f>D216*(($F$178)+1)+(IF(E216&lt;101,E216,IF(E216&lt;201,E216/2,IF(E216&lt;=301,E216/3,E216/4))))</f>
        <v>685.76098499999989</v>
      </c>
      <c r="G216" s="193"/>
      <c r="H216" s="194"/>
      <c r="I216" s="35"/>
      <c r="N216" s="35"/>
    </row>
    <row r="217" spans="1:14" s="55" customFormat="1" ht="15.75" customHeight="1" x14ac:dyDescent="0.35">
      <c r="A217" s="128">
        <f>A216+1</f>
        <v>4</v>
      </c>
      <c r="B217" s="128"/>
      <c r="C217" s="54" t="s">
        <v>207</v>
      </c>
      <c r="D217" s="59">
        <f>(35.56+0.75*(2.9+2.15+2.75))*(10.764)</f>
        <v>445.73723999999999</v>
      </c>
      <c r="E217" s="54">
        <v>0</v>
      </c>
      <c r="F217" s="54">
        <f>D217*(($F$178)+1)+(IF(E217&lt;101,E217,IF(E217&lt;201,E217/2,IF(E217&lt;=301,E217/3,E217/4))))</f>
        <v>668.60586000000001</v>
      </c>
      <c r="G217" s="193"/>
      <c r="H217" s="194"/>
      <c r="I217" s="35"/>
      <c r="N217" s="35"/>
    </row>
    <row r="218" spans="1:14" s="55" customFormat="1" ht="15.75" customHeight="1" x14ac:dyDescent="0.35">
      <c r="A218" s="128">
        <f>A217+1</f>
        <v>5</v>
      </c>
      <c r="B218" s="128"/>
      <c r="C218" s="54" t="s">
        <v>207</v>
      </c>
      <c r="D218" s="59">
        <f>(26.33+0.75*(3.05+2.3))*(10.764)</f>
        <v>326.60666999999995</v>
      </c>
      <c r="E218" s="54">
        <v>0</v>
      </c>
      <c r="F218" s="54">
        <f>D218*(($F$178)+1)+(IF(E218&lt;101,E218,IF(E218&lt;201,E218/2,IF(E218&lt;=301,E218/3,E218/4))))</f>
        <v>489.91000499999996</v>
      </c>
      <c r="G218" s="193"/>
      <c r="H218" s="194"/>
      <c r="I218" s="35"/>
      <c r="N218" s="35"/>
    </row>
    <row r="219" spans="1:14" s="55" customFormat="1" ht="15.75" customHeight="1" x14ac:dyDescent="0.35">
      <c r="A219" s="128">
        <f>A218+1</f>
        <v>6</v>
      </c>
      <c r="B219" s="128"/>
      <c r="C219" s="54" t="s">
        <v>206</v>
      </c>
      <c r="D219" s="59">
        <f>(54.29+0.75*(3.05+2.28+2.9+2.9))*(10.764)</f>
        <v>674.23005000000001</v>
      </c>
      <c r="E219" s="54">
        <v>0</v>
      </c>
      <c r="F219" s="54">
        <f>D219*(($F$178)+1)+(IF(E219&lt;101,E219,IF(E219&lt;201,E219/2,IF(E219&lt;=301,E219/3,E219/4))))</f>
        <v>1011.345075</v>
      </c>
      <c r="G219" s="195"/>
      <c r="H219" s="196"/>
      <c r="I219" s="35"/>
      <c r="N219" s="35"/>
    </row>
    <row r="220" spans="1:14" s="36" customFormat="1" ht="15.75" customHeight="1" x14ac:dyDescent="0.35">
      <c r="A220" s="179" t="s">
        <v>210</v>
      </c>
      <c r="B220" s="180"/>
      <c r="C220" s="180"/>
      <c r="D220" s="180"/>
      <c r="E220" s="180"/>
      <c r="F220" s="180"/>
      <c r="G220" s="180"/>
      <c r="H220" s="181"/>
      <c r="I220" s="35"/>
    </row>
    <row r="221" spans="1:14" s="36" customFormat="1" x14ac:dyDescent="0.35">
      <c r="A221" s="116">
        <v>1</v>
      </c>
      <c r="B221" s="117"/>
      <c r="C221" s="54" t="s">
        <v>206</v>
      </c>
      <c r="D221" s="59">
        <f>(54.29+0.75*(3.05+2.28+2.9+2.9))*(10.764)</f>
        <v>674.23005000000001</v>
      </c>
      <c r="E221" s="41">
        <v>0</v>
      </c>
      <c r="F221" s="41">
        <f>D221*(($F$178)+1)+(IF(E221&lt;101,E221,IF(E221&lt;201,E221/2,IF(E221&lt;=301,E221/3,E221/4))))</f>
        <v>1011.345075</v>
      </c>
      <c r="G221" s="191" t="str">
        <f>A220</f>
        <v>8th Floor (Refuge Area Provided)</v>
      </c>
      <c r="H221" s="192"/>
      <c r="I221" s="35"/>
    </row>
    <row r="222" spans="1:14" s="55" customFormat="1" x14ac:dyDescent="0.35">
      <c r="A222" s="116" t="s">
        <v>211</v>
      </c>
      <c r="B222" s="117"/>
      <c r="C222" s="116" t="s">
        <v>212</v>
      </c>
      <c r="D222" s="197"/>
      <c r="E222" s="197"/>
      <c r="F222" s="117"/>
      <c r="G222" s="193"/>
      <c r="H222" s="194"/>
      <c r="I222" s="35"/>
    </row>
    <row r="223" spans="1:14" s="36" customFormat="1" x14ac:dyDescent="0.35">
      <c r="A223" s="116">
        <f>A221+1</f>
        <v>2</v>
      </c>
      <c r="B223" s="117"/>
      <c r="C223" s="54" t="s">
        <v>208</v>
      </c>
      <c r="D223" s="59">
        <f>(22.94+0.75*(2.9+2.9))*(10.764)</f>
        <v>293.74955999999997</v>
      </c>
      <c r="E223" s="41">
        <v>0</v>
      </c>
      <c r="F223" s="41">
        <f>D223*(($F$178)+1)+(IF(E223&lt;101,E223,IF(E223&lt;201,E223/2,IF(E223&lt;=301,E223/3,E223/4))))</f>
        <v>440.62433999999996</v>
      </c>
      <c r="G223" s="193"/>
      <c r="H223" s="194"/>
      <c r="I223" s="35"/>
    </row>
    <row r="224" spans="1:14" s="36" customFormat="1" ht="15.75" customHeight="1" x14ac:dyDescent="0.35">
      <c r="A224" s="116">
        <f t="shared" ref="A224:A226" si="28">A223+1</f>
        <v>3</v>
      </c>
      <c r="B224" s="117"/>
      <c r="C224" s="54" t="s">
        <v>208</v>
      </c>
      <c r="D224" s="59">
        <f>(24.8+0.75*(2.43+2.9+1.5))*(10.764)</f>
        <v>322.08578999999997</v>
      </c>
      <c r="E224" s="41">
        <v>0</v>
      </c>
      <c r="F224" s="41">
        <f>D224*(($F$178)+1)+(IF(E224&lt;101,E224,IF(E224&lt;201,E224/2,IF(E224&lt;=301,E224/3,E224/4))))</f>
        <v>483.12868499999996</v>
      </c>
      <c r="G224" s="193"/>
      <c r="H224" s="194"/>
      <c r="I224" s="35"/>
    </row>
    <row r="225" spans="1:9" s="36" customFormat="1" ht="15.75" customHeight="1" x14ac:dyDescent="0.35">
      <c r="A225" s="116">
        <f t="shared" si="28"/>
        <v>4</v>
      </c>
      <c r="B225" s="117"/>
      <c r="C225" s="54" t="s">
        <v>207</v>
      </c>
      <c r="D225" s="59">
        <f>(35.56+0.75*(2.9+2.15+2.75))*(10.764)</f>
        <v>445.73723999999999</v>
      </c>
      <c r="E225" s="41">
        <v>0</v>
      </c>
      <c r="F225" s="41">
        <f>D225*(($F$178)+1)+(IF(E225&lt;101,E225,IF(E225&lt;201,E225/2,IF(E225&lt;=301,E225/3,E225/4))))</f>
        <v>668.60586000000001</v>
      </c>
      <c r="G225" s="193"/>
      <c r="H225" s="194"/>
      <c r="I225" s="35"/>
    </row>
    <row r="226" spans="1:9" s="36" customFormat="1" ht="15.75" customHeight="1" x14ac:dyDescent="0.35">
      <c r="A226" s="116">
        <f t="shared" si="28"/>
        <v>5</v>
      </c>
      <c r="B226" s="117"/>
      <c r="C226" s="54" t="s">
        <v>207</v>
      </c>
      <c r="D226" s="59">
        <f>(26.33+0.75*(3.05+2.3))*(10.764)</f>
        <v>326.60666999999995</v>
      </c>
      <c r="E226" s="41">
        <v>0</v>
      </c>
      <c r="F226" s="41">
        <f>D226*(($F$178)+1)+(IF(E226&lt;101,E226,IF(E226&lt;201,E226/2,IF(E226&lt;=301,E226/3,E226/4))))</f>
        <v>489.91000499999996</v>
      </c>
      <c r="G226" s="193"/>
      <c r="H226" s="194"/>
      <c r="I226" s="35"/>
    </row>
    <row r="227" spans="1:9" s="55" customFormat="1" ht="15.75" customHeight="1" x14ac:dyDescent="0.35">
      <c r="A227" s="116">
        <f t="shared" ref="A227" si="29">A226+1</f>
        <v>6</v>
      </c>
      <c r="B227" s="117"/>
      <c r="C227" s="54" t="s">
        <v>206</v>
      </c>
      <c r="D227" s="59">
        <f>(54.29+0.75*(3.05+2.28+2.9+2.9))*(10.764)</f>
        <v>674.23005000000001</v>
      </c>
      <c r="E227" s="54">
        <v>0</v>
      </c>
      <c r="F227" s="54">
        <f>D227*(($F$178)+1)+(IF(E227&lt;101,E227,IF(E227&lt;201,E227/2,IF(E227&lt;=301,E227/3,E227/4))))</f>
        <v>1011.345075</v>
      </c>
      <c r="G227" s="195"/>
      <c r="H227" s="196"/>
      <c r="I227" s="35"/>
    </row>
    <row r="228" spans="1:9" s="34" customFormat="1" x14ac:dyDescent="0.35">
      <c r="A228" s="200" t="s">
        <v>69</v>
      </c>
      <c r="B228" s="200"/>
      <c r="C228" s="200"/>
      <c r="D228" s="200"/>
      <c r="E228" s="200"/>
      <c r="F228" s="200"/>
      <c r="G228" s="200"/>
      <c r="H228" s="200"/>
    </row>
    <row r="229" spans="1:9" s="34" customFormat="1" x14ac:dyDescent="0.35">
      <c r="A229" s="45" t="s">
        <v>156</v>
      </c>
      <c r="B229" s="201" t="s">
        <v>253</v>
      </c>
      <c r="C229" s="202"/>
      <c r="D229" s="202"/>
      <c r="E229" s="202"/>
      <c r="F229" s="202"/>
      <c r="G229" s="202"/>
      <c r="H229" s="203"/>
    </row>
    <row r="230" spans="1:9" s="34" customFormat="1" x14ac:dyDescent="0.35">
      <c r="A230" s="45" t="s">
        <v>156</v>
      </c>
      <c r="B230" s="124" t="str">
        <f>(IF(F177="Saleable area Loading :","We have considered Saleable area of Flats as per our Calculation.","We considered Saleable area of Flat as per Builder area Sheet."))</f>
        <v>We have considered Saleable area of Flats as per our Calculation.</v>
      </c>
      <c r="C230" s="125"/>
      <c r="D230" s="125"/>
      <c r="E230" s="125"/>
      <c r="F230" s="125"/>
      <c r="G230" s="125"/>
      <c r="H230" s="126"/>
    </row>
    <row r="231" spans="1:9" s="34" customFormat="1" x14ac:dyDescent="0.35">
      <c r="A231" s="45" t="s">
        <v>156</v>
      </c>
      <c r="B231" s="124" t="str">
        <f>(IF(F124="Saleable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1" s="125"/>
      <c r="D231" s="125"/>
      <c r="E231" s="125"/>
      <c r="F231" s="125"/>
      <c r="G231" s="125"/>
      <c r="H231" s="126"/>
    </row>
    <row r="232" spans="1:9" s="34" customFormat="1" x14ac:dyDescent="0.35">
      <c r="A232" s="45" t="s">
        <v>156</v>
      </c>
      <c r="B232" s="121" t="s">
        <v>126</v>
      </c>
      <c r="C232" s="122"/>
      <c r="D232" s="122"/>
      <c r="E232" s="122"/>
      <c r="F232" s="122"/>
      <c r="G232" s="122"/>
      <c r="H232" s="123"/>
    </row>
    <row r="233" spans="1:9" s="34" customFormat="1" x14ac:dyDescent="0.35">
      <c r="A233" s="45" t="s">
        <v>156</v>
      </c>
      <c r="B233" s="121" t="s">
        <v>215</v>
      </c>
      <c r="C233" s="122"/>
      <c r="D233" s="122"/>
      <c r="E233" s="122"/>
      <c r="F233" s="122"/>
      <c r="G233" s="122"/>
      <c r="H233" s="123"/>
    </row>
    <row r="234" spans="1:9" s="34" customFormat="1" x14ac:dyDescent="0.35">
      <c r="A234" s="45" t="s">
        <v>156</v>
      </c>
      <c r="B234" s="121" t="s">
        <v>155</v>
      </c>
      <c r="C234" s="122"/>
      <c r="D234" s="122"/>
      <c r="E234" s="122"/>
      <c r="F234" s="122"/>
      <c r="G234" s="122"/>
      <c r="H234" s="123"/>
    </row>
    <row r="235" spans="1:9" s="34" customFormat="1" x14ac:dyDescent="0.35">
      <c r="A235" s="45" t="s">
        <v>156</v>
      </c>
      <c r="B235" s="121" t="s">
        <v>127</v>
      </c>
      <c r="C235" s="122"/>
      <c r="D235" s="122"/>
      <c r="E235" s="122"/>
      <c r="F235" s="122"/>
      <c r="G235" s="122"/>
      <c r="H235" s="123"/>
    </row>
    <row r="236" spans="1:9" s="34" customFormat="1" ht="32.15" customHeight="1" x14ac:dyDescent="0.35">
      <c r="A236" s="45" t="s">
        <v>156</v>
      </c>
      <c r="B236" s="121" t="s">
        <v>157</v>
      </c>
      <c r="C236" s="122"/>
      <c r="D236" s="122"/>
      <c r="E236" s="122"/>
      <c r="F236" s="122"/>
      <c r="G236" s="122"/>
      <c r="H236" s="123"/>
    </row>
    <row r="237" spans="1:9" s="34" customFormat="1" x14ac:dyDescent="0.35">
      <c r="A237" s="45" t="s">
        <v>156</v>
      </c>
      <c r="B237" s="121" t="s">
        <v>128</v>
      </c>
      <c r="C237" s="122"/>
      <c r="D237" s="122"/>
      <c r="E237" s="122"/>
      <c r="F237" s="122"/>
      <c r="G237" s="122"/>
      <c r="H237" s="123"/>
    </row>
    <row r="238" spans="1:9" s="34" customFormat="1" ht="31.5" hidden="1" customHeight="1" x14ac:dyDescent="0.35">
      <c r="A238" s="77" t="s">
        <v>156</v>
      </c>
      <c r="B238" s="133" t="s">
        <v>244</v>
      </c>
      <c r="C238" s="134"/>
      <c r="D238" s="134"/>
      <c r="E238" s="134"/>
      <c r="F238" s="134"/>
      <c r="G238" s="134"/>
      <c r="H238" s="135"/>
    </row>
    <row r="239" spans="1:9" s="34" customFormat="1" ht="32.15" customHeight="1" x14ac:dyDescent="0.35">
      <c r="A239" s="78" t="s">
        <v>156</v>
      </c>
      <c r="B239" s="133" t="s">
        <v>250</v>
      </c>
      <c r="C239" s="134"/>
      <c r="D239" s="134"/>
      <c r="E239" s="134"/>
      <c r="F239" s="134"/>
      <c r="G239" s="134"/>
      <c r="H239" s="135"/>
    </row>
    <row r="240" spans="1:9" x14ac:dyDescent="0.35">
      <c r="A240" s="118" t="s">
        <v>62</v>
      </c>
      <c r="B240" s="118"/>
      <c r="C240" s="118"/>
      <c r="D240" s="118"/>
      <c r="E240" s="118"/>
      <c r="F240" s="118"/>
      <c r="G240" s="118"/>
      <c r="H240" s="118"/>
    </row>
    <row r="241" spans="1:8" x14ac:dyDescent="0.35">
      <c r="A241" s="109" t="s">
        <v>63</v>
      </c>
      <c r="B241" s="109"/>
      <c r="C241" s="109"/>
      <c r="D241" s="109"/>
      <c r="E241" s="109"/>
      <c r="F241" s="109"/>
      <c r="G241" s="109"/>
      <c r="H241" s="109"/>
    </row>
    <row r="242" spans="1:8" ht="15.75" customHeight="1" x14ac:dyDescent="0.35">
      <c r="A242" s="127" t="s">
        <v>64</v>
      </c>
      <c r="B242" s="127"/>
      <c r="C242" s="127"/>
      <c r="D242" s="127"/>
      <c r="E242" s="127"/>
      <c r="F242" s="127"/>
      <c r="G242" s="127"/>
      <c r="H242" s="127"/>
    </row>
    <row r="243" spans="1:8" x14ac:dyDescent="0.35">
      <c r="A243" s="109" t="s">
        <v>65</v>
      </c>
      <c r="B243" s="109"/>
      <c r="C243" s="109"/>
      <c r="D243" s="109"/>
      <c r="E243" s="109"/>
      <c r="F243" s="109"/>
      <c r="G243" s="109"/>
      <c r="H243" s="109"/>
    </row>
    <row r="244" spans="1:8" x14ac:dyDescent="0.35">
      <c r="A244" s="109" t="s">
        <v>66</v>
      </c>
      <c r="B244" s="109"/>
      <c r="C244" s="109"/>
      <c r="D244" s="109"/>
      <c r="E244" s="109"/>
      <c r="F244" s="109"/>
      <c r="G244" s="109"/>
      <c r="H244" s="109"/>
    </row>
    <row r="245" spans="1:8" x14ac:dyDescent="0.35">
      <c r="A245" s="109" t="s">
        <v>129</v>
      </c>
      <c r="B245" s="109"/>
      <c r="C245" s="109"/>
      <c r="D245" s="109"/>
      <c r="E245" s="109"/>
      <c r="F245" s="109"/>
      <c r="G245" s="109"/>
      <c r="H245" s="109"/>
    </row>
    <row r="246" spans="1:8" x14ac:dyDescent="0.35">
      <c r="A246" s="110" t="s">
        <v>130</v>
      </c>
      <c r="B246" s="110"/>
      <c r="C246" s="110"/>
      <c r="D246" s="110"/>
      <c r="E246" s="110"/>
      <c r="F246" s="110"/>
      <c r="G246" s="110"/>
      <c r="H246" s="110"/>
    </row>
    <row r="247" spans="1:8" x14ac:dyDescent="0.35">
      <c r="A247" s="113" t="s">
        <v>79</v>
      </c>
      <c r="B247" s="113"/>
      <c r="C247" s="113" t="s">
        <v>252</v>
      </c>
      <c r="D247" s="113"/>
      <c r="E247" s="113" t="s">
        <v>108</v>
      </c>
      <c r="F247" s="113"/>
      <c r="G247" s="113" t="s">
        <v>251</v>
      </c>
      <c r="H247" s="113"/>
    </row>
    <row r="248" spans="1:8" x14ac:dyDescent="0.35">
      <c r="A248" s="112" t="s">
        <v>81</v>
      </c>
      <c r="B248" s="112"/>
      <c r="C248" s="112"/>
      <c r="D248" s="112"/>
      <c r="E248" s="112"/>
      <c r="F248" s="112"/>
      <c r="G248" s="112"/>
      <c r="H248" s="112"/>
    </row>
    <row r="249" spans="1:8" x14ac:dyDescent="0.35">
      <c r="A249" s="112"/>
      <c r="B249" s="112"/>
      <c r="C249" s="112"/>
      <c r="D249" s="112"/>
      <c r="E249" s="112"/>
      <c r="F249" s="112"/>
      <c r="G249" s="112"/>
      <c r="H249" s="112"/>
    </row>
    <row r="250" spans="1:8" x14ac:dyDescent="0.35">
      <c r="A250" s="112"/>
      <c r="B250" s="112"/>
      <c r="C250" s="112"/>
      <c r="D250" s="112"/>
      <c r="E250" s="112"/>
      <c r="F250" s="112"/>
      <c r="G250" s="112"/>
      <c r="H250" s="112"/>
    </row>
    <row r="251" spans="1:8" x14ac:dyDescent="0.35">
      <c r="A251" s="112"/>
      <c r="B251" s="112"/>
      <c r="C251" s="112"/>
      <c r="D251" s="112"/>
      <c r="E251" s="112"/>
      <c r="F251" s="112"/>
      <c r="G251" s="112"/>
      <c r="H251" s="112"/>
    </row>
    <row r="252" spans="1:8" x14ac:dyDescent="0.35">
      <c r="A252" s="37" t="s">
        <v>67</v>
      </c>
      <c r="B252" s="38"/>
      <c r="C252" s="38"/>
      <c r="D252" s="37" t="str">
        <f>E8</f>
        <v>Foresta</v>
      </c>
      <c r="F252" s="38"/>
      <c r="G252" s="38"/>
      <c r="H252" s="38"/>
    </row>
    <row r="253" spans="1:8" x14ac:dyDescent="0.35">
      <c r="A253" s="38"/>
      <c r="B253" s="38"/>
      <c r="C253" s="38"/>
      <c r="D253" s="38"/>
      <c r="E253" s="38"/>
      <c r="F253" s="38"/>
      <c r="G253" s="38"/>
      <c r="H253" s="38"/>
    </row>
    <row r="254" spans="1:8" x14ac:dyDescent="0.35">
      <c r="A254" s="38"/>
      <c r="B254" s="38"/>
      <c r="C254" s="38"/>
      <c r="D254" s="38"/>
      <c r="E254" s="38"/>
      <c r="F254" s="38"/>
      <c r="G254" s="38"/>
      <c r="H254" s="38"/>
    </row>
    <row r="255" spans="1:8" ht="15" customHeight="1" x14ac:dyDescent="0.35"/>
    <row r="276" spans="1:1" x14ac:dyDescent="0.35">
      <c r="A276" s="39" t="s">
        <v>242</v>
      </c>
    </row>
    <row r="295" spans="1:1" x14ac:dyDescent="0.35">
      <c r="A295" s="40" t="s">
        <v>166</v>
      </c>
    </row>
    <row r="333" spans="1:1" x14ac:dyDescent="0.35">
      <c r="A333" s="40" t="s">
        <v>68</v>
      </c>
    </row>
  </sheetData>
  <mergeCells count="455">
    <mergeCell ref="B238:H238"/>
    <mergeCell ref="A97:E97"/>
    <mergeCell ref="F97:H97"/>
    <mergeCell ref="C113:D113"/>
    <mergeCell ref="E113:F113"/>
    <mergeCell ref="G113:H113"/>
    <mergeCell ref="C114:D114"/>
    <mergeCell ref="E114:F114"/>
    <mergeCell ref="G114:H114"/>
    <mergeCell ref="G117:H117"/>
    <mergeCell ref="C117:D117"/>
    <mergeCell ref="G110:H110"/>
    <mergeCell ref="A105:E105"/>
    <mergeCell ref="C111:D111"/>
    <mergeCell ref="E111:F111"/>
    <mergeCell ref="F105:H105"/>
    <mergeCell ref="G121:H121"/>
    <mergeCell ref="A221:B221"/>
    <mergeCell ref="A120:B120"/>
    <mergeCell ref="E120:F120"/>
    <mergeCell ref="A127:H127"/>
    <mergeCell ref="A180:H180"/>
    <mergeCell ref="B236:H236"/>
    <mergeCell ref="B233:H233"/>
    <mergeCell ref="L213:M213"/>
    <mergeCell ref="A214:B214"/>
    <mergeCell ref="G214:H219"/>
    <mergeCell ref="A215:B215"/>
    <mergeCell ref="A216:B216"/>
    <mergeCell ref="A217:B217"/>
    <mergeCell ref="A218:B218"/>
    <mergeCell ref="A219:B219"/>
    <mergeCell ref="A179:H179"/>
    <mergeCell ref="G182:H184"/>
    <mergeCell ref="A207:H207"/>
    <mergeCell ref="A209:H209"/>
    <mergeCell ref="A210:B210"/>
    <mergeCell ref="G210:H212"/>
    <mergeCell ref="L210:M210"/>
    <mergeCell ref="A211:B211"/>
    <mergeCell ref="L211:M211"/>
    <mergeCell ref="A212:B212"/>
    <mergeCell ref="L212:M212"/>
    <mergeCell ref="A194:B194"/>
    <mergeCell ref="A191:B191"/>
    <mergeCell ref="G186:H191"/>
    <mergeCell ref="L200:M200"/>
    <mergeCell ref="L182:M182"/>
    <mergeCell ref="L183:M183"/>
    <mergeCell ref="L184:M184"/>
    <mergeCell ref="L185:M185"/>
    <mergeCell ref="G201:H206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9:B199"/>
    <mergeCell ref="A188:B188"/>
    <mergeCell ref="A190:B190"/>
    <mergeCell ref="A187:B187"/>
    <mergeCell ref="A192:H192"/>
    <mergeCell ref="A193:B193"/>
    <mergeCell ref="G193:H199"/>
    <mergeCell ref="A198:B198"/>
    <mergeCell ref="C198:F198"/>
    <mergeCell ref="A200:H200"/>
    <mergeCell ref="A201:B201"/>
    <mergeCell ref="L174:M174"/>
    <mergeCell ref="A175:B175"/>
    <mergeCell ref="L175:M175"/>
    <mergeCell ref="G169:H175"/>
    <mergeCell ref="L171:M171"/>
    <mergeCell ref="A172:B172"/>
    <mergeCell ref="L172:M172"/>
    <mergeCell ref="A173:B173"/>
    <mergeCell ref="L173:M173"/>
    <mergeCell ref="A171:B171"/>
    <mergeCell ref="A174:B174"/>
    <mergeCell ref="L157:M157"/>
    <mergeCell ref="G144:H157"/>
    <mergeCell ref="C144:F144"/>
    <mergeCell ref="C145:F145"/>
    <mergeCell ref="C146:F146"/>
    <mergeCell ref="A148:B148"/>
    <mergeCell ref="L148:M148"/>
    <mergeCell ref="A149:B149"/>
    <mergeCell ref="L149:M149"/>
    <mergeCell ref="A151:B151"/>
    <mergeCell ref="L151:M151"/>
    <mergeCell ref="A152:B152"/>
    <mergeCell ref="L152:M152"/>
    <mergeCell ref="A153:B153"/>
    <mergeCell ref="L153:M153"/>
    <mergeCell ref="A154:B154"/>
    <mergeCell ref="L154:M154"/>
    <mergeCell ref="A155:B155"/>
    <mergeCell ref="L155:M155"/>
    <mergeCell ref="L145:M145"/>
    <mergeCell ref="A146:B146"/>
    <mergeCell ref="A150:B150"/>
    <mergeCell ref="A157:B157"/>
    <mergeCell ref="L136:M136"/>
    <mergeCell ref="A137:B137"/>
    <mergeCell ref="L137:M137"/>
    <mergeCell ref="A138:B138"/>
    <mergeCell ref="L138:M138"/>
    <mergeCell ref="A156:B156"/>
    <mergeCell ref="L156:M156"/>
    <mergeCell ref="L150:M150"/>
    <mergeCell ref="A139:B139"/>
    <mergeCell ref="L139:M139"/>
    <mergeCell ref="A140:B140"/>
    <mergeCell ref="L140:M140"/>
    <mergeCell ref="A141:B141"/>
    <mergeCell ref="L141:M141"/>
    <mergeCell ref="A143:H143"/>
    <mergeCell ref="A144:B144"/>
    <mergeCell ref="L144:M144"/>
    <mergeCell ref="A145:B145"/>
    <mergeCell ref="L146:M146"/>
    <mergeCell ref="A147:B147"/>
    <mergeCell ref="L147:M147"/>
    <mergeCell ref="A142:B142"/>
    <mergeCell ref="L132:M132"/>
    <mergeCell ref="L131:M131"/>
    <mergeCell ref="L130:M130"/>
    <mergeCell ref="L129:M129"/>
    <mergeCell ref="A124:A125"/>
    <mergeCell ref="L142:M142"/>
    <mergeCell ref="L133:M133"/>
    <mergeCell ref="G83:H83"/>
    <mergeCell ref="A101:E101"/>
    <mergeCell ref="F101:H101"/>
    <mergeCell ref="A102:E102"/>
    <mergeCell ref="A104:E104"/>
    <mergeCell ref="F98:H98"/>
    <mergeCell ref="A103:E103"/>
    <mergeCell ref="A98:E98"/>
    <mergeCell ref="A94:E94"/>
    <mergeCell ref="F99:H99"/>
    <mergeCell ref="F94:H94"/>
    <mergeCell ref="F100:H100"/>
    <mergeCell ref="F103:H103"/>
    <mergeCell ref="F104:H104"/>
    <mergeCell ref="A100:E100"/>
    <mergeCell ref="L135:M135"/>
    <mergeCell ref="A136:B136"/>
    <mergeCell ref="L166:M166"/>
    <mergeCell ref="A167:B167"/>
    <mergeCell ref="L167:M167"/>
    <mergeCell ref="G161:H167"/>
    <mergeCell ref="A169:B169"/>
    <mergeCell ref="L169:M169"/>
    <mergeCell ref="A170:B170"/>
    <mergeCell ref="L170:M170"/>
    <mergeCell ref="A162:B162"/>
    <mergeCell ref="L162:M162"/>
    <mergeCell ref="A163:B163"/>
    <mergeCell ref="L163:M163"/>
    <mergeCell ref="A164:B164"/>
    <mergeCell ref="L164:M164"/>
    <mergeCell ref="L165:M165"/>
    <mergeCell ref="L161:M161"/>
    <mergeCell ref="A165:B165"/>
    <mergeCell ref="A161:B161"/>
    <mergeCell ref="A166:B166"/>
    <mergeCell ref="A168:H168"/>
    <mergeCell ref="A82:B82"/>
    <mergeCell ref="C82:H82"/>
    <mergeCell ref="A83:B83"/>
    <mergeCell ref="E83:F83"/>
    <mergeCell ref="A126:H126"/>
    <mergeCell ref="A158:H158"/>
    <mergeCell ref="A160:H160"/>
    <mergeCell ref="B229:H229"/>
    <mergeCell ref="B230:H230"/>
    <mergeCell ref="A223:B223"/>
    <mergeCell ref="A113:A114"/>
    <mergeCell ref="G120:H120"/>
    <mergeCell ref="E115:F115"/>
    <mergeCell ref="G115:H115"/>
    <mergeCell ref="A119:B119"/>
    <mergeCell ref="C119:D119"/>
    <mergeCell ref="A181:H181"/>
    <mergeCell ref="A225:B225"/>
    <mergeCell ref="C177:C178"/>
    <mergeCell ref="A208:H208"/>
    <mergeCell ref="B124:B125"/>
    <mergeCell ref="A159:H159"/>
    <mergeCell ref="A123:H123"/>
    <mergeCell ref="A122:H122"/>
    <mergeCell ref="B234:H234"/>
    <mergeCell ref="G84:H93"/>
    <mergeCell ref="A85:B85"/>
    <mergeCell ref="A86:B86"/>
    <mergeCell ref="A87:B87"/>
    <mergeCell ref="F96:H96"/>
    <mergeCell ref="A96:E96"/>
    <mergeCell ref="D124:D125"/>
    <mergeCell ref="A99:E99"/>
    <mergeCell ref="A129:B129"/>
    <mergeCell ref="A130:B130"/>
    <mergeCell ref="A131:B131"/>
    <mergeCell ref="B232:H232"/>
    <mergeCell ref="A121:B121"/>
    <mergeCell ref="A228:H228"/>
    <mergeCell ref="C124:C125"/>
    <mergeCell ref="B177:B178"/>
    <mergeCell ref="A220:H220"/>
    <mergeCell ref="A182:B182"/>
    <mergeCell ref="A132:B132"/>
    <mergeCell ref="A189:B189"/>
    <mergeCell ref="A183:B183"/>
    <mergeCell ref="A184:B184"/>
    <mergeCell ref="A226:B226"/>
    <mergeCell ref="A176:H176"/>
    <mergeCell ref="A177:A178"/>
    <mergeCell ref="G129:H142"/>
    <mergeCell ref="A133:B133"/>
    <mergeCell ref="A134:B134"/>
    <mergeCell ref="A227:B227"/>
    <mergeCell ref="G221:H227"/>
    <mergeCell ref="A222:B222"/>
    <mergeCell ref="C222:F222"/>
    <mergeCell ref="A213:H213"/>
    <mergeCell ref="G177:H178"/>
    <mergeCell ref="L134:M134"/>
    <mergeCell ref="A135:B135"/>
    <mergeCell ref="A77:B77"/>
    <mergeCell ref="C118:D118"/>
    <mergeCell ref="E118:F118"/>
    <mergeCell ref="G118:H118"/>
    <mergeCell ref="F102:H102"/>
    <mergeCell ref="A95:E95"/>
    <mergeCell ref="A128:H128"/>
    <mergeCell ref="E124:E125"/>
    <mergeCell ref="G124:H125"/>
    <mergeCell ref="A84:B84"/>
    <mergeCell ref="E84:F93"/>
    <mergeCell ref="A91:B91"/>
    <mergeCell ref="A92:B92"/>
    <mergeCell ref="A93:B93"/>
    <mergeCell ref="E70:F79"/>
    <mergeCell ref="G70:H79"/>
    <mergeCell ref="C110:D110"/>
    <mergeCell ref="F106:H106"/>
    <mergeCell ref="C120:D120"/>
    <mergeCell ref="A111:A112"/>
    <mergeCell ref="A79:B79"/>
    <mergeCell ref="A76:B76"/>
    <mergeCell ref="A61:C61"/>
    <mergeCell ref="D61:H61"/>
    <mergeCell ref="A36:H36"/>
    <mergeCell ref="A35:B35"/>
    <mergeCell ref="C35:E35"/>
    <mergeCell ref="A40:D40"/>
    <mergeCell ref="E40:H40"/>
    <mergeCell ref="A39:H39"/>
    <mergeCell ref="A59:C59"/>
    <mergeCell ref="D59:H59"/>
    <mergeCell ref="F35:H35"/>
    <mergeCell ref="A48:B48"/>
    <mergeCell ref="C48:E48"/>
    <mergeCell ref="G48:H48"/>
    <mergeCell ref="G50:H50"/>
    <mergeCell ref="D54:H54"/>
    <mergeCell ref="C50:E50"/>
    <mergeCell ref="A57:C58"/>
    <mergeCell ref="C49:E49"/>
    <mergeCell ref="A52:B52"/>
    <mergeCell ref="C52:E52"/>
    <mergeCell ref="A37:B37"/>
    <mergeCell ref="C37:H37"/>
    <mergeCell ref="A38:B38"/>
    <mergeCell ref="F33:H33"/>
    <mergeCell ref="D60:H60"/>
    <mergeCell ref="A42:D42"/>
    <mergeCell ref="E42:H42"/>
    <mergeCell ref="E43:H43"/>
    <mergeCell ref="E44:H44"/>
    <mergeCell ref="E45:H45"/>
    <mergeCell ref="A43:D43"/>
    <mergeCell ref="A45:D45"/>
    <mergeCell ref="A46:H46"/>
    <mergeCell ref="D56:H56"/>
    <mergeCell ref="A56:C56"/>
    <mergeCell ref="G49:H49"/>
    <mergeCell ref="A50:B51"/>
    <mergeCell ref="A49:B49"/>
    <mergeCell ref="A53:H53"/>
    <mergeCell ref="A54:C54"/>
    <mergeCell ref="A44:D44"/>
    <mergeCell ref="A60:C60"/>
    <mergeCell ref="E41:H41"/>
    <mergeCell ref="A41:D41"/>
    <mergeCell ref="C38:H38"/>
    <mergeCell ref="A47:B47"/>
    <mergeCell ref="C47:H47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D63:H63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C115:D115"/>
    <mergeCell ref="A69:B69"/>
    <mergeCell ref="A72:B72"/>
    <mergeCell ref="A68:B68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A63:C63"/>
    <mergeCell ref="A64:C64"/>
    <mergeCell ref="D64:H64"/>
    <mergeCell ref="A70:B70"/>
    <mergeCell ref="G69:H69"/>
    <mergeCell ref="A66:B66"/>
    <mergeCell ref="C66:H66"/>
    <mergeCell ref="A78:B78"/>
    <mergeCell ref="A74:B74"/>
    <mergeCell ref="E119:F119"/>
    <mergeCell ref="G119:H119"/>
    <mergeCell ref="E110:F110"/>
    <mergeCell ref="A110:B110"/>
    <mergeCell ref="A116:H116"/>
    <mergeCell ref="A117:B117"/>
    <mergeCell ref="A88:B88"/>
    <mergeCell ref="A89:B89"/>
    <mergeCell ref="A90:B90"/>
    <mergeCell ref="E117:F117"/>
    <mergeCell ref="A106:E106"/>
    <mergeCell ref="C112:D112"/>
    <mergeCell ref="E112:F112"/>
    <mergeCell ref="G112:H112"/>
    <mergeCell ref="A115:B115"/>
    <mergeCell ref="D65:H65"/>
    <mergeCell ref="A248:H251"/>
    <mergeCell ref="A247:B247"/>
    <mergeCell ref="E247:F247"/>
    <mergeCell ref="C247:D247"/>
    <mergeCell ref="G247:H247"/>
    <mergeCell ref="A185:H185"/>
    <mergeCell ref="A118:B118"/>
    <mergeCell ref="A224:B224"/>
    <mergeCell ref="A243:H243"/>
    <mergeCell ref="A246:H246"/>
    <mergeCell ref="A244:H244"/>
    <mergeCell ref="A240:H240"/>
    <mergeCell ref="A241:H241"/>
    <mergeCell ref="C121:D121"/>
    <mergeCell ref="E121:F121"/>
    <mergeCell ref="B237:H237"/>
    <mergeCell ref="B235:H235"/>
    <mergeCell ref="B231:H231"/>
    <mergeCell ref="A245:H245"/>
    <mergeCell ref="A242:H242"/>
    <mergeCell ref="A186:B186"/>
    <mergeCell ref="D177:D178"/>
    <mergeCell ref="E177:E178"/>
    <mergeCell ref="B239:H239"/>
    <mergeCell ref="I11:L11"/>
    <mergeCell ref="A80:B80"/>
    <mergeCell ref="C80:H80"/>
    <mergeCell ref="A75:B75"/>
    <mergeCell ref="F95:H95"/>
    <mergeCell ref="G111:H111"/>
    <mergeCell ref="A55:C55"/>
    <mergeCell ref="D55:H55"/>
    <mergeCell ref="G52:H52"/>
    <mergeCell ref="C51:H51"/>
    <mergeCell ref="D57:H57"/>
    <mergeCell ref="D58:H58"/>
    <mergeCell ref="A109:H109"/>
    <mergeCell ref="A107:E107"/>
    <mergeCell ref="F107:H107"/>
    <mergeCell ref="A108:E108"/>
    <mergeCell ref="F108:H108"/>
    <mergeCell ref="C68:H68"/>
    <mergeCell ref="A71:B71"/>
    <mergeCell ref="A73:B73"/>
    <mergeCell ref="E69:F69"/>
    <mergeCell ref="A62:C62"/>
    <mergeCell ref="D62:H62"/>
    <mergeCell ref="A65:C65"/>
  </mergeCells>
  <hyperlinks>
    <hyperlink ref="C38" r:id="rId1"/>
    <hyperlink ref="I117" r:id="rId2"/>
    <hyperlink ref="I118" r:id="rId3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3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5" manualBreakCount="5">
    <brk id="93" max="16383" man="1"/>
    <brk id="175" max="16383" man="1"/>
    <brk id="251" max="16383" man="1"/>
    <brk id="294" max="16383" man="1"/>
    <brk id="332" max="16383" man="1"/>
  </rowBreaks>
  <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9" zoomScale="85" zoomScaleNormal="85" workbookViewId="0">
      <selection activeCell="J30" sqref="J3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8" t="s">
        <v>109</v>
      </c>
      <c r="C3" s="208"/>
      <c r="D3" s="208"/>
      <c r="E3" s="208"/>
      <c r="F3" s="208"/>
      <c r="G3" s="208"/>
      <c r="H3" s="208"/>
    </row>
    <row r="4" spans="1:9" x14ac:dyDescent="0.3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2025-09-19T10:35:35Z</cp:lastPrinted>
  <dcterms:created xsi:type="dcterms:W3CDTF">2019-07-16T09:29:46Z</dcterms:created>
  <dcterms:modified xsi:type="dcterms:W3CDTF">2025-09-19T10:36:10Z</dcterms:modified>
</cp:coreProperties>
</file>