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1-09-2025\"/>
    </mc:Choice>
  </mc:AlternateContent>
  <bookViews>
    <workbookView xWindow="0" yWindow="0" windowWidth="19200" windowHeight="6640" tabRatio="725"/>
  </bookViews>
  <sheets>
    <sheet name="Report" sheetId="1" r:id="rId1"/>
    <sheet name="AXIS" sheetId="7" r:id="rId2"/>
    <sheet name="Flat detail" sheetId="3" r:id="rId3"/>
    <sheet name="valuation" sheetId="5" r:id="rId4"/>
    <sheet name="Note" sheetId="4" r:id="rId5"/>
  </sheets>
  <definedNames>
    <definedName name="_xlnm.Print_Area" localSheetId="0">Report!$A$1:$H$400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  <c r="D178" i="1"/>
  <c r="A210" i="1"/>
  <c r="A211" i="1" s="1"/>
  <c r="A212" i="1" s="1"/>
  <c r="A213" i="1" s="1"/>
  <c r="A214" i="1" s="1"/>
  <c r="A206" i="1"/>
  <c r="A203" i="1"/>
  <c r="A195" i="1"/>
  <c r="A196" i="1" s="1"/>
  <c r="A197" i="1" s="1"/>
  <c r="A198" i="1" s="1"/>
  <c r="A199" i="1" s="1"/>
  <c r="A200" i="1" s="1"/>
  <c r="A184" i="1"/>
  <c r="A185" i="1" s="1"/>
  <c r="A186" i="1" s="1"/>
  <c r="A187" i="1" s="1"/>
  <c r="A188" i="1" s="1"/>
  <c r="A189" i="1" s="1"/>
  <c r="A190" i="1" s="1"/>
  <c r="A191" i="1" s="1"/>
  <c r="A192" i="1" s="1"/>
  <c r="A173" i="1"/>
  <c r="A174" i="1" s="1"/>
  <c r="A175" i="1" s="1"/>
  <c r="A176" i="1" s="1"/>
  <c r="A177" i="1" s="1"/>
  <c r="A178" i="1" s="1"/>
  <c r="A179" i="1" s="1"/>
  <c r="A180" i="1" s="1"/>
  <c r="A181" i="1" s="1"/>
  <c r="A164" i="1"/>
  <c r="A165" i="1" s="1"/>
  <c r="A166" i="1" s="1"/>
  <c r="A167" i="1" s="1"/>
  <c r="A168" i="1" s="1"/>
  <c r="A157" i="1"/>
  <c r="A158" i="1" s="1"/>
  <c r="A159" i="1" s="1"/>
  <c r="A160" i="1" s="1"/>
  <c r="A161" i="1" s="1"/>
  <c r="I59" i="1"/>
  <c r="C65" i="1" l="1"/>
  <c r="A217" i="1"/>
  <c r="A218" i="1" s="1"/>
  <c r="A219" i="1" s="1"/>
  <c r="A220" i="1" s="1"/>
  <c r="A221" i="1" s="1"/>
  <c r="A222" i="1" s="1"/>
  <c r="A223" i="1" s="1"/>
  <c r="D191" i="1"/>
  <c r="F191" i="1" s="1"/>
  <c r="D202" i="1"/>
  <c r="F202" i="1" s="1"/>
  <c r="D213" i="1"/>
  <c r="F213" i="1" s="1"/>
  <c r="D203" i="1"/>
  <c r="F203" i="1" s="1"/>
  <c r="D197" i="1"/>
  <c r="F197" i="1" s="1"/>
  <c r="D192" i="1"/>
  <c r="F192" i="1" s="1"/>
  <c r="D190" i="1"/>
  <c r="F190" i="1" s="1"/>
  <c r="D189" i="1"/>
  <c r="F189" i="1" s="1"/>
  <c r="D188" i="1"/>
  <c r="F188" i="1" s="1"/>
  <c r="D187" i="1"/>
  <c r="D186" i="1"/>
  <c r="D185" i="1"/>
  <c r="D184" i="1"/>
  <c r="D183" i="1"/>
  <c r="E209" i="1"/>
  <c r="D214" i="1"/>
  <c r="F214" i="1" s="1"/>
  <c r="D212" i="1"/>
  <c r="F212" i="1" s="1"/>
  <c r="D211" i="1"/>
  <c r="F211" i="1" s="1"/>
  <c r="D210" i="1"/>
  <c r="F210" i="1" s="1"/>
  <c r="D209" i="1"/>
  <c r="D206" i="1"/>
  <c r="F206" i="1" s="1"/>
  <c r="D205" i="1"/>
  <c r="F205" i="1" s="1"/>
  <c r="D200" i="1"/>
  <c r="F200" i="1" s="1"/>
  <c r="D199" i="1"/>
  <c r="F199" i="1" s="1"/>
  <c r="D198" i="1"/>
  <c r="D196" i="1"/>
  <c r="F196" i="1" s="1"/>
  <c r="D195" i="1"/>
  <c r="F195" i="1" s="1"/>
  <c r="D194" i="1"/>
  <c r="F194" i="1" s="1"/>
  <c r="E198" i="1"/>
  <c r="E187" i="1"/>
  <c r="S205" i="1"/>
  <c r="N205" i="1"/>
  <c r="N206" i="1" s="1"/>
  <c r="N207" i="1" s="1"/>
  <c r="N208" i="1" s="1"/>
  <c r="N209" i="1" s="1"/>
  <c r="N210" i="1" s="1"/>
  <c r="N211" i="1" s="1"/>
  <c r="N212" i="1" s="1"/>
  <c r="N213" i="1" s="1"/>
  <c r="G205" i="1"/>
  <c r="O203" i="1"/>
  <c r="S194" i="1"/>
  <c r="S195" i="1" s="1"/>
  <c r="N194" i="1"/>
  <c r="N195" i="1" s="1"/>
  <c r="N196" i="1" s="1"/>
  <c r="N197" i="1" s="1"/>
  <c r="N198" i="1" s="1"/>
  <c r="N199" i="1" s="1"/>
  <c r="N200" i="1" s="1"/>
  <c r="N201" i="1" s="1"/>
  <c r="N202" i="1" s="1"/>
  <c r="G194" i="1"/>
  <c r="O192" i="1"/>
  <c r="I179" i="1"/>
  <c r="E181" i="1"/>
  <c r="E180" i="1"/>
  <c r="E179" i="1"/>
  <c r="E178" i="1"/>
  <c r="E177" i="1"/>
  <c r="E176" i="1"/>
  <c r="E175" i="1"/>
  <c r="E174" i="1"/>
  <c r="E173" i="1"/>
  <c r="E172" i="1"/>
  <c r="D181" i="1"/>
  <c r="D180" i="1"/>
  <c r="D179" i="1"/>
  <c r="D177" i="1"/>
  <c r="D176" i="1"/>
  <c r="D175" i="1"/>
  <c r="D174" i="1"/>
  <c r="D173" i="1"/>
  <c r="D172" i="1"/>
  <c r="I171" i="1"/>
  <c r="O193" i="1"/>
  <c r="P203" i="1"/>
  <c r="P192" i="1"/>
  <c r="O204" i="1"/>
  <c r="F179" i="1" l="1"/>
  <c r="C132" i="1"/>
  <c r="F209" i="1"/>
  <c r="F180" i="1"/>
  <c r="A224" i="1"/>
  <c r="A225" i="1" s="1"/>
  <c r="A226" i="1" s="1"/>
  <c r="S196" i="1"/>
  <c r="E132" i="1"/>
  <c r="F181" i="1"/>
  <c r="F198" i="1"/>
  <c r="S206" i="1"/>
  <c r="O205" i="1"/>
  <c r="O194" i="1"/>
  <c r="F178" i="1"/>
  <c r="F177" i="1"/>
  <c r="P193" i="1"/>
  <c r="P204" i="1"/>
  <c r="S207" i="1" l="1"/>
  <c r="S197" i="1"/>
  <c r="P205" i="1"/>
  <c r="P206" i="1" s="1"/>
  <c r="P207" i="1" s="1"/>
  <c r="P208" i="1" s="1"/>
  <c r="P209" i="1" s="1"/>
  <c r="P210" i="1" s="1"/>
  <c r="P211" i="1" s="1"/>
  <c r="P212" i="1" s="1"/>
  <c r="P213" i="1" s="1"/>
  <c r="L204" i="1"/>
  <c r="O206" i="1"/>
  <c r="P194" i="1"/>
  <c r="P195" i="1" s="1"/>
  <c r="P196" i="1" s="1"/>
  <c r="P197" i="1" s="1"/>
  <c r="P198" i="1" s="1"/>
  <c r="P199" i="1" s="1"/>
  <c r="P200" i="1" s="1"/>
  <c r="P201" i="1" s="1"/>
  <c r="P202" i="1" s="1"/>
  <c r="L193" i="1"/>
  <c r="O195" i="1"/>
  <c r="I105" i="1"/>
  <c r="S198" i="1" l="1"/>
  <c r="S208" i="1"/>
  <c r="L205" i="1"/>
  <c r="L206" i="1"/>
  <c r="O207" i="1"/>
  <c r="L194" i="1"/>
  <c r="L195" i="1"/>
  <c r="O196" i="1"/>
  <c r="H93" i="1"/>
  <c r="S209" i="1" l="1"/>
  <c r="S199" i="1"/>
  <c r="L207" i="1"/>
  <c r="O208" i="1"/>
  <c r="O197" i="1"/>
  <c r="L196" i="1"/>
  <c r="D105" i="1"/>
  <c r="K97" i="1"/>
  <c r="D103" i="1"/>
  <c r="D102" i="1"/>
  <c r="D101" i="1"/>
  <c r="K103" i="1"/>
  <c r="C97" i="1" s="1"/>
  <c r="D97" i="1" s="1"/>
  <c r="D98" i="1"/>
  <c r="D99" i="1"/>
  <c r="D104" i="1"/>
  <c r="K101" i="1"/>
  <c r="K98" i="1"/>
  <c r="C96" i="1" s="1"/>
  <c r="D96" i="1" s="1"/>
  <c r="K102" i="1"/>
  <c r="K100" i="1"/>
  <c r="D100" i="1"/>
  <c r="H79" i="1"/>
  <c r="S200" i="1" l="1"/>
  <c r="S210" i="1"/>
  <c r="L208" i="1"/>
  <c r="O209" i="1"/>
  <c r="L197" i="1"/>
  <c r="O198" i="1"/>
  <c r="I91" i="1"/>
  <c r="G96" i="1"/>
  <c r="K88" i="1"/>
  <c r="D88" i="1"/>
  <c r="K83" i="1"/>
  <c r="K87" i="1"/>
  <c r="D86" i="1"/>
  <c r="D90" i="1"/>
  <c r="D89" i="1"/>
  <c r="D85" i="1"/>
  <c r="D84" i="1"/>
  <c r="K86" i="1"/>
  <c r="D87" i="1"/>
  <c r="K84" i="1"/>
  <c r="C82" i="1" s="1"/>
  <c r="D91" i="1"/>
  <c r="K89" i="1"/>
  <c r="C83" i="1" s="1"/>
  <c r="F187" i="1"/>
  <c r="F186" i="1"/>
  <c r="F185" i="1"/>
  <c r="F184" i="1"/>
  <c r="F183" i="1"/>
  <c r="N183" i="1"/>
  <c r="N184" i="1" s="1"/>
  <c r="N185" i="1" s="1"/>
  <c r="N186" i="1" s="1"/>
  <c r="N187" i="1" s="1"/>
  <c r="N188" i="1" s="1"/>
  <c r="N189" i="1" s="1"/>
  <c r="N190" i="1" s="1"/>
  <c r="N191" i="1" s="1"/>
  <c r="G183" i="1"/>
  <c r="O181" i="1"/>
  <c r="N172" i="1"/>
  <c r="N173" i="1" s="1"/>
  <c r="N174" i="1" s="1"/>
  <c r="N175" i="1" s="1"/>
  <c r="N176" i="1" s="1"/>
  <c r="N177" i="1" s="1"/>
  <c r="N178" i="1" s="1"/>
  <c r="N179" i="1" s="1"/>
  <c r="N180" i="1" s="1"/>
  <c r="G172" i="1"/>
  <c r="O170" i="1"/>
  <c r="D167" i="1"/>
  <c r="D166" i="1"/>
  <c r="D165" i="1"/>
  <c r="D164" i="1"/>
  <c r="D163" i="1"/>
  <c r="D168" i="1"/>
  <c r="E160" i="1"/>
  <c r="E159" i="1"/>
  <c r="D161" i="1"/>
  <c r="D160" i="1"/>
  <c r="D159" i="1"/>
  <c r="E158" i="1"/>
  <c r="D158" i="1"/>
  <c r="E157" i="1"/>
  <c r="D157" i="1"/>
  <c r="E156" i="1"/>
  <c r="D156" i="1"/>
  <c r="D154" i="1"/>
  <c r="F154" i="1" s="1"/>
  <c r="D153" i="1"/>
  <c r="C128" i="1"/>
  <c r="A154" i="1"/>
  <c r="D147" i="1"/>
  <c r="F147" i="1" s="1"/>
  <c r="D146" i="1"/>
  <c r="F146" i="1" s="1"/>
  <c r="D145" i="1"/>
  <c r="F145" i="1" s="1"/>
  <c r="D144" i="1"/>
  <c r="F144" i="1" s="1"/>
  <c r="D143" i="1"/>
  <c r="F143" i="1" s="1"/>
  <c r="D142" i="1"/>
  <c r="F142" i="1" s="1"/>
  <c r="D141" i="1"/>
  <c r="F141" i="1" s="1"/>
  <c r="D140" i="1"/>
  <c r="F140" i="1" s="1"/>
  <c r="I139" i="1" s="1"/>
  <c r="A141" i="1"/>
  <c r="A142" i="1" s="1"/>
  <c r="A143" i="1" s="1"/>
  <c r="G140" i="1"/>
  <c r="G153" i="1"/>
  <c r="P170" i="1"/>
  <c r="P181" i="1"/>
  <c r="O171" i="1"/>
  <c r="O182" i="1"/>
  <c r="S211" i="1" l="1"/>
  <c r="S201" i="1"/>
  <c r="L209" i="1"/>
  <c r="O210" i="1"/>
  <c r="L198" i="1"/>
  <c r="O199" i="1"/>
  <c r="C94" i="1"/>
  <c r="E96" i="1" s="1"/>
  <c r="F153" i="1"/>
  <c r="C131" i="1"/>
  <c r="C133" i="1" s="1"/>
  <c r="E131" i="1"/>
  <c r="D83" i="1"/>
  <c r="G82" i="1"/>
  <c r="D82" i="1"/>
  <c r="E127" i="1"/>
  <c r="F174" i="1"/>
  <c r="F173" i="1"/>
  <c r="F172" i="1"/>
  <c r="F176" i="1"/>
  <c r="F175" i="1"/>
  <c r="G126" i="1"/>
  <c r="O183" i="1"/>
  <c r="O172" i="1"/>
  <c r="G127" i="1"/>
  <c r="E126" i="1"/>
  <c r="P171" i="1"/>
  <c r="P182" i="1"/>
  <c r="H106" i="1" l="1"/>
  <c r="G132" i="1"/>
  <c r="S202" i="1"/>
  <c r="S212" i="1"/>
  <c r="S213" i="1" s="1"/>
  <c r="L210" i="1"/>
  <c r="O211" i="1"/>
  <c r="L199" i="1"/>
  <c r="O200" i="1"/>
  <c r="E133" i="1"/>
  <c r="E128" i="1"/>
  <c r="I77" i="1"/>
  <c r="C80" i="1" s="1"/>
  <c r="E82" i="1" s="1"/>
  <c r="G128" i="1"/>
  <c r="P172" i="1"/>
  <c r="P173" i="1" s="1"/>
  <c r="P174" i="1" s="1"/>
  <c r="P175" i="1" s="1"/>
  <c r="P176" i="1" s="1"/>
  <c r="P177" i="1" s="1"/>
  <c r="P178" i="1" s="1"/>
  <c r="P179" i="1" s="1"/>
  <c r="P180" i="1" s="1"/>
  <c r="L171" i="1"/>
  <c r="P183" i="1"/>
  <c r="P184" i="1" s="1"/>
  <c r="P185" i="1" s="1"/>
  <c r="P186" i="1" s="1"/>
  <c r="P187" i="1" s="1"/>
  <c r="P188" i="1" s="1"/>
  <c r="P189" i="1" s="1"/>
  <c r="P190" i="1" s="1"/>
  <c r="P191" i="1" s="1"/>
  <c r="L182" i="1"/>
  <c r="O173" i="1"/>
  <c r="O184" i="1"/>
  <c r="E106" i="1" l="1"/>
  <c r="D62" i="1"/>
  <c r="L211" i="1"/>
  <c r="O212" i="1"/>
  <c r="L200" i="1"/>
  <c r="O201" i="1"/>
  <c r="L183" i="1"/>
  <c r="L184" i="1"/>
  <c r="O185" i="1"/>
  <c r="L173" i="1"/>
  <c r="O174" i="1"/>
  <c r="L172" i="1"/>
  <c r="L212" i="1" l="1"/>
  <c r="O213" i="1"/>
  <c r="L213" i="1" s="1"/>
  <c r="O202" i="1"/>
  <c r="L202" i="1" s="1"/>
  <c r="L201" i="1"/>
  <c r="L174" i="1"/>
  <c r="O175" i="1"/>
  <c r="O176" i="1" s="1"/>
  <c r="L185" i="1"/>
  <c r="O186" i="1"/>
  <c r="O187" i="1" s="1"/>
  <c r="O188" i="1" l="1"/>
  <c r="L187" i="1"/>
  <c r="L176" i="1"/>
  <c r="O177" i="1"/>
  <c r="L186" i="1"/>
  <c r="L175" i="1"/>
  <c r="L188" i="1" l="1"/>
  <c r="O189" i="1"/>
  <c r="O178" i="1"/>
  <c r="L177" i="1"/>
  <c r="F168" i="1"/>
  <c r="F167" i="1"/>
  <c r="F166" i="1"/>
  <c r="F165" i="1"/>
  <c r="N163" i="1"/>
  <c r="N164" i="1" s="1"/>
  <c r="N165" i="1" s="1"/>
  <c r="N166" i="1" s="1"/>
  <c r="N167" i="1" s="1"/>
  <c r="F164" i="1"/>
  <c r="G163" i="1"/>
  <c r="F163" i="1"/>
  <c r="O161" i="1"/>
  <c r="G50" i="1"/>
  <c r="G48" i="1"/>
  <c r="O162" i="1"/>
  <c r="P161" i="1"/>
  <c r="L189" i="1" l="1"/>
  <c r="O190" i="1"/>
  <c r="L178" i="1"/>
  <c r="O179" i="1"/>
  <c r="O163" i="1"/>
  <c r="C63" i="1"/>
  <c r="H64" i="1"/>
  <c r="P154" i="1"/>
  <c r="P162" i="1"/>
  <c r="O191" i="1" l="1"/>
  <c r="L191" i="1" s="1"/>
  <c r="L190" i="1"/>
  <c r="O180" i="1"/>
  <c r="L180" i="1" s="1"/>
  <c r="L179" i="1"/>
  <c r="P163" i="1"/>
  <c r="P164" i="1" s="1"/>
  <c r="P165" i="1" s="1"/>
  <c r="P166" i="1" s="1"/>
  <c r="P167" i="1" s="1"/>
  <c r="L162" i="1"/>
  <c r="O164" i="1"/>
  <c r="L164" i="1" l="1"/>
  <c r="O165" i="1"/>
  <c r="L163" i="1"/>
  <c r="D77" i="1"/>
  <c r="D76" i="1"/>
  <c r="D75" i="1"/>
  <c r="D74" i="1"/>
  <c r="D73" i="1"/>
  <c r="D72" i="1"/>
  <c r="D71" i="1"/>
  <c r="K74" i="1"/>
  <c r="K73" i="1"/>
  <c r="K69" i="1"/>
  <c r="K75" i="1"/>
  <c r="C69" i="1" s="1"/>
  <c r="D69" i="1" s="1"/>
  <c r="D70" i="1"/>
  <c r="K72" i="1"/>
  <c r="K70" i="1"/>
  <c r="C68" i="1" s="1"/>
  <c r="D68" i="1" s="1"/>
  <c r="E12" i="7"/>
  <c r="C12" i="7"/>
  <c r="E27" i="7"/>
  <c r="C27" i="7"/>
  <c r="O166" i="1" l="1"/>
  <c r="L165" i="1"/>
  <c r="G68" i="1"/>
  <c r="I62" i="1"/>
  <c r="E68" i="1" s="1"/>
  <c r="F10" i="7"/>
  <c r="F8" i="7"/>
  <c r="F7" i="7"/>
  <c r="F5" i="7"/>
  <c r="F9" i="7" s="1"/>
  <c r="O167" i="1" l="1"/>
  <c r="L167" i="1" s="1"/>
  <c r="L166" i="1"/>
  <c r="F11" i="7"/>
  <c r="I11" i="7" s="1"/>
  <c r="I10" i="7"/>
  <c r="I9" i="7"/>
  <c r="I8" i="7"/>
  <c r="H7" i="7"/>
  <c r="I6" i="7"/>
  <c r="H6" i="7"/>
  <c r="I5" i="7"/>
  <c r="I4" i="7"/>
  <c r="E44" i="7"/>
  <c r="C44" i="7"/>
  <c r="F43" i="7"/>
  <c r="I43" i="7" s="1"/>
  <c r="F42" i="7"/>
  <c r="I42" i="7" s="1"/>
  <c r="F40" i="7"/>
  <c r="I40" i="7" s="1"/>
  <c r="F38" i="7"/>
  <c r="I38" i="7" s="1"/>
  <c r="F37" i="7"/>
  <c r="I37" i="7" s="1"/>
  <c r="I36" i="7"/>
  <c r="H36" i="7"/>
  <c r="B36" i="7" s="1"/>
  <c r="F35" i="7"/>
  <c r="F39" i="7" s="1"/>
  <c r="I39" i="7" s="1"/>
  <c r="I34" i="7"/>
  <c r="F26" i="7"/>
  <c r="I26" i="7" s="1"/>
  <c r="F25" i="7"/>
  <c r="I25" i="7" s="1"/>
  <c r="F22" i="7"/>
  <c r="I22" i="7" s="1"/>
  <c r="F23" i="7"/>
  <c r="I23" i="7" s="1"/>
  <c r="F20" i="7"/>
  <c r="I20" i="7" s="1"/>
  <c r="I19" i="7"/>
  <c r="H19" i="7"/>
  <c r="B19" i="7" s="1"/>
  <c r="F18" i="7"/>
  <c r="F21" i="7" s="1"/>
  <c r="I17" i="7"/>
  <c r="H40" i="7" l="1"/>
  <c r="F41" i="7"/>
  <c r="I41" i="7" s="1"/>
  <c r="I7" i="7"/>
  <c r="I12" i="7" s="1"/>
  <c r="H8" i="7"/>
  <c r="H35" i="7"/>
  <c r="I35" i="7"/>
  <c r="D35" i="7" s="1"/>
  <c r="D36" i="7" s="1"/>
  <c r="D37" i="7" s="1"/>
  <c r="D38" i="7" s="1"/>
  <c r="D39" i="7" s="1"/>
  <c r="D40" i="7" s="1"/>
  <c r="D41" i="7" s="1"/>
  <c r="D42" i="7" s="1"/>
  <c r="H11" i="7"/>
  <c r="H9" i="7"/>
  <c r="H5" i="7"/>
  <c r="H10" i="7"/>
  <c r="H43" i="7"/>
  <c r="H38" i="7"/>
  <c r="H39" i="7"/>
  <c r="H37" i="7"/>
  <c r="B37" i="7" s="1"/>
  <c r="H42" i="7"/>
  <c r="F24" i="7"/>
  <c r="H25" i="7"/>
  <c r="H21" i="7"/>
  <c r="I21" i="7"/>
  <c r="H23" i="7"/>
  <c r="H20" i="7"/>
  <c r="B20" i="7" s="1"/>
  <c r="H18" i="7"/>
  <c r="H22" i="7"/>
  <c r="I18" i="7"/>
  <c r="D18" i="7" s="1"/>
  <c r="D19" i="7" s="1"/>
  <c r="D20" i="7" s="1"/>
  <c r="H26" i="7"/>
  <c r="D21" i="7" l="1"/>
  <c r="D22" i="7" s="1"/>
  <c r="D23" i="7" s="1"/>
  <c r="B21" i="7"/>
  <c r="B22" i="7" s="1"/>
  <c r="B23" i="7" s="1"/>
  <c r="H41" i="7"/>
  <c r="B38" i="7"/>
  <c r="B39" i="7" s="1"/>
  <c r="B40" i="7" s="1"/>
  <c r="B41" i="7" s="1"/>
  <c r="B42" i="7" s="1"/>
  <c r="I44" i="7"/>
  <c r="H12" i="7"/>
  <c r="H44" i="7"/>
  <c r="H24" i="7"/>
  <c r="I24" i="7"/>
  <c r="I27" i="7" s="1"/>
  <c r="D24" i="7" l="1"/>
  <c r="D25" i="7" s="1"/>
  <c r="B24" i="7"/>
  <c r="B25" i="7" s="1"/>
  <c r="H27" i="7"/>
  <c r="O154" i="1" l="1"/>
  <c r="C14" i="1" l="1"/>
  <c r="E41" i="1" l="1"/>
  <c r="E42" i="1" s="1"/>
  <c r="F161" i="1" l="1"/>
  <c r="F160" i="1"/>
  <c r="F159" i="1"/>
  <c r="F158" i="1"/>
  <c r="F157" i="1"/>
  <c r="F156" i="1"/>
  <c r="E3" i="1"/>
  <c r="O155" i="1"/>
  <c r="G131" i="1" l="1"/>
  <c r="G133" i="1" s="1"/>
  <c r="J159" i="1"/>
  <c r="I159" i="1"/>
  <c r="N156" i="1"/>
  <c r="N157" i="1" s="1"/>
  <c r="N158" i="1" s="1"/>
  <c r="N159" i="1" s="1"/>
  <c r="N160" i="1" s="1"/>
  <c r="O156" i="1"/>
  <c r="P155" i="1"/>
  <c r="L155" i="1" l="1"/>
  <c r="P156" i="1"/>
  <c r="P157" i="1" s="1"/>
  <c r="P158" i="1" s="1"/>
  <c r="P159" i="1" s="1"/>
  <c r="P160" i="1" s="1"/>
  <c r="O157" i="1"/>
  <c r="G156" i="1"/>
  <c r="E25" i="1"/>
  <c r="E23" i="1"/>
  <c r="L157" i="1" l="1"/>
  <c r="L156" i="1"/>
  <c r="O158" i="1"/>
  <c r="L158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O159" i="1" l="1"/>
  <c r="L159" i="1" s="1"/>
  <c r="G12" i="5"/>
  <c r="O160" i="1" l="1"/>
  <c r="L160" i="1" s="1"/>
  <c r="F107" i="1" l="1"/>
  <c r="D239" i="1" l="1"/>
  <c r="F123" i="1"/>
  <c r="D54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comments1.xml><?xml version="1.0" encoding="utf-8"?>
<comments xmlns="http://schemas.openxmlformats.org/spreadsheetml/2006/main">
  <authors>
    <author xml:space="preserve"> </author>
  </authors>
  <commentList>
    <comment ref="F4" authorId="0" shapeId="0">
      <text>
        <r>
          <rPr>
            <sz val="10"/>
            <rFont val="Arial"/>
            <family val="2"/>
          </rPr>
          <t>No of habitable floors</t>
        </r>
      </text>
    </comment>
    <comment ref="F6" authorId="0" shapeId="0">
      <text>
        <r>
          <rPr>
            <sz val="10"/>
            <rFont val="Arial"/>
            <family val="2"/>
          </rPr>
          <t>No of RCC slabs including podiums</t>
        </r>
      </text>
    </comment>
    <comment ref="G6" authorId="0" shapeId="0">
      <text>
        <r>
          <rPr>
            <sz val="10"/>
            <rFont val="Arial"/>
            <family val="2"/>
          </rPr>
          <t>No of constructed RCC slabs including podium</t>
        </r>
      </text>
    </comment>
    <comment ref="F17" authorId="0" shapeId="0">
      <text>
        <r>
          <rPr>
            <sz val="10"/>
            <rFont val="Arial"/>
            <family val="2"/>
          </rPr>
          <t>No of habitable floors</t>
        </r>
      </text>
    </comment>
    <comment ref="F19" authorId="0" shapeId="0">
      <text>
        <r>
          <rPr>
            <sz val="10"/>
            <rFont val="Arial"/>
            <family val="2"/>
          </rPr>
          <t>No of RCC slabs including podiums</t>
        </r>
      </text>
    </comment>
    <comment ref="G19" authorId="0" shapeId="0">
      <text>
        <r>
          <rPr>
            <sz val="10"/>
            <rFont val="Arial"/>
            <family val="2"/>
          </rPr>
          <t>No of constructed RCC slabs including podium</t>
        </r>
      </text>
    </comment>
    <comment ref="F34" authorId="0" shapeId="0">
      <text>
        <r>
          <rPr>
            <sz val="10"/>
            <rFont val="Arial"/>
            <family val="2"/>
          </rPr>
          <t>No of habitable floors</t>
        </r>
      </text>
    </comment>
    <comment ref="F36" authorId="0" shapeId="0">
      <text>
        <r>
          <rPr>
            <sz val="10"/>
            <rFont val="Arial"/>
            <family val="2"/>
          </rPr>
          <t>No of RCC slabs including podiums</t>
        </r>
      </text>
    </comment>
    <comment ref="G36" authorId="0" shapeId="0">
      <text>
        <r>
          <rPr>
            <sz val="10"/>
            <rFont val="Arial"/>
            <family val="2"/>
          </rPr>
          <t>No of constructed RCC slabs including podium</t>
        </r>
      </text>
    </comment>
  </commentList>
</comments>
</file>

<file path=xl/sharedStrings.xml><?xml version="1.0" encoding="utf-8"?>
<sst xmlns="http://schemas.openxmlformats.org/spreadsheetml/2006/main" count="572" uniqueCount="289">
  <si>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</si>
  <si>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</si>
  <si>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</si>
  <si>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</si>
  <si>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</si>
  <si>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</si>
  <si>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</si>
  <si>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</si>
  <si>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</si>
  <si>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</si>
  <si>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</si>
  <si>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</si>
  <si>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</si>
  <si>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</si>
  <si>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</si>
  <si>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</si>
  <si>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</si>
  <si>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</si>
  <si>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</si>
  <si>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</si>
  <si>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</si>
  <si>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</si>
  <si>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</si>
  <si>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</si>
  <si>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</si>
  <si>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</si>
  <si>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</si>
  <si>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</si>
  <si>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</si>
  <si>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</si>
  <si>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</si>
  <si>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</si>
  <si>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</si>
  <si>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</si>
  <si>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</si>
  <si>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</si>
  <si>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</si>
  <si>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</si>
  <si>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</si>
  <si>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</si>
  <si>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</si>
  <si>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</si>
  <si>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</si>
  <si>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</si>
  <si>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</si>
  <si>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</si>
  <si>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</si>
  <si>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</si>
  <si>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</si>
  <si>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</si>
  <si>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</si>
  <si>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</si>
  <si>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</si>
  <si>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</si>
  <si>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</si>
  <si>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</si>
  <si>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</si>
  <si>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</si>
  <si>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</si>
  <si>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</si>
  <si>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</si>
  <si>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</si>
  <si>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</si>
  <si>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</si>
  <si>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</si>
  <si>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</si>
  <si>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</si>
  <si>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</si>
  <si>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</si>
  <si>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</si>
  <si>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</si>
  <si>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</si>
  <si>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</si>
  <si>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</si>
  <si>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</si>
  <si>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</si>
  <si>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</si>
  <si>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</si>
  <si>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</si>
  <si>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</si>
  <si>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</si>
  <si>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</si>
  <si>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</si>
  <si>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</si>
  <si>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</si>
  <si>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</si>
  <si>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</si>
  <si>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</si>
  <si>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</si>
  <si>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</si>
  <si>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</si>
  <si>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</si>
  <si>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</si>
  <si>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</si>
  <si>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</si>
  <si>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</si>
  <si>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</si>
  <si>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</si>
  <si>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</si>
  <si>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</si>
  <si>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</si>
  <si>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</si>
  <si>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</si>
  <si>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</si>
  <si>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</si>
  <si>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</si>
  <si>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</si>
  <si>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Sudhir Bhosale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</si>
  <si>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</si>
  <si>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</si>
  <si>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</si>
  <si>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</si>
  <si>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</si>
  <si>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</si>
  <si>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</si>
  <si>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</si>
  <si>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</si>
  <si>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</si>
  <si>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</si>
  <si>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</si>
  <si>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</si>
  <si>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</si>
  <si>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</si>
  <si>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</si>
  <si>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</si>
  <si>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</si>
  <si>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</si>
  <si>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</si>
  <si>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</si>
  <si>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</si>
  <si>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</si>
  <si>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</si>
  <si>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</si>
  <si>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</si>
  <si>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</si>
  <si>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</si>
  <si>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</si>
  <si>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Wait For OC.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</si>
  <si>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</si>
  <si>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</si>
  <si>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</si>
  <si>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</si>
  <si>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</si>
  <si>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</si>
  <si>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</si>
  <si>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</si>
  <si>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</si>
  <si>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</si>
  <si>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</si>
  <si>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</si>
  <si>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</si>
  <si>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</si>
  <si>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>All work Completed. Provide OC.</t>
  </si>
  <si>
    <t xml:space="preserve">Wheather the construction is as per approved Building plan : </t>
  </si>
  <si>
    <t>Saleable area
Loading :</t>
  </si>
  <si>
    <t>,..,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</si>
  <si>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</si>
  <si>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</si>
  <si>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</si>
  <si>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</si>
  <si>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</si>
  <si>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</si>
  <si>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</si>
  <si>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</si>
  <si>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</si>
  <si>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Stage calculator as per Revised Valuation Manual</t>
  </si>
  <si>
    <t>Completed</t>
  </si>
  <si>
    <t>Net completed</t>
  </si>
  <si>
    <t>Recommended</t>
  </si>
  <si>
    <t>Net recommended</t>
  </si>
  <si>
    <t>No of floors in building</t>
  </si>
  <si>
    <t>No of constructed floors</t>
  </si>
  <si>
    <t>Completed (%)</t>
  </si>
  <si>
    <t>Recommended (%)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</si>
  <si>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</si>
  <si>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</si>
  <si>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</si>
  <si>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</si>
  <si>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</si>
  <si>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</si>
  <si>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</si>
  <si>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Final Stage (%)</t>
  </si>
  <si>
    <t>Ext. Plaster &amp; Plumbing</t>
  </si>
  <si>
    <t>Brickwork</t>
  </si>
  <si>
    <t>Internal Plaster</t>
  </si>
  <si>
    <t>Painting &amp; Wooden</t>
  </si>
  <si>
    <t>External Plaster &amp; Plumbing &amp; Painting</t>
  </si>
  <si>
    <t>ASMITA recommendation</t>
  </si>
  <si>
    <t>Actual Stage Provided by AXIS Bank</t>
  </si>
  <si>
    <t>Split % by Asmita ---OK By Ajinkya</t>
  </si>
  <si>
    <t>Slab/Floor</t>
  </si>
  <si>
    <t>Construction details:</t>
  </si>
  <si>
    <t>Axis Sanpada</t>
  </si>
  <si>
    <t>Name of the builder</t>
  </si>
  <si>
    <t>M/s. Aditi Buildwell</t>
  </si>
  <si>
    <t>Mr. Raju Shantaram Mandavkar</t>
  </si>
  <si>
    <t>Laxmi Shankar Complex</t>
  </si>
  <si>
    <t>P51700028607</t>
  </si>
  <si>
    <t>Ambarnath</t>
  </si>
  <si>
    <t>Thane</t>
  </si>
  <si>
    <t>Badlapur</t>
  </si>
  <si>
    <t>175/1</t>
  </si>
  <si>
    <t>A Wing = G + 1st to 7th Floor</t>
  </si>
  <si>
    <t>Doha farm house</t>
  </si>
  <si>
    <t>Ganraj Apartment</t>
  </si>
  <si>
    <t>Open plot</t>
  </si>
  <si>
    <t>Badlapur Gaon Road</t>
  </si>
  <si>
    <t>Motiram Greens CHS</t>
  </si>
  <si>
    <t>Survey No</t>
  </si>
  <si>
    <t>3.3km from Badlapur Railway Station</t>
  </si>
  <si>
    <t>270000/-</t>
  </si>
  <si>
    <t>Other Charges</t>
  </si>
  <si>
    <t>80000/-</t>
  </si>
  <si>
    <t>100000/-</t>
  </si>
  <si>
    <t>Wing A</t>
  </si>
  <si>
    <t>Shop</t>
  </si>
  <si>
    <t xml:space="preserve">Office </t>
  </si>
  <si>
    <t>1BHK</t>
  </si>
  <si>
    <t>2BHK</t>
  </si>
  <si>
    <t>1st, 3rd, 5th &amp; 7th Floor</t>
  </si>
  <si>
    <t>2nd, 4th &amp; 6th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</si>
  <si>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</si>
  <si>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</si>
  <si>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Ground Floor for Commercial &amp; Parking</t>
  </si>
  <si>
    <t>Ground Floor for Residential</t>
  </si>
  <si>
    <t>Office</t>
  </si>
  <si>
    <t>w</t>
  </si>
  <si>
    <t>Wing B</t>
  </si>
  <si>
    <t>1.5BHK</t>
  </si>
  <si>
    <t>We considered  Saleable area  as per our calculation.</t>
  </si>
  <si>
    <t>Approved Plans, CC, Sale Plans, Cost Sheet</t>
  </si>
  <si>
    <t>On Site, we meet Mr. Tushar Pawar (Sales)  - 7276103969.</t>
  </si>
  <si>
    <t xml:space="preserve">Recommended rate should be considered as all inclusive rate if other charges are not mentioned. (Excluding GST &amp; other government Taxes)
</t>
  </si>
  <si>
    <t>As per RERA - 30/06/2028</t>
  </si>
  <si>
    <t>Latitude, Longitude</t>
  </si>
  <si>
    <t>Location Link</t>
  </si>
  <si>
    <t>https://goo.gl/maps/FysLKBCVZakAsWtE9</t>
  </si>
  <si>
    <t>Office No. 1031, Wing J, Akshar Business Park, Plot No. 03 Sector 25, Near APMC Market, 
Vashi, Navi Mumbai, Maharashtra 400703 TEL: 022-46090378/79/8
E mail : vsjcapf@gmail.com. Web site : www.vsjadon.com</t>
  </si>
  <si>
    <t>Site Meet Person Contact Details ( Name &amp; Contact No.)</t>
  </si>
  <si>
    <t>19.160384,73.265504</t>
  </si>
  <si>
    <t>Wing A &amp; B</t>
  </si>
  <si>
    <t>ND Zone</t>
  </si>
  <si>
    <t>Other Plot</t>
  </si>
  <si>
    <t>Ground Floor for Parking</t>
  </si>
  <si>
    <t>2 Wings</t>
  </si>
  <si>
    <t>KBNP/NRV/BD/2709-80</t>
  </si>
  <si>
    <t>B Wing (Part I) = G + 1st to 12th Floor</t>
  </si>
  <si>
    <t>B Wing (Part II) = G + 1st to 12th Floor</t>
  </si>
  <si>
    <t>2nd, 4th, 6th &amp; 10th Floor</t>
  </si>
  <si>
    <t>12th Floor</t>
  </si>
  <si>
    <t>8th Floor Part Refuge Area</t>
  </si>
  <si>
    <t>Refuge Area</t>
  </si>
  <si>
    <t>-</t>
  </si>
  <si>
    <t>Driver Room</t>
  </si>
  <si>
    <t>We considered Gross carpet area = Net carpet + C.P Area + C.B Area.</t>
  </si>
  <si>
    <t>1st, 3rd, 5th, 7th, 9th &amp; 11th Floor</t>
  </si>
  <si>
    <t>Only Wing A</t>
  </si>
  <si>
    <t>Layout :</t>
  </si>
  <si>
    <t>Remark No. 8</t>
  </si>
  <si>
    <t>As per Layout</t>
  </si>
  <si>
    <t>Mr. Nitin 7798025253</t>
  </si>
  <si>
    <t>18.00Mt Wide DP Road</t>
  </si>
  <si>
    <t>Commencement Certificate No.
Valid Up to:</t>
  </si>
  <si>
    <t>Wing A = G + 1st to 7th Floor
Wing B = G + 1st to 12th Floor</t>
  </si>
  <si>
    <t>KBNP/NRV/BP/2709/2023-2024 Unique No.80</t>
  </si>
  <si>
    <t xml:space="preserve">O. Certificate No.: 
Approved upto : </t>
  </si>
  <si>
    <t>60 Years After Completion</t>
  </si>
  <si>
    <t>A Wing = G + 1st to 7th Floor
B Wing = G + 1st to 12th Floor</t>
  </si>
  <si>
    <t>B Wing = G + 1st to 12th Floor</t>
  </si>
  <si>
    <t xml:space="preserve">Approved Floor plan No.  
(For Wing A)  </t>
  </si>
  <si>
    <t>Building Details Floor Wise</t>
  </si>
  <si>
    <t xml:space="preserve">Details of Commercial &amp; Residenitial in Building   </t>
  </si>
  <si>
    <t>Society Office</t>
  </si>
  <si>
    <t>Mr. Tushar Pawar 7276103969.</t>
  </si>
  <si>
    <t xml:space="preserve">Approved Floor plan No.
(For Wing B)  </t>
  </si>
  <si>
    <t>KBNP/NRV/BD/1801-127</t>
  </si>
  <si>
    <t>Flats - 161, Shops - 4, Office - 4</t>
  </si>
  <si>
    <t xml:space="preserve">KBNP/NRV/1662/2023-2024
Wing A = G + 1st to 7th Floor
</t>
  </si>
  <si>
    <t>Average of Part I &amp; II</t>
  </si>
  <si>
    <t>Average
 Progress %</t>
  </si>
  <si>
    <t>Average
 Disbursement %</t>
  </si>
  <si>
    <t>Construction stage is reduced due to revision in proposed structure of Wing B on 05/03/2025</t>
  </si>
  <si>
    <t>We have updated revised approved CC &amp; plans for Wing B On 05/03/2025.</t>
  </si>
  <si>
    <t>We have updated approved OC For Wing A from RERA Site On 05/03/2025.</t>
  </si>
  <si>
    <t xml:space="preserve">Wing A = All work Completed. OC Received.
Wing B = Construction work is in process at the time of visit.
</t>
  </si>
  <si>
    <t>Name of Municipal Corporation/Authority</t>
  </si>
  <si>
    <t>Kulgaon Badlapur Municipal Council</t>
  </si>
  <si>
    <r>
      <t xml:space="preserve">As per RERA, previous approved CC &amp; plans dtd.02/03/2020 project consist of Wing A, B &amp; C for G + 1st to 7th Floor.
But as per mentioned in the revised approved CC dtd.20/11/2023, previous amended " Wing B &amp; C "are merged into newly proposed </t>
    </r>
    <r>
      <rPr>
        <sz val="12"/>
        <rFont val="Times New Roman"/>
        <family val="1"/>
      </rPr>
      <t>"</t>
    </r>
    <r>
      <rPr>
        <b/>
        <sz val="12"/>
        <rFont val="Times New Roman"/>
        <family val="1"/>
      </rPr>
      <t xml:space="preserve"> Wing B  " for G + 1st to 12th Floor.</t>
    </r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</si>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</sst>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5"/>
      <color rgb="FF00000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6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45"/>
        <bgColor indexed="29"/>
      </patternFill>
    </fill>
    <fill>
      <patternFill patternType="solid">
        <fgColor indexed="27"/>
        <bgColor indexed="41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59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2" borderId="1" xfId="0" applyFill="1" applyBorder="1"/>
    <xf numFmtId="0" fontId="0" fillId="0" borderId="2" xfId="0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7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0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0" xfId="1" applyFont="1" applyBorder="1"/>
    <xf numFmtId="0" fontId="7" fillId="0" borderId="13" xfId="1" applyFont="1" applyBorder="1"/>
    <xf numFmtId="9" fontId="17" fillId="0" borderId="0" xfId="0" applyNumberFormat="1" applyFont="1" applyBorder="1" applyProtection="1">
      <protection hidden="1"/>
    </xf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0" fontId="24" fillId="3" borderId="25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 applyProtection="1">
      <alignment horizontal="center" vertical="center" wrapText="1"/>
      <protection locked="0"/>
    </xf>
    <xf numFmtId="165" fontId="24" fillId="4" borderId="25" xfId="0" applyNumberFormat="1" applyFont="1" applyFill="1" applyBorder="1" applyAlignment="1">
      <alignment horizontal="center" vertical="center" wrapText="1"/>
    </xf>
    <xf numFmtId="0" fontId="24" fillId="5" borderId="25" xfId="0" applyFont="1" applyFill="1" applyBorder="1" applyAlignment="1" applyProtection="1">
      <alignment horizontal="center" vertical="center" wrapText="1"/>
      <protection locked="0"/>
    </xf>
    <xf numFmtId="0" fontId="24" fillId="6" borderId="25" xfId="0" applyFont="1" applyFill="1" applyBorder="1" applyAlignment="1" applyProtection="1">
      <alignment horizontal="center" vertical="center" wrapText="1"/>
      <protection locked="0"/>
    </xf>
    <xf numFmtId="0" fontId="24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5" xfId="0" applyFont="1" applyBorder="1" applyAlignment="1">
      <alignment horizontal="center" vertical="center" wrapText="1"/>
    </xf>
    <xf numFmtId="0" fontId="24" fillId="7" borderId="25" xfId="0" applyFont="1" applyFill="1" applyBorder="1" applyAlignment="1">
      <alignment horizontal="center" vertical="center" wrapText="1"/>
    </xf>
    <xf numFmtId="1" fontId="24" fillId="7" borderId="25" xfId="0" applyNumberFormat="1" applyFont="1" applyFill="1" applyBorder="1" applyAlignment="1">
      <alignment horizontal="center" vertical="center" wrapText="1"/>
    </xf>
    <xf numFmtId="0" fontId="17" fillId="0" borderId="13" xfId="0" applyNumberFormat="1" applyFont="1" applyBorder="1" applyProtection="1">
      <protection hidden="1"/>
    </xf>
    <xf numFmtId="0" fontId="7" fillId="0" borderId="11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1" fontId="24" fillId="4" borderId="25" xfId="0" applyNumberFormat="1" applyFont="1" applyFill="1" applyBorder="1" applyAlignment="1">
      <alignment horizontal="center" vertical="center" wrapText="1"/>
    </xf>
    <xf numFmtId="0" fontId="24" fillId="3" borderId="25" xfId="0" applyFont="1" applyFill="1" applyBorder="1" applyAlignment="1">
      <alignment horizontal="left" vertical="top" wrapText="1"/>
    </xf>
    <xf numFmtId="0" fontId="24" fillId="4" borderId="25" xfId="0" applyFont="1" applyFill="1" applyBorder="1" applyAlignment="1">
      <alignment horizontal="center" vertical="top" wrapText="1"/>
    </xf>
    <xf numFmtId="0" fontId="24" fillId="4" borderId="25" xfId="0" applyFont="1" applyFill="1" applyBorder="1" applyAlignment="1" applyProtection="1">
      <alignment horizontal="center" vertical="top" wrapText="1"/>
      <protection locked="0"/>
    </xf>
    <xf numFmtId="165" fontId="24" fillId="4" borderId="25" xfId="0" applyNumberFormat="1" applyFont="1" applyFill="1" applyBorder="1" applyAlignment="1">
      <alignment horizontal="center" vertical="top" wrapText="1"/>
    </xf>
    <xf numFmtId="0" fontId="25" fillId="3" borderId="25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14" xfId="0" applyBorder="1"/>
    <xf numFmtId="0" fontId="0" fillId="0" borderId="15" xfId="0" applyBorder="1"/>
    <xf numFmtId="0" fontId="12" fillId="0" borderId="5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horizontal="center" wrapText="1"/>
      <protection locked="0"/>
    </xf>
    <xf numFmtId="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Fill="1" applyBorder="1" applyAlignment="1" applyProtection="1">
      <alignment horizontal="center" wrapText="1"/>
      <protection locked="0"/>
    </xf>
    <xf numFmtId="0" fontId="12" fillId="0" borderId="7" xfId="1" applyFont="1" applyFill="1" applyBorder="1" applyAlignment="1" applyProtection="1">
      <alignment horizontal="center" wrapText="1"/>
      <protection locked="0"/>
    </xf>
    <xf numFmtId="9" fontId="7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10" fillId="0" borderId="0" xfId="1" applyFont="1"/>
    <xf numFmtId="0" fontId="7" fillId="0" borderId="0" xfId="1" applyFont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19" xfId="1" applyFont="1" applyFill="1" applyBorder="1" applyAlignment="1" applyProtection="1">
      <alignment horizontal="center" vertical="top" wrapText="1"/>
      <protection locked="0"/>
    </xf>
    <xf numFmtId="0" fontId="28" fillId="0" borderId="0" xfId="1" applyFont="1"/>
    <xf numFmtId="9" fontId="8" fillId="8" borderId="39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3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24" xfId="0" applyNumberFormat="1" applyFont="1" applyFill="1" applyBorder="1" applyAlignment="1" applyProtection="1">
      <alignment vertical="top" wrapText="1"/>
      <protection locked="0"/>
    </xf>
    <xf numFmtId="1" fontId="13" fillId="0" borderId="10" xfId="0" applyNumberFormat="1" applyFont="1" applyFill="1" applyBorder="1" applyAlignment="1" applyProtection="1">
      <alignment vertical="top" wrapText="1"/>
      <protection locked="0"/>
    </xf>
    <xf numFmtId="0" fontId="8" fillId="8" borderId="38" xfId="1" applyFont="1" applyFill="1" applyBorder="1" applyAlignment="1" applyProtection="1">
      <alignment horizontal="center" vertical="center" wrapText="1"/>
      <protection locked="0"/>
    </xf>
    <xf numFmtId="0" fontId="8" fillId="8" borderId="33" xfId="1" applyFont="1" applyFill="1" applyBorder="1" applyAlignment="1" applyProtection="1">
      <alignment horizontal="center" vertical="center" wrapText="1"/>
      <protection locked="0"/>
    </xf>
    <xf numFmtId="0" fontId="8" fillId="8" borderId="32" xfId="1" applyFont="1" applyFill="1" applyBorder="1" applyAlignment="1" applyProtection="1">
      <alignment horizontal="center" vertical="center" wrapText="1"/>
      <protection locked="0"/>
    </xf>
    <xf numFmtId="0" fontId="8" fillId="8" borderId="40" xfId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3" fillId="0" borderId="9" xfId="1" applyFont="1" applyFill="1" applyBorder="1" applyAlignment="1" applyProtection="1">
      <alignment horizontal="left" vertical="top" wrapText="1"/>
      <protection locked="0"/>
    </xf>
    <xf numFmtId="0" fontId="13" fillId="0" borderId="24" xfId="1" applyFont="1" applyFill="1" applyBorder="1" applyAlignment="1" applyProtection="1">
      <alignment horizontal="left" vertical="top" wrapText="1"/>
      <protection locked="0"/>
    </xf>
    <xf numFmtId="0" fontId="13" fillId="0" borderId="10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19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1" fontId="8" fillId="0" borderId="23" xfId="1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65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30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8" fillId="0" borderId="24" xfId="0" applyNumberFormat="1" applyFont="1" applyFill="1" applyBorder="1" applyAlignment="1" applyProtection="1">
      <alignment vertical="top" wrapText="1"/>
      <protection locked="0"/>
    </xf>
    <xf numFmtId="1" fontId="8" fillId="0" borderId="10" xfId="0" applyNumberFormat="1" applyFont="1" applyFill="1" applyBorder="1" applyAlignment="1" applyProtection="1">
      <alignment vertical="top" wrapText="1"/>
      <protection locked="0"/>
    </xf>
    <xf numFmtId="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0" borderId="7" xfId="1" applyNumberFormat="1" applyFont="1" applyFill="1" applyBorder="1" applyAlignment="1" applyProtection="1">
      <alignment horizontal="center" vertical="center" wrapText="1"/>
      <protection hidden="1"/>
    </xf>
    <xf numFmtId="9" fontId="7" fillId="0" borderId="5" xfId="1" applyNumberFormat="1" applyFont="1" applyFill="1" applyBorder="1" applyAlignment="1" applyProtection="1">
      <alignment horizontal="center" vertical="center" wrapText="1"/>
      <protection hidden="1"/>
    </xf>
    <xf numFmtId="9" fontId="7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0" fontId="13" fillId="0" borderId="7" xfId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left" vertical="top" wrapText="1"/>
      <protection locked="0"/>
    </xf>
    <xf numFmtId="0" fontId="13" fillId="0" borderId="28" xfId="1" applyFont="1" applyFill="1" applyBorder="1" applyAlignment="1" applyProtection="1">
      <alignment horizontal="left" vertical="top" wrapText="1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8" fillId="0" borderId="16" xfId="1" applyFont="1" applyFill="1" applyBorder="1" applyAlignment="1" applyProtection="1">
      <alignment horizontal="left" vertical="top" wrapText="1"/>
      <protection locked="0"/>
    </xf>
    <xf numFmtId="0" fontId="8" fillId="0" borderId="17" xfId="1" applyFont="1" applyFill="1" applyBorder="1" applyAlignment="1" applyProtection="1">
      <alignment horizontal="left" vertical="top" wrapText="1"/>
      <protection locked="0"/>
    </xf>
    <xf numFmtId="0" fontId="8" fillId="0" borderId="29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7" fillId="0" borderId="4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29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67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167" fontId="12" fillId="0" borderId="1" xfId="1" applyNumberFormat="1" applyFont="1" applyFill="1" applyBorder="1" applyAlignment="1" applyProtection="1">
      <alignment horizontal="left" vertical="top"/>
      <protection locked="0"/>
    </xf>
    <xf numFmtId="0" fontId="15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6" fillId="0" borderId="9" xfId="1" applyFont="1" applyFill="1" applyBorder="1" applyAlignment="1" applyProtection="1">
      <alignment horizontal="left" vertical="top"/>
      <protection locked="0"/>
    </xf>
    <xf numFmtId="0" fontId="6" fillId="0" borderId="24" xfId="1" applyFont="1" applyFill="1" applyBorder="1" applyAlignment="1" applyProtection="1">
      <alignment horizontal="left" vertical="top"/>
      <protection locked="0"/>
    </xf>
    <xf numFmtId="0" fontId="6" fillId="0" borderId="10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0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0" fillId="0" borderId="9" xfId="1" applyFont="1" applyFill="1" applyBorder="1" applyAlignment="1" applyProtection="1">
      <alignment horizontal="left"/>
      <protection locked="0"/>
    </xf>
    <xf numFmtId="0" fontId="10" fillId="0" borderId="24" xfId="1" applyFont="1" applyFill="1" applyBorder="1" applyAlignment="1" applyProtection="1">
      <alignment horizontal="left"/>
      <protection locked="0"/>
    </xf>
    <xf numFmtId="0" fontId="10" fillId="0" borderId="10" xfId="1" applyFont="1" applyFill="1" applyBorder="1" applyAlignment="1" applyProtection="1">
      <alignment horizontal="left"/>
      <protection locked="0"/>
    </xf>
    <xf numFmtId="0" fontId="27" fillId="0" borderId="9" xfId="9" applyFill="1" applyBorder="1" applyAlignment="1" applyProtection="1">
      <alignment horizontal="left"/>
      <protection locked="0"/>
    </xf>
    <xf numFmtId="0" fontId="7" fillId="0" borderId="24" xfId="1" applyFont="1" applyFill="1" applyBorder="1" applyAlignment="1" applyProtection="1">
      <alignment horizontal="left"/>
      <protection locked="0"/>
    </xf>
    <xf numFmtId="0" fontId="7" fillId="0" borderId="10" xfId="1" applyFont="1" applyFill="1" applyBorder="1" applyAlignment="1" applyProtection="1">
      <alignment horizontal="left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9" xfId="1" applyNumberFormat="1" applyFont="1" applyFill="1" applyBorder="1" applyAlignment="1" applyProtection="1">
      <alignment horizontal="center" vertical="top" wrapText="1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0" fontId="12" fillId="0" borderId="10" xfId="1" applyFont="1" applyFill="1" applyBorder="1" applyAlignment="1" applyProtection="1">
      <alignment horizontal="left" vertical="top" wrapText="1"/>
      <protection locked="0"/>
    </xf>
    <xf numFmtId="0" fontId="12" fillId="0" borderId="31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0" fontId="6" fillId="0" borderId="4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7" fillId="0" borderId="36" xfId="1" applyFont="1" applyFill="1" applyBorder="1" applyAlignment="1" applyProtection="1">
      <alignment horizontal="center" vertical="top" wrapText="1"/>
      <protection locked="0"/>
    </xf>
    <xf numFmtId="0" fontId="13" fillId="0" borderId="6" xfId="1" applyFont="1" applyFill="1" applyBorder="1" applyAlignment="1" applyProtection="1">
      <alignment horizontal="left" vertical="top"/>
      <protection locked="0"/>
    </xf>
    <xf numFmtId="0" fontId="13" fillId="0" borderId="7" xfId="1" applyFont="1" applyFill="1" applyBorder="1" applyAlignment="1" applyProtection="1">
      <alignment horizontal="left" vertical="top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1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23" fillId="3" borderId="25" xfId="0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/>
    </xf>
    <xf numFmtId="0" fontId="26" fillId="2" borderId="24" xfId="0" applyFont="1" applyFill="1" applyBorder="1" applyAlignment="1">
      <alignment horizontal="center"/>
    </xf>
    <xf numFmtId="0" fontId="26" fillId="2" borderId="10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  <xf numFmtId="0" fontId="10" fillId="0" borderId="4" xfId="1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9" fontId="13" fillId="0" borderId="9" xfId="1" applyNumberFormat="1" applyFont="1" applyFill="1" applyBorder="1" applyAlignment="1" applyProtection="1">
      <alignment horizontal="center" vertical="center"/>
      <protection locked="0"/>
    </xf>
    <xf numFmtId="0" fontId="13" fillId="0" borderId="10" xfId="1" applyFont="1" applyFill="1" applyBorder="1" applyAlignment="1" applyProtection="1">
      <alignment horizontal="center" vertical="center"/>
      <protection locked="0"/>
    </xf>
    <xf numFmtId="0" fontId="10" fillId="0" borderId="5" xfId="1" applyFont="1" applyFill="1" applyBorder="1" applyAlignment="1" applyProtection="1">
      <alignment horizontal="center" vertical="center" wrapText="1"/>
      <protection locked="0"/>
    </xf>
    <xf numFmtId="9" fontId="8" fillId="0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34" xfId="1" applyFont="1" applyFill="1" applyBorder="1" applyAlignment="1" applyProtection="1">
      <alignment horizontal="center" vertical="center"/>
      <protection locked="0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26" Type="http://schemas.openxmlformats.org/officeDocument/2006/relationships/image" Target="../media/image25.jpe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6.jpeg"/><Relationship Id="rId25" Type="http://schemas.openxmlformats.org/officeDocument/2006/relationships/image" Target="../media/image24.jpe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2" Type="http://schemas.openxmlformats.org/officeDocument/2006/relationships/image" Target="../media/image2.jpeg"/><Relationship Id="rId16" Type="http://schemas.microsoft.com/office/2007/relationships/hdphoto" Target="../media/hdphoto1.wdp"/><Relationship Id="rId20" Type="http://schemas.openxmlformats.org/officeDocument/2006/relationships/image" Target="../media/image19.png"/><Relationship Id="rId29" Type="http://schemas.openxmlformats.org/officeDocument/2006/relationships/image" Target="../media/image2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2.png"/><Relationship Id="rId28" Type="http://schemas.openxmlformats.org/officeDocument/2006/relationships/image" Target="../media/image27.jpeg"/><Relationship Id="rId36" Type="http://schemas.openxmlformats.org/officeDocument/2006/relationships/image" Target="../media/image35.png"/><Relationship Id="rId10" Type="http://schemas.openxmlformats.org/officeDocument/2006/relationships/image" Target="../media/image10.png"/><Relationship Id="rId19" Type="http://schemas.openxmlformats.org/officeDocument/2006/relationships/image" Target="../media/image18.png"/><Relationship Id="rId31" Type="http://schemas.openxmlformats.org/officeDocument/2006/relationships/image" Target="../media/image3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1.png"/><Relationship Id="rId27" Type="http://schemas.openxmlformats.org/officeDocument/2006/relationships/image" Target="../media/image26.jpeg"/><Relationship Id="rId30" Type="http://schemas.openxmlformats.org/officeDocument/2006/relationships/image" Target="../media/image29.jpeg"/><Relationship Id="rId35" Type="http://schemas.openxmlformats.org/officeDocument/2006/relationships/image" Target="../media/image34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9.png"/><Relationship Id="rId1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892576</xdr:colOff>
      <xdr:row>243</xdr:row>
      <xdr:rowOff>98373</xdr:rowOff>
    </xdr:from>
    <xdr:to>
      <xdr:col>10</xdr:col>
      <xdr:colOff>45333</xdr:colOff>
      <xdr:row>245</xdr:row>
      <xdr:rowOff>165521</xdr:rowOff>
    </xdr:to>
    <xdr:sp macro="" textlink="">
      <xdr:nvSpPr>
        <xdr:cNvPr id="35" name="TextBox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7331476" y="50218923"/>
          <a:ext cx="1276832" cy="46719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1">
              <a:solidFill>
                <a:srgbClr val="FF0000"/>
              </a:solidFill>
            </a:rPr>
            <a:t>Wing A</a:t>
          </a:r>
          <a:endParaRPr lang="en-IN" sz="2400" b="1">
            <a:solidFill>
              <a:srgbClr val="FF0000"/>
            </a:solidFill>
          </a:endParaRPr>
        </a:p>
      </xdr:txBody>
    </xdr:sp>
    <xdr:clientData/>
  </xdr:twoCellAnchor>
  <xdr:oneCellAnchor>
    <xdr:from>
      <xdr:col>10</xdr:col>
      <xdr:colOff>702341</xdr:colOff>
      <xdr:row>242</xdr:row>
      <xdr:rowOff>100852</xdr:rowOff>
    </xdr:from>
    <xdr:ext cx="607089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9265316" y="50021377"/>
          <a:ext cx="607089" cy="2645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</a:t>
          </a:r>
          <a:r>
            <a:rPr lang="en-IN" sz="1100" b="1" baseline="0"/>
            <a:t> A</a:t>
          </a:r>
          <a:endParaRPr lang="en-IN" sz="1100" b="1"/>
        </a:p>
      </xdr:txBody>
    </xdr:sp>
    <xdr:clientData/>
  </xdr:oneCellAnchor>
  <xdr:twoCellAnchor editAs="oneCell">
    <xdr:from>
      <xdr:col>8</xdr:col>
      <xdr:colOff>1217024</xdr:colOff>
      <xdr:row>238</xdr:row>
      <xdr:rowOff>104775</xdr:rowOff>
    </xdr:from>
    <xdr:to>
      <xdr:col>17</xdr:col>
      <xdr:colOff>474749</xdr:colOff>
      <xdr:row>256</xdr:row>
      <xdr:rowOff>113851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55924" y="49577625"/>
          <a:ext cx="269625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1360554</xdr:colOff>
      <xdr:row>257</xdr:row>
      <xdr:rowOff>61072</xdr:rowOff>
    </xdr:from>
    <xdr:to>
      <xdr:col>16</xdr:col>
      <xdr:colOff>149379</xdr:colOff>
      <xdr:row>268</xdr:row>
      <xdr:rowOff>20796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9454" y="53324872"/>
          <a:ext cx="1617750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18</xdr:col>
      <xdr:colOff>31283</xdr:colOff>
      <xdr:row>238</xdr:row>
      <xdr:rowOff>104775</xdr:rowOff>
    </xdr:from>
    <xdr:to>
      <xdr:col>22</xdr:col>
      <xdr:colOff>289133</xdr:colOff>
      <xdr:row>256</xdr:row>
      <xdr:rowOff>113851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18308" y="49577625"/>
          <a:ext cx="269625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367453</xdr:colOff>
      <xdr:row>257</xdr:row>
      <xdr:rowOff>61072</xdr:rowOff>
    </xdr:from>
    <xdr:to>
      <xdr:col>19</xdr:col>
      <xdr:colOff>156403</xdr:colOff>
      <xdr:row>268</xdr:row>
      <xdr:rowOff>20796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35278" y="53324872"/>
          <a:ext cx="1617750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19</xdr:col>
      <xdr:colOff>339396</xdr:colOff>
      <xdr:row>257</xdr:row>
      <xdr:rowOff>61072</xdr:rowOff>
    </xdr:from>
    <xdr:to>
      <xdr:col>22</xdr:col>
      <xdr:colOff>128346</xdr:colOff>
      <xdr:row>268</xdr:row>
      <xdr:rowOff>20796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6021" y="53324872"/>
          <a:ext cx="1617750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990600</xdr:colOff>
      <xdr:row>268</xdr:row>
      <xdr:rowOff>168044</xdr:rowOff>
    </xdr:from>
    <xdr:to>
      <xdr:col>16</xdr:col>
      <xdr:colOff>79008</xdr:colOff>
      <xdr:row>276</xdr:row>
      <xdr:rowOff>7846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500" y="55632119"/>
          <a:ext cx="1917333" cy="14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251185</xdr:colOff>
      <xdr:row>268</xdr:row>
      <xdr:rowOff>168044</xdr:rowOff>
    </xdr:from>
    <xdr:to>
      <xdr:col>19</xdr:col>
      <xdr:colOff>339718</xdr:colOff>
      <xdr:row>276</xdr:row>
      <xdr:rowOff>7846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9010" y="55632119"/>
          <a:ext cx="1917333" cy="14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19</xdr:col>
      <xdr:colOff>511896</xdr:colOff>
      <xdr:row>268</xdr:row>
      <xdr:rowOff>168044</xdr:rowOff>
    </xdr:from>
    <xdr:to>
      <xdr:col>22</xdr:col>
      <xdr:colOff>600429</xdr:colOff>
      <xdr:row>276</xdr:row>
      <xdr:rowOff>7846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08521" y="55632119"/>
          <a:ext cx="1917333" cy="14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17</xdr:col>
      <xdr:colOff>589002</xdr:colOff>
      <xdr:row>244</xdr:row>
      <xdr:rowOff>160152</xdr:rowOff>
    </xdr:from>
    <xdr:to>
      <xdr:col>19</xdr:col>
      <xdr:colOff>171945</xdr:colOff>
      <xdr:row>246</xdr:row>
      <xdr:rowOff>129434</xdr:rowOff>
    </xdr:to>
    <xdr:sp macro="" textlink="">
      <xdr:nvSpPr>
        <xdr:cNvPr id="29" name="TextBox 18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0466427" y="50823627"/>
          <a:ext cx="802143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Part 1 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160208</xdr:colOff>
      <xdr:row>246</xdr:row>
      <xdr:rowOff>129434</xdr:rowOff>
    </xdr:from>
    <xdr:to>
      <xdr:col>21</xdr:col>
      <xdr:colOff>352751</xdr:colOff>
      <xdr:row>248</xdr:row>
      <xdr:rowOff>98716</xdr:rowOff>
    </xdr:to>
    <xdr:sp macro="" textlink="">
      <xdr:nvSpPr>
        <xdr:cNvPr id="36" name="TextBox 18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1866433" y="51192959"/>
          <a:ext cx="802143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Part 2 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304274</xdr:colOff>
      <xdr:row>246</xdr:row>
      <xdr:rowOff>129434</xdr:rowOff>
    </xdr:from>
    <xdr:to>
      <xdr:col>18</xdr:col>
      <xdr:colOff>524055</xdr:colOff>
      <xdr:row>248</xdr:row>
      <xdr:rowOff>98716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10791299" y="51192959"/>
          <a:ext cx="219781" cy="369332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160208</xdr:colOff>
      <xdr:row>248</xdr:row>
      <xdr:rowOff>98716</xdr:rowOff>
    </xdr:from>
    <xdr:to>
      <xdr:col>20</xdr:col>
      <xdr:colOff>538672</xdr:colOff>
      <xdr:row>250</xdr:row>
      <xdr:rowOff>10166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/>
        </xdr:cNvCxnSpPr>
      </xdr:nvCxnSpPr>
      <xdr:spPr>
        <a:xfrm flipH="1">
          <a:off x="11866433" y="51562291"/>
          <a:ext cx="378464" cy="31150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257885</xdr:colOff>
      <xdr:row>175</xdr:row>
      <xdr:rowOff>141397</xdr:rowOff>
    </xdr:from>
    <xdr:to>
      <xdr:col>18</xdr:col>
      <xdr:colOff>224727</xdr:colOff>
      <xdr:row>195</xdr:row>
      <xdr:rowOff>131372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93472" y="37885245"/>
          <a:ext cx="4017038" cy="3965627"/>
        </a:xfrm>
        <a:prstGeom prst="rect">
          <a:avLst/>
        </a:prstGeom>
      </xdr:spPr>
    </xdr:pic>
    <xdr:clientData/>
  </xdr:twoCellAnchor>
  <xdr:twoCellAnchor editAs="oneCell">
    <xdr:from>
      <xdr:col>10</xdr:col>
      <xdr:colOff>80341</xdr:colOff>
      <xdr:row>196</xdr:row>
      <xdr:rowOff>50938</xdr:rowOff>
    </xdr:from>
    <xdr:to>
      <xdr:col>21</xdr:col>
      <xdr:colOff>57511</xdr:colOff>
      <xdr:row>208</xdr:row>
      <xdr:rowOff>145874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636276" y="41969221"/>
          <a:ext cx="3745757" cy="2480329"/>
        </a:xfrm>
        <a:prstGeom prst="rect">
          <a:avLst/>
        </a:prstGeom>
      </xdr:spPr>
    </xdr:pic>
    <xdr:clientData/>
  </xdr:twoCellAnchor>
  <xdr:twoCellAnchor editAs="oneCell">
    <xdr:from>
      <xdr:col>8</xdr:col>
      <xdr:colOff>1095375</xdr:colOff>
      <xdr:row>202</xdr:row>
      <xdr:rowOff>180975</xdr:rowOff>
    </xdr:from>
    <xdr:to>
      <xdr:col>20</xdr:col>
      <xdr:colOff>323288</xdr:colOff>
      <xdr:row>215</xdr:row>
      <xdr:rowOff>328455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534275" y="40224075"/>
          <a:ext cx="4495238" cy="2743200"/>
        </a:xfrm>
        <a:prstGeom prst="rect">
          <a:avLst/>
        </a:prstGeom>
      </xdr:spPr>
    </xdr:pic>
    <xdr:clientData/>
  </xdr:twoCellAnchor>
  <xdr:twoCellAnchor editAs="oneCell">
    <xdr:from>
      <xdr:col>8</xdr:col>
      <xdr:colOff>752475</xdr:colOff>
      <xdr:row>126</xdr:row>
      <xdr:rowOff>38100</xdr:rowOff>
    </xdr:from>
    <xdr:to>
      <xdr:col>17</xdr:col>
      <xdr:colOff>104426</xdr:colOff>
      <xdr:row>134</xdr:row>
      <xdr:rowOff>75995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91375" y="27746325"/>
          <a:ext cx="2790476" cy="16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285386</xdr:colOff>
      <xdr:row>309</xdr:row>
      <xdr:rowOff>1082</xdr:rowOff>
    </xdr:from>
    <xdr:to>
      <xdr:col>6</xdr:col>
      <xdr:colOff>163285</xdr:colOff>
      <xdr:row>321</xdr:row>
      <xdr:rowOff>102496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386" y="63628082"/>
          <a:ext cx="3932828" cy="255070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468085</xdr:colOff>
      <xdr:row>281</xdr:row>
      <xdr:rowOff>3398</xdr:rowOff>
    </xdr:from>
    <xdr:to>
      <xdr:col>5</xdr:col>
      <xdr:colOff>734786</xdr:colOff>
      <xdr:row>308</xdr:row>
      <xdr:rowOff>27212</xdr:rowOff>
    </xdr:to>
    <xdr:grpSp>
      <xdr:nvGrpSpPr>
        <xdr:cNvPr id="70" name="Group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/>
      </xdr:nvGrpSpPr>
      <xdr:grpSpPr>
        <a:xfrm>
          <a:off x="1268185" y="57813798"/>
          <a:ext cx="3708401" cy="5338764"/>
          <a:chOff x="1447800" y="58187543"/>
          <a:chExt cx="3291743" cy="5392512"/>
        </a:xfrm>
      </xdr:grpSpPr>
      <xdr:grpSp>
        <xdr:nvGrpSpPr>
          <xdr:cNvPr id="33" name="Group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GrpSpPr/>
        </xdr:nvGrpSpPr>
        <xdr:grpSpPr>
          <a:xfrm>
            <a:off x="1447800" y="58187543"/>
            <a:ext cx="3291743" cy="5392512"/>
            <a:chOff x="1688123" y="443861"/>
            <a:chExt cx="3200400" cy="4467225"/>
          </a:xfrm>
        </xdr:grpSpPr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1688123" y="443861"/>
              <a:ext cx="3200400" cy="446722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42" name="Rectangle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>
            <a:xfrm rot="21116517">
              <a:off x="2380322" y="2152613"/>
              <a:ext cx="1819275" cy="681895"/>
            </a:xfrm>
            <a:prstGeom prst="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43" name="Rectangle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>
            <a:xfrm rot="21116517">
              <a:off x="2465971" y="2932686"/>
              <a:ext cx="716584" cy="888665"/>
            </a:xfrm>
            <a:prstGeom prst="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44" name="TextBox 5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 txBox="1"/>
          </xdr:nvSpPr>
          <xdr:spPr>
            <a:xfrm>
              <a:off x="2917080" y="2332822"/>
              <a:ext cx="865943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Wing B</a:t>
              </a:r>
              <a:endParaRPr lang="en-IN" b="1"/>
            </a:p>
          </xdr:txBody>
        </xdr:sp>
        <xdr:sp macro="" textlink="">
          <xdr:nvSpPr>
            <xdr:cNvPr id="45" name="TextBox 8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 txBox="1"/>
          </xdr:nvSpPr>
          <xdr:spPr>
            <a:xfrm>
              <a:off x="3117255" y="3295935"/>
              <a:ext cx="875561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Wing A</a:t>
              </a:r>
              <a:endParaRPr lang="en-IN" b="1"/>
            </a:p>
          </xdr:txBody>
        </xdr:sp>
        <xdr:sp macro="" textlink="">
          <xdr:nvSpPr>
            <xdr:cNvPr id="46" name="Arrow: Right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>
            <a:xfrm rot="15747231">
              <a:off x="4238409" y="4069524"/>
              <a:ext cx="381216" cy="298337"/>
            </a:xfrm>
            <a:prstGeom prst="rightArrow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47" name="TextBox 9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 txBox="1"/>
          </xdr:nvSpPr>
          <xdr:spPr>
            <a:xfrm>
              <a:off x="4292635" y="4372211"/>
              <a:ext cx="333746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N</a:t>
              </a:r>
              <a:endParaRPr lang="en-IN" b="1"/>
            </a:p>
          </xdr:txBody>
        </xdr:sp>
      </xdr:grp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 flipV="1">
            <a:off x="1669596" y="59676846"/>
            <a:ext cx="2947308" cy="631371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 rot="20890120">
            <a:off x="2500994" y="59584318"/>
            <a:ext cx="1474699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>
                <a:solidFill>
                  <a:srgbClr val="FF0000"/>
                </a:solidFill>
              </a:rPr>
              <a:t>No Development Zone</a:t>
            </a:r>
          </a:p>
        </xdr:txBody>
      </xdr:sp>
    </xdr:grpSp>
    <xdr:clientData/>
  </xdr:twoCellAnchor>
  <xdr:twoCellAnchor>
    <xdr:from>
      <xdr:col>0</xdr:col>
      <xdr:colOff>679176</xdr:colOff>
      <xdr:row>325</xdr:row>
      <xdr:rowOff>23812</xdr:rowOff>
    </xdr:from>
    <xdr:to>
      <xdr:col>7</xdr:col>
      <xdr:colOff>47625</xdr:colOff>
      <xdr:row>360</xdr:row>
      <xdr:rowOff>161216</xdr:rowOff>
    </xdr:to>
    <xdr:grpSp>
      <xdr:nvGrpSpPr>
        <xdr:cNvPr id="49" name="Group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pSpPr/>
      </xdr:nvGrpSpPr>
      <xdr:grpSpPr>
        <a:xfrm>
          <a:off x="679176" y="66495612"/>
          <a:ext cx="5248549" cy="7027154"/>
          <a:chOff x="928687" y="1499299"/>
          <a:chExt cx="5000625" cy="6145401"/>
        </a:xfrm>
      </xdr:grpSpPr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BEBA8EAE-BF5A-486C-A8C5-ECC9F3942E4B}">
                <a14:imgProps xmlns:a14="http://schemas.microsoft.com/office/drawing/2010/main">
                  <a14:imgLayer r:embed="rId16">
                    <a14:imgEffect>
                      <a14:sharpenSoften amount="25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928687" y="1499299"/>
            <a:ext cx="5000625" cy="614540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cxnSp macro="">
        <xdr:nvCxnSpPr>
          <xdr:cNvPr id="51" name="Straight Connector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CxnSpPr>
            <a:cxnSpLocks/>
          </xdr:cNvCxnSpPr>
        </xdr:nvCxnSpPr>
        <xdr:spPr>
          <a:xfrm>
            <a:off x="1095147" y="7545729"/>
            <a:ext cx="3746500" cy="55428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" name="Straight Connector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CxnSpPr>
            <a:cxnSpLocks/>
          </xdr:cNvCxnSpPr>
        </xdr:nvCxnSpPr>
        <xdr:spPr>
          <a:xfrm>
            <a:off x="1498599" y="5321300"/>
            <a:ext cx="3860800" cy="7620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3" name="Straight Connector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CxnSpPr>
            <a:cxnSpLocks/>
          </xdr:cNvCxnSpPr>
        </xdr:nvCxnSpPr>
        <xdr:spPr>
          <a:xfrm>
            <a:off x="1428749" y="5556250"/>
            <a:ext cx="3930650" cy="4445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Straight Connector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CxnSpPr>
            <a:cxnSpLocks/>
          </xdr:cNvCxnSpPr>
        </xdr:nvCxnSpPr>
        <xdr:spPr>
          <a:xfrm>
            <a:off x="1320799" y="5707762"/>
            <a:ext cx="3860800" cy="7620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5" name="Straight Connector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CxnSpPr>
            <a:cxnSpLocks/>
          </xdr:cNvCxnSpPr>
        </xdr:nvCxnSpPr>
        <xdr:spPr>
          <a:xfrm>
            <a:off x="4841647" y="7416800"/>
            <a:ext cx="736600" cy="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8</xdr:col>
      <xdr:colOff>1119468</xdr:colOff>
      <xdr:row>37</xdr:row>
      <xdr:rowOff>137832</xdr:rowOff>
    </xdr:from>
    <xdr:to>
      <xdr:col>17</xdr:col>
      <xdr:colOff>565425</xdr:colOff>
      <xdr:row>46</xdr:row>
      <xdr:rowOff>186656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74056" y="8418979"/>
          <a:ext cx="2886163" cy="2091218"/>
        </a:xfrm>
        <a:prstGeom prst="rect">
          <a:avLst/>
        </a:prstGeom>
      </xdr:spPr>
    </xdr:pic>
    <xdr:clientData/>
  </xdr:twoCellAnchor>
  <xdr:twoCellAnchor editAs="oneCell">
    <xdr:from>
      <xdr:col>8</xdr:col>
      <xdr:colOff>595762</xdr:colOff>
      <xdr:row>48</xdr:row>
      <xdr:rowOff>39318</xdr:rowOff>
    </xdr:from>
    <xdr:to>
      <xdr:col>21</xdr:col>
      <xdr:colOff>123319</xdr:colOff>
      <xdr:row>49</xdr:row>
      <xdr:rowOff>15172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031349" y="10218644"/>
          <a:ext cx="5416492" cy="373419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50</xdr:row>
      <xdr:rowOff>95250</xdr:rowOff>
    </xdr:from>
    <xdr:to>
      <xdr:col>26</xdr:col>
      <xdr:colOff>208700</xdr:colOff>
      <xdr:row>51</xdr:row>
      <xdr:rowOff>367247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772525" y="11115675"/>
          <a:ext cx="6800000" cy="676190"/>
        </a:xfrm>
        <a:prstGeom prst="rect">
          <a:avLst/>
        </a:prstGeom>
      </xdr:spPr>
    </xdr:pic>
    <xdr:clientData/>
  </xdr:twoCellAnchor>
  <xdr:twoCellAnchor editAs="oneCell">
    <xdr:from>
      <xdr:col>8</xdr:col>
      <xdr:colOff>335673</xdr:colOff>
      <xdr:row>49</xdr:row>
      <xdr:rowOff>261293</xdr:rowOff>
    </xdr:from>
    <xdr:to>
      <xdr:col>20</xdr:col>
      <xdr:colOff>466883</xdr:colOff>
      <xdr:row>51</xdr:row>
      <xdr:rowOff>400911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771260" y="11094945"/>
          <a:ext cx="5407232" cy="934747"/>
        </a:xfrm>
        <a:prstGeom prst="rect">
          <a:avLst/>
        </a:prstGeom>
      </xdr:spPr>
    </xdr:pic>
    <xdr:clientData/>
  </xdr:twoCellAnchor>
  <xdr:twoCellAnchor editAs="oneCell">
    <xdr:from>
      <xdr:col>16</xdr:col>
      <xdr:colOff>467126</xdr:colOff>
      <xdr:row>54</xdr:row>
      <xdr:rowOff>157602</xdr:rowOff>
    </xdr:from>
    <xdr:to>
      <xdr:col>25</xdr:col>
      <xdr:colOff>409300</xdr:colOff>
      <xdr:row>65</xdr:row>
      <xdr:rowOff>148968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719983" y="13043566"/>
          <a:ext cx="5453067" cy="2467866"/>
        </a:xfrm>
        <a:prstGeom prst="rect">
          <a:avLst/>
        </a:prstGeom>
      </xdr:spPr>
    </xdr:pic>
    <xdr:clientData/>
  </xdr:twoCellAnchor>
  <xdr:twoCellAnchor editAs="oneCell">
    <xdr:from>
      <xdr:col>8</xdr:col>
      <xdr:colOff>648820</xdr:colOff>
      <xdr:row>41</xdr:row>
      <xdr:rowOff>163606</xdr:rowOff>
    </xdr:from>
    <xdr:to>
      <xdr:col>22</xdr:col>
      <xdr:colOff>465359</xdr:colOff>
      <xdr:row>53</xdr:row>
      <xdr:rowOff>157739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087720" y="8993281"/>
          <a:ext cx="6303064" cy="3691174"/>
        </a:xfrm>
        <a:prstGeom prst="rect">
          <a:avLst/>
        </a:prstGeom>
      </xdr:spPr>
    </xdr:pic>
    <xdr:clientData/>
  </xdr:twoCellAnchor>
  <xdr:twoCellAnchor editAs="oneCell">
    <xdr:from>
      <xdr:col>1</xdr:col>
      <xdr:colOff>141514</xdr:colOff>
      <xdr:row>382</xdr:row>
      <xdr:rowOff>109943</xdr:rowOff>
    </xdr:from>
    <xdr:to>
      <xdr:col>5</xdr:col>
      <xdr:colOff>745672</xdr:colOff>
      <xdr:row>398</xdr:row>
      <xdr:rowOff>115758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03514" y="75493514"/>
          <a:ext cx="3883479" cy="327153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</xdr:col>
      <xdr:colOff>38099</xdr:colOff>
      <xdr:row>363</xdr:row>
      <xdr:rowOff>127881</xdr:rowOff>
    </xdr:from>
    <xdr:to>
      <xdr:col>6</xdr:col>
      <xdr:colOff>123825</xdr:colOff>
      <xdr:row>382</xdr:row>
      <xdr:rowOff>0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838199" y="74079981"/>
          <a:ext cx="4346576" cy="3612269"/>
          <a:chOff x="800099" y="70450956"/>
          <a:chExt cx="4152901" cy="3672594"/>
        </a:xfrm>
      </xdr:grpSpPr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0099" y="70450956"/>
            <a:ext cx="4152901" cy="3672594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30" name="Freeform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2381250" y="71485125"/>
            <a:ext cx="828675" cy="1047750"/>
          </a:xfrm>
          <a:custGeom>
            <a:avLst/>
            <a:gdLst>
              <a:gd name="connsiteX0" fmla="*/ 723900 w 800100"/>
              <a:gd name="connsiteY0" fmla="*/ 0 h 1047750"/>
              <a:gd name="connsiteX1" fmla="*/ 0 w 800100"/>
              <a:gd name="connsiteY1" fmla="*/ 85725 h 1047750"/>
              <a:gd name="connsiteX2" fmla="*/ 19050 w 800100"/>
              <a:gd name="connsiteY2" fmla="*/ 1047750 h 1047750"/>
              <a:gd name="connsiteX3" fmla="*/ 409575 w 800100"/>
              <a:gd name="connsiteY3" fmla="*/ 1000125 h 1047750"/>
              <a:gd name="connsiteX4" fmla="*/ 381000 w 800100"/>
              <a:gd name="connsiteY4" fmla="*/ 381000 h 1047750"/>
              <a:gd name="connsiteX5" fmla="*/ 800100 w 800100"/>
              <a:gd name="connsiteY5" fmla="*/ 276225 h 1047750"/>
              <a:gd name="connsiteX6" fmla="*/ 723900 w 800100"/>
              <a:gd name="connsiteY6" fmla="*/ 0 h 1047750"/>
              <a:gd name="connsiteX0" fmla="*/ 828675 w 828675"/>
              <a:gd name="connsiteY0" fmla="*/ 0 h 1047750"/>
              <a:gd name="connsiteX1" fmla="*/ 0 w 828675"/>
              <a:gd name="connsiteY1" fmla="*/ 85725 h 1047750"/>
              <a:gd name="connsiteX2" fmla="*/ 19050 w 828675"/>
              <a:gd name="connsiteY2" fmla="*/ 1047750 h 1047750"/>
              <a:gd name="connsiteX3" fmla="*/ 409575 w 828675"/>
              <a:gd name="connsiteY3" fmla="*/ 1000125 h 1047750"/>
              <a:gd name="connsiteX4" fmla="*/ 381000 w 828675"/>
              <a:gd name="connsiteY4" fmla="*/ 381000 h 1047750"/>
              <a:gd name="connsiteX5" fmla="*/ 800100 w 828675"/>
              <a:gd name="connsiteY5" fmla="*/ 276225 h 1047750"/>
              <a:gd name="connsiteX6" fmla="*/ 828675 w 828675"/>
              <a:gd name="connsiteY6" fmla="*/ 0 h 10477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828675" h="1047750">
                <a:moveTo>
                  <a:pt x="828675" y="0"/>
                </a:moveTo>
                <a:lnTo>
                  <a:pt x="0" y="85725"/>
                </a:lnTo>
                <a:lnTo>
                  <a:pt x="19050" y="1047750"/>
                </a:lnTo>
                <a:lnTo>
                  <a:pt x="409575" y="1000125"/>
                </a:lnTo>
                <a:lnTo>
                  <a:pt x="381000" y="381000"/>
                </a:lnTo>
                <a:lnTo>
                  <a:pt x="800100" y="276225"/>
                </a:lnTo>
                <a:lnTo>
                  <a:pt x="828675" y="0"/>
                </a:lnTo>
                <a:close/>
              </a:path>
            </a:pathLst>
          </a:cu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8</xdr:col>
      <xdr:colOff>62340</xdr:colOff>
      <xdr:row>239</xdr:row>
      <xdr:rowOff>153761</xdr:rowOff>
    </xdr:from>
    <xdr:to>
      <xdr:col>21</xdr:col>
      <xdr:colOff>112008</xdr:colOff>
      <xdr:row>279</xdr:row>
      <xdr:rowOff>125800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C9371F0-A9DF-428F-9316-9786E6E80BD0}"/>
            </a:ext>
          </a:extLst>
        </xdr:cNvPr>
        <xdr:cNvGrpSpPr/>
      </xdr:nvGrpSpPr>
      <xdr:grpSpPr>
        <a:xfrm>
          <a:off x="6812390" y="49702811"/>
          <a:ext cx="6221868" cy="7839689"/>
          <a:chOff x="233790" y="50207636"/>
          <a:chExt cx="5926593" cy="7963514"/>
        </a:xfrm>
      </xdr:grpSpPr>
      <xdr:grpSp>
        <xdr:nvGrpSpPr>
          <xdr:cNvPr id="48" name="Group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GrpSpPr/>
        </xdr:nvGrpSpPr>
        <xdr:grpSpPr>
          <a:xfrm>
            <a:off x="233790" y="50207636"/>
            <a:ext cx="5854440" cy="7963514"/>
            <a:chOff x="-188374" y="49604848"/>
            <a:chExt cx="6584213" cy="8894195"/>
          </a:xfrm>
        </xdr:grpSpPr>
        <xdr:pic>
          <xdr:nvPicPr>
            <xdr:cNvPr id="58" name="Picture 57" descr="https://vsjcllp.vsjadon.com/upload/insp-219849-1525.jpg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20268" y="56339043"/>
              <a:ext cx="2865387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9" name="Picture 58" descr="https://vsjcllp.vsjadon.com/upload/insp-219849-843.jpg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-188374" y="49620318"/>
              <a:ext cx="3222781" cy="428508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0" name="Picture 59" descr="https://vsjcllp.vsjadon.com/upload/insp-219849-844.jpg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666013" y="54062446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1" name="Picture 60" descr="https://vsjcllp.vsjadon.com/upload/insp-219849-847.jpg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21022" y="54062446"/>
              <a:ext cx="2865387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2" name="Picture 61" descr="https://vsjcllp.vsjadon.com/upload/insp-219849-871.jpg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-54547" y="54062446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3" name="Picture 62" descr="https://vsjcllp.vsjadon.com/upload/insp-219849-874.jpg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173058" y="49604848"/>
              <a:ext cx="3222781" cy="428508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4" name="Picture 63" descr="https://vsjcllp.vsjadon.com/upload/insp-219849-880.jpg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1746" y="56339043"/>
              <a:ext cx="287599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65" name="TextBox 188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 txBox="1"/>
        </xdr:nvSpPr>
        <xdr:spPr>
          <a:xfrm>
            <a:off x="3567540" y="51826886"/>
            <a:ext cx="802143" cy="3741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Part I</a:t>
            </a:r>
            <a:endParaRPr lang="en-IN" b="1">
              <a:solidFill>
                <a:srgbClr val="FF0000"/>
              </a:solidFill>
            </a:endParaRPr>
          </a:p>
        </xdr:txBody>
      </xdr:sp>
      <xdr:cxnSp macro="">
        <xdr:nvCxnSpPr>
          <xdr:cNvPr id="66" name="Straight Arrow Connector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CxnSpPr/>
        </xdr:nvCxnSpPr>
        <xdr:spPr>
          <a:xfrm>
            <a:off x="3892412" y="52196218"/>
            <a:ext cx="219781" cy="369332"/>
          </a:xfrm>
          <a:prstGeom prst="straightConnector1">
            <a:avLst/>
          </a:prstGeom>
          <a:ln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7" name="TextBox 18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/>
        </xdr:nvSpPr>
        <xdr:spPr>
          <a:xfrm>
            <a:off x="5358240" y="51931661"/>
            <a:ext cx="802143" cy="3741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Part II </a:t>
            </a:r>
            <a:endParaRPr lang="en-IN" b="1">
              <a:solidFill>
                <a:srgbClr val="FF0000"/>
              </a:solidFill>
            </a:endParaRPr>
          </a:p>
        </xdr:txBody>
      </xdr:sp>
      <xdr:cxnSp macro="">
        <xdr:nvCxnSpPr>
          <xdr:cNvPr id="68" name="Straight Arrow Connector 6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CxnSpPr/>
        </xdr:nvCxnSpPr>
        <xdr:spPr>
          <a:xfrm flipH="1">
            <a:off x="5591175" y="52205743"/>
            <a:ext cx="272912" cy="410357"/>
          </a:xfrm>
          <a:prstGeom prst="straightConnector1">
            <a:avLst/>
          </a:prstGeom>
          <a:ln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485775</xdr:colOff>
      <xdr:row>244</xdr:row>
      <xdr:rowOff>137377</xdr:rowOff>
    </xdr:from>
    <xdr:to>
      <xdr:col>4</xdr:col>
      <xdr:colOff>430668</xdr:colOff>
      <xdr:row>246</xdr:row>
      <xdr:rowOff>111468</xdr:rowOff>
    </xdr:to>
    <xdr:sp macro="" textlink="">
      <xdr:nvSpPr>
        <xdr:cNvPr id="82" name="TextBox 188">
          <a:extLst>
            <a:ext uri="{FF2B5EF4-FFF2-40B4-BE49-F238E27FC236}">
              <a16:creationId xmlns:a16="http://schemas.microsoft.com/office/drawing/2014/main" id="{2065DE6F-429C-4CE1-A614-81E0C00F94DB}"/>
            </a:ext>
          </a:extLst>
        </xdr:cNvPr>
        <xdr:cNvSpPr txBox="1"/>
      </xdr:nvSpPr>
      <xdr:spPr>
        <a:xfrm>
          <a:off x="2895600" y="51248527"/>
          <a:ext cx="802143" cy="3741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139700</xdr:colOff>
      <xdr:row>239</xdr:row>
      <xdr:rowOff>69850</xdr:rowOff>
    </xdr:from>
    <xdr:to>
      <xdr:col>7</xdr:col>
      <xdr:colOff>707085</xdr:colOff>
      <xdr:row>279</xdr:row>
      <xdr:rowOff>50800</xdr:rowOff>
    </xdr:to>
    <xdr:grpSp>
      <xdr:nvGrpSpPr>
        <xdr:cNvPr id="8" name="Group 7"/>
        <xdr:cNvGrpSpPr/>
      </xdr:nvGrpSpPr>
      <xdr:grpSpPr>
        <a:xfrm>
          <a:off x="139700" y="49618900"/>
          <a:ext cx="6447485" cy="7848600"/>
          <a:chOff x="139700" y="49618900"/>
          <a:chExt cx="6447485" cy="7848600"/>
        </a:xfrm>
      </xdr:grpSpPr>
      <xdr:pic>
        <xdr:nvPicPr>
          <xdr:cNvPr id="83" name="Picture 82"/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21364" y="53671483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5" name="Picture 84"/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62666" y="53671483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6" name="Picture 85"/>
          <xdr:cNvPicPr>
            <a:picLocks noChangeAspect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8472" y="4961890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7" name="Picture 86"/>
          <xdr:cNvPicPr>
            <a:picLocks noChangeAspect="1"/>
          </xdr:cNvPicPr>
        </xdr:nvPicPr>
        <xdr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1596" y="4961890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8" name="Picture 87"/>
          <xdr:cNvPicPr>
            <a:picLocks noChangeAspect="1"/>
          </xdr:cNvPicPr>
        </xdr:nvPicPr>
        <xdr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29990" y="55917716"/>
            <a:ext cx="1348125" cy="154978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9" name="Picture 88"/>
          <xdr:cNvPicPr>
            <a:picLocks noChangeAspect="1"/>
          </xdr:cNvPicPr>
        </xdr:nvPicPr>
        <xdr:blipFill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80062" y="53671483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0" name="Picture 89"/>
          <xdr:cNvPicPr>
            <a:picLocks noChangeAspect="1"/>
          </xdr:cNvPicPr>
        </xdr:nvPicPr>
        <xdr:blipFill rotWithShape="1"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39700" y="53671483"/>
            <a:ext cx="122357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" name="TextBox 4"/>
          <xdr:cNvSpPr txBox="1"/>
        </xdr:nvSpPr>
        <xdr:spPr>
          <a:xfrm>
            <a:off x="4743450" y="52400200"/>
            <a:ext cx="1301750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4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  <a:r>
              <a:rPr lang="en-IN" sz="1400" b="1" cap="none" spc="0" baseline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: </a:t>
            </a:r>
            <a:r>
              <a:rPr lang="en-IN" sz="14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Part I</a:t>
            </a:r>
          </a:p>
        </xdr:txBody>
      </xdr:sp>
      <xdr:sp macro="" textlink="">
        <xdr:nvSpPr>
          <xdr:cNvPr id="91" name="TextBox 90"/>
          <xdr:cNvSpPr txBox="1"/>
        </xdr:nvSpPr>
        <xdr:spPr>
          <a:xfrm>
            <a:off x="1777496" y="52374800"/>
            <a:ext cx="1291444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1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 : Part II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FysLKBCVZakAsWtE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400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13" customWidth="1"/>
    <col min="2" max="2" width="12" style="13" customWidth="1"/>
    <col min="3" max="3" width="12.7265625" style="13" customWidth="1"/>
    <col min="4" max="4" width="12.81640625" style="13" customWidth="1"/>
    <col min="5" max="7" width="11.7265625" style="13" customWidth="1"/>
    <col min="8" max="8" width="12.453125" style="13" customWidth="1"/>
    <col min="9" max="9" width="20.453125" style="8" customWidth="1"/>
    <col min="10" max="10" width="11.453125" style="8" customWidth="1"/>
    <col min="11" max="11" width="10.54296875" style="8" bestFit="1" customWidth="1"/>
    <col min="12" max="12" width="12.81640625" style="8" hidden="1" customWidth="1"/>
    <col min="13" max="14" width="9.1796875" style="8" hidden="1" customWidth="1"/>
    <col min="15" max="15" width="10.7265625" style="8" hidden="1" customWidth="1"/>
    <col min="16" max="16" width="13.453125" style="8" hidden="1" customWidth="1"/>
    <col min="17" max="247" width="9.1796875" style="8"/>
    <col min="248" max="248" width="8.7265625" style="8" customWidth="1"/>
    <col min="249" max="249" width="9.81640625" style="8" customWidth="1"/>
    <col min="250" max="250" width="14.453125" style="8" customWidth="1"/>
    <col min="251" max="251" width="7.26953125" style="8" customWidth="1"/>
    <col min="252" max="252" width="5.54296875" style="8" customWidth="1"/>
    <col min="253" max="253" width="9" style="8" customWidth="1"/>
    <col min="254" max="255" width="9.81640625" style="8" customWidth="1"/>
    <col min="256" max="256" width="11.1796875" style="8" customWidth="1"/>
    <col min="257" max="257" width="2.81640625" style="8" customWidth="1"/>
    <col min="258" max="258" width="3.54296875" style="8" customWidth="1"/>
    <col min="259" max="503" width="9.1796875" style="8"/>
    <col min="504" max="504" width="8.7265625" style="8" customWidth="1"/>
    <col min="505" max="505" width="9.81640625" style="8" customWidth="1"/>
    <col min="506" max="506" width="14.453125" style="8" customWidth="1"/>
    <col min="507" max="507" width="7.26953125" style="8" customWidth="1"/>
    <col min="508" max="508" width="5.54296875" style="8" customWidth="1"/>
    <col min="509" max="509" width="9" style="8" customWidth="1"/>
    <col min="510" max="511" width="9.81640625" style="8" customWidth="1"/>
    <col min="512" max="512" width="11.1796875" style="8" customWidth="1"/>
    <col min="513" max="513" width="2.81640625" style="8" customWidth="1"/>
    <col min="514" max="514" width="3.54296875" style="8" customWidth="1"/>
    <col min="515" max="759" width="9.1796875" style="8"/>
    <col min="760" max="760" width="8.7265625" style="8" customWidth="1"/>
    <col min="761" max="761" width="9.81640625" style="8" customWidth="1"/>
    <col min="762" max="762" width="14.453125" style="8" customWidth="1"/>
    <col min="763" max="763" width="7.26953125" style="8" customWidth="1"/>
    <col min="764" max="764" width="5.54296875" style="8" customWidth="1"/>
    <col min="765" max="765" width="9" style="8" customWidth="1"/>
    <col min="766" max="767" width="9.81640625" style="8" customWidth="1"/>
    <col min="768" max="768" width="11.1796875" style="8" customWidth="1"/>
    <col min="769" max="769" width="2.81640625" style="8" customWidth="1"/>
    <col min="770" max="770" width="3.54296875" style="8" customWidth="1"/>
    <col min="771" max="1015" width="9.1796875" style="8"/>
    <col min="1016" max="1016" width="8.7265625" style="8" customWidth="1"/>
    <col min="1017" max="1017" width="9.81640625" style="8" customWidth="1"/>
    <col min="1018" max="1018" width="14.453125" style="8" customWidth="1"/>
    <col min="1019" max="1019" width="7.26953125" style="8" customWidth="1"/>
    <col min="1020" max="1020" width="5.54296875" style="8" customWidth="1"/>
    <col min="1021" max="1021" width="9" style="8" customWidth="1"/>
    <col min="1022" max="1023" width="9.81640625" style="8" customWidth="1"/>
    <col min="1024" max="1024" width="11.1796875" style="8" customWidth="1"/>
    <col min="1025" max="1025" width="2.81640625" style="8" customWidth="1"/>
    <col min="1026" max="1026" width="3.54296875" style="8" customWidth="1"/>
    <col min="1027" max="1271" width="9.1796875" style="8"/>
    <col min="1272" max="1272" width="8.7265625" style="8" customWidth="1"/>
    <col min="1273" max="1273" width="9.81640625" style="8" customWidth="1"/>
    <col min="1274" max="1274" width="14.453125" style="8" customWidth="1"/>
    <col min="1275" max="1275" width="7.26953125" style="8" customWidth="1"/>
    <col min="1276" max="1276" width="5.54296875" style="8" customWidth="1"/>
    <col min="1277" max="1277" width="9" style="8" customWidth="1"/>
    <col min="1278" max="1279" width="9.81640625" style="8" customWidth="1"/>
    <col min="1280" max="1280" width="11.1796875" style="8" customWidth="1"/>
    <col min="1281" max="1281" width="2.81640625" style="8" customWidth="1"/>
    <col min="1282" max="1282" width="3.54296875" style="8" customWidth="1"/>
    <col min="1283" max="1527" width="9.1796875" style="8"/>
    <col min="1528" max="1528" width="8.7265625" style="8" customWidth="1"/>
    <col min="1529" max="1529" width="9.81640625" style="8" customWidth="1"/>
    <col min="1530" max="1530" width="14.453125" style="8" customWidth="1"/>
    <col min="1531" max="1531" width="7.26953125" style="8" customWidth="1"/>
    <col min="1532" max="1532" width="5.54296875" style="8" customWidth="1"/>
    <col min="1533" max="1533" width="9" style="8" customWidth="1"/>
    <col min="1534" max="1535" width="9.81640625" style="8" customWidth="1"/>
    <col min="1536" max="1536" width="11.1796875" style="8" customWidth="1"/>
    <col min="1537" max="1537" width="2.81640625" style="8" customWidth="1"/>
    <col min="1538" max="1538" width="3.54296875" style="8" customWidth="1"/>
    <col min="1539" max="1783" width="9.1796875" style="8"/>
    <col min="1784" max="1784" width="8.7265625" style="8" customWidth="1"/>
    <col min="1785" max="1785" width="9.81640625" style="8" customWidth="1"/>
    <col min="1786" max="1786" width="14.453125" style="8" customWidth="1"/>
    <col min="1787" max="1787" width="7.26953125" style="8" customWidth="1"/>
    <col min="1788" max="1788" width="5.54296875" style="8" customWidth="1"/>
    <col min="1789" max="1789" width="9" style="8" customWidth="1"/>
    <col min="1790" max="1791" width="9.81640625" style="8" customWidth="1"/>
    <col min="1792" max="1792" width="11.1796875" style="8" customWidth="1"/>
    <col min="1793" max="1793" width="2.81640625" style="8" customWidth="1"/>
    <col min="1794" max="1794" width="3.54296875" style="8" customWidth="1"/>
    <col min="1795" max="2039" width="9.1796875" style="8"/>
    <col min="2040" max="2040" width="8.7265625" style="8" customWidth="1"/>
    <col min="2041" max="2041" width="9.81640625" style="8" customWidth="1"/>
    <col min="2042" max="2042" width="14.453125" style="8" customWidth="1"/>
    <col min="2043" max="2043" width="7.26953125" style="8" customWidth="1"/>
    <col min="2044" max="2044" width="5.54296875" style="8" customWidth="1"/>
    <col min="2045" max="2045" width="9" style="8" customWidth="1"/>
    <col min="2046" max="2047" width="9.81640625" style="8" customWidth="1"/>
    <col min="2048" max="2048" width="11.1796875" style="8" customWidth="1"/>
    <col min="2049" max="2049" width="2.81640625" style="8" customWidth="1"/>
    <col min="2050" max="2050" width="3.54296875" style="8" customWidth="1"/>
    <col min="2051" max="2295" width="9.1796875" style="8"/>
    <col min="2296" max="2296" width="8.7265625" style="8" customWidth="1"/>
    <col min="2297" max="2297" width="9.81640625" style="8" customWidth="1"/>
    <col min="2298" max="2298" width="14.453125" style="8" customWidth="1"/>
    <col min="2299" max="2299" width="7.26953125" style="8" customWidth="1"/>
    <col min="2300" max="2300" width="5.54296875" style="8" customWidth="1"/>
    <col min="2301" max="2301" width="9" style="8" customWidth="1"/>
    <col min="2302" max="2303" width="9.81640625" style="8" customWidth="1"/>
    <col min="2304" max="2304" width="11.1796875" style="8" customWidth="1"/>
    <col min="2305" max="2305" width="2.81640625" style="8" customWidth="1"/>
    <col min="2306" max="2306" width="3.54296875" style="8" customWidth="1"/>
    <col min="2307" max="2551" width="9.1796875" style="8"/>
    <col min="2552" max="2552" width="8.7265625" style="8" customWidth="1"/>
    <col min="2553" max="2553" width="9.81640625" style="8" customWidth="1"/>
    <col min="2554" max="2554" width="14.453125" style="8" customWidth="1"/>
    <col min="2555" max="2555" width="7.26953125" style="8" customWidth="1"/>
    <col min="2556" max="2556" width="5.54296875" style="8" customWidth="1"/>
    <col min="2557" max="2557" width="9" style="8" customWidth="1"/>
    <col min="2558" max="2559" width="9.81640625" style="8" customWidth="1"/>
    <col min="2560" max="2560" width="11.1796875" style="8" customWidth="1"/>
    <col min="2561" max="2561" width="2.81640625" style="8" customWidth="1"/>
    <col min="2562" max="2562" width="3.54296875" style="8" customWidth="1"/>
    <col min="2563" max="2807" width="9.1796875" style="8"/>
    <col min="2808" max="2808" width="8.7265625" style="8" customWidth="1"/>
    <col min="2809" max="2809" width="9.81640625" style="8" customWidth="1"/>
    <col min="2810" max="2810" width="14.453125" style="8" customWidth="1"/>
    <col min="2811" max="2811" width="7.26953125" style="8" customWidth="1"/>
    <col min="2812" max="2812" width="5.54296875" style="8" customWidth="1"/>
    <col min="2813" max="2813" width="9" style="8" customWidth="1"/>
    <col min="2814" max="2815" width="9.81640625" style="8" customWidth="1"/>
    <col min="2816" max="2816" width="11.1796875" style="8" customWidth="1"/>
    <col min="2817" max="2817" width="2.81640625" style="8" customWidth="1"/>
    <col min="2818" max="2818" width="3.54296875" style="8" customWidth="1"/>
    <col min="2819" max="3063" width="9.1796875" style="8"/>
    <col min="3064" max="3064" width="8.7265625" style="8" customWidth="1"/>
    <col min="3065" max="3065" width="9.81640625" style="8" customWidth="1"/>
    <col min="3066" max="3066" width="14.453125" style="8" customWidth="1"/>
    <col min="3067" max="3067" width="7.26953125" style="8" customWidth="1"/>
    <col min="3068" max="3068" width="5.54296875" style="8" customWidth="1"/>
    <col min="3069" max="3069" width="9" style="8" customWidth="1"/>
    <col min="3070" max="3071" width="9.81640625" style="8" customWidth="1"/>
    <col min="3072" max="3072" width="11.1796875" style="8" customWidth="1"/>
    <col min="3073" max="3073" width="2.81640625" style="8" customWidth="1"/>
    <col min="3074" max="3074" width="3.54296875" style="8" customWidth="1"/>
    <col min="3075" max="3319" width="9.1796875" style="8"/>
    <col min="3320" max="3320" width="8.7265625" style="8" customWidth="1"/>
    <col min="3321" max="3321" width="9.81640625" style="8" customWidth="1"/>
    <col min="3322" max="3322" width="14.453125" style="8" customWidth="1"/>
    <col min="3323" max="3323" width="7.26953125" style="8" customWidth="1"/>
    <col min="3324" max="3324" width="5.54296875" style="8" customWidth="1"/>
    <col min="3325" max="3325" width="9" style="8" customWidth="1"/>
    <col min="3326" max="3327" width="9.81640625" style="8" customWidth="1"/>
    <col min="3328" max="3328" width="11.1796875" style="8" customWidth="1"/>
    <col min="3329" max="3329" width="2.81640625" style="8" customWidth="1"/>
    <col min="3330" max="3330" width="3.54296875" style="8" customWidth="1"/>
    <col min="3331" max="3575" width="9.1796875" style="8"/>
    <col min="3576" max="3576" width="8.7265625" style="8" customWidth="1"/>
    <col min="3577" max="3577" width="9.81640625" style="8" customWidth="1"/>
    <col min="3578" max="3578" width="14.453125" style="8" customWidth="1"/>
    <col min="3579" max="3579" width="7.26953125" style="8" customWidth="1"/>
    <col min="3580" max="3580" width="5.54296875" style="8" customWidth="1"/>
    <col min="3581" max="3581" width="9" style="8" customWidth="1"/>
    <col min="3582" max="3583" width="9.81640625" style="8" customWidth="1"/>
    <col min="3584" max="3584" width="11.1796875" style="8" customWidth="1"/>
    <col min="3585" max="3585" width="2.81640625" style="8" customWidth="1"/>
    <col min="3586" max="3586" width="3.54296875" style="8" customWidth="1"/>
    <col min="3587" max="3831" width="9.1796875" style="8"/>
    <col min="3832" max="3832" width="8.7265625" style="8" customWidth="1"/>
    <col min="3833" max="3833" width="9.81640625" style="8" customWidth="1"/>
    <col min="3834" max="3834" width="14.453125" style="8" customWidth="1"/>
    <col min="3835" max="3835" width="7.26953125" style="8" customWidth="1"/>
    <col min="3836" max="3836" width="5.54296875" style="8" customWidth="1"/>
    <col min="3837" max="3837" width="9" style="8" customWidth="1"/>
    <col min="3838" max="3839" width="9.81640625" style="8" customWidth="1"/>
    <col min="3840" max="3840" width="11.1796875" style="8" customWidth="1"/>
    <col min="3841" max="3841" width="2.81640625" style="8" customWidth="1"/>
    <col min="3842" max="3842" width="3.54296875" style="8" customWidth="1"/>
    <col min="3843" max="4087" width="9.1796875" style="8"/>
    <col min="4088" max="4088" width="8.7265625" style="8" customWidth="1"/>
    <col min="4089" max="4089" width="9.81640625" style="8" customWidth="1"/>
    <col min="4090" max="4090" width="14.453125" style="8" customWidth="1"/>
    <col min="4091" max="4091" width="7.26953125" style="8" customWidth="1"/>
    <col min="4092" max="4092" width="5.54296875" style="8" customWidth="1"/>
    <col min="4093" max="4093" width="9" style="8" customWidth="1"/>
    <col min="4094" max="4095" width="9.81640625" style="8" customWidth="1"/>
    <col min="4096" max="4096" width="11.1796875" style="8" customWidth="1"/>
    <col min="4097" max="4097" width="2.81640625" style="8" customWidth="1"/>
    <col min="4098" max="4098" width="3.54296875" style="8" customWidth="1"/>
    <col min="4099" max="4343" width="9.1796875" style="8"/>
    <col min="4344" max="4344" width="8.7265625" style="8" customWidth="1"/>
    <col min="4345" max="4345" width="9.81640625" style="8" customWidth="1"/>
    <col min="4346" max="4346" width="14.453125" style="8" customWidth="1"/>
    <col min="4347" max="4347" width="7.26953125" style="8" customWidth="1"/>
    <col min="4348" max="4348" width="5.54296875" style="8" customWidth="1"/>
    <col min="4349" max="4349" width="9" style="8" customWidth="1"/>
    <col min="4350" max="4351" width="9.81640625" style="8" customWidth="1"/>
    <col min="4352" max="4352" width="11.1796875" style="8" customWidth="1"/>
    <col min="4353" max="4353" width="2.81640625" style="8" customWidth="1"/>
    <col min="4354" max="4354" width="3.54296875" style="8" customWidth="1"/>
    <col min="4355" max="4599" width="9.1796875" style="8"/>
    <col min="4600" max="4600" width="8.7265625" style="8" customWidth="1"/>
    <col min="4601" max="4601" width="9.81640625" style="8" customWidth="1"/>
    <col min="4602" max="4602" width="14.453125" style="8" customWidth="1"/>
    <col min="4603" max="4603" width="7.26953125" style="8" customWidth="1"/>
    <col min="4604" max="4604" width="5.54296875" style="8" customWidth="1"/>
    <col min="4605" max="4605" width="9" style="8" customWidth="1"/>
    <col min="4606" max="4607" width="9.81640625" style="8" customWidth="1"/>
    <col min="4608" max="4608" width="11.1796875" style="8" customWidth="1"/>
    <col min="4609" max="4609" width="2.81640625" style="8" customWidth="1"/>
    <col min="4610" max="4610" width="3.54296875" style="8" customWidth="1"/>
    <col min="4611" max="4855" width="9.1796875" style="8"/>
    <col min="4856" max="4856" width="8.7265625" style="8" customWidth="1"/>
    <col min="4857" max="4857" width="9.81640625" style="8" customWidth="1"/>
    <col min="4858" max="4858" width="14.453125" style="8" customWidth="1"/>
    <col min="4859" max="4859" width="7.26953125" style="8" customWidth="1"/>
    <col min="4860" max="4860" width="5.54296875" style="8" customWidth="1"/>
    <col min="4861" max="4861" width="9" style="8" customWidth="1"/>
    <col min="4862" max="4863" width="9.81640625" style="8" customWidth="1"/>
    <col min="4864" max="4864" width="11.1796875" style="8" customWidth="1"/>
    <col min="4865" max="4865" width="2.81640625" style="8" customWidth="1"/>
    <col min="4866" max="4866" width="3.54296875" style="8" customWidth="1"/>
    <col min="4867" max="5111" width="9.1796875" style="8"/>
    <col min="5112" max="5112" width="8.7265625" style="8" customWidth="1"/>
    <col min="5113" max="5113" width="9.81640625" style="8" customWidth="1"/>
    <col min="5114" max="5114" width="14.453125" style="8" customWidth="1"/>
    <col min="5115" max="5115" width="7.26953125" style="8" customWidth="1"/>
    <col min="5116" max="5116" width="5.54296875" style="8" customWidth="1"/>
    <col min="5117" max="5117" width="9" style="8" customWidth="1"/>
    <col min="5118" max="5119" width="9.81640625" style="8" customWidth="1"/>
    <col min="5120" max="5120" width="11.1796875" style="8" customWidth="1"/>
    <col min="5121" max="5121" width="2.81640625" style="8" customWidth="1"/>
    <col min="5122" max="5122" width="3.54296875" style="8" customWidth="1"/>
    <col min="5123" max="5367" width="9.1796875" style="8"/>
    <col min="5368" max="5368" width="8.7265625" style="8" customWidth="1"/>
    <col min="5369" max="5369" width="9.81640625" style="8" customWidth="1"/>
    <col min="5370" max="5370" width="14.453125" style="8" customWidth="1"/>
    <col min="5371" max="5371" width="7.26953125" style="8" customWidth="1"/>
    <col min="5372" max="5372" width="5.54296875" style="8" customWidth="1"/>
    <col min="5373" max="5373" width="9" style="8" customWidth="1"/>
    <col min="5374" max="5375" width="9.81640625" style="8" customWidth="1"/>
    <col min="5376" max="5376" width="11.1796875" style="8" customWidth="1"/>
    <col min="5377" max="5377" width="2.81640625" style="8" customWidth="1"/>
    <col min="5378" max="5378" width="3.54296875" style="8" customWidth="1"/>
    <col min="5379" max="5623" width="9.1796875" style="8"/>
    <col min="5624" max="5624" width="8.7265625" style="8" customWidth="1"/>
    <col min="5625" max="5625" width="9.81640625" style="8" customWidth="1"/>
    <col min="5626" max="5626" width="14.453125" style="8" customWidth="1"/>
    <col min="5627" max="5627" width="7.26953125" style="8" customWidth="1"/>
    <col min="5628" max="5628" width="5.54296875" style="8" customWidth="1"/>
    <col min="5629" max="5629" width="9" style="8" customWidth="1"/>
    <col min="5630" max="5631" width="9.81640625" style="8" customWidth="1"/>
    <col min="5632" max="5632" width="11.1796875" style="8" customWidth="1"/>
    <col min="5633" max="5633" width="2.81640625" style="8" customWidth="1"/>
    <col min="5634" max="5634" width="3.54296875" style="8" customWidth="1"/>
    <col min="5635" max="5879" width="9.1796875" style="8"/>
    <col min="5880" max="5880" width="8.7265625" style="8" customWidth="1"/>
    <col min="5881" max="5881" width="9.81640625" style="8" customWidth="1"/>
    <col min="5882" max="5882" width="14.453125" style="8" customWidth="1"/>
    <col min="5883" max="5883" width="7.26953125" style="8" customWidth="1"/>
    <col min="5884" max="5884" width="5.54296875" style="8" customWidth="1"/>
    <col min="5885" max="5885" width="9" style="8" customWidth="1"/>
    <col min="5886" max="5887" width="9.81640625" style="8" customWidth="1"/>
    <col min="5888" max="5888" width="11.1796875" style="8" customWidth="1"/>
    <col min="5889" max="5889" width="2.81640625" style="8" customWidth="1"/>
    <col min="5890" max="5890" width="3.54296875" style="8" customWidth="1"/>
    <col min="5891" max="6135" width="9.1796875" style="8"/>
    <col min="6136" max="6136" width="8.7265625" style="8" customWidth="1"/>
    <col min="6137" max="6137" width="9.81640625" style="8" customWidth="1"/>
    <col min="6138" max="6138" width="14.453125" style="8" customWidth="1"/>
    <col min="6139" max="6139" width="7.26953125" style="8" customWidth="1"/>
    <col min="6140" max="6140" width="5.54296875" style="8" customWidth="1"/>
    <col min="6141" max="6141" width="9" style="8" customWidth="1"/>
    <col min="6142" max="6143" width="9.81640625" style="8" customWidth="1"/>
    <col min="6144" max="6144" width="11.1796875" style="8" customWidth="1"/>
    <col min="6145" max="6145" width="2.81640625" style="8" customWidth="1"/>
    <col min="6146" max="6146" width="3.54296875" style="8" customWidth="1"/>
    <col min="6147" max="6391" width="9.1796875" style="8"/>
    <col min="6392" max="6392" width="8.7265625" style="8" customWidth="1"/>
    <col min="6393" max="6393" width="9.81640625" style="8" customWidth="1"/>
    <col min="6394" max="6394" width="14.453125" style="8" customWidth="1"/>
    <col min="6395" max="6395" width="7.26953125" style="8" customWidth="1"/>
    <col min="6396" max="6396" width="5.54296875" style="8" customWidth="1"/>
    <col min="6397" max="6397" width="9" style="8" customWidth="1"/>
    <col min="6398" max="6399" width="9.81640625" style="8" customWidth="1"/>
    <col min="6400" max="6400" width="11.1796875" style="8" customWidth="1"/>
    <col min="6401" max="6401" width="2.81640625" style="8" customWidth="1"/>
    <col min="6402" max="6402" width="3.54296875" style="8" customWidth="1"/>
    <col min="6403" max="6647" width="9.1796875" style="8"/>
    <col min="6648" max="6648" width="8.7265625" style="8" customWidth="1"/>
    <col min="6649" max="6649" width="9.81640625" style="8" customWidth="1"/>
    <col min="6650" max="6650" width="14.453125" style="8" customWidth="1"/>
    <col min="6651" max="6651" width="7.26953125" style="8" customWidth="1"/>
    <col min="6652" max="6652" width="5.54296875" style="8" customWidth="1"/>
    <col min="6653" max="6653" width="9" style="8" customWidth="1"/>
    <col min="6654" max="6655" width="9.81640625" style="8" customWidth="1"/>
    <col min="6656" max="6656" width="11.1796875" style="8" customWidth="1"/>
    <col min="6657" max="6657" width="2.81640625" style="8" customWidth="1"/>
    <col min="6658" max="6658" width="3.54296875" style="8" customWidth="1"/>
    <col min="6659" max="6903" width="9.1796875" style="8"/>
    <col min="6904" max="6904" width="8.7265625" style="8" customWidth="1"/>
    <col min="6905" max="6905" width="9.81640625" style="8" customWidth="1"/>
    <col min="6906" max="6906" width="14.453125" style="8" customWidth="1"/>
    <col min="6907" max="6907" width="7.26953125" style="8" customWidth="1"/>
    <col min="6908" max="6908" width="5.54296875" style="8" customWidth="1"/>
    <col min="6909" max="6909" width="9" style="8" customWidth="1"/>
    <col min="6910" max="6911" width="9.81640625" style="8" customWidth="1"/>
    <col min="6912" max="6912" width="11.1796875" style="8" customWidth="1"/>
    <col min="6913" max="6913" width="2.81640625" style="8" customWidth="1"/>
    <col min="6914" max="6914" width="3.54296875" style="8" customWidth="1"/>
    <col min="6915" max="7159" width="9.1796875" style="8"/>
    <col min="7160" max="7160" width="8.7265625" style="8" customWidth="1"/>
    <col min="7161" max="7161" width="9.81640625" style="8" customWidth="1"/>
    <col min="7162" max="7162" width="14.453125" style="8" customWidth="1"/>
    <col min="7163" max="7163" width="7.26953125" style="8" customWidth="1"/>
    <col min="7164" max="7164" width="5.54296875" style="8" customWidth="1"/>
    <col min="7165" max="7165" width="9" style="8" customWidth="1"/>
    <col min="7166" max="7167" width="9.81640625" style="8" customWidth="1"/>
    <col min="7168" max="7168" width="11.1796875" style="8" customWidth="1"/>
    <col min="7169" max="7169" width="2.81640625" style="8" customWidth="1"/>
    <col min="7170" max="7170" width="3.54296875" style="8" customWidth="1"/>
    <col min="7171" max="7415" width="9.1796875" style="8"/>
    <col min="7416" max="7416" width="8.7265625" style="8" customWidth="1"/>
    <col min="7417" max="7417" width="9.81640625" style="8" customWidth="1"/>
    <col min="7418" max="7418" width="14.453125" style="8" customWidth="1"/>
    <col min="7419" max="7419" width="7.26953125" style="8" customWidth="1"/>
    <col min="7420" max="7420" width="5.54296875" style="8" customWidth="1"/>
    <col min="7421" max="7421" width="9" style="8" customWidth="1"/>
    <col min="7422" max="7423" width="9.81640625" style="8" customWidth="1"/>
    <col min="7424" max="7424" width="11.1796875" style="8" customWidth="1"/>
    <col min="7425" max="7425" width="2.81640625" style="8" customWidth="1"/>
    <col min="7426" max="7426" width="3.54296875" style="8" customWidth="1"/>
    <col min="7427" max="7671" width="9.1796875" style="8"/>
    <col min="7672" max="7672" width="8.7265625" style="8" customWidth="1"/>
    <col min="7673" max="7673" width="9.81640625" style="8" customWidth="1"/>
    <col min="7674" max="7674" width="14.453125" style="8" customWidth="1"/>
    <col min="7675" max="7675" width="7.26953125" style="8" customWidth="1"/>
    <col min="7676" max="7676" width="5.54296875" style="8" customWidth="1"/>
    <col min="7677" max="7677" width="9" style="8" customWidth="1"/>
    <col min="7678" max="7679" width="9.81640625" style="8" customWidth="1"/>
    <col min="7680" max="7680" width="11.1796875" style="8" customWidth="1"/>
    <col min="7681" max="7681" width="2.81640625" style="8" customWidth="1"/>
    <col min="7682" max="7682" width="3.54296875" style="8" customWidth="1"/>
    <col min="7683" max="7927" width="9.1796875" style="8"/>
    <col min="7928" max="7928" width="8.7265625" style="8" customWidth="1"/>
    <col min="7929" max="7929" width="9.81640625" style="8" customWidth="1"/>
    <col min="7930" max="7930" width="14.453125" style="8" customWidth="1"/>
    <col min="7931" max="7931" width="7.26953125" style="8" customWidth="1"/>
    <col min="7932" max="7932" width="5.54296875" style="8" customWidth="1"/>
    <col min="7933" max="7933" width="9" style="8" customWidth="1"/>
    <col min="7934" max="7935" width="9.81640625" style="8" customWidth="1"/>
    <col min="7936" max="7936" width="11.1796875" style="8" customWidth="1"/>
    <col min="7937" max="7937" width="2.81640625" style="8" customWidth="1"/>
    <col min="7938" max="7938" width="3.54296875" style="8" customWidth="1"/>
    <col min="7939" max="8183" width="9.1796875" style="8"/>
    <col min="8184" max="8184" width="8.7265625" style="8" customWidth="1"/>
    <col min="8185" max="8185" width="9.81640625" style="8" customWidth="1"/>
    <col min="8186" max="8186" width="14.453125" style="8" customWidth="1"/>
    <col min="8187" max="8187" width="7.26953125" style="8" customWidth="1"/>
    <col min="8188" max="8188" width="5.54296875" style="8" customWidth="1"/>
    <col min="8189" max="8189" width="9" style="8" customWidth="1"/>
    <col min="8190" max="8191" width="9.81640625" style="8" customWidth="1"/>
    <col min="8192" max="8192" width="11.1796875" style="8" customWidth="1"/>
    <col min="8193" max="8193" width="2.81640625" style="8" customWidth="1"/>
    <col min="8194" max="8194" width="3.54296875" style="8" customWidth="1"/>
    <col min="8195" max="8439" width="9.1796875" style="8"/>
    <col min="8440" max="8440" width="8.7265625" style="8" customWidth="1"/>
    <col min="8441" max="8441" width="9.81640625" style="8" customWidth="1"/>
    <col min="8442" max="8442" width="14.453125" style="8" customWidth="1"/>
    <col min="8443" max="8443" width="7.26953125" style="8" customWidth="1"/>
    <col min="8444" max="8444" width="5.54296875" style="8" customWidth="1"/>
    <col min="8445" max="8445" width="9" style="8" customWidth="1"/>
    <col min="8446" max="8447" width="9.81640625" style="8" customWidth="1"/>
    <col min="8448" max="8448" width="11.1796875" style="8" customWidth="1"/>
    <col min="8449" max="8449" width="2.81640625" style="8" customWidth="1"/>
    <col min="8450" max="8450" width="3.54296875" style="8" customWidth="1"/>
    <col min="8451" max="8695" width="9.1796875" style="8"/>
    <col min="8696" max="8696" width="8.7265625" style="8" customWidth="1"/>
    <col min="8697" max="8697" width="9.81640625" style="8" customWidth="1"/>
    <col min="8698" max="8698" width="14.453125" style="8" customWidth="1"/>
    <col min="8699" max="8699" width="7.26953125" style="8" customWidth="1"/>
    <col min="8700" max="8700" width="5.54296875" style="8" customWidth="1"/>
    <col min="8701" max="8701" width="9" style="8" customWidth="1"/>
    <col min="8702" max="8703" width="9.81640625" style="8" customWidth="1"/>
    <col min="8704" max="8704" width="11.1796875" style="8" customWidth="1"/>
    <col min="8705" max="8705" width="2.81640625" style="8" customWidth="1"/>
    <col min="8706" max="8706" width="3.54296875" style="8" customWidth="1"/>
    <col min="8707" max="8951" width="9.1796875" style="8"/>
    <col min="8952" max="8952" width="8.7265625" style="8" customWidth="1"/>
    <col min="8953" max="8953" width="9.81640625" style="8" customWidth="1"/>
    <col min="8954" max="8954" width="14.453125" style="8" customWidth="1"/>
    <col min="8955" max="8955" width="7.26953125" style="8" customWidth="1"/>
    <col min="8956" max="8956" width="5.54296875" style="8" customWidth="1"/>
    <col min="8957" max="8957" width="9" style="8" customWidth="1"/>
    <col min="8958" max="8959" width="9.81640625" style="8" customWidth="1"/>
    <col min="8960" max="8960" width="11.1796875" style="8" customWidth="1"/>
    <col min="8961" max="8961" width="2.81640625" style="8" customWidth="1"/>
    <col min="8962" max="8962" width="3.54296875" style="8" customWidth="1"/>
    <col min="8963" max="9207" width="9.1796875" style="8"/>
    <col min="9208" max="9208" width="8.7265625" style="8" customWidth="1"/>
    <col min="9209" max="9209" width="9.81640625" style="8" customWidth="1"/>
    <col min="9210" max="9210" width="14.453125" style="8" customWidth="1"/>
    <col min="9211" max="9211" width="7.26953125" style="8" customWidth="1"/>
    <col min="9212" max="9212" width="5.54296875" style="8" customWidth="1"/>
    <col min="9213" max="9213" width="9" style="8" customWidth="1"/>
    <col min="9214" max="9215" width="9.81640625" style="8" customWidth="1"/>
    <col min="9216" max="9216" width="11.1796875" style="8" customWidth="1"/>
    <col min="9217" max="9217" width="2.81640625" style="8" customWidth="1"/>
    <col min="9218" max="9218" width="3.54296875" style="8" customWidth="1"/>
    <col min="9219" max="9463" width="9.1796875" style="8"/>
    <col min="9464" max="9464" width="8.7265625" style="8" customWidth="1"/>
    <col min="9465" max="9465" width="9.81640625" style="8" customWidth="1"/>
    <col min="9466" max="9466" width="14.453125" style="8" customWidth="1"/>
    <col min="9467" max="9467" width="7.26953125" style="8" customWidth="1"/>
    <col min="9468" max="9468" width="5.54296875" style="8" customWidth="1"/>
    <col min="9469" max="9469" width="9" style="8" customWidth="1"/>
    <col min="9470" max="9471" width="9.81640625" style="8" customWidth="1"/>
    <col min="9472" max="9472" width="11.1796875" style="8" customWidth="1"/>
    <col min="9473" max="9473" width="2.81640625" style="8" customWidth="1"/>
    <col min="9474" max="9474" width="3.54296875" style="8" customWidth="1"/>
    <col min="9475" max="9719" width="9.1796875" style="8"/>
    <col min="9720" max="9720" width="8.7265625" style="8" customWidth="1"/>
    <col min="9721" max="9721" width="9.81640625" style="8" customWidth="1"/>
    <col min="9722" max="9722" width="14.453125" style="8" customWidth="1"/>
    <col min="9723" max="9723" width="7.26953125" style="8" customWidth="1"/>
    <col min="9724" max="9724" width="5.54296875" style="8" customWidth="1"/>
    <col min="9725" max="9725" width="9" style="8" customWidth="1"/>
    <col min="9726" max="9727" width="9.81640625" style="8" customWidth="1"/>
    <col min="9728" max="9728" width="11.1796875" style="8" customWidth="1"/>
    <col min="9729" max="9729" width="2.81640625" style="8" customWidth="1"/>
    <col min="9730" max="9730" width="3.54296875" style="8" customWidth="1"/>
    <col min="9731" max="9975" width="9.1796875" style="8"/>
    <col min="9976" max="9976" width="8.7265625" style="8" customWidth="1"/>
    <col min="9977" max="9977" width="9.81640625" style="8" customWidth="1"/>
    <col min="9978" max="9978" width="14.453125" style="8" customWidth="1"/>
    <col min="9979" max="9979" width="7.26953125" style="8" customWidth="1"/>
    <col min="9980" max="9980" width="5.54296875" style="8" customWidth="1"/>
    <col min="9981" max="9981" width="9" style="8" customWidth="1"/>
    <col min="9982" max="9983" width="9.81640625" style="8" customWidth="1"/>
    <col min="9984" max="9984" width="11.1796875" style="8" customWidth="1"/>
    <col min="9985" max="9985" width="2.81640625" style="8" customWidth="1"/>
    <col min="9986" max="9986" width="3.54296875" style="8" customWidth="1"/>
    <col min="9987" max="10231" width="9.1796875" style="8"/>
    <col min="10232" max="10232" width="8.7265625" style="8" customWidth="1"/>
    <col min="10233" max="10233" width="9.81640625" style="8" customWidth="1"/>
    <col min="10234" max="10234" width="14.453125" style="8" customWidth="1"/>
    <col min="10235" max="10235" width="7.26953125" style="8" customWidth="1"/>
    <col min="10236" max="10236" width="5.54296875" style="8" customWidth="1"/>
    <col min="10237" max="10237" width="9" style="8" customWidth="1"/>
    <col min="10238" max="10239" width="9.81640625" style="8" customWidth="1"/>
    <col min="10240" max="10240" width="11.1796875" style="8" customWidth="1"/>
    <col min="10241" max="10241" width="2.81640625" style="8" customWidth="1"/>
    <col min="10242" max="10242" width="3.54296875" style="8" customWidth="1"/>
    <col min="10243" max="10487" width="9.1796875" style="8"/>
    <col min="10488" max="10488" width="8.7265625" style="8" customWidth="1"/>
    <col min="10489" max="10489" width="9.81640625" style="8" customWidth="1"/>
    <col min="10490" max="10490" width="14.453125" style="8" customWidth="1"/>
    <col min="10491" max="10491" width="7.26953125" style="8" customWidth="1"/>
    <col min="10492" max="10492" width="5.54296875" style="8" customWidth="1"/>
    <col min="10493" max="10493" width="9" style="8" customWidth="1"/>
    <col min="10494" max="10495" width="9.81640625" style="8" customWidth="1"/>
    <col min="10496" max="10496" width="11.1796875" style="8" customWidth="1"/>
    <col min="10497" max="10497" width="2.81640625" style="8" customWidth="1"/>
    <col min="10498" max="10498" width="3.54296875" style="8" customWidth="1"/>
    <col min="10499" max="10743" width="9.1796875" style="8"/>
    <col min="10744" max="10744" width="8.7265625" style="8" customWidth="1"/>
    <col min="10745" max="10745" width="9.81640625" style="8" customWidth="1"/>
    <col min="10746" max="10746" width="14.453125" style="8" customWidth="1"/>
    <col min="10747" max="10747" width="7.26953125" style="8" customWidth="1"/>
    <col min="10748" max="10748" width="5.54296875" style="8" customWidth="1"/>
    <col min="10749" max="10749" width="9" style="8" customWidth="1"/>
    <col min="10750" max="10751" width="9.81640625" style="8" customWidth="1"/>
    <col min="10752" max="10752" width="11.1796875" style="8" customWidth="1"/>
    <col min="10753" max="10753" width="2.81640625" style="8" customWidth="1"/>
    <col min="10754" max="10754" width="3.54296875" style="8" customWidth="1"/>
    <col min="10755" max="10999" width="9.1796875" style="8"/>
    <col min="11000" max="11000" width="8.7265625" style="8" customWidth="1"/>
    <col min="11001" max="11001" width="9.81640625" style="8" customWidth="1"/>
    <col min="11002" max="11002" width="14.453125" style="8" customWidth="1"/>
    <col min="11003" max="11003" width="7.26953125" style="8" customWidth="1"/>
    <col min="11004" max="11004" width="5.54296875" style="8" customWidth="1"/>
    <col min="11005" max="11005" width="9" style="8" customWidth="1"/>
    <col min="11006" max="11007" width="9.81640625" style="8" customWidth="1"/>
    <col min="11008" max="11008" width="11.1796875" style="8" customWidth="1"/>
    <col min="11009" max="11009" width="2.81640625" style="8" customWidth="1"/>
    <col min="11010" max="11010" width="3.54296875" style="8" customWidth="1"/>
    <col min="11011" max="11255" width="9.1796875" style="8"/>
    <col min="11256" max="11256" width="8.7265625" style="8" customWidth="1"/>
    <col min="11257" max="11257" width="9.81640625" style="8" customWidth="1"/>
    <col min="11258" max="11258" width="14.453125" style="8" customWidth="1"/>
    <col min="11259" max="11259" width="7.26953125" style="8" customWidth="1"/>
    <col min="11260" max="11260" width="5.54296875" style="8" customWidth="1"/>
    <col min="11261" max="11261" width="9" style="8" customWidth="1"/>
    <col min="11262" max="11263" width="9.81640625" style="8" customWidth="1"/>
    <col min="11264" max="11264" width="11.1796875" style="8" customWidth="1"/>
    <col min="11265" max="11265" width="2.81640625" style="8" customWidth="1"/>
    <col min="11266" max="11266" width="3.54296875" style="8" customWidth="1"/>
    <col min="11267" max="11511" width="9.1796875" style="8"/>
    <col min="11512" max="11512" width="8.7265625" style="8" customWidth="1"/>
    <col min="11513" max="11513" width="9.81640625" style="8" customWidth="1"/>
    <col min="11514" max="11514" width="14.453125" style="8" customWidth="1"/>
    <col min="11515" max="11515" width="7.26953125" style="8" customWidth="1"/>
    <col min="11516" max="11516" width="5.54296875" style="8" customWidth="1"/>
    <col min="11517" max="11517" width="9" style="8" customWidth="1"/>
    <col min="11518" max="11519" width="9.81640625" style="8" customWidth="1"/>
    <col min="11520" max="11520" width="11.1796875" style="8" customWidth="1"/>
    <col min="11521" max="11521" width="2.81640625" style="8" customWidth="1"/>
    <col min="11522" max="11522" width="3.54296875" style="8" customWidth="1"/>
    <col min="11523" max="11767" width="9.1796875" style="8"/>
    <col min="11768" max="11768" width="8.7265625" style="8" customWidth="1"/>
    <col min="11769" max="11769" width="9.81640625" style="8" customWidth="1"/>
    <col min="11770" max="11770" width="14.453125" style="8" customWidth="1"/>
    <col min="11771" max="11771" width="7.26953125" style="8" customWidth="1"/>
    <col min="11772" max="11772" width="5.54296875" style="8" customWidth="1"/>
    <col min="11773" max="11773" width="9" style="8" customWidth="1"/>
    <col min="11774" max="11775" width="9.81640625" style="8" customWidth="1"/>
    <col min="11776" max="11776" width="11.1796875" style="8" customWidth="1"/>
    <col min="11777" max="11777" width="2.81640625" style="8" customWidth="1"/>
    <col min="11778" max="11778" width="3.54296875" style="8" customWidth="1"/>
    <col min="11779" max="12023" width="9.1796875" style="8"/>
    <col min="12024" max="12024" width="8.7265625" style="8" customWidth="1"/>
    <col min="12025" max="12025" width="9.81640625" style="8" customWidth="1"/>
    <col min="12026" max="12026" width="14.453125" style="8" customWidth="1"/>
    <col min="12027" max="12027" width="7.26953125" style="8" customWidth="1"/>
    <col min="12028" max="12028" width="5.54296875" style="8" customWidth="1"/>
    <col min="12029" max="12029" width="9" style="8" customWidth="1"/>
    <col min="12030" max="12031" width="9.81640625" style="8" customWidth="1"/>
    <col min="12032" max="12032" width="11.1796875" style="8" customWidth="1"/>
    <col min="12033" max="12033" width="2.81640625" style="8" customWidth="1"/>
    <col min="12034" max="12034" width="3.54296875" style="8" customWidth="1"/>
    <col min="12035" max="12279" width="9.1796875" style="8"/>
    <col min="12280" max="12280" width="8.7265625" style="8" customWidth="1"/>
    <col min="12281" max="12281" width="9.81640625" style="8" customWidth="1"/>
    <col min="12282" max="12282" width="14.453125" style="8" customWidth="1"/>
    <col min="12283" max="12283" width="7.26953125" style="8" customWidth="1"/>
    <col min="12284" max="12284" width="5.54296875" style="8" customWidth="1"/>
    <col min="12285" max="12285" width="9" style="8" customWidth="1"/>
    <col min="12286" max="12287" width="9.81640625" style="8" customWidth="1"/>
    <col min="12288" max="12288" width="11.1796875" style="8" customWidth="1"/>
    <col min="12289" max="12289" width="2.81640625" style="8" customWidth="1"/>
    <col min="12290" max="12290" width="3.54296875" style="8" customWidth="1"/>
    <col min="12291" max="12535" width="9.1796875" style="8"/>
    <col min="12536" max="12536" width="8.7265625" style="8" customWidth="1"/>
    <col min="12537" max="12537" width="9.81640625" style="8" customWidth="1"/>
    <col min="12538" max="12538" width="14.453125" style="8" customWidth="1"/>
    <col min="12539" max="12539" width="7.26953125" style="8" customWidth="1"/>
    <col min="12540" max="12540" width="5.54296875" style="8" customWidth="1"/>
    <col min="12541" max="12541" width="9" style="8" customWidth="1"/>
    <col min="12542" max="12543" width="9.81640625" style="8" customWidth="1"/>
    <col min="12544" max="12544" width="11.1796875" style="8" customWidth="1"/>
    <col min="12545" max="12545" width="2.81640625" style="8" customWidth="1"/>
    <col min="12546" max="12546" width="3.54296875" style="8" customWidth="1"/>
    <col min="12547" max="12791" width="9.1796875" style="8"/>
    <col min="12792" max="12792" width="8.7265625" style="8" customWidth="1"/>
    <col min="12793" max="12793" width="9.81640625" style="8" customWidth="1"/>
    <col min="12794" max="12794" width="14.453125" style="8" customWidth="1"/>
    <col min="12795" max="12795" width="7.26953125" style="8" customWidth="1"/>
    <col min="12796" max="12796" width="5.54296875" style="8" customWidth="1"/>
    <col min="12797" max="12797" width="9" style="8" customWidth="1"/>
    <col min="12798" max="12799" width="9.81640625" style="8" customWidth="1"/>
    <col min="12800" max="12800" width="11.1796875" style="8" customWidth="1"/>
    <col min="12801" max="12801" width="2.81640625" style="8" customWidth="1"/>
    <col min="12802" max="12802" width="3.54296875" style="8" customWidth="1"/>
    <col min="12803" max="13047" width="9.1796875" style="8"/>
    <col min="13048" max="13048" width="8.7265625" style="8" customWidth="1"/>
    <col min="13049" max="13049" width="9.81640625" style="8" customWidth="1"/>
    <col min="13050" max="13050" width="14.453125" style="8" customWidth="1"/>
    <col min="13051" max="13051" width="7.26953125" style="8" customWidth="1"/>
    <col min="13052" max="13052" width="5.54296875" style="8" customWidth="1"/>
    <col min="13053" max="13053" width="9" style="8" customWidth="1"/>
    <col min="13054" max="13055" width="9.81640625" style="8" customWidth="1"/>
    <col min="13056" max="13056" width="11.1796875" style="8" customWidth="1"/>
    <col min="13057" max="13057" width="2.81640625" style="8" customWidth="1"/>
    <col min="13058" max="13058" width="3.54296875" style="8" customWidth="1"/>
    <col min="13059" max="13303" width="9.1796875" style="8"/>
    <col min="13304" max="13304" width="8.7265625" style="8" customWidth="1"/>
    <col min="13305" max="13305" width="9.81640625" style="8" customWidth="1"/>
    <col min="13306" max="13306" width="14.453125" style="8" customWidth="1"/>
    <col min="13307" max="13307" width="7.26953125" style="8" customWidth="1"/>
    <col min="13308" max="13308" width="5.54296875" style="8" customWidth="1"/>
    <col min="13309" max="13309" width="9" style="8" customWidth="1"/>
    <col min="13310" max="13311" width="9.81640625" style="8" customWidth="1"/>
    <col min="13312" max="13312" width="11.1796875" style="8" customWidth="1"/>
    <col min="13313" max="13313" width="2.81640625" style="8" customWidth="1"/>
    <col min="13314" max="13314" width="3.54296875" style="8" customWidth="1"/>
    <col min="13315" max="13559" width="9.1796875" style="8"/>
    <col min="13560" max="13560" width="8.7265625" style="8" customWidth="1"/>
    <col min="13561" max="13561" width="9.81640625" style="8" customWidth="1"/>
    <col min="13562" max="13562" width="14.453125" style="8" customWidth="1"/>
    <col min="13563" max="13563" width="7.26953125" style="8" customWidth="1"/>
    <col min="13564" max="13564" width="5.54296875" style="8" customWidth="1"/>
    <col min="13565" max="13565" width="9" style="8" customWidth="1"/>
    <col min="13566" max="13567" width="9.81640625" style="8" customWidth="1"/>
    <col min="13568" max="13568" width="11.1796875" style="8" customWidth="1"/>
    <col min="13569" max="13569" width="2.81640625" style="8" customWidth="1"/>
    <col min="13570" max="13570" width="3.54296875" style="8" customWidth="1"/>
    <col min="13571" max="13815" width="9.1796875" style="8"/>
    <col min="13816" max="13816" width="8.7265625" style="8" customWidth="1"/>
    <col min="13817" max="13817" width="9.81640625" style="8" customWidth="1"/>
    <col min="13818" max="13818" width="14.453125" style="8" customWidth="1"/>
    <col min="13819" max="13819" width="7.26953125" style="8" customWidth="1"/>
    <col min="13820" max="13820" width="5.54296875" style="8" customWidth="1"/>
    <col min="13821" max="13821" width="9" style="8" customWidth="1"/>
    <col min="13822" max="13823" width="9.81640625" style="8" customWidth="1"/>
    <col min="13824" max="13824" width="11.1796875" style="8" customWidth="1"/>
    <col min="13825" max="13825" width="2.81640625" style="8" customWidth="1"/>
    <col min="13826" max="13826" width="3.54296875" style="8" customWidth="1"/>
    <col min="13827" max="14071" width="9.1796875" style="8"/>
    <col min="14072" max="14072" width="8.7265625" style="8" customWidth="1"/>
    <col min="14073" max="14073" width="9.81640625" style="8" customWidth="1"/>
    <col min="14074" max="14074" width="14.453125" style="8" customWidth="1"/>
    <col min="14075" max="14075" width="7.26953125" style="8" customWidth="1"/>
    <col min="14076" max="14076" width="5.54296875" style="8" customWidth="1"/>
    <col min="14077" max="14077" width="9" style="8" customWidth="1"/>
    <col min="14078" max="14079" width="9.81640625" style="8" customWidth="1"/>
    <col min="14080" max="14080" width="11.1796875" style="8" customWidth="1"/>
    <col min="14081" max="14081" width="2.81640625" style="8" customWidth="1"/>
    <col min="14082" max="14082" width="3.54296875" style="8" customWidth="1"/>
    <col min="14083" max="14327" width="9.1796875" style="8"/>
    <col min="14328" max="14328" width="8.7265625" style="8" customWidth="1"/>
    <col min="14329" max="14329" width="9.81640625" style="8" customWidth="1"/>
    <col min="14330" max="14330" width="14.453125" style="8" customWidth="1"/>
    <col min="14331" max="14331" width="7.26953125" style="8" customWidth="1"/>
    <col min="14332" max="14332" width="5.54296875" style="8" customWidth="1"/>
    <col min="14333" max="14333" width="9" style="8" customWidth="1"/>
    <col min="14334" max="14335" width="9.81640625" style="8" customWidth="1"/>
    <col min="14336" max="14336" width="11.1796875" style="8" customWidth="1"/>
    <col min="14337" max="14337" width="2.81640625" style="8" customWidth="1"/>
    <col min="14338" max="14338" width="3.54296875" style="8" customWidth="1"/>
    <col min="14339" max="14583" width="9.1796875" style="8"/>
    <col min="14584" max="14584" width="8.7265625" style="8" customWidth="1"/>
    <col min="14585" max="14585" width="9.81640625" style="8" customWidth="1"/>
    <col min="14586" max="14586" width="14.453125" style="8" customWidth="1"/>
    <col min="14587" max="14587" width="7.26953125" style="8" customWidth="1"/>
    <col min="14588" max="14588" width="5.54296875" style="8" customWidth="1"/>
    <col min="14589" max="14589" width="9" style="8" customWidth="1"/>
    <col min="14590" max="14591" width="9.81640625" style="8" customWidth="1"/>
    <col min="14592" max="14592" width="11.1796875" style="8" customWidth="1"/>
    <col min="14593" max="14593" width="2.81640625" style="8" customWidth="1"/>
    <col min="14594" max="14594" width="3.54296875" style="8" customWidth="1"/>
    <col min="14595" max="14839" width="9.1796875" style="8"/>
    <col min="14840" max="14840" width="8.7265625" style="8" customWidth="1"/>
    <col min="14841" max="14841" width="9.81640625" style="8" customWidth="1"/>
    <col min="14842" max="14842" width="14.453125" style="8" customWidth="1"/>
    <col min="14843" max="14843" width="7.26953125" style="8" customWidth="1"/>
    <col min="14844" max="14844" width="5.54296875" style="8" customWidth="1"/>
    <col min="14845" max="14845" width="9" style="8" customWidth="1"/>
    <col min="14846" max="14847" width="9.81640625" style="8" customWidth="1"/>
    <col min="14848" max="14848" width="11.1796875" style="8" customWidth="1"/>
    <col min="14849" max="14849" width="2.81640625" style="8" customWidth="1"/>
    <col min="14850" max="14850" width="3.54296875" style="8" customWidth="1"/>
    <col min="14851" max="15095" width="9.1796875" style="8"/>
    <col min="15096" max="15096" width="8.7265625" style="8" customWidth="1"/>
    <col min="15097" max="15097" width="9.81640625" style="8" customWidth="1"/>
    <col min="15098" max="15098" width="14.453125" style="8" customWidth="1"/>
    <col min="15099" max="15099" width="7.26953125" style="8" customWidth="1"/>
    <col min="15100" max="15100" width="5.54296875" style="8" customWidth="1"/>
    <col min="15101" max="15101" width="9" style="8" customWidth="1"/>
    <col min="15102" max="15103" width="9.81640625" style="8" customWidth="1"/>
    <col min="15104" max="15104" width="11.1796875" style="8" customWidth="1"/>
    <col min="15105" max="15105" width="2.81640625" style="8" customWidth="1"/>
    <col min="15106" max="15106" width="3.54296875" style="8" customWidth="1"/>
    <col min="15107" max="15351" width="9.1796875" style="8"/>
    <col min="15352" max="15352" width="8.7265625" style="8" customWidth="1"/>
    <col min="15353" max="15353" width="9.81640625" style="8" customWidth="1"/>
    <col min="15354" max="15354" width="14.453125" style="8" customWidth="1"/>
    <col min="15355" max="15355" width="7.26953125" style="8" customWidth="1"/>
    <col min="15356" max="15356" width="5.54296875" style="8" customWidth="1"/>
    <col min="15357" max="15357" width="9" style="8" customWidth="1"/>
    <col min="15358" max="15359" width="9.81640625" style="8" customWidth="1"/>
    <col min="15360" max="15360" width="11.1796875" style="8" customWidth="1"/>
    <col min="15361" max="15361" width="2.81640625" style="8" customWidth="1"/>
    <col min="15362" max="15362" width="3.54296875" style="8" customWidth="1"/>
    <col min="15363" max="15607" width="9.1796875" style="8"/>
    <col min="15608" max="15608" width="8.7265625" style="8" customWidth="1"/>
    <col min="15609" max="15609" width="9.81640625" style="8" customWidth="1"/>
    <col min="15610" max="15610" width="14.453125" style="8" customWidth="1"/>
    <col min="15611" max="15611" width="7.26953125" style="8" customWidth="1"/>
    <col min="15612" max="15612" width="5.54296875" style="8" customWidth="1"/>
    <col min="15613" max="15613" width="9" style="8" customWidth="1"/>
    <col min="15614" max="15615" width="9.81640625" style="8" customWidth="1"/>
    <col min="15616" max="15616" width="11.1796875" style="8" customWidth="1"/>
    <col min="15617" max="15617" width="2.81640625" style="8" customWidth="1"/>
    <col min="15618" max="15618" width="3.54296875" style="8" customWidth="1"/>
    <col min="15619" max="15863" width="9.1796875" style="8"/>
    <col min="15864" max="15864" width="8.7265625" style="8" customWidth="1"/>
    <col min="15865" max="15865" width="9.81640625" style="8" customWidth="1"/>
    <col min="15866" max="15866" width="14.453125" style="8" customWidth="1"/>
    <col min="15867" max="15867" width="7.26953125" style="8" customWidth="1"/>
    <col min="15868" max="15868" width="5.54296875" style="8" customWidth="1"/>
    <col min="15869" max="15869" width="9" style="8" customWidth="1"/>
    <col min="15870" max="15871" width="9.81640625" style="8" customWidth="1"/>
    <col min="15872" max="15872" width="11.1796875" style="8" customWidth="1"/>
    <col min="15873" max="15873" width="2.81640625" style="8" customWidth="1"/>
    <col min="15874" max="15874" width="3.54296875" style="8" customWidth="1"/>
    <col min="15875" max="16119" width="9.1796875" style="8"/>
    <col min="16120" max="16120" width="8.7265625" style="8" customWidth="1"/>
    <col min="16121" max="16121" width="9.81640625" style="8" customWidth="1"/>
    <col min="16122" max="16122" width="14.453125" style="8" customWidth="1"/>
    <col min="16123" max="16123" width="7.26953125" style="8" customWidth="1"/>
    <col min="16124" max="16124" width="5.54296875" style="8" customWidth="1"/>
    <col min="16125" max="16125" width="9" style="8" customWidth="1"/>
    <col min="16126" max="16127" width="9.81640625" style="8" customWidth="1"/>
    <col min="16128" max="16128" width="11.1796875" style="8" customWidth="1"/>
    <col min="16129" max="16129" width="2.81640625" style="8" customWidth="1"/>
    <col min="16130" max="16130" width="3.54296875" style="8" customWidth="1"/>
    <col min="16131" max="16384" width="9.1796875" style="8"/>
  </cols>
  <sheetData>
    <row r="1" spans="1:8" ht="46.5" customHeight="1" x14ac:dyDescent="0.35">
      <c r="A1" s="198" t="s">
        <v>237</v>
      </c>
      <c r="B1" s="198"/>
      <c r="C1" s="198"/>
      <c r="D1" s="198"/>
      <c r="E1" s="198"/>
      <c r="F1" s="198"/>
      <c r="G1" s="198"/>
      <c r="H1" s="198"/>
    </row>
    <row r="2" spans="1:8" ht="16.5" customHeight="1" x14ac:dyDescent="0.35">
      <c r="A2" s="143" t="s">
        <v>0</v>
      </c>
      <c r="B2" s="143"/>
      <c r="C2" s="143"/>
      <c r="D2" s="143"/>
      <c r="E2" s="143"/>
      <c r="F2" s="143"/>
      <c r="G2" s="143"/>
      <c r="H2" s="143"/>
    </row>
    <row r="3" spans="1:8" x14ac:dyDescent="0.35">
      <c r="A3" s="120" t="s">
        <v>1</v>
      </c>
      <c r="B3" s="120"/>
      <c r="C3" s="120"/>
      <c r="D3" s="120"/>
      <c r="E3" s="199" t="str">
        <f ca="1">TEXT(TODAY(),"DD/MM/YYYY")</f>
        <v>11/09/2025</v>
      </c>
      <c r="F3" s="199"/>
      <c r="G3" s="199"/>
      <c r="H3" s="199"/>
    </row>
    <row r="4" spans="1:8" ht="15" customHeight="1" x14ac:dyDescent="0.35">
      <c r="A4" s="120" t="s">
        <v>2</v>
      </c>
      <c r="B4" s="120"/>
      <c r="C4" s="120"/>
      <c r="D4" s="120"/>
      <c r="E4" s="200" t="s">
        <v>192</v>
      </c>
      <c r="F4" s="200"/>
      <c r="G4" s="200"/>
      <c r="H4" s="200"/>
    </row>
    <row r="5" spans="1:8" x14ac:dyDescent="0.35">
      <c r="A5" s="120" t="s">
        <v>3</v>
      </c>
      <c r="B5" s="120"/>
      <c r="C5" s="120"/>
      <c r="D5" s="120"/>
      <c r="E5" s="202">
        <v>45906</v>
      </c>
      <c r="F5" s="202"/>
      <c r="G5" s="202"/>
      <c r="H5" s="202"/>
    </row>
    <row r="6" spans="1:8" ht="16.5" customHeight="1" x14ac:dyDescent="0.35">
      <c r="A6" s="120" t="s">
        <v>193</v>
      </c>
      <c r="B6" s="120"/>
      <c r="C6" s="120"/>
      <c r="D6" s="120"/>
      <c r="E6" s="117" t="s">
        <v>195</v>
      </c>
      <c r="F6" s="117"/>
      <c r="G6" s="117"/>
      <c r="H6" s="117"/>
    </row>
    <row r="7" spans="1:8" ht="15" customHeight="1" x14ac:dyDescent="0.35">
      <c r="A7" s="120" t="s">
        <v>4</v>
      </c>
      <c r="B7" s="120"/>
      <c r="C7" s="120"/>
      <c r="D7" s="120"/>
      <c r="E7" s="117" t="s">
        <v>194</v>
      </c>
      <c r="F7" s="117"/>
      <c r="G7" s="117"/>
      <c r="H7" s="117"/>
    </row>
    <row r="8" spans="1:8" s="85" customFormat="1" ht="15" x14ac:dyDescent="0.3">
      <c r="A8" s="121" t="s">
        <v>5</v>
      </c>
      <c r="B8" s="121"/>
      <c r="C8" s="121"/>
      <c r="D8" s="121"/>
      <c r="E8" s="130" t="s">
        <v>196</v>
      </c>
      <c r="F8" s="130"/>
      <c r="G8" s="130"/>
      <c r="H8" s="130"/>
    </row>
    <row r="9" spans="1:8" x14ac:dyDescent="0.35">
      <c r="A9" s="120" t="s">
        <v>158</v>
      </c>
      <c r="B9" s="120"/>
      <c r="C9" s="120"/>
      <c r="D9" s="120"/>
      <c r="E9" s="120" t="s">
        <v>260</v>
      </c>
      <c r="F9" s="120"/>
      <c r="G9" s="120"/>
      <c r="H9" s="120"/>
    </row>
    <row r="10" spans="1:8" hidden="1" x14ac:dyDescent="0.35">
      <c r="A10" s="120" t="s">
        <v>238</v>
      </c>
      <c r="B10" s="120"/>
      <c r="C10" s="120"/>
      <c r="D10" s="120"/>
      <c r="E10" s="203" t="s">
        <v>273</v>
      </c>
      <c r="F10" s="203"/>
      <c r="G10" s="203"/>
      <c r="H10" s="203"/>
    </row>
    <row r="11" spans="1:8" x14ac:dyDescent="0.35">
      <c r="A11" s="118" t="s">
        <v>6</v>
      </c>
      <c r="B11" s="118"/>
      <c r="C11" s="118"/>
      <c r="D11" s="118"/>
      <c r="E11" s="201" t="s">
        <v>240</v>
      </c>
      <c r="F11" s="201"/>
      <c r="G11" s="201"/>
      <c r="H11" s="201"/>
    </row>
    <row r="12" spans="1:8" x14ac:dyDescent="0.35">
      <c r="A12" s="120" t="s">
        <v>7</v>
      </c>
      <c r="B12" s="120"/>
      <c r="C12" s="120"/>
      <c r="D12" s="120"/>
      <c r="E12" s="117" t="s">
        <v>230</v>
      </c>
      <c r="F12" s="117"/>
      <c r="G12" s="117"/>
      <c r="H12" s="117"/>
    </row>
    <row r="13" spans="1:8" x14ac:dyDescent="0.35">
      <c r="A13" s="118" t="s">
        <v>8</v>
      </c>
      <c r="B13" s="118"/>
      <c r="C13" s="118"/>
      <c r="D13" s="118"/>
      <c r="E13" s="117" t="s">
        <v>197</v>
      </c>
      <c r="F13" s="118"/>
      <c r="G13" s="118"/>
      <c r="H13" s="118"/>
    </row>
    <row r="14" spans="1:8" ht="33.75" customHeight="1" x14ac:dyDescent="0.35">
      <c r="A14" s="117" t="s">
        <v>9</v>
      </c>
      <c r="B14" s="117"/>
      <c r="C14" s="117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Laxmi Shankar Complex, Survey No.175/1, near Motiram Greens CHS, Badlapur Gaon Road, Badlapur, Badlapur, Ambarnath, Thane.</v>
      </c>
      <c r="D14" s="117"/>
      <c r="E14" s="117"/>
      <c r="F14" s="117"/>
      <c r="G14" s="117"/>
      <c r="H14" s="117"/>
    </row>
    <row r="15" spans="1:8" x14ac:dyDescent="0.35">
      <c r="A15" s="117" t="s">
        <v>208</v>
      </c>
      <c r="B15" s="117"/>
      <c r="C15" s="117" t="s">
        <v>201</v>
      </c>
      <c r="D15" s="117"/>
      <c r="E15" s="117"/>
      <c r="F15" s="117"/>
      <c r="G15" s="117"/>
      <c r="H15" s="117"/>
    </row>
    <row r="16" spans="1:8" ht="15.75" customHeight="1" x14ac:dyDescent="0.35">
      <c r="A16" s="117" t="s">
        <v>10</v>
      </c>
      <c r="B16" s="117"/>
      <c r="C16" s="117" t="s">
        <v>206</v>
      </c>
      <c r="D16" s="117"/>
      <c r="E16" s="117" t="s">
        <v>95</v>
      </c>
      <c r="F16" s="117"/>
      <c r="G16" s="117" t="s">
        <v>200</v>
      </c>
      <c r="H16" s="117"/>
    </row>
    <row r="17" spans="1:8" x14ac:dyDescent="0.35">
      <c r="A17" s="118" t="s">
        <v>12</v>
      </c>
      <c r="B17" s="118"/>
      <c r="C17" s="117" t="s">
        <v>200</v>
      </c>
      <c r="D17" s="117"/>
      <c r="E17" s="117" t="s">
        <v>11</v>
      </c>
      <c r="F17" s="117"/>
      <c r="G17" s="204" t="s">
        <v>199</v>
      </c>
      <c r="H17" s="204"/>
    </row>
    <row r="18" spans="1:8" x14ac:dyDescent="0.35">
      <c r="A18" s="118" t="s">
        <v>96</v>
      </c>
      <c r="B18" s="118"/>
      <c r="C18" s="117" t="s">
        <v>198</v>
      </c>
      <c r="D18" s="117"/>
      <c r="E18" s="117" t="s">
        <v>13</v>
      </c>
      <c r="F18" s="117"/>
      <c r="G18" s="117">
        <v>421503</v>
      </c>
      <c r="H18" s="117"/>
    </row>
    <row r="19" spans="1:8" ht="32.25" customHeight="1" x14ac:dyDescent="0.35">
      <c r="A19" s="120" t="s">
        <v>159</v>
      </c>
      <c r="B19" s="120"/>
      <c r="C19" s="113" t="s">
        <v>207</v>
      </c>
      <c r="D19" s="113"/>
      <c r="E19" s="113" t="s">
        <v>14</v>
      </c>
      <c r="F19" s="113"/>
      <c r="G19" s="117" t="s">
        <v>209</v>
      </c>
      <c r="H19" s="117"/>
    </row>
    <row r="20" spans="1:8" ht="15" customHeight="1" x14ac:dyDescent="0.35">
      <c r="A20" s="113" t="s">
        <v>101</v>
      </c>
      <c r="B20" s="113"/>
      <c r="C20" s="113"/>
      <c r="D20" s="113"/>
      <c r="E20" s="118" t="s">
        <v>15</v>
      </c>
      <c r="F20" s="118"/>
      <c r="G20" s="118"/>
      <c r="H20" s="118"/>
    </row>
    <row r="21" spans="1:8" ht="18.75" customHeight="1" x14ac:dyDescent="0.35">
      <c r="A21" s="113"/>
      <c r="B21" s="113"/>
      <c r="C21" s="113"/>
      <c r="D21" s="113"/>
      <c r="E21" s="118"/>
      <c r="F21" s="118"/>
      <c r="G21" s="118"/>
      <c r="H21" s="118"/>
    </row>
    <row r="22" spans="1:8" ht="15" customHeight="1" x14ac:dyDescent="0.35">
      <c r="A22" s="113" t="s">
        <v>16</v>
      </c>
      <c r="B22" s="113"/>
      <c r="C22" s="113"/>
      <c r="D22" s="113"/>
      <c r="E22" s="117" t="s">
        <v>17</v>
      </c>
      <c r="F22" s="117"/>
      <c r="G22" s="117"/>
      <c r="H22" s="117"/>
    </row>
    <row r="23" spans="1:8" ht="15" customHeight="1" x14ac:dyDescent="0.35">
      <c r="A23" s="120" t="s">
        <v>18</v>
      </c>
      <c r="B23" s="120"/>
      <c r="C23" s="120"/>
      <c r="D23" s="120"/>
      <c r="E23" s="117" t="str">
        <f>IF(AND(G17="Mumbai"),"Upper Class","Middle Class")</f>
        <v>Middle Class</v>
      </c>
      <c r="F23" s="117"/>
      <c r="G23" s="117"/>
      <c r="H23" s="117"/>
    </row>
    <row r="24" spans="1:8" x14ac:dyDescent="0.35">
      <c r="A24" s="120" t="s">
        <v>19</v>
      </c>
      <c r="B24" s="120"/>
      <c r="C24" s="120"/>
      <c r="D24" s="120"/>
      <c r="E24" s="117" t="s">
        <v>20</v>
      </c>
      <c r="F24" s="117"/>
      <c r="G24" s="117"/>
      <c r="H24" s="117"/>
    </row>
    <row r="25" spans="1:8" ht="15.75" customHeight="1" x14ac:dyDescent="0.35">
      <c r="A25" s="120" t="s">
        <v>21</v>
      </c>
      <c r="B25" s="120"/>
      <c r="C25" s="120"/>
      <c r="D25" s="120"/>
      <c r="E25" s="117" t="str">
        <f>IF(AND(G17="Mumbai"),"Developed","Developing")</f>
        <v>Developing</v>
      </c>
      <c r="F25" s="117"/>
      <c r="G25" s="117"/>
      <c r="H25" s="117"/>
    </row>
    <row r="26" spans="1:8" x14ac:dyDescent="0.35">
      <c r="A26" s="120" t="s">
        <v>22</v>
      </c>
      <c r="B26" s="120"/>
      <c r="C26" s="120"/>
      <c r="D26" s="120"/>
      <c r="E26" s="117" t="s">
        <v>23</v>
      </c>
      <c r="F26" s="117"/>
      <c r="G26" s="117"/>
      <c r="H26" s="117"/>
    </row>
    <row r="27" spans="1:8" x14ac:dyDescent="0.35">
      <c r="A27" s="120" t="s">
        <v>110</v>
      </c>
      <c r="B27" s="120"/>
      <c r="C27" s="120"/>
      <c r="D27" s="120"/>
      <c r="E27" s="117" t="s">
        <v>111</v>
      </c>
      <c r="F27" s="117"/>
      <c r="G27" s="117"/>
      <c r="H27" s="117"/>
    </row>
    <row r="28" spans="1:8" ht="15" customHeight="1" x14ac:dyDescent="0.35">
      <c r="A28" s="113" t="s">
        <v>31</v>
      </c>
      <c r="B28" s="113"/>
      <c r="C28" s="113"/>
      <c r="D28" s="113"/>
      <c r="E28" s="200" t="s">
        <v>105</v>
      </c>
      <c r="F28" s="200"/>
      <c r="G28" s="200"/>
      <c r="H28" s="200"/>
    </row>
    <row r="29" spans="1:8" x14ac:dyDescent="0.35">
      <c r="A29" s="113" t="s">
        <v>122</v>
      </c>
      <c r="B29" s="113"/>
      <c r="C29" s="113"/>
      <c r="D29" s="113"/>
      <c r="E29" s="113" t="s">
        <v>32</v>
      </c>
      <c r="F29" s="113"/>
      <c r="G29" s="113"/>
      <c r="H29" s="113"/>
    </row>
    <row r="30" spans="1:8" s="11" customFormat="1" x14ac:dyDescent="0.35">
      <c r="A30" s="212" t="s">
        <v>123</v>
      </c>
      <c r="B30" s="212"/>
      <c r="C30" s="209" t="s">
        <v>259</v>
      </c>
      <c r="D30" s="209"/>
      <c r="E30" s="209"/>
      <c r="F30" s="210" t="s">
        <v>29</v>
      </c>
      <c r="G30" s="210"/>
      <c r="H30" s="210"/>
    </row>
    <row r="31" spans="1:8" s="11" customFormat="1" x14ac:dyDescent="0.35">
      <c r="A31" s="208" t="s">
        <v>24</v>
      </c>
      <c r="B31" s="208" t="s">
        <v>28</v>
      </c>
      <c r="C31" s="181" t="s">
        <v>242</v>
      </c>
      <c r="D31" s="181"/>
      <c r="E31" s="181"/>
      <c r="F31" s="195" t="s">
        <v>204</v>
      </c>
      <c r="G31" s="195"/>
      <c r="H31" s="195"/>
    </row>
    <row r="32" spans="1:8" x14ac:dyDescent="0.35">
      <c r="A32" s="208" t="s">
        <v>25</v>
      </c>
      <c r="B32" s="208" t="s">
        <v>28</v>
      </c>
      <c r="C32" s="181" t="s">
        <v>242</v>
      </c>
      <c r="D32" s="181"/>
      <c r="E32" s="181"/>
      <c r="F32" s="195" t="s">
        <v>203</v>
      </c>
      <c r="G32" s="195"/>
      <c r="H32" s="195"/>
    </row>
    <row r="33" spans="1:8" s="11" customFormat="1" x14ac:dyDescent="0.35">
      <c r="A33" s="208" t="s">
        <v>27</v>
      </c>
      <c r="B33" s="208" t="s">
        <v>28</v>
      </c>
      <c r="C33" s="181" t="s">
        <v>241</v>
      </c>
      <c r="D33" s="181"/>
      <c r="E33" s="181"/>
      <c r="F33" s="195" t="s">
        <v>205</v>
      </c>
      <c r="G33" s="195"/>
      <c r="H33" s="195"/>
    </row>
    <row r="34" spans="1:8" x14ac:dyDescent="0.35">
      <c r="A34" s="208" t="s">
        <v>26</v>
      </c>
      <c r="B34" s="208" t="s">
        <v>28</v>
      </c>
      <c r="C34" s="181" t="s">
        <v>261</v>
      </c>
      <c r="D34" s="181"/>
      <c r="E34" s="181"/>
      <c r="F34" s="195" t="s">
        <v>206</v>
      </c>
      <c r="G34" s="195"/>
      <c r="H34" s="195"/>
    </row>
    <row r="35" spans="1:8" x14ac:dyDescent="0.35">
      <c r="A35" s="205" t="s">
        <v>30</v>
      </c>
      <c r="B35" s="206"/>
      <c r="C35" s="206"/>
      <c r="D35" s="206"/>
      <c r="E35" s="206"/>
      <c r="F35" s="206"/>
      <c r="G35" s="206"/>
      <c r="H35" s="207"/>
    </row>
    <row r="36" spans="1:8" ht="15.75" customHeight="1" x14ac:dyDescent="0.35">
      <c r="A36" s="143" t="s">
        <v>234</v>
      </c>
      <c r="B36" s="143"/>
      <c r="C36" s="213" t="s">
        <v>239</v>
      </c>
      <c r="D36" s="214"/>
      <c r="E36" s="214"/>
      <c r="F36" s="214"/>
      <c r="G36" s="214"/>
      <c r="H36" s="215"/>
    </row>
    <row r="37" spans="1:8" ht="15.75" customHeight="1" x14ac:dyDescent="0.35">
      <c r="A37" s="143" t="s">
        <v>235</v>
      </c>
      <c r="B37" s="143"/>
      <c r="C37" s="216" t="s">
        <v>236</v>
      </c>
      <c r="D37" s="217"/>
      <c r="E37" s="217"/>
      <c r="F37" s="217"/>
      <c r="G37" s="217"/>
      <c r="H37" s="218"/>
    </row>
    <row r="38" spans="1:8" x14ac:dyDescent="0.35">
      <c r="A38" s="121" t="s">
        <v>33</v>
      </c>
      <c r="B38" s="121"/>
      <c r="C38" s="121"/>
      <c r="D38" s="121"/>
      <c r="E38" s="121"/>
      <c r="F38" s="121"/>
      <c r="G38" s="121"/>
      <c r="H38" s="121"/>
    </row>
    <row r="39" spans="1:8" x14ac:dyDescent="0.35">
      <c r="A39" s="120" t="s">
        <v>34</v>
      </c>
      <c r="B39" s="120"/>
      <c r="C39" s="120"/>
      <c r="D39" s="120"/>
      <c r="E39" s="211">
        <v>2720.56</v>
      </c>
      <c r="F39" s="211"/>
      <c r="G39" s="211"/>
      <c r="H39" s="211"/>
    </row>
    <row r="40" spans="1:8" x14ac:dyDescent="0.35">
      <c r="A40" s="120" t="s">
        <v>35</v>
      </c>
      <c r="B40" s="120"/>
      <c r="C40" s="120"/>
      <c r="D40" s="120"/>
      <c r="E40" s="151">
        <v>1.1000000000000001</v>
      </c>
      <c r="F40" s="151"/>
      <c r="G40" s="151"/>
      <c r="H40" s="151"/>
    </row>
    <row r="41" spans="1:8" x14ac:dyDescent="0.35">
      <c r="A41" s="120" t="s">
        <v>36</v>
      </c>
      <c r="B41" s="120"/>
      <c r="C41" s="120"/>
      <c r="D41" s="120"/>
      <c r="E41" s="151">
        <f>E43/E39-E40</f>
        <v>1.5513769223983296</v>
      </c>
      <c r="F41" s="151"/>
      <c r="G41" s="151"/>
      <c r="H41" s="151"/>
    </row>
    <row r="42" spans="1:8" x14ac:dyDescent="0.35">
      <c r="A42" s="120" t="s">
        <v>37</v>
      </c>
      <c r="B42" s="120"/>
      <c r="C42" s="120"/>
      <c r="D42" s="120"/>
      <c r="E42" s="151">
        <f>E40+E41</f>
        <v>2.6513769223983297</v>
      </c>
      <c r="F42" s="151"/>
      <c r="G42" s="151"/>
      <c r="H42" s="151"/>
    </row>
    <row r="43" spans="1:8" x14ac:dyDescent="0.35">
      <c r="A43" s="120" t="s">
        <v>121</v>
      </c>
      <c r="B43" s="120"/>
      <c r="C43" s="120"/>
      <c r="D43" s="120"/>
      <c r="E43" s="141">
        <v>7213.23</v>
      </c>
      <c r="F43" s="141"/>
      <c r="G43" s="141"/>
      <c r="H43" s="141"/>
    </row>
    <row r="44" spans="1:8" x14ac:dyDescent="0.35">
      <c r="A44" s="118" t="s">
        <v>38</v>
      </c>
      <c r="B44" s="118"/>
      <c r="C44" s="118"/>
      <c r="D44" s="118"/>
      <c r="E44" s="118" t="s">
        <v>244</v>
      </c>
      <c r="F44" s="118"/>
      <c r="G44" s="118"/>
      <c r="H44" s="118"/>
    </row>
    <row r="45" spans="1:8" x14ac:dyDescent="0.35">
      <c r="A45" s="121" t="s">
        <v>39</v>
      </c>
      <c r="B45" s="121"/>
      <c r="C45" s="121"/>
      <c r="D45" s="121"/>
      <c r="E45" s="121"/>
      <c r="F45" s="121"/>
      <c r="G45" s="121"/>
      <c r="H45" s="121"/>
    </row>
    <row r="46" spans="1:8" ht="33.75" customHeight="1" x14ac:dyDescent="0.35">
      <c r="A46" s="113" t="s">
        <v>285</v>
      </c>
      <c r="B46" s="113"/>
      <c r="C46" s="114" t="s">
        <v>286</v>
      </c>
      <c r="D46" s="115"/>
      <c r="E46" s="115"/>
      <c r="F46" s="115"/>
      <c r="G46" s="115"/>
      <c r="H46" s="116"/>
    </row>
    <row r="47" spans="1:8" x14ac:dyDescent="0.35">
      <c r="A47" s="113" t="s">
        <v>40</v>
      </c>
      <c r="B47" s="113"/>
      <c r="C47" s="117" t="s">
        <v>245</v>
      </c>
      <c r="D47" s="117"/>
      <c r="E47" s="117"/>
      <c r="F47" s="71" t="s">
        <v>41</v>
      </c>
      <c r="G47" s="119">
        <v>45250</v>
      </c>
      <c r="H47" s="119"/>
    </row>
    <row r="48" spans="1:8" ht="36" customHeight="1" x14ac:dyDescent="0.35">
      <c r="A48" s="117" t="s">
        <v>274</v>
      </c>
      <c r="B48" s="118"/>
      <c r="C48" s="117" t="str">
        <f>C47</f>
        <v>KBNP/NRV/BD/2709-80</v>
      </c>
      <c r="D48" s="117"/>
      <c r="E48" s="117"/>
      <c r="F48" s="90" t="s">
        <v>41</v>
      </c>
      <c r="G48" s="119">
        <f>G47</f>
        <v>45250</v>
      </c>
      <c r="H48" s="119"/>
    </row>
    <row r="49" spans="1:13" s="10" customFormat="1" ht="31.5" customHeight="1" x14ac:dyDescent="0.35">
      <c r="A49" s="117" t="s">
        <v>269</v>
      </c>
      <c r="B49" s="118"/>
      <c r="C49" s="117" t="s">
        <v>275</v>
      </c>
      <c r="D49" s="117"/>
      <c r="E49" s="117"/>
      <c r="F49" s="90" t="s">
        <v>41</v>
      </c>
      <c r="G49" s="119">
        <v>43892</v>
      </c>
      <c r="H49" s="119"/>
    </row>
    <row r="50" spans="1:13" s="10" customFormat="1" ht="30.75" customHeight="1" x14ac:dyDescent="0.35">
      <c r="A50" s="117" t="s">
        <v>262</v>
      </c>
      <c r="B50" s="117"/>
      <c r="C50" s="117" t="s">
        <v>264</v>
      </c>
      <c r="D50" s="117"/>
      <c r="E50" s="117"/>
      <c r="F50" s="75" t="s">
        <v>41</v>
      </c>
      <c r="G50" s="119">
        <f>G47</f>
        <v>45250</v>
      </c>
      <c r="H50" s="119"/>
    </row>
    <row r="51" spans="1:13" ht="32.25" customHeight="1" x14ac:dyDescent="0.35">
      <c r="A51" s="117"/>
      <c r="B51" s="117"/>
      <c r="C51" s="224" t="s">
        <v>263</v>
      </c>
      <c r="D51" s="225"/>
      <c r="E51" s="225"/>
      <c r="F51" s="225"/>
      <c r="G51" s="225"/>
      <c r="H51" s="226"/>
      <c r="I51" s="95"/>
    </row>
    <row r="52" spans="1:13" ht="33" customHeight="1" x14ac:dyDescent="0.35">
      <c r="A52" s="179" t="s">
        <v>265</v>
      </c>
      <c r="B52" s="179"/>
      <c r="C52" s="179" t="s">
        <v>277</v>
      </c>
      <c r="D52" s="130"/>
      <c r="E52" s="130" t="s">
        <v>42</v>
      </c>
      <c r="F52" s="91" t="s">
        <v>41</v>
      </c>
      <c r="G52" s="155">
        <v>45049</v>
      </c>
      <c r="H52" s="155"/>
      <c r="I52" s="95" t="s">
        <v>256</v>
      </c>
    </row>
    <row r="53" spans="1:13" x14ac:dyDescent="0.35">
      <c r="A53" s="142" t="s">
        <v>44</v>
      </c>
      <c r="B53" s="142"/>
      <c r="C53" s="142"/>
      <c r="D53" s="142"/>
      <c r="E53" s="142"/>
      <c r="F53" s="142"/>
      <c r="G53" s="142"/>
      <c r="H53" s="142"/>
    </row>
    <row r="54" spans="1:13" x14ac:dyDescent="0.35">
      <c r="A54" s="113" t="s">
        <v>120</v>
      </c>
      <c r="B54" s="113"/>
      <c r="C54" s="113"/>
      <c r="D54" s="120">
        <f>E43</f>
        <v>7213.23</v>
      </c>
      <c r="E54" s="120"/>
      <c r="F54" s="120"/>
      <c r="G54" s="120"/>
      <c r="H54" s="120"/>
      <c r="I54" s="41"/>
    </row>
    <row r="55" spans="1:13" ht="14.25" customHeight="1" x14ac:dyDescent="0.35">
      <c r="A55" s="117" t="s">
        <v>45</v>
      </c>
      <c r="B55" s="118"/>
      <c r="C55" s="118"/>
      <c r="D55" s="118" t="s">
        <v>276</v>
      </c>
      <c r="E55" s="118"/>
      <c r="F55" s="118"/>
      <c r="G55" s="118"/>
      <c r="H55" s="118"/>
      <c r="I55" s="42"/>
    </row>
    <row r="56" spans="1:13" ht="35.25" customHeight="1" x14ac:dyDescent="0.35">
      <c r="A56" s="152" t="s">
        <v>46</v>
      </c>
      <c r="B56" s="153"/>
      <c r="C56" s="154"/>
      <c r="D56" s="156" t="s">
        <v>267</v>
      </c>
      <c r="E56" s="157"/>
      <c r="F56" s="157"/>
      <c r="G56" s="157"/>
      <c r="H56" s="157"/>
      <c r="I56" s="42"/>
    </row>
    <row r="57" spans="1:13" ht="15.75" customHeight="1" x14ac:dyDescent="0.35">
      <c r="A57" s="152" t="s">
        <v>118</v>
      </c>
      <c r="B57" s="153"/>
      <c r="C57" s="153"/>
      <c r="D57" s="118" t="s">
        <v>202</v>
      </c>
      <c r="E57" s="118"/>
      <c r="F57" s="118"/>
      <c r="G57" s="118"/>
      <c r="H57" s="118"/>
      <c r="I57" s="42"/>
    </row>
    <row r="58" spans="1:13" ht="15.75" customHeight="1" x14ac:dyDescent="0.35">
      <c r="A58" s="227"/>
      <c r="B58" s="228"/>
      <c r="C58" s="228"/>
      <c r="D58" s="118" t="s">
        <v>268</v>
      </c>
      <c r="E58" s="118"/>
      <c r="F58" s="118"/>
      <c r="G58" s="118"/>
      <c r="H58" s="118"/>
      <c r="I58" s="42"/>
    </row>
    <row r="59" spans="1:13" ht="15.75" customHeight="1" x14ac:dyDescent="0.35">
      <c r="A59" s="120" t="s">
        <v>43</v>
      </c>
      <c r="B59" s="120"/>
      <c r="C59" s="120"/>
      <c r="D59" s="229" t="s">
        <v>233</v>
      </c>
      <c r="E59" s="229"/>
      <c r="F59" s="229"/>
      <c r="G59" s="229"/>
      <c r="H59" s="229"/>
      <c r="I59" s="113" t="str">
        <f>(IF(L51="NA","60 Years After Completion",IF(L51&lt;&gt;"NA",""&amp;ROUNDUP((J3-L51)/360,0)&amp;" Years"," ")))</f>
        <v>0 Years</v>
      </c>
      <c r="J59" s="113"/>
      <c r="K59" s="113"/>
      <c r="L59" s="113"/>
      <c r="M59" s="113"/>
    </row>
    <row r="60" spans="1:13" ht="15.75" customHeight="1" x14ac:dyDescent="0.35">
      <c r="A60" s="120" t="s">
        <v>116</v>
      </c>
      <c r="B60" s="120"/>
      <c r="C60" s="120"/>
      <c r="D60" s="113" t="s">
        <v>266</v>
      </c>
      <c r="E60" s="113"/>
      <c r="F60" s="113"/>
      <c r="G60" s="113"/>
      <c r="H60" s="113"/>
      <c r="J60" s="14"/>
      <c r="K60" s="14"/>
    </row>
    <row r="61" spans="1:13" ht="15.75" customHeight="1" thickBot="1" x14ac:dyDescent="0.4">
      <c r="A61" s="120" t="s">
        <v>117</v>
      </c>
      <c r="B61" s="120"/>
      <c r="C61" s="120"/>
      <c r="D61" s="113" t="s">
        <v>23</v>
      </c>
      <c r="E61" s="113"/>
      <c r="F61" s="113"/>
      <c r="G61" s="113"/>
      <c r="H61" s="113"/>
      <c r="J61" s="14"/>
      <c r="K61" s="14"/>
    </row>
    <row r="62" spans="1:13" ht="15.75" customHeight="1" thickBot="1" x14ac:dyDescent="0.4">
      <c r="A62" s="230" t="s">
        <v>115</v>
      </c>
      <c r="B62" s="230"/>
      <c r="C62" s="230"/>
      <c r="D62" s="156" t="str">
        <f ca="1">(IF(E82&gt;95%,"Nothing",IF(E82&gt;0%,"Cement, Aggregate, Steel, etc",IF(E82=0%,"Work not yet Started"))))</f>
        <v>Cement, Aggregate, Steel, etc</v>
      </c>
      <c r="E62" s="156"/>
      <c r="F62" s="156"/>
      <c r="G62" s="156"/>
      <c r="H62" s="156"/>
      <c r="I62" s="55" t="str">
        <f ca="1">(IF(C68=0,"Work not yet Started.",IF(D68=50%,"Excavation work in process",IF(D68=100%,"Excavation work completed, ","0")))&amp;(IF(C69=0%,"",IF(D69=25%,"Footing work is process",IF(D69=50%,"Footing work Completed",IF(D69=75%,"Plinth work is process",IF(D69=100%,"Plinth work completed","0"))))))&amp;(IF(C70&gt;0,", RCC upto "&amp;C70&amp;" Slab completed",""))&amp;(IF(C71&gt;0,", Brickwork upto "&amp;C71&amp;" Floor completed"," "))&amp;(IF(C72&gt;0,", Internal Plaster upto "&amp;C72&amp;" Floor completed"," "))&amp;(IF(C73&gt;0,", External Plaster upto "&amp;C73&amp;" Floor completed"," "))&amp;(IF(C74&gt;0,", Flooring upto "&amp;C74&amp;" Floor completed"," "))&amp;(IF(C75&gt;0,", Painting upto "&amp;C75&amp;" Floor completed"," "))&amp;(IF(C76&gt;0,", Finishing upto "&amp;C76&amp;" Floor completed"," ")))</f>
        <v>Excavation work completed, Plinth work completed, RCC upto 8 Slab completed, Brickwork upto 7 Floor completed, Internal Plaster upto 7 Floor completed, External Plaster upto 7 Floor completed, Flooring upto 7 Floor completed, Painting upto 7 Floor completed, Finishing upto 7 Floor completed</v>
      </c>
      <c r="J62" s="15"/>
      <c r="K62" s="16"/>
    </row>
    <row r="63" spans="1:13" x14ac:dyDescent="0.35">
      <c r="A63" s="174" t="s">
        <v>191</v>
      </c>
      <c r="B63" s="175"/>
      <c r="C63" s="176" t="str">
        <f>D57</f>
        <v>A Wing = G + 1st to 7th Floor</v>
      </c>
      <c r="D63" s="177"/>
      <c r="E63" s="177"/>
      <c r="F63" s="177"/>
      <c r="G63" s="177"/>
      <c r="H63" s="178"/>
      <c r="I63" s="56" t="s">
        <v>137</v>
      </c>
      <c r="J63" s="17"/>
      <c r="K63" s="18"/>
    </row>
    <row r="64" spans="1:13" x14ac:dyDescent="0.35">
      <c r="A64" s="231" t="s">
        <v>94</v>
      </c>
      <c r="B64" s="232"/>
      <c r="C64" s="195">
        <v>1</v>
      </c>
      <c r="D64" s="195"/>
      <c r="E64" s="88" t="s">
        <v>93</v>
      </c>
      <c r="F64" s="88">
        <v>0</v>
      </c>
      <c r="G64" s="87" t="s">
        <v>109</v>
      </c>
      <c r="H64" s="66">
        <f ca="1">--TRIM(RIGHT(SUBSTITUTE(LEFT(C63,_xlfn.AGGREGATE(16,6,FIND({0,1,2,3,4,5,6,7,8,9},C63,ROW(INDIRECT("1:"&amp;LEN(C63)))),1))," ",REPT(" ",LEN(C63))),LEN(C63)))</f>
        <v>7</v>
      </c>
      <c r="I64" s="56"/>
      <c r="J64" s="17"/>
      <c r="K64" s="18"/>
    </row>
    <row r="65" spans="1:11" ht="17.25" customHeight="1" thickBot="1" x14ac:dyDescent="0.4">
      <c r="A65" s="234" t="s">
        <v>119</v>
      </c>
      <c r="B65" s="235"/>
      <c r="C65" s="172" t="str">
        <f>I66</f>
        <v>All work Completed. OC Received.</v>
      </c>
      <c r="D65" s="172"/>
      <c r="E65" s="172"/>
      <c r="F65" s="172"/>
      <c r="G65" s="172"/>
      <c r="H65" s="173"/>
      <c r="I65" s="56" t="s">
        <v>152</v>
      </c>
      <c r="J65" s="17"/>
      <c r="K65" s="18"/>
    </row>
    <row r="66" spans="1:11" ht="27.5" customHeight="1" thickBot="1" x14ac:dyDescent="0.4">
      <c r="A66" s="252" t="s">
        <v>114</v>
      </c>
      <c r="B66" s="253"/>
      <c r="C66" s="254">
        <v>1</v>
      </c>
      <c r="D66" s="255"/>
      <c r="E66" s="253" t="s">
        <v>113</v>
      </c>
      <c r="F66" s="256"/>
      <c r="G66" s="257">
        <v>1</v>
      </c>
      <c r="H66" s="258"/>
      <c r="I66" s="56" t="s">
        <v>138</v>
      </c>
      <c r="J66" s="19"/>
      <c r="K66" s="20"/>
    </row>
    <row r="67" spans="1:11" ht="31" hidden="1" x14ac:dyDescent="0.35">
      <c r="A67" s="138" t="s">
        <v>47</v>
      </c>
      <c r="B67" s="129"/>
      <c r="C67" s="94" t="s">
        <v>190</v>
      </c>
      <c r="D67" s="94" t="s">
        <v>112</v>
      </c>
      <c r="E67" s="129" t="s">
        <v>114</v>
      </c>
      <c r="F67" s="129"/>
      <c r="G67" s="129" t="s">
        <v>113</v>
      </c>
      <c r="H67" s="233"/>
      <c r="I67" s="56"/>
      <c r="J67" s="19"/>
      <c r="K67" s="20"/>
    </row>
    <row r="68" spans="1:11" hidden="1" x14ac:dyDescent="0.35">
      <c r="A68" s="127" t="s">
        <v>174</v>
      </c>
      <c r="B68" s="128"/>
      <c r="C68" s="76">
        <f ca="1">K70</f>
        <v>7</v>
      </c>
      <c r="D68" s="77">
        <f ca="1">((100/H64)*C68)/100</f>
        <v>1</v>
      </c>
      <c r="E68" s="166" t="str">
        <f>(IF(C65=I65,"100%",IF(C65=I66,"100%",(((C69/H64*10)+(40/(C64+F64+H64)*C70)+(7.5/(H64)*C71)+(7.5/(H64)*C72)+(10/H64*C73)+(10/H64*C74)+(5/H64*C75)+(5/H64*C76)+(5/H64*C77))/100))))</f>
        <v>100%</v>
      </c>
      <c r="F68" s="166"/>
      <c r="G68" s="166">
        <f ca="1">((((C68/H64)*20)+((C69/H64)*25)+(30/(H64+F64+C64)*C70)+(5/H64*C71)+(5/H64*C72)+(5/H64*C73)+(5/H64*C74)+(0/H64*C75)+(0/H64*C76)+(5/H64*C77))/100)</f>
        <v>1</v>
      </c>
      <c r="H68" s="168"/>
      <c r="I68" s="19"/>
      <c r="J68" s="19"/>
      <c r="K68" s="20"/>
    </row>
    <row r="69" spans="1:11" ht="15.75" hidden="1" customHeight="1" x14ac:dyDescent="0.35">
      <c r="A69" s="127" t="s">
        <v>48</v>
      </c>
      <c r="B69" s="128"/>
      <c r="C69" s="76">
        <f ca="1">K75</f>
        <v>7</v>
      </c>
      <c r="D69" s="77">
        <f ca="1">((100/H64)*C69)/100</f>
        <v>1</v>
      </c>
      <c r="E69" s="166"/>
      <c r="F69" s="166"/>
      <c r="G69" s="166"/>
      <c r="H69" s="168"/>
      <c r="I69" s="40" t="s">
        <v>131</v>
      </c>
      <c r="J69" s="21"/>
      <c r="K69" s="54">
        <f ca="1">H64*50%</f>
        <v>3.5</v>
      </c>
    </row>
    <row r="70" spans="1:11" ht="15.75" hidden="1" customHeight="1" x14ac:dyDescent="0.35">
      <c r="A70" s="180" t="s">
        <v>175</v>
      </c>
      <c r="B70" s="181"/>
      <c r="C70" s="78">
        <v>8</v>
      </c>
      <c r="D70" s="77">
        <f ca="1">((100/(C64+F64+H64))*C70)/100</f>
        <v>1</v>
      </c>
      <c r="E70" s="166"/>
      <c r="F70" s="166"/>
      <c r="G70" s="166"/>
      <c r="H70" s="168"/>
      <c r="I70" s="40" t="s">
        <v>132</v>
      </c>
      <c r="J70" s="21"/>
      <c r="K70" s="54">
        <f ca="1">H64</f>
        <v>7</v>
      </c>
    </row>
    <row r="71" spans="1:11" ht="15.75" hidden="1" customHeight="1" x14ac:dyDescent="0.35">
      <c r="A71" s="127" t="s">
        <v>183</v>
      </c>
      <c r="B71" s="128" t="s">
        <v>176</v>
      </c>
      <c r="C71" s="76">
        <v>7</v>
      </c>
      <c r="D71" s="77">
        <f ca="1">((100/H64)*C71)/100</f>
        <v>1</v>
      </c>
      <c r="E71" s="166"/>
      <c r="F71" s="166"/>
      <c r="G71" s="166"/>
      <c r="H71" s="168"/>
      <c r="I71" s="40"/>
      <c r="J71" s="21"/>
      <c r="K71" s="54"/>
    </row>
    <row r="72" spans="1:11" ht="15" hidden="1" customHeight="1" x14ac:dyDescent="0.35">
      <c r="A72" s="127" t="s">
        <v>184</v>
      </c>
      <c r="B72" s="128" t="s">
        <v>176</v>
      </c>
      <c r="C72" s="76">
        <v>7</v>
      </c>
      <c r="D72" s="77">
        <f ca="1">((100/H64)*C72)/100</f>
        <v>1</v>
      </c>
      <c r="E72" s="166"/>
      <c r="F72" s="166"/>
      <c r="G72" s="166"/>
      <c r="H72" s="168"/>
      <c r="I72" s="40" t="s">
        <v>133</v>
      </c>
      <c r="J72" s="21"/>
      <c r="K72" s="54">
        <f ca="1">H64*25%</f>
        <v>1.75</v>
      </c>
    </row>
    <row r="73" spans="1:11" ht="15.75" hidden="1" customHeight="1" x14ac:dyDescent="0.35">
      <c r="A73" s="127" t="s">
        <v>182</v>
      </c>
      <c r="B73" s="128" t="s">
        <v>178</v>
      </c>
      <c r="C73" s="76">
        <v>7</v>
      </c>
      <c r="D73" s="77">
        <f ca="1">((100/(H64))*C73)/100</f>
        <v>1</v>
      </c>
      <c r="E73" s="166"/>
      <c r="F73" s="166"/>
      <c r="G73" s="166"/>
      <c r="H73" s="168"/>
      <c r="I73" s="40" t="s">
        <v>134</v>
      </c>
      <c r="J73" s="21"/>
      <c r="K73" s="54">
        <f ca="1">H64*50%</f>
        <v>3.5</v>
      </c>
    </row>
    <row r="74" spans="1:11" hidden="1" x14ac:dyDescent="0.35">
      <c r="A74" s="127" t="s">
        <v>177</v>
      </c>
      <c r="B74" s="128" t="s">
        <v>177</v>
      </c>
      <c r="C74" s="76">
        <v>7</v>
      </c>
      <c r="D74" s="77">
        <f ca="1">((100/H64)*C74)/100</f>
        <v>1</v>
      </c>
      <c r="E74" s="166"/>
      <c r="F74" s="166"/>
      <c r="G74" s="166"/>
      <c r="H74" s="168"/>
      <c r="I74" s="40" t="s">
        <v>135</v>
      </c>
      <c r="J74" s="21"/>
      <c r="K74" s="54">
        <f ca="1">H64*75%</f>
        <v>5.25</v>
      </c>
    </row>
    <row r="75" spans="1:11" hidden="1" x14ac:dyDescent="0.35">
      <c r="A75" s="127" t="s">
        <v>185</v>
      </c>
      <c r="B75" s="128"/>
      <c r="C75" s="76">
        <v>7</v>
      </c>
      <c r="D75" s="77">
        <f ca="1">((100/H64)*C75)/100</f>
        <v>1</v>
      </c>
      <c r="E75" s="166"/>
      <c r="F75" s="166"/>
      <c r="G75" s="166"/>
      <c r="H75" s="168"/>
      <c r="I75" s="40" t="s">
        <v>136</v>
      </c>
      <c r="J75" s="21"/>
      <c r="K75" s="54">
        <f ca="1">H64</f>
        <v>7</v>
      </c>
    </row>
    <row r="76" spans="1:11" ht="16" hidden="1" thickBot="1" x14ac:dyDescent="0.4">
      <c r="A76" s="127" t="s">
        <v>179</v>
      </c>
      <c r="B76" s="128" t="s">
        <v>179</v>
      </c>
      <c r="C76" s="76">
        <v>7</v>
      </c>
      <c r="D76" s="77">
        <f ca="1">((100/(H64))*C76)/100</f>
        <v>1</v>
      </c>
      <c r="E76" s="166"/>
      <c r="F76" s="166"/>
      <c r="G76" s="166"/>
      <c r="H76" s="168"/>
      <c r="I76" s="64"/>
      <c r="J76" s="64"/>
      <c r="K76" s="65"/>
    </row>
    <row r="77" spans="1:11" ht="15.75" hidden="1" customHeight="1" thickBot="1" x14ac:dyDescent="0.4">
      <c r="A77" s="170" t="s">
        <v>180</v>
      </c>
      <c r="B77" s="171"/>
      <c r="C77" s="79">
        <v>7</v>
      </c>
      <c r="D77" s="80">
        <f ca="1">((100/(H64))*C77)/100</f>
        <v>1</v>
      </c>
      <c r="E77" s="167"/>
      <c r="F77" s="167"/>
      <c r="G77" s="167"/>
      <c r="H77" s="169"/>
      <c r="I77" s="55" t="str">
        <f ca="1">(IF(C82=0,"Work not yet Started.",IF(D82=50%,"Excavation work in process",IF(D82=100%,"Excavation work completed, ","0")))&amp;(IF(C83=0%,"",IF(D83=25%,"Footing work is process",IF(D83=50%,"Footing work Completed",IF(D83=75%,"Plinth work is process",IF(D83=100%,"Plinth work completed","0"))))))&amp;(IF(C84&gt;0,", RCC upto "&amp;C84&amp;" Slab completed",""))&amp;(IF(C85&gt;0,", Brickwork upto "&amp;C85&amp;" Floor completed"," "))&amp;(IF(C86&gt;0,", Internal Plaster upto "&amp;C86&amp;" Floor completed"," "))&amp;(IF(C87&gt;0,", External Plaster upto "&amp;C87&amp;" Floor completed"," "))&amp;(IF(C88&gt;0,", Flooring upto "&amp;C88&amp;" Floor completed"," "))&amp;(IF(C89&gt;0,", Painting upto "&amp;C89&amp;" Floor completed"," "))&amp;(IF(C90&gt;0,", Finishing upto "&amp;C90&amp;" Floor completed"," ")))</f>
        <v xml:space="preserve">Excavation work completed, Plinth work completed, RCC upto 11 Slab completed, Brickwork upto 2 Floor completed, Internal Plaster upto 1 Floor completed, External Plaster upto 0.5 Floor completed, Flooring upto 0.5 Floor completed, Painting upto 0.5 Floor completed </v>
      </c>
      <c r="J77" s="15"/>
      <c r="K77" s="16"/>
    </row>
    <row r="78" spans="1:11" x14ac:dyDescent="0.35">
      <c r="A78" s="174" t="s">
        <v>191</v>
      </c>
      <c r="B78" s="175"/>
      <c r="C78" s="191" t="s">
        <v>246</v>
      </c>
      <c r="D78" s="192"/>
      <c r="E78" s="192"/>
      <c r="F78" s="192"/>
      <c r="G78" s="192"/>
      <c r="H78" s="193"/>
      <c r="I78" s="56" t="s">
        <v>137</v>
      </c>
      <c r="J78" s="17"/>
      <c r="K78" s="18"/>
    </row>
    <row r="79" spans="1:11" x14ac:dyDescent="0.35">
      <c r="A79" s="194" t="s">
        <v>94</v>
      </c>
      <c r="B79" s="195"/>
      <c r="C79" s="195">
        <v>1</v>
      </c>
      <c r="D79" s="195"/>
      <c r="E79" s="93" t="s">
        <v>93</v>
      </c>
      <c r="F79" s="93">
        <v>0</v>
      </c>
      <c r="G79" s="93" t="s">
        <v>109</v>
      </c>
      <c r="H79" s="66">
        <f ca="1">--TRIM(RIGHT(SUBSTITUTE(LEFT(C78,_xlfn.AGGREGATE(16,6,FIND({0,1,2,3,4,5,6,7,8,9},C78,ROW(INDIRECT("1:"&amp;LEN(C78)))),1))," ",REPT(" ",LEN(C78))),LEN(C78)))</f>
        <v>12</v>
      </c>
      <c r="I79" s="56" t="s">
        <v>152</v>
      </c>
      <c r="J79" s="17"/>
      <c r="K79" s="18"/>
    </row>
    <row r="80" spans="1:11" ht="65.25" customHeight="1" x14ac:dyDescent="0.35">
      <c r="A80" s="196" t="s">
        <v>119</v>
      </c>
      <c r="B80" s="130"/>
      <c r="C80" s="179" t="str">
        <f ca="1">I77</f>
        <v xml:space="preserve">Excavation work completed, Plinth work completed, RCC upto 11 Slab completed, Brickwork upto 2 Floor completed, Internal Plaster upto 1 Floor completed, External Plaster upto 0.5 Floor completed, Flooring upto 0.5 Floor completed, Painting upto 0.5 Floor completed </v>
      </c>
      <c r="D80" s="179"/>
      <c r="E80" s="179"/>
      <c r="F80" s="179"/>
      <c r="G80" s="179"/>
      <c r="H80" s="197"/>
      <c r="I80" s="56" t="s">
        <v>138</v>
      </c>
      <c r="J80" s="19"/>
      <c r="K80" s="20"/>
    </row>
    <row r="81" spans="1:11" ht="31" x14ac:dyDescent="0.35">
      <c r="A81" s="182" t="s">
        <v>47</v>
      </c>
      <c r="B81" s="183"/>
      <c r="C81" s="97" t="s">
        <v>190</v>
      </c>
      <c r="D81" s="97" t="s">
        <v>112</v>
      </c>
      <c r="E81" s="183" t="s">
        <v>114</v>
      </c>
      <c r="F81" s="183"/>
      <c r="G81" s="183" t="s">
        <v>113</v>
      </c>
      <c r="H81" s="184"/>
      <c r="I81" s="56"/>
      <c r="J81" s="19"/>
      <c r="K81" s="20"/>
    </row>
    <row r="82" spans="1:11" x14ac:dyDescent="0.35">
      <c r="A82" s="182" t="s">
        <v>174</v>
      </c>
      <c r="B82" s="183"/>
      <c r="C82" s="76">
        <f ca="1">K84</f>
        <v>12</v>
      </c>
      <c r="D82" s="98">
        <f ca="1">((100/H79)*C82)/100</f>
        <v>1</v>
      </c>
      <c r="E82" s="185">
        <f ca="1">(IF(C80=I79,"100%",IF(C80=I80,"100%",(((C83/H79*10)+(40/(C79+F79+H79)*C84)+(7.5/(H79)*C85)+(7.5/(H79)*C86)+(10/H79*C87)+(10/H79*C88)+(5/H79*C89)+(5/H79*C90)+(5/H79*C91))/100))))</f>
        <v>0.46762820512820513</v>
      </c>
      <c r="F82" s="185"/>
      <c r="G82" s="185">
        <f ca="1">((((C82/H79)*20)+((C83/H79)*25)+(30/(H79+F79+C79)*C84)+(5/H79*C85)+(5/H79*C86)+(5/H79*C87)+(5/H79*C88)+(0/H79*C89)+(0/H79*C90)+(5/H79*C91))/100)</f>
        <v>0.7205128205128204</v>
      </c>
      <c r="H82" s="187"/>
      <c r="I82" s="19"/>
      <c r="J82" s="19"/>
      <c r="K82" s="20"/>
    </row>
    <row r="83" spans="1:11" ht="15.75" customHeight="1" x14ac:dyDescent="0.35">
      <c r="A83" s="182" t="s">
        <v>48</v>
      </c>
      <c r="B83" s="183"/>
      <c r="C83" s="76">
        <f ca="1">K89</f>
        <v>12</v>
      </c>
      <c r="D83" s="98">
        <f ca="1">((100/H79)*C83)/100</f>
        <v>1</v>
      </c>
      <c r="E83" s="185"/>
      <c r="F83" s="185"/>
      <c r="G83" s="185"/>
      <c r="H83" s="187"/>
      <c r="I83" s="40" t="s">
        <v>131</v>
      </c>
      <c r="J83" s="21"/>
      <c r="K83" s="54">
        <f ca="1">H79*50%</f>
        <v>6</v>
      </c>
    </row>
    <row r="84" spans="1:11" ht="15.75" customHeight="1" x14ac:dyDescent="0.35">
      <c r="A84" s="182" t="s">
        <v>175</v>
      </c>
      <c r="B84" s="183"/>
      <c r="C84" s="78">
        <v>11</v>
      </c>
      <c r="D84" s="98">
        <f ca="1">((100/(C79+F79+H79))*C84)/100</f>
        <v>0.84615384615384615</v>
      </c>
      <c r="E84" s="185"/>
      <c r="F84" s="185"/>
      <c r="G84" s="185"/>
      <c r="H84" s="187"/>
      <c r="I84" s="40" t="s">
        <v>132</v>
      </c>
      <c r="J84" s="21"/>
      <c r="K84" s="54">
        <f ca="1">H79</f>
        <v>12</v>
      </c>
    </row>
    <row r="85" spans="1:11" ht="15.75" customHeight="1" x14ac:dyDescent="0.35">
      <c r="A85" s="182" t="s">
        <v>183</v>
      </c>
      <c r="B85" s="183" t="s">
        <v>176</v>
      </c>
      <c r="C85" s="76">
        <v>2</v>
      </c>
      <c r="D85" s="98">
        <f ca="1">((100/H79)*C85)/100</f>
        <v>0.16666666666666669</v>
      </c>
      <c r="E85" s="185"/>
      <c r="F85" s="185"/>
      <c r="G85" s="185"/>
      <c r="H85" s="187"/>
      <c r="I85" s="40"/>
      <c r="J85" s="21"/>
      <c r="K85" s="54"/>
    </row>
    <row r="86" spans="1:11" ht="15" customHeight="1" x14ac:dyDescent="0.35">
      <c r="A86" s="182" t="s">
        <v>184</v>
      </c>
      <c r="B86" s="183" t="s">
        <v>176</v>
      </c>
      <c r="C86" s="76">
        <v>1</v>
      </c>
      <c r="D86" s="98">
        <f ca="1">((100/H79)*C86)/100</f>
        <v>8.3333333333333343E-2</v>
      </c>
      <c r="E86" s="185"/>
      <c r="F86" s="185"/>
      <c r="G86" s="185"/>
      <c r="H86" s="187"/>
      <c r="I86" s="40" t="s">
        <v>133</v>
      </c>
      <c r="J86" s="21"/>
      <c r="K86" s="54">
        <f ca="1">H79*25%</f>
        <v>3</v>
      </c>
    </row>
    <row r="87" spans="1:11" ht="15.75" customHeight="1" x14ac:dyDescent="0.35">
      <c r="A87" s="182" t="s">
        <v>182</v>
      </c>
      <c r="B87" s="183" t="s">
        <v>178</v>
      </c>
      <c r="C87" s="76">
        <v>0.5</v>
      </c>
      <c r="D87" s="98">
        <f ca="1">((100/(H79))*C87)/100</f>
        <v>4.1666666666666671E-2</v>
      </c>
      <c r="E87" s="185"/>
      <c r="F87" s="185"/>
      <c r="G87" s="185"/>
      <c r="H87" s="187"/>
      <c r="I87" s="40" t="s">
        <v>134</v>
      </c>
      <c r="J87" s="21"/>
      <c r="K87" s="54">
        <f ca="1">H79*50%</f>
        <v>6</v>
      </c>
    </row>
    <row r="88" spans="1:11" ht="15.75" customHeight="1" x14ac:dyDescent="0.35">
      <c r="A88" s="182" t="s">
        <v>177</v>
      </c>
      <c r="B88" s="183" t="s">
        <v>177</v>
      </c>
      <c r="C88" s="76">
        <v>0.5</v>
      </c>
      <c r="D88" s="98">
        <f ca="1">((100/H79)*C88)/100</f>
        <v>4.1666666666666671E-2</v>
      </c>
      <c r="E88" s="185"/>
      <c r="F88" s="185"/>
      <c r="G88" s="185"/>
      <c r="H88" s="187"/>
      <c r="I88" s="40" t="s">
        <v>135</v>
      </c>
      <c r="J88" s="21"/>
      <c r="K88" s="54">
        <f ca="1">H79*75%</f>
        <v>9</v>
      </c>
    </row>
    <row r="89" spans="1:11" ht="15.75" customHeight="1" x14ac:dyDescent="0.35">
      <c r="A89" s="182" t="s">
        <v>185</v>
      </c>
      <c r="B89" s="183"/>
      <c r="C89" s="76">
        <v>0.5</v>
      </c>
      <c r="D89" s="98">
        <f ca="1">((100/H79)*C89)/100</f>
        <v>4.1666666666666671E-2</v>
      </c>
      <c r="E89" s="185"/>
      <c r="F89" s="185"/>
      <c r="G89" s="185"/>
      <c r="H89" s="187"/>
      <c r="I89" s="40" t="s">
        <v>136</v>
      </c>
      <c r="J89" s="21"/>
      <c r="K89" s="54">
        <f ca="1">H79</f>
        <v>12</v>
      </c>
    </row>
    <row r="90" spans="1:11" ht="16" thickBot="1" x14ac:dyDescent="0.4">
      <c r="A90" s="182" t="s">
        <v>179</v>
      </c>
      <c r="B90" s="183" t="s">
        <v>179</v>
      </c>
      <c r="C90" s="76">
        <v>0</v>
      </c>
      <c r="D90" s="98">
        <f ca="1">((100/(H79))*C90)/100</f>
        <v>0</v>
      </c>
      <c r="E90" s="185"/>
      <c r="F90" s="185"/>
      <c r="G90" s="185"/>
      <c r="H90" s="187"/>
      <c r="I90" s="64"/>
      <c r="J90" s="64"/>
      <c r="K90" s="65"/>
    </row>
    <row r="91" spans="1:11" ht="15.75" customHeight="1" thickBot="1" x14ac:dyDescent="0.4">
      <c r="A91" s="189" t="s">
        <v>180</v>
      </c>
      <c r="B91" s="190"/>
      <c r="C91" s="79">
        <v>0</v>
      </c>
      <c r="D91" s="99">
        <f ca="1">((100/(H79))*C91)/100</f>
        <v>0</v>
      </c>
      <c r="E91" s="186"/>
      <c r="F91" s="186"/>
      <c r="G91" s="186"/>
      <c r="H91" s="188"/>
      <c r="I91" s="55" t="str">
        <f ca="1">(IF(C96=0,"Work not yet Started.",IF(D96=50%,"Excavation work in process",IF(D96=100%,"Excavation work completed, ","0")))&amp;(IF(C97=0%,"",IF(D97=25%,"Footing work is process",IF(D97=50%,"Footing work Completed",IF(D97=75%,"Plinth work is process",IF(D97=100%,"Plinth work completed","0"))))))&amp;(IF(C98&gt;0,", RCC upto "&amp;C98&amp;" Slab completed",""))&amp;(IF(C99&gt;0,", Brickwork upto "&amp;C99&amp;" Floor completed"," "))&amp;(IF(C100&gt;0,", Internal Plaster upto "&amp;C100&amp;" Floor completed"," "))&amp;(IF(C101&gt;0,", External Plaster upto "&amp;C101&amp;" Floor completed"," "))&amp;(IF(C102&gt;0,", Flooring upto "&amp;C102&amp;" Floor completed"," "))&amp;(IF(C103&gt;0,", Painting upto "&amp;C103&amp;" Floor completed"," "))&amp;(IF(C104&gt;0,", Finishing upto "&amp;C104&amp;" Floor completed"," ")))</f>
        <v xml:space="preserve">Excavation work completed, Plinth work completed, RCC upto 11 Slab completed, Brickwork upto 3 Floor completed     </v>
      </c>
      <c r="J91" s="15"/>
      <c r="K91" s="16"/>
    </row>
    <row r="92" spans="1:11" x14ac:dyDescent="0.35">
      <c r="A92" s="174" t="s">
        <v>191</v>
      </c>
      <c r="B92" s="175"/>
      <c r="C92" s="191" t="s">
        <v>247</v>
      </c>
      <c r="D92" s="192"/>
      <c r="E92" s="192"/>
      <c r="F92" s="192"/>
      <c r="G92" s="192"/>
      <c r="H92" s="193"/>
      <c r="I92" s="56" t="s">
        <v>137</v>
      </c>
      <c r="J92" s="17"/>
      <c r="K92" s="18"/>
    </row>
    <row r="93" spans="1:11" x14ac:dyDescent="0.35">
      <c r="A93" s="194" t="s">
        <v>94</v>
      </c>
      <c r="B93" s="195"/>
      <c r="C93" s="195">
        <v>1</v>
      </c>
      <c r="D93" s="195"/>
      <c r="E93" s="93" t="s">
        <v>93</v>
      </c>
      <c r="F93" s="93">
        <v>0</v>
      </c>
      <c r="G93" s="93" t="s">
        <v>109</v>
      </c>
      <c r="H93" s="66">
        <f ca="1">--TRIM(RIGHT(SUBSTITUTE(LEFT(C92,_xlfn.AGGREGATE(16,6,FIND({0,1,2,3,4,5,6,7,8,9},C92,ROW(INDIRECT("1:"&amp;LEN(C92)))),1))," ",REPT(" ",LEN(C92))),LEN(C92)))</f>
        <v>12</v>
      </c>
      <c r="I93" s="56" t="s">
        <v>152</v>
      </c>
      <c r="J93" s="17"/>
      <c r="K93" s="18"/>
    </row>
    <row r="94" spans="1:11" ht="33.75" customHeight="1" x14ac:dyDescent="0.35">
      <c r="A94" s="196" t="s">
        <v>119</v>
      </c>
      <c r="B94" s="130"/>
      <c r="C94" s="179" t="str">
        <f ca="1">I91</f>
        <v xml:space="preserve">Excavation work completed, Plinth work completed, RCC upto 11 Slab completed, Brickwork upto 3 Floor completed     </v>
      </c>
      <c r="D94" s="179"/>
      <c r="E94" s="179"/>
      <c r="F94" s="179"/>
      <c r="G94" s="179"/>
      <c r="H94" s="197"/>
      <c r="I94" s="56" t="s">
        <v>138</v>
      </c>
      <c r="J94" s="19"/>
      <c r="K94" s="20"/>
    </row>
    <row r="95" spans="1:11" ht="31" x14ac:dyDescent="0.35">
      <c r="A95" s="182" t="s">
        <v>47</v>
      </c>
      <c r="B95" s="183"/>
      <c r="C95" s="97" t="s">
        <v>190</v>
      </c>
      <c r="D95" s="97" t="s">
        <v>112</v>
      </c>
      <c r="E95" s="183" t="s">
        <v>114</v>
      </c>
      <c r="F95" s="183"/>
      <c r="G95" s="183" t="s">
        <v>113</v>
      </c>
      <c r="H95" s="184"/>
      <c r="I95" s="56"/>
      <c r="J95" s="19"/>
      <c r="K95" s="20"/>
    </row>
    <row r="96" spans="1:11" x14ac:dyDescent="0.35">
      <c r="A96" s="182" t="s">
        <v>174</v>
      </c>
      <c r="B96" s="183"/>
      <c r="C96" s="76">
        <f ca="1">K98</f>
        <v>12</v>
      </c>
      <c r="D96" s="98">
        <f ca="1">((100/H93)*C96)/100</f>
        <v>1</v>
      </c>
      <c r="E96" s="185">
        <f ca="1">(IF(C94=I93,"100%",IF(C94=I94,"100%",(((C97/H93*10)+(40/(C93+F93+H93)*C98)+(7.5/(H93)*C99)+(7.5/(H93)*C100)+(10/H93*C101)+(10/H93*C102)+(5/H93*C103)+(5/H93*C104)+(5/H93*C105))/100))))</f>
        <v>0.45721153846153845</v>
      </c>
      <c r="F96" s="185"/>
      <c r="G96" s="185">
        <f ca="1">((((C96/H93)*20)+((C97/H93)*25)+(30/(H93+F93+C93)*C98)+(5/H93*C99)+(5/H93*C100)+(5/H93*C101)+(5/H93*C102)+(0/H93*C103)+(0/H93*C104)+(5/H93*C105))/100)</f>
        <v>0.71634615384615385</v>
      </c>
      <c r="H96" s="187"/>
      <c r="I96" s="19"/>
      <c r="J96" s="19"/>
      <c r="K96" s="20"/>
    </row>
    <row r="97" spans="1:11" ht="15.75" customHeight="1" x14ac:dyDescent="0.35">
      <c r="A97" s="182" t="s">
        <v>48</v>
      </c>
      <c r="B97" s="183"/>
      <c r="C97" s="76">
        <f ca="1">K103</f>
        <v>12</v>
      </c>
      <c r="D97" s="98">
        <f ca="1">((100/H93)*C97)/100</f>
        <v>1</v>
      </c>
      <c r="E97" s="185"/>
      <c r="F97" s="185"/>
      <c r="G97" s="185"/>
      <c r="H97" s="187"/>
      <c r="I97" s="40" t="s">
        <v>131</v>
      </c>
      <c r="J97" s="21"/>
      <c r="K97" s="54">
        <f ca="1">H93*50%</f>
        <v>6</v>
      </c>
    </row>
    <row r="98" spans="1:11" ht="15.75" customHeight="1" x14ac:dyDescent="0.35">
      <c r="A98" s="182" t="s">
        <v>175</v>
      </c>
      <c r="B98" s="183"/>
      <c r="C98" s="78">
        <v>11</v>
      </c>
      <c r="D98" s="98">
        <f ca="1">((100/(C93+F93+H93))*C98)/100</f>
        <v>0.84615384615384615</v>
      </c>
      <c r="E98" s="185"/>
      <c r="F98" s="185"/>
      <c r="G98" s="185"/>
      <c r="H98" s="187"/>
      <c r="I98" s="40" t="s">
        <v>132</v>
      </c>
      <c r="J98" s="21"/>
      <c r="K98" s="54">
        <f ca="1">H93</f>
        <v>12</v>
      </c>
    </row>
    <row r="99" spans="1:11" ht="15.75" customHeight="1" x14ac:dyDescent="0.35">
      <c r="A99" s="182" t="s">
        <v>183</v>
      </c>
      <c r="B99" s="183" t="s">
        <v>176</v>
      </c>
      <c r="C99" s="76">
        <v>3</v>
      </c>
      <c r="D99" s="98">
        <f ca="1">((100/H93)*C99)/100</f>
        <v>0.25</v>
      </c>
      <c r="E99" s="185"/>
      <c r="F99" s="185"/>
      <c r="G99" s="185"/>
      <c r="H99" s="187"/>
      <c r="I99" s="40"/>
      <c r="J99" s="21"/>
      <c r="K99" s="54"/>
    </row>
    <row r="100" spans="1:11" ht="15" customHeight="1" x14ac:dyDescent="0.35">
      <c r="A100" s="182" t="s">
        <v>184</v>
      </c>
      <c r="B100" s="183" t="s">
        <v>176</v>
      </c>
      <c r="C100" s="76">
        <v>0</v>
      </c>
      <c r="D100" s="98">
        <f ca="1">((100/H93)*C100)/100</f>
        <v>0</v>
      </c>
      <c r="E100" s="185"/>
      <c r="F100" s="185"/>
      <c r="G100" s="185"/>
      <c r="H100" s="187"/>
      <c r="I100" s="40" t="s">
        <v>133</v>
      </c>
      <c r="J100" s="21"/>
      <c r="K100" s="54">
        <f ca="1">H93*25%</f>
        <v>3</v>
      </c>
    </row>
    <row r="101" spans="1:11" ht="15.75" customHeight="1" x14ac:dyDescent="0.35">
      <c r="A101" s="182" t="s">
        <v>182</v>
      </c>
      <c r="B101" s="183" t="s">
        <v>178</v>
      </c>
      <c r="C101" s="76">
        <v>0</v>
      </c>
      <c r="D101" s="98">
        <f ca="1">((100/(H93))*C101)/100</f>
        <v>0</v>
      </c>
      <c r="E101" s="185"/>
      <c r="F101" s="185"/>
      <c r="G101" s="185"/>
      <c r="H101" s="187"/>
      <c r="I101" s="40" t="s">
        <v>134</v>
      </c>
      <c r="J101" s="21"/>
      <c r="K101" s="54">
        <f ca="1">H93*50%</f>
        <v>6</v>
      </c>
    </row>
    <row r="102" spans="1:11" ht="15.75" customHeight="1" x14ac:dyDescent="0.35">
      <c r="A102" s="182" t="s">
        <v>177</v>
      </c>
      <c r="B102" s="183" t="s">
        <v>177</v>
      </c>
      <c r="C102" s="76">
        <v>0</v>
      </c>
      <c r="D102" s="98">
        <f ca="1">((100/H93)*C102)/100</f>
        <v>0</v>
      </c>
      <c r="E102" s="185"/>
      <c r="F102" s="185"/>
      <c r="G102" s="185"/>
      <c r="H102" s="187"/>
      <c r="I102" s="40" t="s">
        <v>135</v>
      </c>
      <c r="J102" s="21"/>
      <c r="K102" s="54">
        <f ca="1">H93*75%</f>
        <v>9</v>
      </c>
    </row>
    <row r="103" spans="1:11" ht="15.75" customHeight="1" x14ac:dyDescent="0.35">
      <c r="A103" s="182" t="s">
        <v>185</v>
      </c>
      <c r="B103" s="183"/>
      <c r="C103" s="76">
        <v>0</v>
      </c>
      <c r="D103" s="98">
        <f ca="1">((100/H93)*C103)/100</f>
        <v>0</v>
      </c>
      <c r="E103" s="185"/>
      <c r="F103" s="185"/>
      <c r="G103" s="185"/>
      <c r="H103" s="187"/>
      <c r="I103" s="40" t="s">
        <v>136</v>
      </c>
      <c r="J103" s="21"/>
      <c r="K103" s="54">
        <f ca="1">H93</f>
        <v>12</v>
      </c>
    </row>
    <row r="104" spans="1:11" ht="16" thickBot="1" x14ac:dyDescent="0.4">
      <c r="A104" s="182" t="s">
        <v>179</v>
      </c>
      <c r="B104" s="183" t="s">
        <v>179</v>
      </c>
      <c r="C104" s="76">
        <v>0</v>
      </c>
      <c r="D104" s="98">
        <f ca="1">((100/(H93))*C104)/100</f>
        <v>0</v>
      </c>
      <c r="E104" s="185"/>
      <c r="F104" s="185"/>
      <c r="G104" s="185"/>
      <c r="H104" s="187"/>
      <c r="I104" s="64"/>
      <c r="J104" s="64"/>
      <c r="K104" s="65"/>
    </row>
    <row r="105" spans="1:11" ht="16" thickBot="1" x14ac:dyDescent="0.4">
      <c r="A105" s="189" t="s">
        <v>180</v>
      </c>
      <c r="B105" s="190"/>
      <c r="C105" s="79">
        <v>0</v>
      </c>
      <c r="D105" s="99">
        <f ca="1">((100/(H93))*C105)/100</f>
        <v>0</v>
      </c>
      <c r="E105" s="186"/>
      <c r="F105" s="186"/>
      <c r="G105" s="186"/>
      <c r="H105" s="188"/>
      <c r="I105" s="55" t="e">
        <f>(IF(#REF!=0,"Work not yet Started.",IF(#REF!=50%,"Excavation work in process",IF(#REF!=100%,"Excavation work completed, ","0")))&amp;(IF(#REF!=0%,"",IF(#REF!=25%,"Footing work is process",IF(#REF!=50%,"Footing work Completed",IF(#REF!=75%,"Plinth work is process",IF(#REF!=100%,"Plinth work completed","0"))))))&amp;(IF(#REF!&gt;0,", RCC upto "&amp;#REF!&amp;" Slab completed",""))&amp;(IF(#REF!&gt;0,", Brickwork upto "&amp;#REF!&amp;" Floor completed"," "))&amp;(IF(#REF!&gt;0,", Internal Plaster upto "&amp;#REF!&amp;" Floor completed"," "))&amp;(IF(#REF!&gt;0,", External Plaster upto "&amp;#REF!&amp;" Floor completed"," "))&amp;(IF(#REF!&gt;0,", Flooring upto "&amp;#REF!&amp;" Floor completed"," "))&amp;(IF(#REF!&gt;0,", Painting upto "&amp;#REF!&amp;" Floor completed"," "))&amp;(IF(#REF!&gt;0,", Finishing upto "&amp;#REF!&amp;" Floor completed"," ")))</f>
        <v>#REF!</v>
      </c>
      <c r="J105" s="15"/>
      <c r="K105" s="16"/>
    </row>
    <row r="106" spans="1:11" ht="33" customHeight="1" thickBot="1" x14ac:dyDescent="0.4">
      <c r="A106" s="109" t="s">
        <v>278</v>
      </c>
      <c r="B106" s="110"/>
      <c r="C106" s="111" t="s">
        <v>279</v>
      </c>
      <c r="D106" s="112"/>
      <c r="E106" s="96">
        <f ca="1">AVERAGE(E82,E96)</f>
        <v>0.46241987179487176</v>
      </c>
      <c r="F106" s="111" t="s">
        <v>280</v>
      </c>
      <c r="G106" s="112"/>
      <c r="H106" s="96">
        <f ca="1">AVERAGE(G82,G96)</f>
        <v>0.71842948717948718</v>
      </c>
    </row>
    <row r="107" spans="1:11" x14ac:dyDescent="0.35">
      <c r="A107" s="236" t="s">
        <v>153</v>
      </c>
      <c r="B107" s="237"/>
      <c r="C107" s="237"/>
      <c r="D107" s="237"/>
      <c r="E107" s="238"/>
      <c r="F107" s="236" t="str">
        <f>(IF(E68="100%","Yes",IF(E68&gt;0%,"Under Construction",IF(E68=0%,"Work not yet Started"))))</f>
        <v>Yes</v>
      </c>
      <c r="G107" s="237"/>
      <c r="H107" s="238"/>
    </row>
    <row r="108" spans="1:11" ht="15" customHeight="1" x14ac:dyDescent="0.35">
      <c r="A108" s="120" t="s">
        <v>49</v>
      </c>
      <c r="B108" s="120"/>
      <c r="C108" s="120"/>
      <c r="D108" s="120"/>
      <c r="E108" s="120"/>
      <c r="F108" s="120"/>
      <c r="G108" s="120"/>
      <c r="H108" s="120"/>
    </row>
    <row r="109" spans="1:11" x14ac:dyDescent="0.35">
      <c r="A109" s="130" t="s">
        <v>97</v>
      </c>
      <c r="B109" s="130"/>
      <c r="C109" s="179" t="s">
        <v>98</v>
      </c>
      <c r="D109" s="179"/>
      <c r="E109" s="179"/>
      <c r="F109" s="179"/>
      <c r="G109" s="179"/>
      <c r="H109" s="179"/>
    </row>
    <row r="110" spans="1:11" x14ac:dyDescent="0.35">
      <c r="A110" s="121" t="s">
        <v>50</v>
      </c>
      <c r="B110" s="121"/>
      <c r="C110" s="121"/>
      <c r="D110" s="121"/>
      <c r="E110" s="121"/>
      <c r="F110" s="121"/>
      <c r="G110" s="121"/>
      <c r="H110" s="121"/>
    </row>
    <row r="111" spans="1:11" x14ac:dyDescent="0.35">
      <c r="A111" s="120" t="s">
        <v>99</v>
      </c>
      <c r="B111" s="120"/>
      <c r="C111" s="120"/>
      <c r="D111" s="120"/>
      <c r="E111" s="120"/>
      <c r="F111" s="118">
        <v>3800</v>
      </c>
      <c r="G111" s="118"/>
      <c r="H111" s="118"/>
    </row>
    <row r="112" spans="1:11" x14ac:dyDescent="0.35">
      <c r="A112" s="120" t="s">
        <v>106</v>
      </c>
      <c r="B112" s="120"/>
      <c r="C112" s="120"/>
      <c r="D112" s="120"/>
      <c r="E112" s="120"/>
      <c r="F112" s="118">
        <v>8000</v>
      </c>
      <c r="G112" s="118"/>
      <c r="H112" s="118"/>
    </row>
    <row r="113" spans="1:10" s="12" customFormat="1" x14ac:dyDescent="0.3">
      <c r="A113" s="120" t="s">
        <v>108</v>
      </c>
      <c r="B113" s="120"/>
      <c r="C113" s="120"/>
      <c r="D113" s="120"/>
      <c r="E113" s="120"/>
      <c r="F113" s="118">
        <v>6000</v>
      </c>
      <c r="G113" s="118"/>
      <c r="H113" s="118"/>
    </row>
    <row r="114" spans="1:10" s="12" customFormat="1" hidden="1" x14ac:dyDescent="0.3">
      <c r="A114" s="120" t="s">
        <v>124</v>
      </c>
      <c r="B114" s="120"/>
      <c r="C114" s="120"/>
      <c r="D114" s="120"/>
      <c r="E114" s="120"/>
      <c r="F114" s="118" t="s">
        <v>28</v>
      </c>
      <c r="G114" s="118"/>
      <c r="H114" s="118"/>
    </row>
    <row r="115" spans="1:10" s="12" customFormat="1" x14ac:dyDescent="0.3">
      <c r="A115" s="120" t="s">
        <v>125</v>
      </c>
      <c r="B115" s="120"/>
      <c r="C115" s="120"/>
      <c r="D115" s="120"/>
      <c r="E115" s="120"/>
      <c r="F115" s="118" t="s">
        <v>210</v>
      </c>
      <c r="G115" s="118"/>
      <c r="H115" s="118"/>
    </row>
    <row r="116" spans="1:10" s="12" customFormat="1" x14ac:dyDescent="0.3">
      <c r="A116" s="120" t="s">
        <v>211</v>
      </c>
      <c r="B116" s="120"/>
      <c r="C116" s="120"/>
      <c r="D116" s="120"/>
      <c r="E116" s="120"/>
      <c r="F116" s="118" t="s">
        <v>212</v>
      </c>
      <c r="G116" s="118"/>
      <c r="H116" s="118"/>
    </row>
    <row r="117" spans="1:10" s="12" customFormat="1" hidden="1" x14ac:dyDescent="0.3">
      <c r="A117" s="120" t="s">
        <v>126</v>
      </c>
      <c r="B117" s="120"/>
      <c r="C117" s="120"/>
      <c r="D117" s="120"/>
      <c r="E117" s="120"/>
      <c r="F117" s="118" t="s">
        <v>28</v>
      </c>
      <c r="G117" s="118"/>
      <c r="H117" s="118"/>
    </row>
    <row r="118" spans="1:10" s="12" customFormat="1" hidden="1" x14ac:dyDescent="0.3">
      <c r="A118" s="120" t="s">
        <v>127</v>
      </c>
      <c r="B118" s="120"/>
      <c r="C118" s="120"/>
      <c r="D118" s="120"/>
      <c r="E118" s="120"/>
      <c r="F118" s="118" t="s">
        <v>28</v>
      </c>
      <c r="G118" s="118"/>
      <c r="H118" s="118"/>
    </row>
    <row r="119" spans="1:10" s="12" customFormat="1" hidden="1" x14ac:dyDescent="0.3">
      <c r="A119" s="120" t="s">
        <v>128</v>
      </c>
      <c r="B119" s="120"/>
      <c r="C119" s="120"/>
      <c r="D119" s="120"/>
      <c r="E119" s="120"/>
      <c r="F119" s="118" t="s">
        <v>28</v>
      </c>
      <c r="G119" s="118"/>
      <c r="H119" s="118"/>
    </row>
    <row r="120" spans="1:10" s="12" customFormat="1" hidden="1" x14ac:dyDescent="0.3">
      <c r="A120" s="120" t="s">
        <v>129</v>
      </c>
      <c r="B120" s="120"/>
      <c r="C120" s="120"/>
      <c r="D120" s="120"/>
      <c r="E120" s="120"/>
      <c r="F120" s="118" t="s">
        <v>28</v>
      </c>
      <c r="G120" s="118"/>
      <c r="H120" s="118"/>
    </row>
    <row r="121" spans="1:10" hidden="1" x14ac:dyDescent="0.35">
      <c r="A121" s="120" t="s">
        <v>130</v>
      </c>
      <c r="B121" s="120"/>
      <c r="C121" s="120"/>
      <c r="D121" s="120"/>
      <c r="E121" s="120"/>
      <c r="F121" s="118" t="s">
        <v>28</v>
      </c>
      <c r="G121" s="118"/>
      <c r="H121" s="118"/>
    </row>
    <row r="122" spans="1:10" s="9" customFormat="1" x14ac:dyDescent="0.35">
      <c r="A122" s="120" t="s">
        <v>51</v>
      </c>
      <c r="B122" s="120"/>
      <c r="C122" s="120"/>
      <c r="D122" s="120"/>
      <c r="E122" s="120"/>
      <c r="F122" s="117" t="s">
        <v>213</v>
      </c>
      <c r="G122" s="117"/>
      <c r="H122" s="117"/>
    </row>
    <row r="123" spans="1:10" s="1" customFormat="1" ht="15.75" customHeight="1" x14ac:dyDescent="0.35">
      <c r="A123" s="121" t="s">
        <v>52</v>
      </c>
      <c r="B123" s="121"/>
      <c r="C123" s="121"/>
      <c r="D123" s="121"/>
      <c r="E123" s="121"/>
      <c r="F123" s="118">
        <f>F111*0.8</f>
        <v>3040</v>
      </c>
      <c r="G123" s="118"/>
      <c r="H123" s="118"/>
    </row>
    <row r="124" spans="1:10" s="1" customFormat="1" ht="15.75" customHeight="1" x14ac:dyDescent="0.35">
      <c r="A124" s="133" t="s">
        <v>100</v>
      </c>
      <c r="B124" s="133"/>
      <c r="C124" s="133"/>
      <c r="D124" s="133"/>
      <c r="E124" s="133"/>
      <c r="F124" s="133"/>
      <c r="G124" s="133"/>
      <c r="H124" s="133"/>
      <c r="J124" s="1" t="s">
        <v>226</v>
      </c>
    </row>
    <row r="125" spans="1:10" s="1" customFormat="1" x14ac:dyDescent="0.35">
      <c r="A125" s="126" t="s">
        <v>53</v>
      </c>
      <c r="B125" s="126"/>
      <c r="C125" s="124" t="s">
        <v>103</v>
      </c>
      <c r="D125" s="124"/>
      <c r="E125" s="125" t="s">
        <v>54</v>
      </c>
      <c r="F125" s="125"/>
      <c r="G125" s="126" t="s">
        <v>55</v>
      </c>
      <c r="H125" s="126"/>
    </row>
    <row r="126" spans="1:10" s="1" customFormat="1" x14ac:dyDescent="0.35">
      <c r="A126" s="222" t="s">
        <v>214</v>
      </c>
      <c r="B126" s="73" t="s">
        <v>215</v>
      </c>
      <c r="C126" s="150">
        <v>4</v>
      </c>
      <c r="D126" s="150"/>
      <c r="E126" s="122">
        <f>SUM(D140:D143)</f>
        <v>779.95944000000009</v>
      </c>
      <c r="F126" s="123"/>
      <c r="G126" s="122">
        <f>SUM(F140:F143)</f>
        <v>1247.9351040000001</v>
      </c>
      <c r="H126" s="123"/>
    </row>
    <row r="127" spans="1:10" s="70" customFormat="1" x14ac:dyDescent="0.35">
      <c r="A127" s="223"/>
      <c r="B127" s="73" t="s">
        <v>225</v>
      </c>
      <c r="C127" s="150">
        <v>4</v>
      </c>
      <c r="D127" s="150"/>
      <c r="E127" s="122">
        <f>SUM(D144:D147)</f>
        <v>407.30975999999998</v>
      </c>
      <c r="F127" s="123"/>
      <c r="G127" s="122">
        <f>SUM(F144:F147)</f>
        <v>651.69561599999997</v>
      </c>
      <c r="H127" s="123"/>
    </row>
    <row r="128" spans="1:10" s="1" customFormat="1" x14ac:dyDescent="0.35">
      <c r="A128" s="133" t="s">
        <v>57</v>
      </c>
      <c r="B128" s="133"/>
      <c r="C128" s="124">
        <f>SUM(C126:C127)</f>
        <v>8</v>
      </c>
      <c r="D128" s="124"/>
      <c r="E128" s="221">
        <f>SUM(E126:E127)</f>
        <v>1187.2692000000002</v>
      </c>
      <c r="F128" s="125"/>
      <c r="G128" s="126">
        <f>SUM(G126:G127)</f>
        <v>1899.6307200000001</v>
      </c>
      <c r="H128" s="126"/>
    </row>
    <row r="129" spans="1:14" s="1" customFormat="1" ht="15.75" customHeight="1" x14ac:dyDescent="0.35">
      <c r="A129" s="133" t="s">
        <v>92</v>
      </c>
      <c r="B129" s="133"/>
      <c r="C129" s="133"/>
      <c r="D129" s="133"/>
      <c r="E129" s="133"/>
      <c r="F129" s="133"/>
      <c r="G129" s="133"/>
      <c r="H129" s="133"/>
    </row>
    <row r="130" spans="1:14" s="1" customFormat="1" x14ac:dyDescent="0.35">
      <c r="A130" s="126" t="s">
        <v>53</v>
      </c>
      <c r="B130" s="126"/>
      <c r="C130" s="124" t="s">
        <v>103</v>
      </c>
      <c r="D130" s="124"/>
      <c r="E130" s="125" t="s">
        <v>54</v>
      </c>
      <c r="F130" s="125"/>
      <c r="G130" s="126" t="s">
        <v>55</v>
      </c>
      <c r="H130" s="126"/>
    </row>
    <row r="131" spans="1:14" s="1" customFormat="1" x14ac:dyDescent="0.35">
      <c r="A131" s="160" t="s">
        <v>214</v>
      </c>
      <c r="B131" s="160"/>
      <c r="C131" s="150">
        <f>COUNT(D153:D154)+COUNT(D156:D161)*4+COUNT(D163:D168)*3</f>
        <v>44</v>
      </c>
      <c r="D131" s="150"/>
      <c r="E131" s="122">
        <f>SUM(D153:D154)+SUM(D156:D161)*4+SUM(D163:D168)*3</f>
        <v>17311.418279999998</v>
      </c>
      <c r="F131" s="122"/>
      <c r="G131" s="122">
        <f>SUM(F153:F154)+SUM(F156:F161)*4+SUM(F163:F168)*3</f>
        <v>25996.690746</v>
      </c>
      <c r="H131" s="122"/>
    </row>
    <row r="132" spans="1:14" s="1" customFormat="1" x14ac:dyDescent="0.35">
      <c r="A132" s="160" t="s">
        <v>227</v>
      </c>
      <c r="B132" s="160"/>
      <c r="C132" s="162">
        <f>COUNT(D172:D181)*6+COUNT(D183:D192)*4+COUNT(D194:D200,D202:D203)+COUNT(D205:D206,D209:D214)</f>
        <v>117</v>
      </c>
      <c r="D132" s="162"/>
      <c r="E132" s="162">
        <f>SUM(D172:D181)*6+SUM(D183:D192)*4+SUM(D194:D200,D202:D203)+SUM(D205:D206,D209:D214)</f>
        <v>48652.661069999995</v>
      </c>
      <c r="F132" s="162"/>
      <c r="G132" s="162">
        <f>SUM(F172:F181)*6+SUM(F183:F192)*4+SUM(F194:F200,F202:F203)+SUM(F205:F206,F209:F214)</f>
        <v>73039.462411500004</v>
      </c>
      <c r="H132" s="162"/>
    </row>
    <row r="133" spans="1:14" s="9" customFormat="1" x14ac:dyDescent="0.35">
      <c r="A133" s="133" t="s">
        <v>57</v>
      </c>
      <c r="B133" s="133"/>
      <c r="C133" s="134">
        <f>SUM(C131:D132)</f>
        <v>161</v>
      </c>
      <c r="D133" s="134"/>
      <c r="E133" s="134">
        <f>SUM(E131:F132)</f>
        <v>65964.079349999985</v>
      </c>
      <c r="F133" s="134"/>
      <c r="G133" s="134">
        <f>SUM(G131:H132)</f>
        <v>99036.153157499997</v>
      </c>
      <c r="H133" s="134"/>
    </row>
    <row r="134" spans="1:14" x14ac:dyDescent="0.35">
      <c r="A134" s="143" t="s">
        <v>270</v>
      </c>
      <c r="B134" s="143"/>
      <c r="C134" s="143"/>
      <c r="D134" s="143"/>
      <c r="E134" s="143"/>
      <c r="F134" s="143"/>
      <c r="G134" s="143"/>
      <c r="H134" s="143"/>
    </row>
    <row r="135" spans="1:14" x14ac:dyDescent="0.35">
      <c r="A135" s="143" t="s">
        <v>271</v>
      </c>
      <c r="B135" s="143"/>
      <c r="C135" s="143"/>
      <c r="D135" s="143"/>
      <c r="E135" s="143"/>
      <c r="F135" s="143"/>
      <c r="G135" s="143"/>
      <c r="H135" s="143"/>
    </row>
    <row r="136" spans="1:14" s="69" customFormat="1" ht="45" x14ac:dyDescent="0.35">
      <c r="A136" s="144" t="s">
        <v>221</v>
      </c>
      <c r="B136" s="144" t="s">
        <v>222</v>
      </c>
      <c r="C136" s="144" t="s">
        <v>58</v>
      </c>
      <c r="D136" s="144" t="s">
        <v>59</v>
      </c>
      <c r="E136" s="144" t="s">
        <v>60</v>
      </c>
      <c r="F136" s="72" t="s">
        <v>154</v>
      </c>
      <c r="G136" s="146" t="s">
        <v>61</v>
      </c>
      <c r="H136" s="147"/>
    </row>
    <row r="137" spans="1:14" s="69" customFormat="1" x14ac:dyDescent="0.35">
      <c r="A137" s="145"/>
      <c r="B137" s="145"/>
      <c r="C137" s="145"/>
      <c r="D137" s="145"/>
      <c r="E137" s="145"/>
      <c r="F137" s="36">
        <v>0.6</v>
      </c>
      <c r="G137" s="148"/>
      <c r="H137" s="149"/>
    </row>
    <row r="138" spans="1:14" s="69" customFormat="1" ht="15.75" customHeight="1" x14ac:dyDescent="0.35">
      <c r="A138" s="135" t="s">
        <v>214</v>
      </c>
      <c r="B138" s="136"/>
      <c r="C138" s="136"/>
      <c r="D138" s="136"/>
      <c r="E138" s="136"/>
      <c r="F138" s="136"/>
      <c r="G138" s="136"/>
      <c r="H138" s="137"/>
    </row>
    <row r="139" spans="1:14" s="69" customFormat="1" x14ac:dyDescent="0.35">
      <c r="A139" s="135" t="s">
        <v>223</v>
      </c>
      <c r="B139" s="136"/>
      <c r="C139" s="136"/>
      <c r="D139" s="136"/>
      <c r="E139" s="136"/>
      <c r="F139" s="136"/>
      <c r="G139" s="136"/>
      <c r="H139" s="137"/>
      <c r="I139" s="37">
        <f>3000000/F140</f>
        <v>9063.046320432195</v>
      </c>
      <c r="L139" s="139"/>
      <c r="M139" s="139"/>
      <c r="N139" s="37"/>
    </row>
    <row r="140" spans="1:14" s="69" customFormat="1" ht="15.75" customHeight="1" x14ac:dyDescent="0.35">
      <c r="A140" s="131">
        <v>1</v>
      </c>
      <c r="B140" s="132"/>
      <c r="C140" s="68" t="s">
        <v>215</v>
      </c>
      <c r="D140" s="68">
        <f>(5.2*3.1+1*3.1)*10.764</f>
        <v>206.88408000000001</v>
      </c>
      <c r="E140" s="68">
        <v>0</v>
      </c>
      <c r="F140" s="68">
        <f t="shared" ref="F140:F147" si="0">D140*(($F$137)+1)+E140</f>
        <v>331.01452800000004</v>
      </c>
      <c r="G140" s="100" t="str">
        <f>A139</f>
        <v>Ground Floor for Commercial &amp; Parking</v>
      </c>
      <c r="H140" s="101"/>
      <c r="I140" s="37"/>
      <c r="L140" s="139"/>
      <c r="M140" s="139"/>
      <c r="N140" s="37"/>
    </row>
    <row r="141" spans="1:14" s="69" customFormat="1" ht="15.75" customHeight="1" x14ac:dyDescent="0.35">
      <c r="A141" s="131">
        <f>A140+1</f>
        <v>2</v>
      </c>
      <c r="B141" s="132"/>
      <c r="C141" s="68" t="s">
        <v>215</v>
      </c>
      <c r="D141" s="68">
        <f>(5.3*2.7+1*2.7)*10.764</f>
        <v>183.09564</v>
      </c>
      <c r="E141" s="68">
        <v>0</v>
      </c>
      <c r="F141" s="68">
        <f t="shared" si="0"/>
        <v>292.95302400000003</v>
      </c>
      <c r="G141" s="102"/>
      <c r="H141" s="103"/>
      <c r="I141" s="37"/>
      <c r="L141" s="139"/>
      <c r="M141" s="139"/>
      <c r="N141" s="37"/>
    </row>
    <row r="142" spans="1:14" s="69" customFormat="1" ht="15.75" customHeight="1" x14ac:dyDescent="0.35">
      <c r="A142" s="131">
        <f t="shared" ref="A142:A143" si="1">A141+1</f>
        <v>3</v>
      </c>
      <c r="B142" s="132"/>
      <c r="C142" s="68" t="s">
        <v>215</v>
      </c>
      <c r="D142" s="68">
        <f>(5.3*2.7+1*2.7)*10.764</f>
        <v>183.09564</v>
      </c>
      <c r="E142" s="68">
        <v>0</v>
      </c>
      <c r="F142" s="68">
        <f t="shared" si="0"/>
        <v>292.95302400000003</v>
      </c>
      <c r="G142" s="102"/>
      <c r="H142" s="103"/>
      <c r="I142" s="37"/>
      <c r="L142" s="139"/>
      <c r="M142" s="139"/>
      <c r="N142" s="37"/>
    </row>
    <row r="143" spans="1:14" s="69" customFormat="1" ht="15.75" customHeight="1" x14ac:dyDescent="0.35">
      <c r="A143" s="131">
        <f t="shared" si="1"/>
        <v>4</v>
      </c>
      <c r="B143" s="132"/>
      <c r="C143" s="68" t="s">
        <v>215</v>
      </c>
      <c r="D143" s="68">
        <f>(5.2*3.1+1*3.1)*10.764</f>
        <v>206.88408000000001</v>
      </c>
      <c r="E143" s="68">
        <v>0</v>
      </c>
      <c r="F143" s="68">
        <f t="shared" si="0"/>
        <v>331.01452800000004</v>
      </c>
      <c r="G143" s="102"/>
      <c r="H143" s="103"/>
      <c r="I143" s="37"/>
      <c r="L143" s="139"/>
      <c r="M143" s="139"/>
      <c r="N143" s="37"/>
    </row>
    <row r="144" spans="1:14" s="69" customFormat="1" ht="15.75" customHeight="1" x14ac:dyDescent="0.35">
      <c r="A144" s="131">
        <v>1</v>
      </c>
      <c r="B144" s="132"/>
      <c r="C144" s="68" t="s">
        <v>216</v>
      </c>
      <c r="D144" s="68">
        <f>(2.25*3+2.25*1)*10.764</f>
        <v>96.875999999999991</v>
      </c>
      <c r="E144" s="68">
        <v>0</v>
      </c>
      <c r="F144" s="68">
        <f t="shared" si="0"/>
        <v>155.0016</v>
      </c>
      <c r="G144" s="102"/>
      <c r="H144" s="103"/>
      <c r="I144" s="37"/>
      <c r="L144" s="139"/>
      <c r="M144" s="139"/>
      <c r="N144" s="37"/>
    </row>
    <row r="145" spans="1:16" s="69" customFormat="1" ht="15.75" customHeight="1" x14ac:dyDescent="0.35">
      <c r="A145" s="131">
        <v>2</v>
      </c>
      <c r="B145" s="132"/>
      <c r="C145" s="68" t="s">
        <v>216</v>
      </c>
      <c r="D145" s="68">
        <f>(2.48*3+2.48*1)*10.764</f>
        <v>106.77887999999999</v>
      </c>
      <c r="E145" s="68">
        <v>0</v>
      </c>
      <c r="F145" s="68">
        <f t="shared" si="0"/>
        <v>170.84620799999999</v>
      </c>
      <c r="G145" s="102"/>
      <c r="H145" s="103"/>
      <c r="I145" s="37"/>
      <c r="L145" s="139"/>
      <c r="M145" s="139"/>
      <c r="N145" s="37"/>
    </row>
    <row r="146" spans="1:16" s="69" customFormat="1" ht="15.75" customHeight="1" x14ac:dyDescent="0.35">
      <c r="A146" s="131">
        <v>3</v>
      </c>
      <c r="B146" s="132"/>
      <c r="C146" s="68" t="s">
        <v>216</v>
      </c>
      <c r="D146" s="68">
        <f>(2.48*3+2.48*1)*10.764</f>
        <v>106.77887999999999</v>
      </c>
      <c r="E146" s="68">
        <v>0</v>
      </c>
      <c r="F146" s="68">
        <f t="shared" si="0"/>
        <v>170.84620799999999</v>
      </c>
      <c r="G146" s="102"/>
      <c r="H146" s="103"/>
      <c r="I146" s="37"/>
      <c r="L146" s="139"/>
      <c r="M146" s="139"/>
      <c r="N146" s="37"/>
    </row>
    <row r="147" spans="1:16" s="69" customFormat="1" ht="15.75" customHeight="1" x14ac:dyDescent="0.35">
      <c r="A147" s="131">
        <v>4</v>
      </c>
      <c r="B147" s="132"/>
      <c r="C147" s="68" t="s">
        <v>216</v>
      </c>
      <c r="D147" s="68">
        <f>(2.25*3+2.25*1)*10.764</f>
        <v>96.875999999999991</v>
      </c>
      <c r="E147" s="68">
        <v>0</v>
      </c>
      <c r="F147" s="68">
        <f t="shared" si="0"/>
        <v>155.0016</v>
      </c>
      <c r="G147" s="104"/>
      <c r="H147" s="105"/>
      <c r="I147" s="37"/>
      <c r="N147" s="37"/>
    </row>
    <row r="148" spans="1:16" x14ac:dyDescent="0.35">
      <c r="A148" s="131"/>
      <c r="B148" s="140"/>
      <c r="C148" s="140"/>
      <c r="D148" s="140"/>
      <c r="E148" s="140"/>
      <c r="F148" s="140"/>
      <c r="G148" s="140"/>
      <c r="H148" s="132"/>
      <c r="I148" s="68">
        <v>10.763999999999999</v>
      </c>
    </row>
    <row r="149" spans="1:16" s="69" customFormat="1" ht="45" x14ac:dyDescent="0.35">
      <c r="A149" s="144" t="s">
        <v>156</v>
      </c>
      <c r="B149" s="144" t="s">
        <v>157</v>
      </c>
      <c r="C149" s="144" t="s">
        <v>58</v>
      </c>
      <c r="D149" s="144" t="s">
        <v>59</v>
      </c>
      <c r="E149" s="219" t="s">
        <v>60</v>
      </c>
      <c r="F149" s="72" t="s">
        <v>154</v>
      </c>
      <c r="G149" s="146" t="s">
        <v>61</v>
      </c>
      <c r="H149" s="147"/>
      <c r="I149" s="37"/>
    </row>
    <row r="150" spans="1:16" s="69" customFormat="1" x14ac:dyDescent="0.35">
      <c r="A150" s="145"/>
      <c r="B150" s="145"/>
      <c r="C150" s="145"/>
      <c r="D150" s="145"/>
      <c r="E150" s="220"/>
      <c r="F150" s="36">
        <v>0.45</v>
      </c>
      <c r="G150" s="148"/>
      <c r="H150" s="149"/>
    </row>
    <row r="151" spans="1:16" s="69" customFormat="1" ht="15.75" customHeight="1" x14ac:dyDescent="0.35">
      <c r="A151" s="135" t="s">
        <v>214</v>
      </c>
      <c r="B151" s="136"/>
      <c r="C151" s="136"/>
      <c r="D151" s="136"/>
      <c r="E151" s="136"/>
      <c r="F151" s="136"/>
      <c r="G151" s="136"/>
      <c r="H151" s="137"/>
    </row>
    <row r="152" spans="1:16" s="69" customFormat="1" ht="15.75" customHeight="1" x14ac:dyDescent="0.35">
      <c r="A152" s="135" t="s">
        <v>224</v>
      </c>
      <c r="B152" s="136"/>
      <c r="C152" s="136"/>
      <c r="D152" s="136"/>
      <c r="E152" s="136"/>
      <c r="F152" s="136"/>
      <c r="G152" s="136"/>
      <c r="H152" s="137"/>
      <c r="I152" s="37"/>
      <c r="L152" s="139"/>
      <c r="M152" s="139"/>
      <c r="N152" s="37"/>
    </row>
    <row r="153" spans="1:16" s="69" customFormat="1" ht="15.75" customHeight="1" x14ac:dyDescent="0.35">
      <c r="A153" s="131">
        <v>1</v>
      </c>
      <c r="B153" s="132"/>
      <c r="C153" s="68" t="s">
        <v>217</v>
      </c>
      <c r="D153" s="68">
        <f>(2.7*4.05+2.2*3.1+2.5*2.1+1.2*1.9+1.2*0.9+2.5)*10.764</f>
        <v>310.70285999999999</v>
      </c>
      <c r="E153" s="68">
        <v>0</v>
      </c>
      <c r="F153" s="68">
        <f>D153*(($F$150)+1)+E153</f>
        <v>450.51914699999998</v>
      </c>
      <c r="G153" s="100" t="str">
        <f>A152</f>
        <v>Ground Floor for Residential</v>
      </c>
      <c r="H153" s="101"/>
      <c r="I153" s="37"/>
      <c r="L153" s="139"/>
      <c r="M153" s="139"/>
      <c r="N153" s="37"/>
    </row>
    <row r="154" spans="1:16" s="2" customFormat="1" ht="15.75" customHeight="1" x14ac:dyDescent="0.35">
      <c r="A154" s="131">
        <f>A153+1</f>
        <v>2</v>
      </c>
      <c r="B154" s="132"/>
      <c r="C154" s="68" t="s">
        <v>228</v>
      </c>
      <c r="D154" s="68">
        <f>(2.7*4.5+2.2*3.1+2.5*2.1+1.2*1.5+1.2*0.9+2.4*2.25+2.5)*10.764</f>
        <v>376.73999999999995</v>
      </c>
      <c r="E154" s="68">
        <v>0</v>
      </c>
      <c r="F154" s="68">
        <f>D154*(($F$150)+1)+E154</f>
        <v>546.27299999999991</v>
      </c>
      <c r="G154" s="104"/>
      <c r="H154" s="105"/>
      <c r="I154" s="37"/>
      <c r="L154" s="43"/>
      <c r="M154" s="43"/>
      <c r="O154" s="2" t="str">
        <f>LEFT(A155,SUM(LEN(A155)-LEN(SUBSTITUTE(A155,{"0","1","2","3"},""))))</f>
        <v>1s</v>
      </c>
      <c r="P154" s="38">
        <f ca="1">--TRIM(RIGHT(SUBSTITUTE(LEFT(A155,_xlfn.AGGREGATE(16,6,FIND({0,1,2,3,4,5,6,7,8,9},A155,ROW(INDIRECT("1:"&amp;LEN(A155)))),1))," ",REPT(" ",LEN(A155))),LEN(A155)))</f>
        <v>7</v>
      </c>
    </row>
    <row r="155" spans="1:16" s="2" customFormat="1" x14ac:dyDescent="0.35">
      <c r="A155" s="135" t="s">
        <v>219</v>
      </c>
      <c r="B155" s="136"/>
      <c r="C155" s="136"/>
      <c r="D155" s="136"/>
      <c r="E155" s="136"/>
      <c r="F155" s="136"/>
      <c r="G155" s="136"/>
      <c r="H155" s="137"/>
      <c r="I155" s="37"/>
      <c r="L155" s="43" t="str">
        <f ca="1">O155&amp;""&amp;M155&amp;""&amp;P155</f>
        <v>101,..,701</v>
      </c>
      <c r="M155" s="43" t="s">
        <v>155</v>
      </c>
      <c r="N155" s="37">
        <v>1</v>
      </c>
      <c r="O155" s="2">
        <f ca="1">(SUMPRODUCT(MID(0&amp;O154, LARGE(INDEX(ISNUMBER(--MID(O154, ROW(INDIRECT("1:"&amp;LEN(O154))), 1)) * ROW(INDIRECT("1:"&amp;LEN(O154))), 0), ROW(INDIRECT("1:"&amp;LEN(O154))))+1, 1) * 10^ROW(INDIRECT("1:"&amp;LEN(O154)))/10))*N155*100+1</f>
        <v>101</v>
      </c>
      <c r="P155" s="2">
        <f ca="1">(SUMPRODUCT(MID(0&amp;P154, LARGE(INDEX(ISNUMBER(--MID(P154, ROW(INDIRECT("1:"&amp;LEN(P154))), 1)) * ROW(INDIRECT("1:"&amp;LEN(P154))), 0), ROW(INDIRECT("1:"&amp;LEN(P154))))+1, 1) * 10^ROW(INDIRECT("1:"&amp;LEN(P154)))/10))*N155*100+1</f>
        <v>701</v>
      </c>
    </row>
    <row r="156" spans="1:16" s="2" customFormat="1" ht="15.75" customHeight="1" x14ac:dyDescent="0.35">
      <c r="A156" s="131">
        <v>1</v>
      </c>
      <c r="B156" s="132"/>
      <c r="C156" s="68" t="s">
        <v>217</v>
      </c>
      <c r="D156" s="68">
        <f>(2.7*4.05+2.2*2.25+2.5*1.75+1.2*1.9+1.2*0.9+2.2*0.45+1.2*2.2+2.5*1.8)*10.764</f>
        <v>341.75700000000001</v>
      </c>
      <c r="E156" s="68">
        <f>2.7*1.8*10.764</f>
        <v>52.313040000000001</v>
      </c>
      <c r="F156" s="68">
        <f t="shared" ref="F156:F161" si="2">D156*(($F$150)+1)+E156</f>
        <v>547.86068999999998</v>
      </c>
      <c r="G156" s="100" t="str">
        <f>A155</f>
        <v>1st, 3rd, 5th &amp; 7th Floor</v>
      </c>
      <c r="H156" s="101"/>
      <c r="I156" s="37"/>
      <c r="L156" s="43" t="str">
        <f t="shared" ref="L156:L160" ca="1" si="3">O156&amp;""&amp;M156&amp;""&amp;P156</f>
        <v>102,..,702</v>
      </c>
      <c r="M156" s="43" t="s">
        <v>155</v>
      </c>
      <c r="N156" s="37">
        <f t="shared" ref="N156:P159" si="4">N155+1</f>
        <v>2</v>
      </c>
      <c r="O156" s="2">
        <f t="shared" ca="1" si="4"/>
        <v>102</v>
      </c>
      <c r="P156" s="2">
        <f t="shared" ca="1" si="4"/>
        <v>702</v>
      </c>
    </row>
    <row r="157" spans="1:16" s="2" customFormat="1" ht="15.75" customHeight="1" x14ac:dyDescent="0.35">
      <c r="A157" s="131">
        <f>A156+1</f>
        <v>2</v>
      </c>
      <c r="B157" s="132"/>
      <c r="C157" s="68" t="s">
        <v>217</v>
      </c>
      <c r="D157" s="68">
        <f>(2.7*4.35+2.2*2+2.45*2.7+1.2*2.1+1.2*0.9+2.2*0.9+1.5*2.7+2*0.75)*10.764</f>
        <v>364.79195999999996</v>
      </c>
      <c r="E157" s="68">
        <f>2.7*1.8*10.764</f>
        <v>52.313040000000001</v>
      </c>
      <c r="F157" s="68">
        <f t="shared" si="2"/>
        <v>581.26138199999991</v>
      </c>
      <c r="G157" s="102"/>
      <c r="H157" s="103"/>
      <c r="I157" s="37"/>
      <c r="L157" s="43" t="str">
        <f t="shared" ca="1" si="3"/>
        <v>103,..,703</v>
      </c>
      <c r="M157" s="43" t="s">
        <v>155</v>
      </c>
      <c r="N157" s="37">
        <f t="shared" si="4"/>
        <v>3</v>
      </c>
      <c r="O157" s="2">
        <f t="shared" ca="1" si="4"/>
        <v>103</v>
      </c>
      <c r="P157" s="2">
        <f t="shared" ca="1" si="4"/>
        <v>703</v>
      </c>
    </row>
    <row r="158" spans="1:16" s="2" customFormat="1" ht="15.75" customHeight="1" x14ac:dyDescent="0.35">
      <c r="A158" s="131">
        <f t="shared" ref="A158:A161" si="5">A157+1</f>
        <v>3</v>
      </c>
      <c r="B158" s="132"/>
      <c r="C158" s="68" t="s">
        <v>217</v>
      </c>
      <c r="D158" s="68">
        <f>(2.7*4.5+2.2*2+2.45*2.7+1.2*2.1+1.2*0.9+2.2*0.9+1.5*2.7+2*0.75)*10.764</f>
        <v>369.15138000000002</v>
      </c>
      <c r="E158" s="68">
        <f>2.7*1.3*10.764</f>
        <v>37.781640000000003</v>
      </c>
      <c r="F158" s="68">
        <f t="shared" si="2"/>
        <v>573.05114100000003</v>
      </c>
      <c r="G158" s="102"/>
      <c r="H158" s="103"/>
      <c r="I158" s="37"/>
      <c r="L158" s="43" t="str">
        <f t="shared" ca="1" si="3"/>
        <v>104,..,704</v>
      </c>
      <c r="M158" s="43" t="s">
        <v>155</v>
      </c>
      <c r="N158" s="37">
        <f t="shared" si="4"/>
        <v>4</v>
      </c>
      <c r="O158" s="2">
        <f t="shared" ca="1" si="4"/>
        <v>104</v>
      </c>
      <c r="P158" s="2">
        <f t="shared" ca="1" si="4"/>
        <v>704</v>
      </c>
    </row>
    <row r="159" spans="1:16" s="2" customFormat="1" ht="15.75" customHeight="1" x14ac:dyDescent="0.35">
      <c r="A159" s="131">
        <f t="shared" si="5"/>
        <v>4</v>
      </c>
      <c r="B159" s="132"/>
      <c r="C159" s="68" t="s">
        <v>217</v>
      </c>
      <c r="D159" s="68">
        <f>(2.7*4.5+2.2*2.15+2.5*1.75+1.2*1.9+1.2*0.9+2.2*0.45+1.3*2.2+2.5*1.8)*10.764</f>
        <v>354.83526000000001</v>
      </c>
      <c r="E159" s="68">
        <f>2.7*1.3*10.764</f>
        <v>37.781640000000003</v>
      </c>
      <c r="F159" s="68">
        <f t="shared" si="2"/>
        <v>552.29276700000003</v>
      </c>
      <c r="G159" s="102"/>
      <c r="H159" s="103"/>
      <c r="I159" s="37">
        <f>3000*F160</f>
        <v>2125225.3229999999</v>
      </c>
      <c r="J159" s="2">
        <f>2430000/F160</f>
        <v>3430.2245136573692</v>
      </c>
      <c r="L159" s="43" t="str">
        <f t="shared" ca="1" si="3"/>
        <v>105,..,705</v>
      </c>
      <c r="M159" s="43" t="s">
        <v>155</v>
      </c>
      <c r="N159" s="37">
        <f t="shared" si="4"/>
        <v>5</v>
      </c>
      <c r="O159" s="2">
        <f t="shared" ca="1" si="4"/>
        <v>105</v>
      </c>
      <c r="P159" s="2">
        <f t="shared" ca="1" si="4"/>
        <v>705</v>
      </c>
    </row>
    <row r="160" spans="1:16" s="39" customFormat="1" ht="15.75" customHeight="1" x14ac:dyDescent="0.35">
      <c r="A160" s="131">
        <f t="shared" si="5"/>
        <v>5</v>
      </c>
      <c r="B160" s="132"/>
      <c r="C160" s="68" t="s">
        <v>218</v>
      </c>
      <c r="D160" s="68">
        <f>(2.7*4.35+2.2*2.15+2.5*1.75+2.4*2.05+1.2*1.9+1.2*1.05+1.8*2.45+2.5*1.3+2.4*1.5+2.7*0.75)*10.764</f>
        <v>458.49257999999998</v>
      </c>
      <c r="E160" s="68">
        <f>2.7*1.5*10.764</f>
        <v>43.594200000000008</v>
      </c>
      <c r="F160" s="68">
        <f t="shared" si="2"/>
        <v>708.40844099999993</v>
      </c>
      <c r="G160" s="102"/>
      <c r="H160" s="103"/>
      <c r="I160" s="37"/>
      <c r="L160" s="43" t="str">
        <f t="shared" ca="1" si="3"/>
        <v>106,..,706</v>
      </c>
      <c r="M160" s="43" t="s">
        <v>155</v>
      </c>
      <c r="N160" s="37">
        <f t="shared" ref="N160:P160" si="6">N159+1</f>
        <v>6</v>
      </c>
      <c r="O160" s="39">
        <f t="shared" ca="1" si="6"/>
        <v>106</v>
      </c>
      <c r="P160" s="39">
        <f t="shared" ca="1" si="6"/>
        <v>706</v>
      </c>
    </row>
    <row r="161" spans="1:16" s="67" customFormat="1" ht="15.75" customHeight="1" x14ac:dyDescent="0.35">
      <c r="A161" s="131">
        <f t="shared" si="5"/>
        <v>6</v>
      </c>
      <c r="B161" s="132"/>
      <c r="C161" s="68" t="s">
        <v>228</v>
      </c>
      <c r="D161" s="68">
        <f>(2.7*4.5+2.2*1.5+2.5*1.75+2.4*2.25+2.2*0.45+1.2*1.9+1.2*0.9+1.8*2.45+2.5*1.8+2.2*1.05)*10.764</f>
        <v>439.11737999999997</v>
      </c>
      <c r="E161" s="68">
        <v>0</v>
      </c>
      <c r="F161" s="68">
        <f t="shared" si="2"/>
        <v>636.72020099999997</v>
      </c>
      <c r="G161" s="104"/>
      <c r="H161" s="105"/>
      <c r="I161" s="37"/>
      <c r="O161" s="67" t="str">
        <f>LEFT(A162,SUM(LEN(A162)-LEN(SUBSTITUTE(A162,{"0","1","2","3"},""))))</f>
        <v>2</v>
      </c>
      <c r="P161" s="38">
        <f ca="1">--TRIM(RIGHT(SUBSTITUTE(LEFT(A162,_xlfn.AGGREGATE(16,6,FIND({0,1,2,3,4,5,6,7,8,9},A162,ROW(INDIRECT("1:"&amp;LEN(A162)))),1))," ",REPT(" ",LEN(A162))),LEN(A162)))</f>
        <v>6</v>
      </c>
    </row>
    <row r="162" spans="1:16" s="67" customFormat="1" x14ac:dyDescent="0.35">
      <c r="A162" s="135" t="s">
        <v>220</v>
      </c>
      <c r="B162" s="136"/>
      <c r="C162" s="136"/>
      <c r="D162" s="136"/>
      <c r="E162" s="136"/>
      <c r="F162" s="136"/>
      <c r="G162" s="136"/>
      <c r="H162" s="137"/>
      <c r="I162" s="37"/>
      <c r="L162" s="67" t="str">
        <f ca="1">O162&amp;""&amp;M162&amp;""&amp;P162</f>
        <v>201,..,601</v>
      </c>
      <c r="M162" s="67" t="s">
        <v>155</v>
      </c>
      <c r="N162" s="37">
        <v>1</v>
      </c>
      <c r="O162" s="67">
        <f ca="1">(SUMPRODUCT(MID(0&amp;O161, LARGE(INDEX(ISNUMBER(--MID(O161, ROW(INDIRECT("1:"&amp;LEN(O161))), 1)) * ROW(INDIRECT("1:"&amp;LEN(O161))), 0), ROW(INDIRECT("1:"&amp;LEN(O161))))+1, 1) * 10^ROW(INDIRECT("1:"&amp;LEN(O161)))/10))*N162*100+1</f>
        <v>201</v>
      </c>
      <c r="P162" s="67">
        <f ca="1">(SUMPRODUCT(MID(0&amp;P161, LARGE(INDEX(ISNUMBER(--MID(P161, ROW(INDIRECT("1:"&amp;LEN(P161))), 1)) * ROW(INDIRECT("1:"&amp;LEN(P161))), 0), ROW(INDIRECT("1:"&amp;LEN(P161))))+1, 1) * 10^ROW(INDIRECT("1:"&amp;LEN(P161)))/10))*N162*100+1</f>
        <v>601</v>
      </c>
    </row>
    <row r="163" spans="1:16" s="67" customFormat="1" ht="15.75" customHeight="1" x14ac:dyDescent="0.35">
      <c r="A163" s="131">
        <v>1</v>
      </c>
      <c r="B163" s="132"/>
      <c r="C163" s="68" t="s">
        <v>217</v>
      </c>
      <c r="D163" s="68">
        <f>(2.7*4.05+2.2*2.25+2.5*1.75+1.2*1.9+1.2*0.9+2.2*0.45+1.2*2.2+2.5*1.8+2.7*0.75)*10.764</f>
        <v>363.55410000000006</v>
      </c>
      <c r="E163" s="68">
        <v>0</v>
      </c>
      <c r="F163" s="68">
        <f t="shared" ref="F163:F168" si="7">D163*(($F$150)+1)+E163</f>
        <v>527.15344500000003</v>
      </c>
      <c r="G163" s="100" t="str">
        <f>A162</f>
        <v>2nd, 4th &amp; 6th Floor</v>
      </c>
      <c r="H163" s="101"/>
      <c r="I163" s="37"/>
      <c r="L163" s="67" t="str">
        <f t="shared" ref="L163:L167" ca="1" si="8">O163&amp;""&amp;M163&amp;""&amp;P163</f>
        <v>202,..,602</v>
      </c>
      <c r="M163" s="67" t="s">
        <v>155</v>
      </c>
      <c r="N163" s="37">
        <f t="shared" ref="N163:P163" si="9">N162+1</f>
        <v>2</v>
      </c>
      <c r="O163" s="67">
        <f t="shared" ca="1" si="9"/>
        <v>202</v>
      </c>
      <c r="P163" s="67">
        <f t="shared" ca="1" si="9"/>
        <v>602</v>
      </c>
    </row>
    <row r="164" spans="1:16" s="67" customFormat="1" ht="15.75" customHeight="1" x14ac:dyDescent="0.35">
      <c r="A164" s="131">
        <f>A163+1</f>
        <v>2</v>
      </c>
      <c r="B164" s="132"/>
      <c r="C164" s="68" t="s">
        <v>217</v>
      </c>
      <c r="D164" s="68">
        <f>(2.7*4.35+2.2*2+2.45*2.7+1.2*2.1+1.2*0.9+2.2*0.9+1.5*2.7+2*0.75+2.7*0.75)*10.764</f>
        <v>386.58905999999996</v>
      </c>
      <c r="E164" s="68">
        <v>0</v>
      </c>
      <c r="F164" s="68">
        <f t="shared" si="7"/>
        <v>560.55413699999997</v>
      </c>
      <c r="G164" s="102"/>
      <c r="H164" s="103"/>
      <c r="I164" s="37"/>
      <c r="L164" s="67" t="str">
        <f t="shared" ca="1" si="8"/>
        <v>203,..,603</v>
      </c>
      <c r="M164" s="67" t="s">
        <v>155</v>
      </c>
      <c r="N164" s="37">
        <f t="shared" ref="N164:P164" si="10">N163+1</f>
        <v>3</v>
      </c>
      <c r="O164" s="67">
        <f t="shared" ca="1" si="10"/>
        <v>203</v>
      </c>
      <c r="P164" s="67">
        <f t="shared" ca="1" si="10"/>
        <v>603</v>
      </c>
    </row>
    <row r="165" spans="1:16" s="67" customFormat="1" ht="15.75" customHeight="1" x14ac:dyDescent="0.35">
      <c r="A165" s="131">
        <f t="shared" ref="A165:A168" si="11">A164+1</f>
        <v>3</v>
      </c>
      <c r="B165" s="132"/>
      <c r="C165" s="68" t="s">
        <v>217</v>
      </c>
      <c r="D165" s="68">
        <f>(2.7*4.5+2.2*2+2.45*2.7+1.2*2.1+1.2*0.9+2.2*0.9+1.5*2.7+2*0.75+2.7*0.75)*10.764</f>
        <v>390.94847999999996</v>
      </c>
      <c r="E165" s="68">
        <v>0</v>
      </c>
      <c r="F165" s="68">
        <f t="shared" si="7"/>
        <v>566.87529599999993</v>
      </c>
      <c r="G165" s="102"/>
      <c r="H165" s="103"/>
      <c r="I165" s="37"/>
      <c r="L165" s="67" t="str">
        <f t="shared" ca="1" si="8"/>
        <v>204,..,604</v>
      </c>
      <c r="M165" s="67" t="s">
        <v>155</v>
      </c>
      <c r="N165" s="37">
        <f t="shared" ref="N165:P165" si="12">N164+1</f>
        <v>4</v>
      </c>
      <c r="O165" s="67">
        <f t="shared" ca="1" si="12"/>
        <v>204</v>
      </c>
      <c r="P165" s="67">
        <f t="shared" ca="1" si="12"/>
        <v>604</v>
      </c>
    </row>
    <row r="166" spans="1:16" s="67" customFormat="1" ht="15.75" customHeight="1" x14ac:dyDescent="0.35">
      <c r="A166" s="131">
        <f t="shared" si="11"/>
        <v>4</v>
      </c>
      <c r="B166" s="132"/>
      <c r="C166" s="68" t="s">
        <v>217</v>
      </c>
      <c r="D166" s="68">
        <f>(2.7*4.5+2.2*2.15+2.5*1.75+1.2*1.9+1.2*0.9+2.2*0.45+1.3*2.2+2.5*1.8+2.7*0.75)*10.764</f>
        <v>376.63236000000001</v>
      </c>
      <c r="E166" s="68">
        <v>0</v>
      </c>
      <c r="F166" s="68">
        <f t="shared" si="7"/>
        <v>546.11692200000005</v>
      </c>
      <c r="G166" s="102"/>
      <c r="H166" s="103"/>
      <c r="I166" s="37"/>
      <c r="L166" s="67" t="str">
        <f t="shared" ca="1" si="8"/>
        <v>205,..,605</v>
      </c>
      <c r="M166" s="67" t="s">
        <v>155</v>
      </c>
      <c r="N166" s="37">
        <f t="shared" ref="N166:P166" si="13">N165+1</f>
        <v>5</v>
      </c>
      <c r="O166" s="67">
        <f t="shared" ca="1" si="13"/>
        <v>205</v>
      </c>
      <c r="P166" s="67">
        <f t="shared" ca="1" si="13"/>
        <v>605</v>
      </c>
    </row>
    <row r="167" spans="1:16" s="67" customFormat="1" ht="15.75" customHeight="1" x14ac:dyDescent="0.35">
      <c r="A167" s="131">
        <f t="shared" si="11"/>
        <v>5</v>
      </c>
      <c r="B167" s="132"/>
      <c r="C167" s="68" t="s">
        <v>218</v>
      </c>
      <c r="D167" s="68">
        <f>(2.7*4.35+2.2*2.15+2.5*1.75+2.4*2.05+1.2*1.9+1.2*1.05+1.8*2.45+2.5*1.3+2.4*1.5+2.7*0.75+2.7*0.75)*10.764</f>
        <v>480.28967999999992</v>
      </c>
      <c r="E167" s="68">
        <v>0</v>
      </c>
      <c r="F167" s="68">
        <f t="shared" si="7"/>
        <v>696.42003599999987</v>
      </c>
      <c r="G167" s="102"/>
      <c r="H167" s="103"/>
      <c r="I167" s="37"/>
      <c r="L167" s="67" t="str">
        <f t="shared" ca="1" si="8"/>
        <v>206,..,606</v>
      </c>
      <c r="M167" s="67" t="s">
        <v>155</v>
      </c>
      <c r="N167" s="37">
        <f t="shared" ref="N167:P167" si="14">N166+1</f>
        <v>6</v>
      </c>
      <c r="O167" s="67">
        <f t="shared" ca="1" si="14"/>
        <v>206</v>
      </c>
      <c r="P167" s="67">
        <f t="shared" ca="1" si="14"/>
        <v>606</v>
      </c>
    </row>
    <row r="168" spans="1:16" s="69" customFormat="1" ht="15.75" customHeight="1" x14ac:dyDescent="0.35">
      <c r="A168" s="131">
        <f t="shared" si="11"/>
        <v>6</v>
      </c>
      <c r="B168" s="132"/>
      <c r="C168" s="68" t="s">
        <v>228</v>
      </c>
      <c r="D168" s="68">
        <f>(2.7*4.5+2.2*1.5+2.5*1.75+2.4*2.25+2.2*0.45+1.2*1.9+1.2*0.9+1.8*2.45+2.5*1.8+2.2*1.05)*10.764</f>
        <v>439.11737999999997</v>
      </c>
      <c r="E168" s="68">
        <v>0</v>
      </c>
      <c r="F168" s="68">
        <f t="shared" si="7"/>
        <v>636.72020099999997</v>
      </c>
      <c r="G168" s="104"/>
      <c r="H168" s="105"/>
    </row>
    <row r="169" spans="1:16" s="69" customFormat="1" ht="15.75" customHeight="1" x14ac:dyDescent="0.35">
      <c r="A169" s="135" t="s">
        <v>227</v>
      </c>
      <c r="B169" s="136"/>
      <c r="C169" s="136"/>
      <c r="D169" s="136"/>
      <c r="E169" s="136"/>
      <c r="F169" s="136"/>
      <c r="G169" s="136"/>
      <c r="H169" s="137"/>
    </row>
    <row r="170" spans="1:16" s="69" customFormat="1" ht="15.75" customHeight="1" x14ac:dyDescent="0.35">
      <c r="A170" s="135" t="s">
        <v>243</v>
      </c>
      <c r="B170" s="136"/>
      <c r="C170" s="136"/>
      <c r="D170" s="136"/>
      <c r="E170" s="136"/>
      <c r="F170" s="136"/>
      <c r="G170" s="136"/>
      <c r="H170" s="137"/>
      <c r="I170" s="37">
        <v>6</v>
      </c>
      <c r="O170" s="69" t="str">
        <f>LEFT(A171,SUM(LEN(A171)-LEN(SUBSTITUTE(A171,{"0","1","2","3"},""))))</f>
        <v>1st,</v>
      </c>
      <c r="P170" s="38">
        <f ca="1">--TRIM(RIGHT(SUBSTITUTE(LEFT(A171,_xlfn.AGGREGATE(16,6,FIND({0,1,2,3,4,5,6,7,8,9},A171,ROW(INDIRECT("1:"&amp;LEN(A171)))),1))," ",REPT(" ",LEN(A171))),LEN(A171)))</f>
        <v>11</v>
      </c>
    </row>
    <row r="171" spans="1:16" s="69" customFormat="1" x14ac:dyDescent="0.35">
      <c r="A171" s="135" t="s">
        <v>255</v>
      </c>
      <c r="B171" s="136"/>
      <c r="C171" s="136"/>
      <c r="D171" s="136"/>
      <c r="E171" s="136"/>
      <c r="F171" s="136"/>
      <c r="G171" s="136"/>
      <c r="H171" s="137"/>
      <c r="I171" s="37">
        <f>2.7*4.4+2.1*2.3+2.55*3.3+1.2*(1.5+0.9)+2.4*0.9+0.75*(2.1+2.55)</f>
        <v>33.652499999999996</v>
      </c>
      <c r="L171" s="69" t="str">
        <f ca="1">O171&amp;""&amp;M171&amp;""&amp;P171</f>
        <v>101,..,1101</v>
      </c>
      <c r="M171" s="69" t="s">
        <v>155</v>
      </c>
      <c r="N171" s="37">
        <v>1</v>
      </c>
      <c r="O171" s="69">
        <f ca="1">(SUMPRODUCT(MID(0&amp;O170, LARGE(INDEX(ISNUMBER(--MID(O170, ROW(INDIRECT("1:"&amp;LEN(O170))), 1)) * ROW(INDIRECT("1:"&amp;LEN(O170))), 0), ROW(INDIRECT("1:"&amp;LEN(O170))))+1, 1) * 10^ROW(INDIRECT("1:"&amp;LEN(O170)))/10))*N171*100+1</f>
        <v>101</v>
      </c>
      <c r="P171" s="69">
        <f ca="1">(SUMPRODUCT(MID(0&amp;P170, LARGE(INDEX(ISNUMBER(--MID(P170, ROW(INDIRECT("1:"&amp;LEN(P170))), 1)) * ROW(INDIRECT("1:"&amp;LEN(P170))), 0), ROW(INDIRECT("1:"&amp;LEN(P170))))+1, 1) * 10^ROW(INDIRECT("1:"&amp;LEN(P170)))/10))*N171*100+1</f>
        <v>1101</v>
      </c>
    </row>
    <row r="172" spans="1:16" s="69" customFormat="1" ht="15.75" customHeight="1" x14ac:dyDescent="0.35">
      <c r="A172" s="131">
        <v>1</v>
      </c>
      <c r="B172" s="132"/>
      <c r="C172" s="68" t="s">
        <v>217</v>
      </c>
      <c r="D172" s="68">
        <f>(31.5+0.75*(2.1+2.55))*10.764</f>
        <v>376.60544999999996</v>
      </c>
      <c r="E172" s="68">
        <f>(2.7*1.4)*10.764</f>
        <v>40.687919999999998</v>
      </c>
      <c r="F172" s="68">
        <f t="shared" ref="F172:F181" si="15">D172*(($F$150)+1)+E172</f>
        <v>586.7658224999999</v>
      </c>
      <c r="G172" s="100" t="str">
        <f>A171</f>
        <v>1st, 3rd, 5th, 7th, 9th &amp; 11th Floor</v>
      </c>
      <c r="H172" s="101"/>
      <c r="I172" s="37"/>
      <c r="L172" s="69" t="str">
        <f t="shared" ref="L172:L175" ca="1" si="16">O172&amp;""&amp;M172&amp;""&amp;P172</f>
        <v>102,..,1102</v>
      </c>
      <c r="M172" s="69" t="s">
        <v>155</v>
      </c>
      <c r="N172" s="37">
        <f t="shared" ref="N172:P172" si="17">N171+1</f>
        <v>2</v>
      </c>
      <c r="O172" s="69">
        <f t="shared" ca="1" si="17"/>
        <v>102</v>
      </c>
      <c r="P172" s="69">
        <f t="shared" ca="1" si="17"/>
        <v>1102</v>
      </c>
    </row>
    <row r="173" spans="1:16" s="69" customFormat="1" ht="15.75" customHeight="1" x14ac:dyDescent="0.35">
      <c r="A173" s="131">
        <f>A172+1</f>
        <v>2</v>
      </c>
      <c r="B173" s="132"/>
      <c r="C173" s="68" t="s">
        <v>217</v>
      </c>
      <c r="D173" s="68">
        <f>(31.5+0.75*(2.1+2.55))*10.764</f>
        <v>376.60544999999996</v>
      </c>
      <c r="E173" s="68">
        <f>(2.7*1.4)*10.764</f>
        <v>40.687919999999998</v>
      </c>
      <c r="F173" s="68">
        <f t="shared" si="15"/>
        <v>586.7658224999999</v>
      </c>
      <c r="G173" s="102"/>
      <c r="H173" s="103"/>
      <c r="I173" s="37"/>
      <c r="L173" s="69" t="str">
        <f t="shared" ca="1" si="16"/>
        <v>103,..,1103</v>
      </c>
      <c r="M173" s="69" t="s">
        <v>155</v>
      </c>
      <c r="N173" s="37">
        <f t="shared" ref="N173:P173" si="18">N172+1</f>
        <v>3</v>
      </c>
      <c r="O173" s="69">
        <f t="shared" ca="1" si="18"/>
        <v>103</v>
      </c>
      <c r="P173" s="69">
        <f t="shared" ca="1" si="18"/>
        <v>1103</v>
      </c>
    </row>
    <row r="174" spans="1:16" s="69" customFormat="1" ht="15.75" customHeight="1" x14ac:dyDescent="0.35">
      <c r="A174" s="131">
        <f t="shared" ref="A174:A177" si="19">A173+1</f>
        <v>3</v>
      </c>
      <c r="B174" s="132"/>
      <c r="C174" s="68" t="s">
        <v>217</v>
      </c>
      <c r="D174" s="68">
        <f>(30.9+0.75*(2.2+2.4))*10.764</f>
        <v>369.74340000000001</v>
      </c>
      <c r="E174" s="68">
        <f>(2.7*1.45)*10.764</f>
        <v>42.141059999999996</v>
      </c>
      <c r="F174" s="68">
        <f t="shared" si="15"/>
        <v>578.26899000000003</v>
      </c>
      <c r="G174" s="102"/>
      <c r="H174" s="103"/>
      <c r="I174" s="37"/>
      <c r="L174" s="69" t="str">
        <f t="shared" ca="1" si="16"/>
        <v>104,..,1104</v>
      </c>
      <c r="M174" s="69" t="s">
        <v>155</v>
      </c>
      <c r="N174" s="37">
        <f t="shared" ref="N174:P174" si="20">N173+1</f>
        <v>4</v>
      </c>
      <c r="O174" s="69">
        <f t="shared" ca="1" si="20"/>
        <v>104</v>
      </c>
      <c r="P174" s="69">
        <f t="shared" ca="1" si="20"/>
        <v>1104</v>
      </c>
    </row>
    <row r="175" spans="1:16" s="69" customFormat="1" ht="15.75" customHeight="1" x14ac:dyDescent="0.35">
      <c r="A175" s="131">
        <f t="shared" si="19"/>
        <v>4</v>
      </c>
      <c r="B175" s="132"/>
      <c r="C175" s="68" t="s">
        <v>217</v>
      </c>
      <c r="D175" s="68">
        <f>(29.8+0.75*(2.4+2))*10.764</f>
        <v>356.28839999999997</v>
      </c>
      <c r="E175" s="68">
        <f>(1.4*1.95)*10.764</f>
        <v>29.385719999999999</v>
      </c>
      <c r="F175" s="68">
        <f t="shared" si="15"/>
        <v>546.00389999999993</v>
      </c>
      <c r="G175" s="102"/>
      <c r="H175" s="103"/>
      <c r="I175" s="37"/>
      <c r="L175" s="69" t="str">
        <f t="shared" ca="1" si="16"/>
        <v>105,..,1105</v>
      </c>
      <c r="M175" s="69" t="s">
        <v>155</v>
      </c>
      <c r="N175" s="37">
        <f t="shared" ref="N175:P175" si="21">N174+1</f>
        <v>5</v>
      </c>
      <c r="O175" s="69">
        <f t="shared" ca="1" si="21"/>
        <v>105</v>
      </c>
      <c r="P175" s="69">
        <f t="shared" ca="1" si="21"/>
        <v>1105</v>
      </c>
    </row>
    <row r="176" spans="1:16" s="86" customFormat="1" ht="15.75" customHeight="1" x14ac:dyDescent="0.35">
      <c r="A176" s="131">
        <f t="shared" si="19"/>
        <v>5</v>
      </c>
      <c r="B176" s="132"/>
      <c r="C176" s="68" t="s">
        <v>218</v>
      </c>
      <c r="D176" s="68">
        <f>(40.21+0.75*(2.25+2.55+2.55))*10.764</f>
        <v>492.15698999999995</v>
      </c>
      <c r="E176" s="68">
        <f>(1.9*1.7)*10.764</f>
        <v>34.767719999999997</v>
      </c>
      <c r="F176" s="68">
        <f t="shared" si="15"/>
        <v>748.39535549999982</v>
      </c>
      <c r="G176" s="102"/>
      <c r="H176" s="103"/>
      <c r="I176" s="37"/>
      <c r="L176" s="86" t="str">
        <f t="shared" ref="L176:L180" ca="1" si="22">O176&amp;""&amp;M176&amp;""&amp;P176</f>
        <v>106,..,1106</v>
      </c>
      <c r="M176" s="86" t="s">
        <v>155</v>
      </c>
      <c r="N176" s="37">
        <f t="shared" ref="N176:P176" si="23">N175+1</f>
        <v>6</v>
      </c>
      <c r="O176" s="86">
        <f t="shared" ca="1" si="23"/>
        <v>106</v>
      </c>
      <c r="P176" s="86">
        <f t="shared" ca="1" si="23"/>
        <v>1106</v>
      </c>
    </row>
    <row r="177" spans="1:16" s="86" customFormat="1" ht="15.75" customHeight="1" x14ac:dyDescent="0.35">
      <c r="A177" s="131">
        <f t="shared" si="19"/>
        <v>6</v>
      </c>
      <c r="B177" s="132"/>
      <c r="C177" s="68" t="s">
        <v>217</v>
      </c>
      <c r="D177" s="68">
        <f>(33.63+0.75*(2.7))*10.764</f>
        <v>383.79041999999998</v>
      </c>
      <c r="E177" s="68">
        <f>(2.7*1.4)*10.764</f>
        <v>40.687919999999998</v>
      </c>
      <c r="F177" s="68">
        <f t="shared" si="15"/>
        <v>597.1840289999999</v>
      </c>
      <c r="G177" s="102"/>
      <c r="H177" s="103"/>
      <c r="I177" s="37"/>
      <c r="L177" s="86" t="str">
        <f t="shared" ca="1" si="22"/>
        <v>107,..,1107</v>
      </c>
      <c r="M177" s="86" t="s">
        <v>155</v>
      </c>
      <c r="N177" s="37">
        <f t="shared" ref="N177:P177" si="24">N176+1</f>
        <v>7</v>
      </c>
      <c r="O177" s="86">
        <f t="shared" ca="1" si="24"/>
        <v>107</v>
      </c>
      <c r="P177" s="86">
        <f t="shared" ca="1" si="24"/>
        <v>1107</v>
      </c>
    </row>
    <row r="178" spans="1:16" s="86" customFormat="1" ht="15.75" customHeight="1" x14ac:dyDescent="0.35">
      <c r="A178" s="131">
        <f t="shared" ref="A178:A181" si="25">A177+1</f>
        <v>7</v>
      </c>
      <c r="B178" s="132"/>
      <c r="C178" s="68" t="s">
        <v>218</v>
      </c>
      <c r="D178" s="68">
        <f>(39.75+0.75*(2.4+2.55))*10.764</f>
        <v>467.83034999999995</v>
      </c>
      <c r="E178" s="68">
        <f>(1.55*1.85)*10.764</f>
        <v>30.865770000000001</v>
      </c>
      <c r="F178" s="68">
        <f t="shared" si="15"/>
        <v>709.21977749999996</v>
      </c>
      <c r="G178" s="102"/>
      <c r="H178" s="103"/>
      <c r="I178" s="37"/>
      <c r="L178" s="86" t="str">
        <f t="shared" ca="1" si="22"/>
        <v>108,..,1108</v>
      </c>
      <c r="M178" s="86" t="s">
        <v>155</v>
      </c>
      <c r="N178" s="37">
        <f t="shared" ref="N178:P178" si="26">N177+1</f>
        <v>8</v>
      </c>
      <c r="O178" s="86">
        <f t="shared" ca="1" si="26"/>
        <v>108</v>
      </c>
      <c r="P178" s="86">
        <f t="shared" ca="1" si="26"/>
        <v>1108</v>
      </c>
    </row>
    <row r="179" spans="1:16" s="86" customFormat="1" ht="15.75" customHeight="1" x14ac:dyDescent="0.35">
      <c r="A179" s="131">
        <f t="shared" si="25"/>
        <v>8</v>
      </c>
      <c r="B179" s="132"/>
      <c r="C179" s="68" t="s">
        <v>217</v>
      </c>
      <c r="D179" s="68">
        <f>(31.19+0.75*(2.25+2.55))*10.764</f>
        <v>374.47955999999999</v>
      </c>
      <c r="E179" s="68">
        <f>(1.4*2.7)*10.764</f>
        <v>40.687919999999998</v>
      </c>
      <c r="F179" s="68">
        <f t="shared" si="15"/>
        <v>583.68328199999996</v>
      </c>
      <c r="G179" s="102"/>
      <c r="H179" s="103"/>
      <c r="I179" s="37">
        <f>2.7*4.4+2.2*2.1+2.55*(3.35+3)+1.2*(1.8+2)+0.9*(2+1.35)</f>
        <v>40.267500000000005</v>
      </c>
      <c r="L179" s="86" t="str">
        <f t="shared" ca="1" si="22"/>
        <v>109,..,1109</v>
      </c>
      <c r="M179" s="86" t="s">
        <v>155</v>
      </c>
      <c r="N179" s="37">
        <f t="shared" ref="N179:P179" si="27">N178+1</f>
        <v>9</v>
      </c>
      <c r="O179" s="86">
        <f t="shared" ca="1" si="27"/>
        <v>109</v>
      </c>
      <c r="P179" s="86">
        <f t="shared" ca="1" si="27"/>
        <v>1109</v>
      </c>
    </row>
    <row r="180" spans="1:16" s="86" customFormat="1" ht="15.75" customHeight="1" x14ac:dyDescent="0.35">
      <c r="A180" s="131">
        <f t="shared" si="25"/>
        <v>9</v>
      </c>
      <c r="B180" s="132"/>
      <c r="C180" s="68" t="s">
        <v>218</v>
      </c>
      <c r="D180" s="68">
        <f>(40.08+0.75*(2.2+2.55+2.55))*10.764</f>
        <v>490.35401999999999</v>
      </c>
      <c r="E180" s="68">
        <f>(2.7*1.35)*10.764</f>
        <v>39.234780000000001</v>
      </c>
      <c r="F180" s="68">
        <f t="shared" si="15"/>
        <v>750.248109</v>
      </c>
      <c r="G180" s="102"/>
      <c r="H180" s="103"/>
      <c r="I180" s="37"/>
      <c r="L180" s="86" t="str">
        <f t="shared" ca="1" si="22"/>
        <v>110,..,1110</v>
      </c>
      <c r="M180" s="86" t="s">
        <v>155</v>
      </c>
      <c r="N180" s="37">
        <f t="shared" ref="N180:P180" si="28">N179+1</f>
        <v>10</v>
      </c>
      <c r="O180" s="86">
        <f t="shared" ca="1" si="28"/>
        <v>110</v>
      </c>
      <c r="P180" s="86">
        <f t="shared" ca="1" si="28"/>
        <v>1110</v>
      </c>
    </row>
    <row r="181" spans="1:16" s="69" customFormat="1" ht="15.75" customHeight="1" x14ac:dyDescent="0.35">
      <c r="A181" s="131">
        <f t="shared" si="25"/>
        <v>10</v>
      </c>
      <c r="B181" s="132"/>
      <c r="C181" s="68" t="s">
        <v>217</v>
      </c>
      <c r="D181" s="68">
        <f>(31.5+0.75*(2.1+2.55))*10.764</f>
        <v>376.60544999999996</v>
      </c>
      <c r="E181" s="68">
        <f>(1.4*2.7)*10.764</f>
        <v>40.687919999999998</v>
      </c>
      <c r="F181" s="68">
        <f t="shared" si="15"/>
        <v>586.7658224999999</v>
      </c>
      <c r="G181" s="104"/>
      <c r="H181" s="105"/>
      <c r="I181" s="37">
        <v>4</v>
      </c>
      <c r="O181" s="69" t="str">
        <f>LEFT(A182,SUM(LEN(A182)-LEN(SUBSTITUTE(A182,{"0","1","2","3"},""))))</f>
        <v>2nd</v>
      </c>
      <c r="P181" s="38">
        <f ca="1">--TRIM(RIGHT(SUBSTITUTE(LEFT(A182,_xlfn.AGGREGATE(16,6,FIND({0,1,2,3,4,5,6,7,8,9},A182,ROW(INDIRECT("1:"&amp;LEN(A182)))),1))," ",REPT(" ",LEN(A182))),LEN(A182)))</f>
        <v>10</v>
      </c>
    </row>
    <row r="182" spans="1:16" s="69" customFormat="1" x14ac:dyDescent="0.35">
      <c r="A182" s="239" t="s">
        <v>248</v>
      </c>
      <c r="B182" s="240"/>
      <c r="C182" s="240"/>
      <c r="D182" s="240"/>
      <c r="E182" s="240"/>
      <c r="F182" s="240"/>
      <c r="G182" s="240"/>
      <c r="H182" s="241"/>
      <c r="I182" s="37"/>
      <c r="L182" s="69" t="str">
        <f ca="1">O182&amp;""&amp;M182&amp;""&amp;P182</f>
        <v>201,..,1001</v>
      </c>
      <c r="M182" s="69" t="s">
        <v>155</v>
      </c>
      <c r="N182" s="37">
        <v>1</v>
      </c>
      <c r="O182" s="69">
        <f ca="1">(SUMPRODUCT(MID(0&amp;O181, LARGE(INDEX(ISNUMBER(--MID(O181, ROW(INDIRECT("1:"&amp;LEN(O181))), 1)) * ROW(INDIRECT("1:"&amp;LEN(O181))), 0), ROW(INDIRECT("1:"&amp;LEN(O181))))+1, 1) * 10^ROW(INDIRECT("1:"&amp;LEN(O181)))/10))*N182*100+1</f>
        <v>201</v>
      </c>
      <c r="P182" s="69">
        <f ca="1">(SUMPRODUCT(MID(0&amp;P181, LARGE(INDEX(ISNUMBER(--MID(P181, ROW(INDIRECT("1:"&amp;LEN(P181))), 1)) * ROW(INDIRECT("1:"&amp;LEN(P181))), 0), ROW(INDIRECT("1:"&amp;LEN(P181))))+1, 1) * 10^ROW(INDIRECT("1:"&amp;LEN(P181)))/10))*N182*100+1</f>
        <v>1001</v>
      </c>
    </row>
    <row r="183" spans="1:16" s="69" customFormat="1" ht="15.75" customHeight="1" x14ac:dyDescent="0.35">
      <c r="A183" s="131">
        <v>1</v>
      </c>
      <c r="B183" s="132"/>
      <c r="C183" s="68" t="s">
        <v>217</v>
      </c>
      <c r="D183" s="68">
        <f>(31.5+0.75*(2.7+2.1+2.55))*10.764</f>
        <v>398.40255000000002</v>
      </c>
      <c r="E183" s="68">
        <v>0</v>
      </c>
      <c r="F183" s="68">
        <f t="shared" ref="F183:F192" si="29">D183*(($F$150)+1)+E183</f>
        <v>577.68369749999999</v>
      </c>
      <c r="G183" s="100" t="str">
        <f>A182</f>
        <v>2nd, 4th, 6th &amp; 10th Floor</v>
      </c>
      <c r="H183" s="101"/>
      <c r="I183" s="37"/>
      <c r="L183" s="69" t="str">
        <f t="shared" ref="L183:L186" ca="1" si="30">O183&amp;""&amp;M183&amp;""&amp;P183</f>
        <v>202,..,1002</v>
      </c>
      <c r="M183" s="69" t="s">
        <v>155</v>
      </c>
      <c r="N183" s="37">
        <f t="shared" ref="N183:P183" si="31">N182+1</f>
        <v>2</v>
      </c>
      <c r="O183" s="69">
        <f t="shared" ca="1" si="31"/>
        <v>202</v>
      </c>
      <c r="P183" s="69">
        <f t="shared" ca="1" si="31"/>
        <v>1002</v>
      </c>
    </row>
    <row r="184" spans="1:16" s="69" customFormat="1" ht="15.75" customHeight="1" x14ac:dyDescent="0.35">
      <c r="A184" s="131">
        <f>A183+1</f>
        <v>2</v>
      </c>
      <c r="B184" s="132"/>
      <c r="C184" s="68" t="s">
        <v>217</v>
      </c>
      <c r="D184" s="68">
        <f>(31.5+0.75*(2.7+2.1+2.55))*10.764</f>
        <v>398.40255000000002</v>
      </c>
      <c r="E184" s="68">
        <v>0</v>
      </c>
      <c r="F184" s="68">
        <f t="shared" si="29"/>
        <v>577.68369749999999</v>
      </c>
      <c r="G184" s="102"/>
      <c r="H184" s="103"/>
      <c r="I184" s="37"/>
      <c r="L184" s="69" t="str">
        <f t="shared" ca="1" si="30"/>
        <v>203,..,1003</v>
      </c>
      <c r="M184" s="69" t="s">
        <v>155</v>
      </c>
      <c r="N184" s="37">
        <f t="shared" ref="N184:P184" si="32">N183+1</f>
        <v>3</v>
      </c>
      <c r="O184" s="69">
        <f t="shared" ca="1" si="32"/>
        <v>203</v>
      </c>
      <c r="P184" s="69">
        <f t="shared" ca="1" si="32"/>
        <v>1003</v>
      </c>
    </row>
    <row r="185" spans="1:16" s="69" customFormat="1" ht="15.75" customHeight="1" x14ac:dyDescent="0.35">
      <c r="A185" s="131">
        <f t="shared" ref="A185:A192" si="33">A184+1</f>
        <v>3</v>
      </c>
      <c r="B185" s="132"/>
      <c r="C185" s="68" t="s">
        <v>217</v>
      </c>
      <c r="D185" s="68">
        <f>(30.9+0.75*(2.7+2.2+2.4))*10.764</f>
        <v>391.54049999999995</v>
      </c>
      <c r="E185" s="68">
        <v>0</v>
      </c>
      <c r="F185" s="68">
        <f t="shared" si="29"/>
        <v>567.73372499999994</v>
      </c>
      <c r="G185" s="102"/>
      <c r="H185" s="103"/>
      <c r="I185" s="37"/>
      <c r="L185" s="69" t="str">
        <f t="shared" ca="1" si="30"/>
        <v>204,..,1004</v>
      </c>
      <c r="M185" s="69" t="s">
        <v>155</v>
      </c>
      <c r="N185" s="37">
        <f t="shared" ref="N185:P185" si="34">N184+1</f>
        <v>4</v>
      </c>
      <c r="O185" s="69">
        <f t="shared" ca="1" si="34"/>
        <v>204</v>
      </c>
      <c r="P185" s="69">
        <f t="shared" ca="1" si="34"/>
        <v>1004</v>
      </c>
    </row>
    <row r="186" spans="1:16" s="69" customFormat="1" ht="15.75" customHeight="1" x14ac:dyDescent="0.35">
      <c r="A186" s="131">
        <f t="shared" si="33"/>
        <v>4</v>
      </c>
      <c r="B186" s="132"/>
      <c r="C186" s="68" t="s">
        <v>217</v>
      </c>
      <c r="D186" s="68">
        <f>(29.8+0.75*(1.7+2.4+2))*10.764</f>
        <v>370.01249999999999</v>
      </c>
      <c r="E186" s="68">
        <v>0</v>
      </c>
      <c r="F186" s="68">
        <f t="shared" si="29"/>
        <v>536.51812499999994</v>
      </c>
      <c r="G186" s="102"/>
      <c r="H186" s="103"/>
      <c r="I186" s="37"/>
      <c r="L186" s="69" t="str">
        <f t="shared" ca="1" si="30"/>
        <v>205,..,1005</v>
      </c>
      <c r="M186" s="69" t="s">
        <v>155</v>
      </c>
      <c r="N186" s="37">
        <f t="shared" ref="N186:P186" si="35">N185+1</f>
        <v>5</v>
      </c>
      <c r="O186" s="69">
        <f t="shared" ca="1" si="35"/>
        <v>205</v>
      </c>
      <c r="P186" s="69">
        <f t="shared" ca="1" si="35"/>
        <v>1005</v>
      </c>
    </row>
    <row r="187" spans="1:16" s="86" customFormat="1" ht="15.75" customHeight="1" x14ac:dyDescent="0.35">
      <c r="A187" s="131">
        <f t="shared" si="33"/>
        <v>5</v>
      </c>
      <c r="B187" s="132"/>
      <c r="C187" s="68" t="s">
        <v>218</v>
      </c>
      <c r="D187" s="68">
        <f>(40.21+0.75*(1.55+2.25+2.55))*10.764</f>
        <v>484.08398999999991</v>
      </c>
      <c r="E187" s="68">
        <f>(2.55*1.3)*10.764</f>
        <v>35.682659999999998</v>
      </c>
      <c r="F187" s="68">
        <f t="shared" si="29"/>
        <v>737.60444549999988</v>
      </c>
      <c r="G187" s="102"/>
      <c r="H187" s="103"/>
      <c r="I187" s="37"/>
      <c r="L187" s="86" t="str">
        <f t="shared" ref="L187:L191" ca="1" si="36">O187&amp;""&amp;M187&amp;""&amp;P187</f>
        <v>206,..,1006</v>
      </c>
      <c r="M187" s="86" t="s">
        <v>155</v>
      </c>
      <c r="N187" s="37">
        <f t="shared" ref="N187:P187" si="37">N186+1</f>
        <v>6</v>
      </c>
      <c r="O187" s="86">
        <f t="shared" ca="1" si="37"/>
        <v>206</v>
      </c>
      <c r="P187" s="86">
        <f t="shared" ca="1" si="37"/>
        <v>1006</v>
      </c>
    </row>
    <row r="188" spans="1:16" s="86" customFormat="1" ht="15.75" customHeight="1" x14ac:dyDescent="0.35">
      <c r="A188" s="131">
        <f t="shared" si="33"/>
        <v>6</v>
      </c>
      <c r="B188" s="132"/>
      <c r="C188" s="68" t="s">
        <v>217</v>
      </c>
      <c r="D188" s="68">
        <f>(33.63+0.75*(2.7+2.7))*10.764</f>
        <v>405.58752000000004</v>
      </c>
      <c r="E188" s="68">
        <v>0</v>
      </c>
      <c r="F188" s="68">
        <f t="shared" si="29"/>
        <v>588.10190399999999</v>
      </c>
      <c r="G188" s="102"/>
      <c r="H188" s="103"/>
      <c r="I188" s="37"/>
      <c r="L188" s="86" t="str">
        <f t="shared" ca="1" si="36"/>
        <v>207,..,1007</v>
      </c>
      <c r="M188" s="86" t="s">
        <v>155</v>
      </c>
      <c r="N188" s="37">
        <f t="shared" ref="N188:P188" si="38">N187+1</f>
        <v>7</v>
      </c>
      <c r="O188" s="86">
        <f t="shared" ca="1" si="38"/>
        <v>207</v>
      </c>
      <c r="P188" s="86">
        <f t="shared" ca="1" si="38"/>
        <v>1007</v>
      </c>
    </row>
    <row r="189" spans="1:16" s="86" customFormat="1" ht="15.75" customHeight="1" x14ac:dyDescent="0.35">
      <c r="A189" s="131">
        <f t="shared" si="33"/>
        <v>7</v>
      </c>
      <c r="B189" s="132"/>
      <c r="C189" s="68" t="s">
        <v>218</v>
      </c>
      <c r="D189" s="68">
        <f>(39.75+0.75*(1.45+2.4+2.55))*10.764</f>
        <v>479.53619999999995</v>
      </c>
      <c r="E189" s="68">
        <v>0</v>
      </c>
      <c r="F189" s="68">
        <f t="shared" si="29"/>
        <v>695.3274899999999</v>
      </c>
      <c r="G189" s="102"/>
      <c r="H189" s="103"/>
      <c r="I189" s="37"/>
      <c r="L189" s="86" t="str">
        <f t="shared" ca="1" si="36"/>
        <v>208,..,1008</v>
      </c>
      <c r="M189" s="86" t="s">
        <v>155</v>
      </c>
      <c r="N189" s="37">
        <f t="shared" ref="N189:P189" si="39">N188+1</f>
        <v>8</v>
      </c>
      <c r="O189" s="86">
        <f t="shared" ca="1" si="39"/>
        <v>208</v>
      </c>
      <c r="P189" s="86">
        <f t="shared" ca="1" si="39"/>
        <v>1008</v>
      </c>
    </row>
    <row r="190" spans="1:16" s="86" customFormat="1" ht="15.75" customHeight="1" x14ac:dyDescent="0.35">
      <c r="A190" s="131">
        <f t="shared" si="33"/>
        <v>8</v>
      </c>
      <c r="B190" s="132"/>
      <c r="C190" s="68" t="s">
        <v>217</v>
      </c>
      <c r="D190" s="68">
        <f>(31.19+0.75*(2.7+2.1+2.55))*10.764</f>
        <v>395.06570999999997</v>
      </c>
      <c r="E190" s="68">
        <v>0</v>
      </c>
      <c r="F190" s="68">
        <f t="shared" si="29"/>
        <v>572.84527949999995</v>
      </c>
      <c r="G190" s="102"/>
      <c r="H190" s="103"/>
      <c r="I190" s="37"/>
      <c r="L190" s="86" t="str">
        <f t="shared" ca="1" si="36"/>
        <v>209,..,1009</v>
      </c>
      <c r="M190" s="86" t="s">
        <v>155</v>
      </c>
      <c r="N190" s="37">
        <f t="shared" ref="N190:P190" si="40">N189+1</f>
        <v>9</v>
      </c>
      <c r="O190" s="86">
        <f t="shared" ca="1" si="40"/>
        <v>209</v>
      </c>
      <c r="P190" s="86">
        <f t="shared" ca="1" si="40"/>
        <v>1009</v>
      </c>
    </row>
    <row r="191" spans="1:16" s="86" customFormat="1" ht="15.75" customHeight="1" x14ac:dyDescent="0.35">
      <c r="A191" s="131">
        <f t="shared" si="33"/>
        <v>9</v>
      </c>
      <c r="B191" s="132"/>
      <c r="C191" s="68" t="s">
        <v>218</v>
      </c>
      <c r="D191" s="68">
        <f>(40.08+0.75*(2.7+2.1+2.55+2.55))*10.764</f>
        <v>511.34381999999994</v>
      </c>
      <c r="E191" s="68">
        <v>0</v>
      </c>
      <c r="F191" s="68">
        <f t="shared" si="29"/>
        <v>741.44853899999987</v>
      </c>
      <c r="G191" s="102"/>
      <c r="H191" s="103"/>
      <c r="I191" s="37"/>
      <c r="L191" s="86" t="str">
        <f t="shared" ca="1" si="36"/>
        <v>210,..,1010</v>
      </c>
      <c r="M191" s="86" t="s">
        <v>155</v>
      </c>
      <c r="N191" s="37">
        <f t="shared" ref="N191:P191" si="41">N190+1</f>
        <v>10</v>
      </c>
      <c r="O191" s="86">
        <f t="shared" ca="1" si="41"/>
        <v>210</v>
      </c>
      <c r="P191" s="86">
        <f t="shared" ca="1" si="41"/>
        <v>1010</v>
      </c>
    </row>
    <row r="192" spans="1:16" s="86" customFormat="1" ht="15.75" customHeight="1" x14ac:dyDescent="0.35">
      <c r="A192" s="131">
        <f t="shared" si="33"/>
        <v>10</v>
      </c>
      <c r="B192" s="132"/>
      <c r="C192" s="68" t="s">
        <v>217</v>
      </c>
      <c r="D192" s="68">
        <f>(31.5+0.75*(2.7+2.1+2.55))*10.764</f>
        <v>398.40255000000002</v>
      </c>
      <c r="E192" s="68">
        <v>0</v>
      </c>
      <c r="F192" s="68">
        <f t="shared" si="29"/>
        <v>577.68369749999999</v>
      </c>
      <c r="G192" s="104"/>
      <c r="H192" s="105"/>
      <c r="I192" s="37">
        <v>1</v>
      </c>
      <c r="O192" s="86" t="str">
        <f>LEFT(A193,SUM(LEN(A193)-LEN(SUBSTITUTE(A193,{"0","1","2","3"},""))))</f>
        <v/>
      </c>
      <c r="P192" s="38">
        <f ca="1">--TRIM(RIGHT(SUBSTITUTE(LEFT(A193,_xlfn.AGGREGATE(16,6,FIND({0,1,2,3,4,5,6,7,8,9},A193,ROW(INDIRECT("1:"&amp;LEN(A193)))),1))," ",REPT(" ",LEN(A193))),LEN(A193)))</f>
        <v>8</v>
      </c>
    </row>
    <row r="193" spans="1:19" s="86" customFormat="1" x14ac:dyDescent="0.35">
      <c r="A193" s="135" t="s">
        <v>250</v>
      </c>
      <c r="B193" s="136"/>
      <c r="C193" s="136"/>
      <c r="D193" s="136"/>
      <c r="E193" s="136"/>
      <c r="F193" s="136"/>
      <c r="G193" s="136"/>
      <c r="H193" s="137"/>
      <c r="I193" s="37"/>
      <c r="L193" s="86" t="e">
        <f ca="1">O193&amp;""&amp;M193&amp;""&amp;P193</f>
        <v>#REF!</v>
      </c>
      <c r="M193" s="86" t="s">
        <v>155</v>
      </c>
      <c r="N193" s="37">
        <v>1</v>
      </c>
      <c r="O193" s="86" t="e">
        <f ca="1">(SUMPRODUCT(MID(0&amp;O192, LARGE(INDEX(ISNUMBER(--MID(O192, ROW(INDIRECT("1:"&amp;LEN(O192))), 1)) * ROW(INDIRECT("1:"&amp;LEN(O192))), 0), ROW(INDIRECT("1:"&amp;LEN(O192))))+1, 1) * 10^ROW(INDIRECT("1:"&amp;LEN(O192)))/10))*N193*100+1</f>
        <v>#REF!</v>
      </c>
      <c r="P193" s="86">
        <f ca="1">(SUMPRODUCT(MID(0&amp;P192, LARGE(INDEX(ISNUMBER(--MID(P192, ROW(INDIRECT("1:"&amp;LEN(P192))), 1)) * ROW(INDIRECT("1:"&amp;LEN(P192))), 0), ROW(INDIRECT("1:"&amp;LEN(P192))))+1, 1) * 10^ROW(INDIRECT("1:"&amp;LEN(P192)))/10))*N193*100+1</f>
        <v>801</v>
      </c>
      <c r="S193" s="86">
        <v>801</v>
      </c>
    </row>
    <row r="194" spans="1:19" s="86" customFormat="1" ht="15.75" customHeight="1" x14ac:dyDescent="0.35">
      <c r="A194" s="131">
        <v>1</v>
      </c>
      <c r="B194" s="132"/>
      <c r="C194" s="68" t="s">
        <v>217</v>
      </c>
      <c r="D194" s="68">
        <f>(31.5+0.75*(2.7+2.1+2.55))*10.764</f>
        <v>398.40255000000002</v>
      </c>
      <c r="E194" s="68">
        <v>0</v>
      </c>
      <c r="F194" s="68">
        <f t="shared" ref="F194:F200" si="42">D194*(($F$150)+1)+E194</f>
        <v>577.68369749999999</v>
      </c>
      <c r="G194" s="100" t="str">
        <f>A193</f>
        <v>8th Floor Part Refuge Area</v>
      </c>
      <c r="H194" s="101"/>
      <c r="I194" s="37"/>
      <c r="L194" s="86" t="e">
        <f t="shared" ref="L194:L202" ca="1" si="43">O194&amp;""&amp;M194&amp;""&amp;P194</f>
        <v>#REF!</v>
      </c>
      <c r="M194" s="86" t="s">
        <v>155</v>
      </c>
      <c r="N194" s="37">
        <f t="shared" ref="N194:P194" si="44">N193+1</f>
        <v>2</v>
      </c>
      <c r="O194" s="86" t="e">
        <f t="shared" ca="1" si="44"/>
        <v>#REF!</v>
      </c>
      <c r="P194" s="86">
        <f t="shared" ca="1" si="44"/>
        <v>802</v>
      </c>
      <c r="S194" s="86">
        <f>S193+1</f>
        <v>802</v>
      </c>
    </row>
    <row r="195" spans="1:19" s="86" customFormat="1" ht="15.75" customHeight="1" x14ac:dyDescent="0.35">
      <c r="A195" s="131">
        <f>A194+1</f>
        <v>2</v>
      </c>
      <c r="B195" s="132"/>
      <c r="C195" s="68" t="s">
        <v>217</v>
      </c>
      <c r="D195" s="68">
        <f>(31.5+0.75*(2.7+2.1+2.55))*10.764</f>
        <v>398.40255000000002</v>
      </c>
      <c r="E195" s="68">
        <v>0</v>
      </c>
      <c r="F195" s="68">
        <f t="shared" si="42"/>
        <v>577.68369749999999</v>
      </c>
      <c r="G195" s="102"/>
      <c r="H195" s="103"/>
      <c r="I195" s="37"/>
      <c r="L195" s="86" t="e">
        <f t="shared" ca="1" si="43"/>
        <v>#REF!</v>
      </c>
      <c r="M195" s="86" t="s">
        <v>155</v>
      </c>
      <c r="N195" s="37">
        <f t="shared" ref="N195:P195" si="45">N194+1</f>
        <v>3</v>
      </c>
      <c r="O195" s="86" t="e">
        <f t="shared" ca="1" si="45"/>
        <v>#REF!</v>
      </c>
      <c r="P195" s="86">
        <f t="shared" ca="1" si="45"/>
        <v>803</v>
      </c>
      <c r="S195" s="86">
        <f t="shared" ref="S195:S202" si="46">S194+1</f>
        <v>803</v>
      </c>
    </row>
    <row r="196" spans="1:19" s="86" customFormat="1" ht="15.75" customHeight="1" x14ac:dyDescent="0.35">
      <c r="A196" s="131">
        <f t="shared" ref="A196:A200" si="47">A195+1</f>
        <v>3</v>
      </c>
      <c r="B196" s="132"/>
      <c r="C196" s="68" t="s">
        <v>217</v>
      </c>
      <c r="D196" s="68">
        <f>(30.9+0.75*(2.7+2.2+2.4))*10.764</f>
        <v>391.54049999999995</v>
      </c>
      <c r="E196" s="68">
        <v>0</v>
      </c>
      <c r="F196" s="68">
        <f t="shared" si="42"/>
        <v>567.73372499999994</v>
      </c>
      <c r="G196" s="102"/>
      <c r="H196" s="103"/>
      <c r="I196" s="37"/>
      <c r="L196" s="86" t="e">
        <f t="shared" ca="1" si="43"/>
        <v>#REF!</v>
      </c>
      <c r="M196" s="86" t="s">
        <v>155</v>
      </c>
      <c r="N196" s="37">
        <f t="shared" ref="N196:P196" si="48">N195+1</f>
        <v>4</v>
      </c>
      <c r="O196" s="86" t="e">
        <f t="shared" ca="1" si="48"/>
        <v>#REF!</v>
      </c>
      <c r="P196" s="86">
        <f t="shared" ca="1" si="48"/>
        <v>804</v>
      </c>
      <c r="S196" s="86">
        <f t="shared" si="46"/>
        <v>804</v>
      </c>
    </row>
    <row r="197" spans="1:19" s="86" customFormat="1" ht="15.75" customHeight="1" x14ac:dyDescent="0.35">
      <c r="A197" s="131">
        <f t="shared" si="47"/>
        <v>4</v>
      </c>
      <c r="B197" s="132"/>
      <c r="C197" s="68" t="s">
        <v>217</v>
      </c>
      <c r="D197" s="68">
        <f>(29.8+0.75*(2.4+1.75+2))*10.764</f>
        <v>370.41615000000002</v>
      </c>
      <c r="E197" s="68">
        <v>0</v>
      </c>
      <c r="F197" s="68">
        <f t="shared" si="42"/>
        <v>537.10341749999998</v>
      </c>
      <c r="G197" s="102"/>
      <c r="H197" s="103"/>
      <c r="I197" s="37"/>
      <c r="L197" s="86" t="e">
        <f t="shared" ca="1" si="43"/>
        <v>#REF!</v>
      </c>
      <c r="M197" s="86" t="s">
        <v>155</v>
      </c>
      <c r="N197" s="37">
        <f t="shared" ref="N197:P197" si="49">N196+1</f>
        <v>5</v>
      </c>
      <c r="O197" s="86" t="e">
        <f t="shared" ca="1" si="49"/>
        <v>#REF!</v>
      </c>
      <c r="P197" s="86">
        <f t="shared" ca="1" si="49"/>
        <v>805</v>
      </c>
      <c r="S197" s="86">
        <f t="shared" si="46"/>
        <v>805</v>
      </c>
    </row>
    <row r="198" spans="1:19" s="86" customFormat="1" ht="15.75" customHeight="1" x14ac:dyDescent="0.35">
      <c r="A198" s="131">
        <f t="shared" si="47"/>
        <v>5</v>
      </c>
      <c r="B198" s="132"/>
      <c r="C198" s="68" t="s">
        <v>218</v>
      </c>
      <c r="D198" s="68">
        <f>(40.21+0.75*(1.8+2.25+2.55))*10.764</f>
        <v>486.10223999999994</v>
      </c>
      <c r="E198" s="68">
        <f>(2.55*1.3)*10.764</f>
        <v>35.682659999999998</v>
      </c>
      <c r="F198" s="68">
        <f t="shared" si="42"/>
        <v>740.53090799999995</v>
      </c>
      <c r="G198" s="102"/>
      <c r="H198" s="103"/>
      <c r="I198" s="37"/>
      <c r="L198" s="86" t="e">
        <f t="shared" ca="1" si="43"/>
        <v>#REF!</v>
      </c>
      <c r="M198" s="86" t="s">
        <v>155</v>
      </c>
      <c r="N198" s="37">
        <f t="shared" ref="N198:P198" si="50">N197+1</f>
        <v>6</v>
      </c>
      <c r="O198" s="86" t="e">
        <f t="shared" ca="1" si="50"/>
        <v>#REF!</v>
      </c>
      <c r="P198" s="86">
        <f t="shared" ca="1" si="50"/>
        <v>806</v>
      </c>
      <c r="S198" s="86">
        <f t="shared" si="46"/>
        <v>806</v>
      </c>
    </row>
    <row r="199" spans="1:19" s="86" customFormat="1" ht="15.75" customHeight="1" x14ac:dyDescent="0.35">
      <c r="A199" s="131">
        <f t="shared" si="47"/>
        <v>6</v>
      </c>
      <c r="B199" s="132"/>
      <c r="C199" s="68" t="s">
        <v>217</v>
      </c>
      <c r="D199" s="68">
        <f>(33.63+0.75*(2.7+2.7))*10.764</f>
        <v>405.58752000000004</v>
      </c>
      <c r="E199" s="68">
        <v>0</v>
      </c>
      <c r="F199" s="68">
        <f t="shared" si="42"/>
        <v>588.10190399999999</v>
      </c>
      <c r="G199" s="102"/>
      <c r="H199" s="103"/>
      <c r="I199" s="37"/>
      <c r="L199" s="86" t="e">
        <f t="shared" ca="1" si="43"/>
        <v>#REF!</v>
      </c>
      <c r="M199" s="86" t="s">
        <v>155</v>
      </c>
      <c r="N199" s="37">
        <f t="shared" ref="N199:P199" si="51">N198+1</f>
        <v>7</v>
      </c>
      <c r="O199" s="86" t="e">
        <f t="shared" ca="1" si="51"/>
        <v>#REF!</v>
      </c>
      <c r="P199" s="86">
        <f t="shared" ca="1" si="51"/>
        <v>807</v>
      </c>
      <c r="S199" s="86">
        <f t="shared" si="46"/>
        <v>807</v>
      </c>
    </row>
    <row r="200" spans="1:19" s="86" customFormat="1" ht="15.75" customHeight="1" x14ac:dyDescent="0.35">
      <c r="A200" s="131">
        <f t="shared" si="47"/>
        <v>7</v>
      </c>
      <c r="B200" s="132"/>
      <c r="C200" s="68" t="s">
        <v>218</v>
      </c>
      <c r="D200" s="68">
        <f>(39.75+0.75*(1.55+2.4+2.55))*10.764</f>
        <v>480.34349999999995</v>
      </c>
      <c r="E200" s="68">
        <v>0</v>
      </c>
      <c r="F200" s="68">
        <f t="shared" si="42"/>
        <v>696.49807499999986</v>
      </c>
      <c r="G200" s="102"/>
      <c r="H200" s="103"/>
      <c r="I200" s="37"/>
      <c r="L200" s="86" t="e">
        <f t="shared" ca="1" si="43"/>
        <v>#REF!</v>
      </c>
      <c r="M200" s="86" t="s">
        <v>155</v>
      </c>
      <c r="N200" s="37">
        <f t="shared" ref="N200:P200" si="52">N199+1</f>
        <v>8</v>
      </c>
      <c r="O200" s="86" t="e">
        <f t="shared" ca="1" si="52"/>
        <v>#REF!</v>
      </c>
      <c r="P200" s="86">
        <f t="shared" ca="1" si="52"/>
        <v>808</v>
      </c>
      <c r="S200" s="86">
        <f t="shared" si="46"/>
        <v>808</v>
      </c>
    </row>
    <row r="201" spans="1:19" s="86" customFormat="1" ht="15.75" customHeight="1" x14ac:dyDescent="0.35">
      <c r="A201" s="131" t="s">
        <v>252</v>
      </c>
      <c r="B201" s="132"/>
      <c r="C201" s="131" t="s">
        <v>251</v>
      </c>
      <c r="D201" s="140"/>
      <c r="E201" s="140"/>
      <c r="F201" s="132"/>
      <c r="G201" s="102"/>
      <c r="H201" s="103"/>
      <c r="I201" s="37"/>
      <c r="L201" s="86" t="e">
        <f t="shared" ca="1" si="43"/>
        <v>#REF!</v>
      </c>
      <c r="M201" s="86" t="s">
        <v>155</v>
      </c>
      <c r="N201" s="37">
        <f t="shared" ref="N201:P201" si="53">N200+1</f>
        <v>9</v>
      </c>
      <c r="O201" s="86" t="e">
        <f t="shared" ca="1" si="53"/>
        <v>#REF!</v>
      </c>
      <c r="P201" s="86">
        <f t="shared" ca="1" si="53"/>
        <v>809</v>
      </c>
      <c r="S201" s="86">
        <f t="shared" si="46"/>
        <v>809</v>
      </c>
    </row>
    <row r="202" spans="1:19" s="86" customFormat="1" ht="15.75" customHeight="1" x14ac:dyDescent="0.35">
      <c r="A202" s="131">
        <v>8</v>
      </c>
      <c r="B202" s="132"/>
      <c r="C202" s="68" t="s">
        <v>218</v>
      </c>
      <c r="D202" s="68">
        <f>(40.08+0.75*(2.7+2.1+2.55*2))*10.764</f>
        <v>511.34381999999994</v>
      </c>
      <c r="E202" s="68">
        <v>0</v>
      </c>
      <c r="F202" s="68">
        <f>D202*(($F$150)+1)+E202</f>
        <v>741.44853899999987</v>
      </c>
      <c r="G202" s="102"/>
      <c r="H202" s="103"/>
      <c r="I202" s="37"/>
      <c r="L202" s="86" t="e">
        <f t="shared" ca="1" si="43"/>
        <v>#REF!</v>
      </c>
      <c r="M202" s="86" t="s">
        <v>155</v>
      </c>
      <c r="N202" s="37">
        <f t="shared" ref="N202:P202" si="54">N201+1</f>
        <v>10</v>
      </c>
      <c r="O202" s="86" t="e">
        <f t="shared" ca="1" si="54"/>
        <v>#REF!</v>
      </c>
      <c r="P202" s="86">
        <f t="shared" ca="1" si="54"/>
        <v>810</v>
      </c>
      <c r="S202" s="86">
        <f t="shared" si="46"/>
        <v>810</v>
      </c>
    </row>
    <row r="203" spans="1:19" s="86" customFormat="1" ht="15.75" customHeight="1" x14ac:dyDescent="0.35">
      <c r="A203" s="131">
        <f t="shared" ref="A203" si="55">A202+1</f>
        <v>9</v>
      </c>
      <c r="B203" s="132"/>
      <c r="C203" s="68" t="s">
        <v>217</v>
      </c>
      <c r="D203" s="68">
        <f>(31.5+0.75*(2.7+2.1+2.55))*10.764</f>
        <v>398.40255000000002</v>
      </c>
      <c r="E203" s="68">
        <v>0</v>
      </c>
      <c r="F203" s="68">
        <f>D203*(($F$150)+1)+E203</f>
        <v>577.68369749999999</v>
      </c>
      <c r="G203" s="104"/>
      <c r="H203" s="105"/>
      <c r="I203" s="37">
        <v>1</v>
      </c>
      <c r="O203" s="86" t="str">
        <f>LEFT(A204,SUM(LEN(A204)-LEN(SUBSTITUTE(A204,{"0","1","2","3"},""))))</f>
        <v>12</v>
      </c>
      <c r="P203" s="38">
        <f ca="1">--TRIM(RIGHT(SUBSTITUTE(LEFT(A204,_xlfn.AGGREGATE(16,6,FIND({0,1,2,3,4,5,6,7,8,9},A204,ROW(INDIRECT("1:"&amp;LEN(A204)))),1))," ",REPT(" ",LEN(A204))),LEN(A204)))</f>
        <v>12</v>
      </c>
    </row>
    <row r="204" spans="1:19" s="86" customFormat="1" x14ac:dyDescent="0.35">
      <c r="A204" s="135" t="s">
        <v>249</v>
      </c>
      <c r="B204" s="136"/>
      <c r="C204" s="136"/>
      <c r="D204" s="136"/>
      <c r="E204" s="136"/>
      <c r="F204" s="136"/>
      <c r="G204" s="136"/>
      <c r="H204" s="137"/>
      <c r="I204" s="37"/>
      <c r="L204" s="86" t="str">
        <f ca="1">O204&amp;""&amp;M204&amp;""&amp;P204</f>
        <v>1201,..,1201</v>
      </c>
      <c r="M204" s="86" t="s">
        <v>155</v>
      </c>
      <c r="N204" s="37">
        <v>1</v>
      </c>
      <c r="O204" s="86">
        <f ca="1">(SUMPRODUCT(MID(0&amp;O203, LARGE(INDEX(ISNUMBER(--MID(O203, ROW(INDIRECT("1:"&amp;LEN(O203))), 1)) * ROW(INDIRECT("1:"&amp;LEN(O203))), 0), ROW(INDIRECT("1:"&amp;LEN(O203))))+1, 1) * 10^ROW(INDIRECT("1:"&amp;LEN(O203)))/10))*N204*100+1</f>
        <v>1201</v>
      </c>
      <c r="P204" s="86">
        <f ca="1">(SUMPRODUCT(MID(0&amp;P203, LARGE(INDEX(ISNUMBER(--MID(P203, ROW(INDIRECT("1:"&amp;LEN(P203))), 1)) * ROW(INDIRECT("1:"&amp;LEN(P203))), 0), ROW(INDIRECT("1:"&amp;LEN(P203))))+1, 1) * 10^ROW(INDIRECT("1:"&amp;LEN(P203)))/10))*N204*100+1</f>
        <v>1201</v>
      </c>
      <c r="S204" s="86">
        <v>1201</v>
      </c>
    </row>
    <row r="205" spans="1:19" s="86" customFormat="1" x14ac:dyDescent="0.35">
      <c r="A205" s="131">
        <v>1</v>
      </c>
      <c r="B205" s="132"/>
      <c r="C205" s="68" t="s">
        <v>217</v>
      </c>
      <c r="D205" s="68">
        <f>(31.5+0.75*(2.7+2.1+2.55))*10.764</f>
        <v>398.40255000000002</v>
      </c>
      <c r="E205" s="68">
        <v>0</v>
      </c>
      <c r="F205" s="68">
        <f>D205*(($F$150)+1)+E205</f>
        <v>577.68369749999999</v>
      </c>
      <c r="G205" s="100" t="str">
        <f>A204</f>
        <v>12th Floor</v>
      </c>
      <c r="H205" s="101"/>
      <c r="I205" s="37"/>
      <c r="L205" s="86" t="str">
        <f t="shared" ref="L205:L213" ca="1" si="56">O205&amp;""&amp;M205&amp;""&amp;P205</f>
        <v>1202,..,1202</v>
      </c>
      <c r="M205" s="86" t="s">
        <v>155</v>
      </c>
      <c r="N205" s="37">
        <f t="shared" ref="N205:P205" si="57">N204+1</f>
        <v>2</v>
      </c>
      <c r="O205" s="86">
        <f t="shared" ca="1" si="57"/>
        <v>1202</v>
      </c>
      <c r="P205" s="86">
        <f t="shared" ca="1" si="57"/>
        <v>1202</v>
      </c>
      <c r="S205" s="86">
        <f>S204+1</f>
        <v>1202</v>
      </c>
    </row>
    <row r="206" spans="1:19" s="86" customFormat="1" x14ac:dyDescent="0.35">
      <c r="A206" s="131">
        <f>A205+1</f>
        <v>2</v>
      </c>
      <c r="B206" s="132"/>
      <c r="C206" s="68" t="s">
        <v>217</v>
      </c>
      <c r="D206" s="68">
        <f>(31.5+0.75*(2.7+2.1+2.55))*10.764</f>
        <v>398.40255000000002</v>
      </c>
      <c r="E206" s="68">
        <v>0</v>
      </c>
      <c r="F206" s="68">
        <f>D206*(($F$150)+1)+E206</f>
        <v>577.68369749999999</v>
      </c>
      <c r="G206" s="102"/>
      <c r="H206" s="103"/>
      <c r="I206" s="37"/>
      <c r="L206" s="86" t="str">
        <f t="shared" ca="1" si="56"/>
        <v>1203,..,1203</v>
      </c>
      <c r="M206" s="86" t="s">
        <v>155</v>
      </c>
      <c r="N206" s="37">
        <f t="shared" ref="N206:P206" si="58">N205+1</f>
        <v>3</v>
      </c>
      <c r="O206" s="86">
        <f t="shared" ca="1" si="58"/>
        <v>1203</v>
      </c>
      <c r="P206" s="86">
        <f t="shared" ca="1" si="58"/>
        <v>1203</v>
      </c>
      <c r="S206" s="86">
        <f t="shared" ref="S206:S213" si="59">S205+1</f>
        <v>1203</v>
      </c>
    </row>
    <row r="207" spans="1:19" s="86" customFormat="1" x14ac:dyDescent="0.35">
      <c r="A207" s="131" t="s">
        <v>252</v>
      </c>
      <c r="B207" s="132"/>
      <c r="C207" s="131" t="s">
        <v>272</v>
      </c>
      <c r="D207" s="140"/>
      <c r="E207" s="140"/>
      <c r="F207" s="132"/>
      <c r="G207" s="102"/>
      <c r="H207" s="103"/>
      <c r="I207" s="37"/>
      <c r="L207" s="86" t="str">
        <f t="shared" ca="1" si="56"/>
        <v>1204,..,1204</v>
      </c>
      <c r="M207" s="86" t="s">
        <v>155</v>
      </c>
      <c r="N207" s="37">
        <f t="shared" ref="N207:P207" si="60">N206+1</f>
        <v>4</v>
      </c>
      <c r="O207" s="86">
        <f t="shared" ca="1" si="60"/>
        <v>1204</v>
      </c>
      <c r="P207" s="86">
        <f t="shared" ca="1" si="60"/>
        <v>1204</v>
      </c>
      <c r="S207" s="86">
        <f t="shared" si="59"/>
        <v>1204</v>
      </c>
    </row>
    <row r="208" spans="1:19" s="86" customFormat="1" x14ac:dyDescent="0.35">
      <c r="A208" s="131" t="s">
        <v>252</v>
      </c>
      <c r="B208" s="132"/>
      <c r="C208" s="131" t="s">
        <v>253</v>
      </c>
      <c r="D208" s="140"/>
      <c r="E208" s="140"/>
      <c r="F208" s="132"/>
      <c r="G208" s="102"/>
      <c r="H208" s="103"/>
      <c r="I208" s="37"/>
      <c r="L208" s="86" t="str">
        <f t="shared" ca="1" si="56"/>
        <v>1205,..,1205</v>
      </c>
      <c r="M208" s="86" t="s">
        <v>155</v>
      </c>
      <c r="N208" s="37">
        <f t="shared" ref="N208:P208" si="61">N207+1</f>
        <v>5</v>
      </c>
      <c r="O208" s="86">
        <f t="shared" ca="1" si="61"/>
        <v>1205</v>
      </c>
      <c r="P208" s="86">
        <f t="shared" ca="1" si="61"/>
        <v>1205</v>
      </c>
      <c r="S208" s="86">
        <f t="shared" si="59"/>
        <v>1205</v>
      </c>
    </row>
    <row r="209" spans="1:19" s="86" customFormat="1" x14ac:dyDescent="0.35">
      <c r="A209" s="131">
        <v>3</v>
      </c>
      <c r="B209" s="132"/>
      <c r="C209" s="68" t="s">
        <v>218</v>
      </c>
      <c r="D209" s="68">
        <f>(40.21+0.75*(1.85+2.25+2.55))*10.764</f>
        <v>486.50588999999997</v>
      </c>
      <c r="E209" s="68">
        <f>(2.55*1.3)*10.764</f>
        <v>35.682659999999998</v>
      </c>
      <c r="F209" s="68">
        <f t="shared" ref="F209:F214" si="62">D209*(($F$150)+1)+E209</f>
        <v>741.11620049999988</v>
      </c>
      <c r="G209" s="102"/>
      <c r="H209" s="103"/>
      <c r="I209" s="37"/>
      <c r="L209" s="86" t="str">
        <f t="shared" ca="1" si="56"/>
        <v>1206,..,1206</v>
      </c>
      <c r="M209" s="86" t="s">
        <v>155</v>
      </c>
      <c r="N209" s="37">
        <f t="shared" ref="N209:P209" si="63">N208+1</f>
        <v>6</v>
      </c>
      <c r="O209" s="86">
        <f t="shared" ca="1" si="63"/>
        <v>1206</v>
      </c>
      <c r="P209" s="86">
        <f t="shared" ca="1" si="63"/>
        <v>1206</v>
      </c>
      <c r="S209" s="86">
        <f t="shared" si="59"/>
        <v>1206</v>
      </c>
    </row>
    <row r="210" spans="1:19" s="86" customFormat="1" x14ac:dyDescent="0.35">
      <c r="A210" s="131">
        <f>A209+1</f>
        <v>4</v>
      </c>
      <c r="B210" s="132"/>
      <c r="C210" s="68" t="s">
        <v>217</v>
      </c>
      <c r="D210" s="68">
        <f>(33.63+0.75*(2.7+2.7))*10.764</f>
        <v>405.58752000000004</v>
      </c>
      <c r="E210" s="68">
        <v>0</v>
      </c>
      <c r="F210" s="68">
        <f t="shared" si="62"/>
        <v>588.10190399999999</v>
      </c>
      <c r="G210" s="102"/>
      <c r="H210" s="103"/>
      <c r="I210" s="37"/>
      <c r="L210" s="86" t="str">
        <f t="shared" ca="1" si="56"/>
        <v>1207,..,1207</v>
      </c>
      <c r="M210" s="86" t="s">
        <v>155</v>
      </c>
      <c r="N210" s="37">
        <f t="shared" ref="N210:P210" si="64">N209+1</f>
        <v>7</v>
      </c>
      <c r="O210" s="86">
        <f t="shared" ca="1" si="64"/>
        <v>1207</v>
      </c>
      <c r="P210" s="86">
        <f t="shared" ca="1" si="64"/>
        <v>1207</v>
      </c>
      <c r="S210" s="86">
        <f t="shared" si="59"/>
        <v>1207</v>
      </c>
    </row>
    <row r="211" spans="1:19" s="86" customFormat="1" x14ac:dyDescent="0.35">
      <c r="A211" s="131">
        <f t="shared" ref="A211:A214" si="65">A210+1</f>
        <v>5</v>
      </c>
      <c r="B211" s="132"/>
      <c r="C211" s="68" t="s">
        <v>218</v>
      </c>
      <c r="D211" s="68">
        <f>(39.75+0.75*(1.55+2.4+2.55+2.55))*10.764</f>
        <v>500.92964999999998</v>
      </c>
      <c r="E211" s="68">
        <v>0</v>
      </c>
      <c r="F211" s="68">
        <f t="shared" si="62"/>
        <v>726.34799249999992</v>
      </c>
      <c r="G211" s="102"/>
      <c r="H211" s="103"/>
      <c r="I211" s="37"/>
      <c r="L211" s="86" t="str">
        <f t="shared" ca="1" si="56"/>
        <v>1208,..,1208</v>
      </c>
      <c r="M211" s="86" t="s">
        <v>155</v>
      </c>
      <c r="N211" s="37">
        <f t="shared" ref="N211:P211" si="66">N210+1</f>
        <v>8</v>
      </c>
      <c r="O211" s="86">
        <f t="shared" ca="1" si="66"/>
        <v>1208</v>
      </c>
      <c r="P211" s="86">
        <f t="shared" ca="1" si="66"/>
        <v>1208</v>
      </c>
      <c r="S211" s="86">
        <f t="shared" si="59"/>
        <v>1208</v>
      </c>
    </row>
    <row r="212" spans="1:19" s="86" customFormat="1" x14ac:dyDescent="0.35">
      <c r="A212" s="131">
        <f t="shared" si="65"/>
        <v>6</v>
      </c>
      <c r="B212" s="132"/>
      <c r="C212" s="68" t="s">
        <v>217</v>
      </c>
      <c r="D212" s="68">
        <f>(31.19+0.75*(2.7+2.25+2.55))*10.764</f>
        <v>396.27665999999994</v>
      </c>
      <c r="E212" s="68">
        <v>0</v>
      </c>
      <c r="F212" s="68">
        <f t="shared" si="62"/>
        <v>574.60115699999994</v>
      </c>
      <c r="G212" s="102"/>
      <c r="H212" s="103"/>
      <c r="I212" s="37"/>
      <c r="L212" s="86" t="str">
        <f t="shared" ca="1" si="56"/>
        <v>1209,..,1209</v>
      </c>
      <c r="M212" s="86" t="s">
        <v>155</v>
      </c>
      <c r="N212" s="37">
        <f t="shared" ref="N212:P212" si="67">N211+1</f>
        <v>9</v>
      </c>
      <c r="O212" s="86">
        <f t="shared" ca="1" si="67"/>
        <v>1209</v>
      </c>
      <c r="P212" s="86">
        <f t="shared" ca="1" si="67"/>
        <v>1209</v>
      </c>
      <c r="S212" s="86">
        <f t="shared" si="59"/>
        <v>1209</v>
      </c>
    </row>
    <row r="213" spans="1:19" s="86" customFormat="1" x14ac:dyDescent="0.35">
      <c r="A213" s="131">
        <f t="shared" si="65"/>
        <v>7</v>
      </c>
      <c r="B213" s="132"/>
      <c r="C213" s="68" t="s">
        <v>218</v>
      </c>
      <c r="D213" s="68">
        <f>(40.08+0.75*(2.7+2.1+2.55+2.55))*10.764</f>
        <v>511.34381999999994</v>
      </c>
      <c r="E213" s="68">
        <v>0</v>
      </c>
      <c r="F213" s="68">
        <f t="shared" si="62"/>
        <v>741.44853899999987</v>
      </c>
      <c r="G213" s="102"/>
      <c r="H213" s="103"/>
      <c r="I213" s="37"/>
      <c r="L213" s="86" t="str">
        <f t="shared" ca="1" si="56"/>
        <v>1210,..,1210</v>
      </c>
      <c r="M213" s="86" t="s">
        <v>155</v>
      </c>
      <c r="N213" s="37">
        <f t="shared" ref="N213:P213" si="68">N212+1</f>
        <v>10</v>
      </c>
      <c r="O213" s="86">
        <f t="shared" ca="1" si="68"/>
        <v>1210</v>
      </c>
      <c r="P213" s="86">
        <f t="shared" ca="1" si="68"/>
        <v>1210</v>
      </c>
      <c r="S213" s="86">
        <f t="shared" si="59"/>
        <v>1210</v>
      </c>
    </row>
    <row r="214" spans="1:19" s="69" customFormat="1" x14ac:dyDescent="0.35">
      <c r="A214" s="131">
        <f t="shared" si="65"/>
        <v>8</v>
      </c>
      <c r="B214" s="132"/>
      <c r="C214" s="68" t="s">
        <v>217</v>
      </c>
      <c r="D214" s="68">
        <f>(31.5+0.75*(2.7+2.1+2.55))*10.764</f>
        <v>398.40255000000002</v>
      </c>
      <c r="E214" s="68">
        <v>0</v>
      </c>
      <c r="F214" s="68">
        <f t="shared" si="62"/>
        <v>577.68369749999999</v>
      </c>
      <c r="G214" s="104"/>
      <c r="H214" s="105"/>
    </row>
    <row r="215" spans="1:19" s="1" customFormat="1" x14ac:dyDescent="0.35">
      <c r="A215" s="242" t="s">
        <v>69</v>
      </c>
      <c r="B215" s="242"/>
      <c r="C215" s="242"/>
      <c r="D215" s="242"/>
      <c r="E215" s="242"/>
      <c r="F215" s="242"/>
      <c r="G215" s="242"/>
      <c r="H215" s="242"/>
    </row>
    <row r="216" spans="1:19" s="1" customFormat="1" ht="31.5" customHeight="1" x14ac:dyDescent="0.35">
      <c r="A216" s="74">
        <v>1</v>
      </c>
      <c r="B216" s="106" t="s">
        <v>284</v>
      </c>
      <c r="C216" s="107"/>
      <c r="D216" s="107"/>
      <c r="E216" s="107"/>
      <c r="F216" s="107"/>
      <c r="G216" s="107"/>
      <c r="H216" s="108"/>
    </row>
    <row r="217" spans="1:19" s="1" customFormat="1" x14ac:dyDescent="0.35">
      <c r="A217" s="74">
        <f>A216+1</f>
        <v>2</v>
      </c>
      <c r="B217" s="106" t="s">
        <v>229</v>
      </c>
      <c r="C217" s="107"/>
      <c r="D217" s="107"/>
      <c r="E217" s="107"/>
      <c r="F217" s="107"/>
      <c r="G217" s="107"/>
      <c r="H217" s="108"/>
    </row>
    <row r="218" spans="1:19" s="1" customFormat="1" x14ac:dyDescent="0.35">
      <c r="A218" s="89">
        <f t="shared" ref="A218:A223" si="69">A217+1</f>
        <v>3</v>
      </c>
      <c r="B218" s="163" t="s">
        <v>160</v>
      </c>
      <c r="C218" s="164"/>
      <c r="D218" s="164"/>
      <c r="E218" s="164"/>
      <c r="F218" s="164"/>
      <c r="G218" s="164"/>
      <c r="H218" s="165"/>
    </row>
    <row r="219" spans="1:19" s="1" customFormat="1" x14ac:dyDescent="0.35">
      <c r="A219" s="89">
        <f t="shared" si="69"/>
        <v>4</v>
      </c>
      <c r="B219" s="163" t="s">
        <v>254</v>
      </c>
      <c r="C219" s="164"/>
      <c r="D219" s="164"/>
      <c r="E219" s="164"/>
      <c r="F219" s="164"/>
      <c r="G219" s="164"/>
      <c r="H219" s="165"/>
    </row>
    <row r="220" spans="1:19" s="1" customFormat="1" x14ac:dyDescent="0.35">
      <c r="A220" s="89">
        <f t="shared" si="69"/>
        <v>5</v>
      </c>
      <c r="B220" s="163" t="s">
        <v>161</v>
      </c>
      <c r="C220" s="164"/>
      <c r="D220" s="164"/>
      <c r="E220" s="164"/>
      <c r="F220" s="164"/>
      <c r="G220" s="164"/>
      <c r="H220" s="165"/>
    </row>
    <row r="221" spans="1:19" s="1" customFormat="1" ht="33" customHeight="1" x14ac:dyDescent="0.35">
      <c r="A221" s="89">
        <f t="shared" si="69"/>
        <v>6</v>
      </c>
      <c r="B221" s="163" t="s">
        <v>232</v>
      </c>
      <c r="C221" s="164"/>
      <c r="D221" s="164"/>
      <c r="E221" s="164"/>
      <c r="F221" s="164"/>
      <c r="G221" s="164"/>
      <c r="H221" s="165"/>
    </row>
    <row r="222" spans="1:19" s="1" customFormat="1" x14ac:dyDescent="0.35">
      <c r="A222" s="89">
        <f t="shared" si="69"/>
        <v>7</v>
      </c>
      <c r="B222" s="163" t="s">
        <v>162</v>
      </c>
      <c r="C222" s="164"/>
      <c r="D222" s="164"/>
      <c r="E222" s="164"/>
      <c r="F222" s="164"/>
      <c r="G222" s="164"/>
      <c r="H222" s="165"/>
    </row>
    <row r="223" spans="1:19" s="1" customFormat="1" ht="81" customHeight="1" x14ac:dyDescent="0.35">
      <c r="A223" s="92">
        <f t="shared" si="69"/>
        <v>8</v>
      </c>
      <c r="B223" s="106" t="s">
        <v>287</v>
      </c>
      <c r="C223" s="107"/>
      <c r="D223" s="107"/>
      <c r="E223" s="107"/>
      <c r="F223" s="107"/>
      <c r="G223" s="107"/>
      <c r="H223" s="108"/>
    </row>
    <row r="224" spans="1:19" s="1" customFormat="1" x14ac:dyDescent="0.35">
      <c r="A224" s="89">
        <f>A223+1</f>
        <v>9</v>
      </c>
      <c r="B224" s="106" t="s">
        <v>282</v>
      </c>
      <c r="C224" s="107"/>
      <c r="D224" s="107"/>
      <c r="E224" s="107"/>
      <c r="F224" s="107"/>
      <c r="G224" s="107"/>
      <c r="H224" s="108"/>
      <c r="I224" s="106" t="s">
        <v>231</v>
      </c>
      <c r="J224" s="107"/>
      <c r="K224" s="107"/>
      <c r="L224" s="107"/>
      <c r="M224" s="107"/>
      <c r="N224" s="107"/>
      <c r="O224" s="108"/>
    </row>
    <row r="225" spans="1:8" s="1" customFormat="1" x14ac:dyDescent="0.35">
      <c r="A225" s="92">
        <f>A224+1</f>
        <v>10</v>
      </c>
      <c r="B225" s="106" t="s">
        <v>283</v>
      </c>
      <c r="C225" s="107"/>
      <c r="D225" s="107"/>
      <c r="E225" s="107"/>
      <c r="F225" s="107"/>
      <c r="G225" s="107"/>
      <c r="H225" s="108"/>
    </row>
    <row r="226" spans="1:8" s="1" customFormat="1" x14ac:dyDescent="0.35">
      <c r="A226" s="92">
        <f>A225+1</f>
        <v>11</v>
      </c>
      <c r="B226" s="106" t="s">
        <v>281</v>
      </c>
      <c r="C226" s="107"/>
      <c r="D226" s="107"/>
      <c r="E226" s="107"/>
      <c r="F226" s="107"/>
      <c r="G226" s="107"/>
      <c r="H226" s="108"/>
    </row>
    <row r="227" spans="1:8" x14ac:dyDescent="0.35">
      <c r="A227" s="142" t="s">
        <v>62</v>
      </c>
      <c r="B227" s="142"/>
      <c r="C227" s="142"/>
      <c r="D227" s="142"/>
      <c r="E227" s="142"/>
      <c r="F227" s="142"/>
      <c r="G227" s="142"/>
      <c r="H227" s="142"/>
    </row>
    <row r="228" spans="1:8" ht="15.75" customHeight="1" x14ac:dyDescent="0.35">
      <c r="A228" s="120" t="s">
        <v>63</v>
      </c>
      <c r="B228" s="120"/>
      <c r="C228" s="120"/>
      <c r="D228" s="120"/>
      <c r="E228" s="120"/>
      <c r="F228" s="120"/>
      <c r="G228" s="120"/>
      <c r="H228" s="120"/>
    </row>
    <row r="229" spans="1:8" x14ac:dyDescent="0.35">
      <c r="A229" s="161" t="s">
        <v>64</v>
      </c>
      <c r="B229" s="161"/>
      <c r="C229" s="161"/>
      <c r="D229" s="161"/>
      <c r="E229" s="161"/>
      <c r="F229" s="161"/>
      <c r="G229" s="161"/>
      <c r="H229" s="161"/>
    </row>
    <row r="230" spans="1:8" x14ac:dyDescent="0.35">
      <c r="A230" s="120" t="s">
        <v>65</v>
      </c>
      <c r="B230" s="120"/>
      <c r="C230" s="120"/>
      <c r="D230" s="120"/>
      <c r="E230" s="120"/>
      <c r="F230" s="120"/>
      <c r="G230" s="120"/>
      <c r="H230" s="120"/>
    </row>
    <row r="231" spans="1:8" x14ac:dyDescent="0.35">
      <c r="A231" s="120" t="s">
        <v>66</v>
      </c>
      <c r="B231" s="120"/>
      <c r="C231" s="120"/>
      <c r="D231" s="120"/>
      <c r="E231" s="120"/>
      <c r="F231" s="120"/>
      <c r="G231" s="120"/>
      <c r="H231" s="120"/>
    </row>
    <row r="232" spans="1:8" x14ac:dyDescent="0.35">
      <c r="A232" s="120" t="s">
        <v>163</v>
      </c>
      <c r="B232" s="120"/>
      <c r="C232" s="120"/>
      <c r="D232" s="120"/>
      <c r="E232" s="120"/>
      <c r="F232" s="120"/>
      <c r="G232" s="120"/>
      <c r="H232" s="120"/>
    </row>
    <row r="233" spans="1:8" x14ac:dyDescent="0.35">
      <c r="A233" s="113" t="s">
        <v>164</v>
      </c>
      <c r="B233" s="113"/>
      <c r="C233" s="113"/>
      <c r="D233" s="113"/>
      <c r="E233" s="113"/>
      <c r="F233" s="113"/>
      <c r="G233" s="113"/>
      <c r="H233" s="113"/>
    </row>
    <row r="234" spans="1:8" x14ac:dyDescent="0.35">
      <c r="A234" s="159" t="s">
        <v>102</v>
      </c>
      <c r="B234" s="159"/>
      <c r="C234" s="159" t="s">
        <v>107</v>
      </c>
      <c r="D234" s="159"/>
      <c r="E234" s="159" t="s">
        <v>139</v>
      </c>
      <c r="F234" s="159"/>
      <c r="G234" s="159" t="s">
        <v>288</v>
      </c>
      <c r="H234" s="159"/>
    </row>
    <row r="235" spans="1:8" x14ac:dyDescent="0.35">
      <c r="A235" s="158" t="s">
        <v>104</v>
      </c>
      <c r="B235" s="158"/>
      <c r="C235" s="158"/>
      <c r="D235" s="158"/>
      <c r="E235" s="158"/>
      <c r="F235" s="158"/>
      <c r="G235" s="158"/>
      <c r="H235" s="158"/>
    </row>
    <row r="236" spans="1:8" x14ac:dyDescent="0.35">
      <c r="A236" s="158"/>
      <c r="B236" s="158"/>
      <c r="C236" s="158"/>
      <c r="D236" s="158"/>
      <c r="E236" s="158"/>
      <c r="F236" s="158"/>
      <c r="G236" s="158"/>
      <c r="H236" s="158"/>
    </row>
    <row r="237" spans="1:8" x14ac:dyDescent="0.35">
      <c r="A237" s="158"/>
      <c r="B237" s="158"/>
      <c r="C237" s="158"/>
      <c r="D237" s="158"/>
      <c r="E237" s="158"/>
      <c r="F237" s="158"/>
      <c r="G237" s="158"/>
      <c r="H237" s="158"/>
    </row>
    <row r="238" spans="1:8" x14ac:dyDescent="0.35">
      <c r="A238" s="158"/>
      <c r="B238" s="158"/>
      <c r="C238" s="158"/>
      <c r="D238" s="158"/>
      <c r="E238" s="158"/>
      <c r="F238" s="158"/>
      <c r="G238" s="158"/>
      <c r="H238" s="158"/>
    </row>
    <row r="239" spans="1:8" x14ac:dyDescent="0.35">
      <c r="A239" s="81" t="s">
        <v>67</v>
      </c>
      <c r="B239" s="82"/>
      <c r="C239" s="82"/>
      <c r="D239" s="81" t="str">
        <f>E8</f>
        <v>Laxmi Shankar Complex</v>
      </c>
      <c r="E239" s="83"/>
      <c r="F239" s="82"/>
      <c r="G239" s="82"/>
      <c r="H239" s="82"/>
    </row>
    <row r="240" spans="1:8" x14ac:dyDescent="0.35">
      <c r="A240" s="82"/>
      <c r="B240" s="82"/>
      <c r="C240" s="82"/>
      <c r="D240" s="82"/>
      <c r="E240" s="82"/>
      <c r="F240" s="82"/>
      <c r="G240" s="82"/>
      <c r="H240" s="82"/>
    </row>
    <row r="241" spans="1:8" ht="15" customHeight="1" x14ac:dyDescent="0.35">
      <c r="A241" s="82"/>
      <c r="B241" s="82"/>
      <c r="C241" s="82"/>
      <c r="D241" s="82"/>
      <c r="E241" s="82"/>
      <c r="F241" s="82"/>
      <c r="G241" s="82"/>
      <c r="H241" s="82"/>
    </row>
    <row r="242" spans="1:8" x14ac:dyDescent="0.35">
      <c r="A242" s="83"/>
      <c r="B242" s="83"/>
      <c r="C242" s="83"/>
      <c r="D242" s="83"/>
      <c r="E242" s="83"/>
      <c r="F242" s="83"/>
      <c r="G242" s="83"/>
      <c r="H242" s="83"/>
    </row>
    <row r="243" spans="1:8" x14ac:dyDescent="0.35">
      <c r="A243" s="83"/>
      <c r="B243" s="83"/>
      <c r="C243" s="83"/>
      <c r="D243" s="83"/>
      <c r="E243" s="83"/>
      <c r="F243" s="83"/>
      <c r="G243" s="83"/>
      <c r="H243" s="83"/>
    </row>
    <row r="244" spans="1:8" x14ac:dyDescent="0.35">
      <c r="A244" s="83"/>
      <c r="B244" s="83"/>
      <c r="C244" s="83"/>
      <c r="D244" s="83"/>
      <c r="E244" s="83"/>
      <c r="F244" s="83"/>
      <c r="G244" s="83"/>
      <c r="H244" s="83"/>
    </row>
    <row r="245" spans="1:8" x14ac:dyDescent="0.35">
      <c r="A245" s="83"/>
      <c r="B245" s="83"/>
      <c r="C245" s="83"/>
      <c r="D245" s="83"/>
      <c r="E245" s="83"/>
      <c r="F245" s="83"/>
      <c r="G245" s="83"/>
      <c r="H245" s="83"/>
    </row>
    <row r="246" spans="1:8" x14ac:dyDescent="0.35">
      <c r="A246" s="83"/>
      <c r="B246" s="83"/>
      <c r="C246" s="83"/>
      <c r="D246" s="83"/>
      <c r="E246" s="83"/>
      <c r="F246" s="83"/>
      <c r="G246" s="83"/>
      <c r="H246" s="83"/>
    </row>
    <row r="247" spans="1:8" x14ac:dyDescent="0.35">
      <c r="A247" s="83"/>
      <c r="B247" s="83"/>
      <c r="C247" s="83"/>
      <c r="D247" s="83"/>
      <c r="E247" s="83"/>
      <c r="F247" s="83"/>
      <c r="G247" s="83"/>
      <c r="H247" s="83"/>
    </row>
    <row r="248" spans="1:8" x14ac:dyDescent="0.35">
      <c r="A248" s="83"/>
      <c r="B248" s="83"/>
      <c r="C248" s="83"/>
      <c r="D248" s="83"/>
      <c r="E248" s="83"/>
      <c r="F248" s="83"/>
      <c r="G248" s="83"/>
      <c r="H248" s="83"/>
    </row>
    <row r="249" spans="1:8" x14ac:dyDescent="0.35">
      <c r="A249" s="83"/>
      <c r="B249" s="83"/>
      <c r="C249" s="83"/>
      <c r="D249" s="83"/>
      <c r="E249" s="83"/>
      <c r="F249" s="83"/>
      <c r="G249" s="83"/>
      <c r="H249" s="83"/>
    </row>
    <row r="250" spans="1:8" x14ac:dyDescent="0.35">
      <c r="A250" s="83"/>
      <c r="B250" s="83"/>
      <c r="C250" s="83"/>
      <c r="D250" s="83"/>
      <c r="E250" s="83"/>
      <c r="F250" s="83"/>
      <c r="G250" s="83"/>
      <c r="H250" s="83"/>
    </row>
    <row r="251" spans="1:8" x14ac:dyDescent="0.35">
      <c r="A251" s="83"/>
      <c r="B251" s="83"/>
      <c r="C251" s="83"/>
      <c r="D251" s="83"/>
      <c r="E251" s="83"/>
      <c r="F251" s="83"/>
      <c r="G251" s="83"/>
      <c r="H251" s="83"/>
    </row>
    <row r="252" spans="1:8" x14ac:dyDescent="0.35">
      <c r="A252" s="83"/>
      <c r="B252" s="83"/>
      <c r="C252" s="83"/>
      <c r="D252" s="83"/>
      <c r="E252" s="83"/>
      <c r="F252" s="83"/>
      <c r="G252" s="83"/>
      <c r="H252" s="83"/>
    </row>
    <row r="253" spans="1:8" x14ac:dyDescent="0.35">
      <c r="A253" s="83"/>
      <c r="B253" s="83"/>
      <c r="C253" s="83"/>
      <c r="D253" s="83"/>
      <c r="E253" s="83"/>
      <c r="F253" s="83"/>
      <c r="G253" s="83"/>
      <c r="H253" s="83"/>
    </row>
    <row r="254" spans="1:8" x14ac:dyDescent="0.35">
      <c r="A254" s="83"/>
      <c r="B254" s="83"/>
      <c r="C254" s="83"/>
      <c r="D254" s="83"/>
      <c r="E254" s="83"/>
      <c r="F254" s="83"/>
      <c r="G254" s="83"/>
      <c r="H254" s="83"/>
    </row>
    <row r="255" spans="1:8" x14ac:dyDescent="0.35">
      <c r="A255" s="83"/>
      <c r="B255" s="83"/>
      <c r="C255" s="83"/>
      <c r="D255" s="83"/>
      <c r="E255" s="83"/>
      <c r="F255" s="83"/>
      <c r="G255" s="83"/>
      <c r="H255" s="83"/>
    </row>
    <row r="256" spans="1:8" x14ac:dyDescent="0.35">
      <c r="A256" s="83"/>
      <c r="B256" s="83"/>
      <c r="C256" s="83"/>
      <c r="D256" s="83"/>
      <c r="E256" s="83"/>
      <c r="F256" s="83"/>
      <c r="G256" s="83"/>
      <c r="H256" s="83"/>
    </row>
    <row r="257" spans="1:8" x14ac:dyDescent="0.35">
      <c r="A257" s="83"/>
      <c r="B257" s="83"/>
      <c r="C257" s="83"/>
      <c r="D257" s="83"/>
      <c r="E257" s="83"/>
      <c r="F257" s="83"/>
      <c r="G257" s="83"/>
      <c r="H257" s="83"/>
    </row>
    <row r="258" spans="1:8" x14ac:dyDescent="0.35">
      <c r="A258" s="83"/>
      <c r="B258" s="83"/>
      <c r="C258" s="83"/>
      <c r="D258" s="83"/>
      <c r="E258" s="83"/>
      <c r="F258" s="83"/>
      <c r="G258" s="83"/>
      <c r="H258" s="83"/>
    </row>
    <row r="259" spans="1:8" x14ac:dyDescent="0.35">
      <c r="A259" s="83"/>
      <c r="B259" s="83"/>
      <c r="C259" s="83"/>
      <c r="D259" s="83"/>
      <c r="E259" s="83"/>
      <c r="F259" s="83"/>
      <c r="G259" s="83"/>
      <c r="H259" s="83"/>
    </row>
    <row r="260" spans="1:8" x14ac:dyDescent="0.35">
      <c r="A260" s="83"/>
      <c r="B260" s="83"/>
      <c r="C260" s="83"/>
      <c r="D260" s="83"/>
      <c r="E260" s="83"/>
      <c r="F260" s="83"/>
      <c r="G260" s="83"/>
      <c r="H260" s="83"/>
    </row>
    <row r="261" spans="1:8" x14ac:dyDescent="0.35">
      <c r="A261" s="83"/>
      <c r="B261" s="83"/>
      <c r="C261" s="83"/>
      <c r="D261" s="83"/>
      <c r="E261" s="83"/>
      <c r="F261" s="83"/>
      <c r="G261" s="83"/>
      <c r="H261" s="83"/>
    </row>
    <row r="262" spans="1:8" x14ac:dyDescent="0.35">
      <c r="A262" s="83"/>
      <c r="B262" s="83"/>
      <c r="C262" s="83"/>
      <c r="D262" s="83"/>
      <c r="E262" s="83"/>
      <c r="F262" s="83"/>
      <c r="G262" s="83"/>
      <c r="H262" s="83"/>
    </row>
    <row r="263" spans="1:8" x14ac:dyDescent="0.35">
      <c r="A263" s="83"/>
      <c r="B263" s="83"/>
      <c r="C263" s="83"/>
      <c r="D263" s="83"/>
      <c r="E263" s="83"/>
      <c r="F263" s="83"/>
      <c r="G263" s="83"/>
      <c r="H263" s="83"/>
    </row>
    <row r="264" spans="1:8" x14ac:dyDescent="0.35">
      <c r="A264" s="83"/>
      <c r="B264" s="83"/>
      <c r="C264" s="83"/>
      <c r="D264" s="83"/>
      <c r="E264" s="83"/>
      <c r="F264" s="83"/>
      <c r="G264" s="83"/>
      <c r="H264" s="83"/>
    </row>
    <row r="265" spans="1:8" x14ac:dyDescent="0.35">
      <c r="A265" s="83"/>
      <c r="B265" s="83"/>
      <c r="C265" s="83"/>
      <c r="D265" s="83"/>
      <c r="E265" s="83"/>
      <c r="F265" s="83"/>
      <c r="G265" s="83"/>
      <c r="H265" s="83"/>
    </row>
    <row r="266" spans="1:8" x14ac:dyDescent="0.35">
      <c r="A266" s="83"/>
      <c r="B266" s="83"/>
      <c r="C266" s="83"/>
      <c r="D266" s="83"/>
      <c r="E266" s="83"/>
      <c r="F266" s="83"/>
      <c r="G266" s="83"/>
      <c r="H266" s="83"/>
    </row>
    <row r="267" spans="1:8" x14ac:dyDescent="0.35">
      <c r="A267" s="83"/>
      <c r="B267" s="83"/>
      <c r="C267" s="83"/>
      <c r="D267" s="83"/>
      <c r="E267" s="83"/>
      <c r="F267" s="83"/>
      <c r="G267" s="83"/>
      <c r="H267" s="83"/>
    </row>
    <row r="268" spans="1:8" x14ac:dyDescent="0.35">
      <c r="A268" s="83"/>
      <c r="B268" s="83"/>
      <c r="C268" s="83"/>
      <c r="D268" s="83"/>
      <c r="E268" s="83"/>
      <c r="F268" s="83"/>
      <c r="G268" s="83"/>
      <c r="H268" s="83"/>
    </row>
    <row r="269" spans="1:8" x14ac:dyDescent="0.35">
      <c r="A269" s="83"/>
      <c r="B269" s="83"/>
      <c r="C269" s="83"/>
      <c r="D269" s="83"/>
      <c r="E269" s="83"/>
      <c r="F269" s="83"/>
      <c r="G269" s="83"/>
      <c r="H269" s="83"/>
    </row>
    <row r="270" spans="1:8" x14ac:dyDescent="0.35">
      <c r="A270" s="83"/>
      <c r="B270" s="83"/>
      <c r="C270" s="83"/>
      <c r="D270" s="83"/>
      <c r="E270" s="83"/>
      <c r="F270" s="83"/>
      <c r="G270" s="83"/>
      <c r="H270" s="83"/>
    </row>
    <row r="271" spans="1:8" x14ac:dyDescent="0.35">
      <c r="A271" s="83"/>
      <c r="B271" s="83"/>
      <c r="C271" s="83"/>
      <c r="D271" s="83"/>
      <c r="E271" s="83"/>
      <c r="F271" s="83"/>
      <c r="G271" s="83"/>
      <c r="H271" s="83"/>
    </row>
    <row r="272" spans="1:8" x14ac:dyDescent="0.35">
      <c r="A272" s="83"/>
      <c r="B272" s="83"/>
      <c r="C272" s="83"/>
      <c r="D272" s="83"/>
      <c r="E272" s="83"/>
      <c r="F272" s="83"/>
      <c r="G272" s="83"/>
      <c r="H272" s="83"/>
    </row>
    <row r="273" spans="1:8" x14ac:dyDescent="0.35">
      <c r="A273" s="83"/>
      <c r="B273" s="83"/>
      <c r="C273" s="83"/>
      <c r="D273" s="83"/>
      <c r="E273" s="83"/>
      <c r="F273" s="83"/>
      <c r="G273" s="83"/>
      <c r="H273" s="83"/>
    </row>
    <row r="274" spans="1:8" x14ac:dyDescent="0.35">
      <c r="A274" s="83"/>
      <c r="B274" s="83"/>
      <c r="C274" s="83"/>
      <c r="D274" s="83"/>
      <c r="E274" s="83"/>
      <c r="F274" s="83"/>
      <c r="G274" s="83"/>
      <c r="H274" s="83"/>
    </row>
    <row r="275" spans="1:8" x14ac:dyDescent="0.35">
      <c r="A275" s="83"/>
      <c r="B275" s="83"/>
      <c r="C275" s="83"/>
      <c r="D275" s="83"/>
      <c r="E275" s="83"/>
      <c r="F275" s="83"/>
      <c r="G275" s="83"/>
      <c r="H275" s="83"/>
    </row>
    <row r="276" spans="1:8" x14ac:dyDescent="0.35">
      <c r="A276" s="83"/>
      <c r="B276" s="83"/>
      <c r="C276" s="83"/>
      <c r="D276" s="83"/>
      <c r="E276" s="83"/>
      <c r="F276" s="83"/>
      <c r="G276" s="83"/>
      <c r="H276" s="83"/>
    </row>
    <row r="277" spans="1:8" x14ac:dyDescent="0.35">
      <c r="A277" s="83"/>
      <c r="B277" s="83"/>
      <c r="C277" s="83"/>
      <c r="D277" s="83"/>
      <c r="E277" s="83"/>
      <c r="F277" s="83"/>
      <c r="G277" s="83"/>
      <c r="H277" s="83"/>
    </row>
    <row r="278" spans="1:8" x14ac:dyDescent="0.35">
      <c r="A278" s="83"/>
      <c r="B278" s="83"/>
      <c r="C278" s="83"/>
      <c r="D278" s="83"/>
      <c r="E278" s="83"/>
      <c r="F278" s="83"/>
      <c r="G278" s="83"/>
      <c r="H278" s="83"/>
    </row>
    <row r="279" spans="1:8" x14ac:dyDescent="0.35">
      <c r="A279" s="83"/>
      <c r="B279" s="83"/>
      <c r="C279" s="83"/>
      <c r="D279" s="83"/>
      <c r="E279" s="83"/>
      <c r="F279" s="83"/>
      <c r="G279" s="83"/>
      <c r="H279" s="83"/>
    </row>
    <row r="280" spans="1:8" x14ac:dyDescent="0.35">
      <c r="A280" s="83"/>
      <c r="B280" s="83"/>
      <c r="C280" s="83"/>
      <c r="D280" s="83"/>
      <c r="E280" s="83"/>
      <c r="F280" s="83"/>
      <c r="G280" s="83"/>
      <c r="H280" s="83"/>
    </row>
    <row r="281" spans="1:8" x14ac:dyDescent="0.35">
      <c r="A281" s="84" t="s">
        <v>257</v>
      </c>
      <c r="B281" s="83"/>
      <c r="C281" s="83"/>
      <c r="D281" s="83"/>
      <c r="E281" s="83"/>
      <c r="F281" s="83"/>
      <c r="G281" s="83"/>
      <c r="H281" s="83"/>
    </row>
    <row r="282" spans="1:8" x14ac:dyDescent="0.35">
      <c r="A282" s="83"/>
      <c r="B282" s="83"/>
      <c r="C282" s="83"/>
      <c r="D282" s="83"/>
      <c r="E282" s="83"/>
      <c r="F282" s="83"/>
      <c r="G282" s="83"/>
      <c r="H282" s="83"/>
    </row>
    <row r="283" spans="1:8" x14ac:dyDescent="0.35">
      <c r="A283" s="83"/>
      <c r="B283" s="83"/>
      <c r="C283" s="83"/>
      <c r="D283" s="83"/>
      <c r="E283" s="83"/>
      <c r="F283" s="83"/>
      <c r="G283" s="83"/>
      <c r="H283" s="83"/>
    </row>
    <row r="284" spans="1:8" x14ac:dyDescent="0.35">
      <c r="A284" s="83"/>
      <c r="B284" s="83"/>
      <c r="C284" s="83"/>
      <c r="D284" s="83"/>
      <c r="E284" s="83"/>
      <c r="F284" s="83"/>
      <c r="G284" s="83"/>
      <c r="H284" s="83"/>
    </row>
    <row r="285" spans="1:8" x14ac:dyDescent="0.35">
      <c r="A285" s="83"/>
      <c r="B285" s="83"/>
      <c r="C285" s="83"/>
      <c r="D285" s="83"/>
      <c r="E285" s="83"/>
      <c r="F285" s="83"/>
      <c r="G285" s="83"/>
      <c r="H285" s="83"/>
    </row>
    <row r="286" spans="1:8" x14ac:dyDescent="0.35">
      <c r="A286" s="83"/>
      <c r="B286" s="83"/>
      <c r="C286" s="83"/>
      <c r="D286" s="83"/>
      <c r="E286" s="83"/>
      <c r="F286" s="83"/>
      <c r="G286" s="83"/>
      <c r="H286" s="83"/>
    </row>
    <row r="287" spans="1:8" x14ac:dyDescent="0.35">
      <c r="A287" s="83"/>
      <c r="B287" s="83"/>
      <c r="C287" s="83"/>
      <c r="D287" s="83"/>
      <c r="E287" s="83"/>
      <c r="F287" s="83"/>
      <c r="G287" s="83"/>
      <c r="H287" s="83"/>
    </row>
    <row r="288" spans="1:8" x14ac:dyDescent="0.35">
      <c r="A288" s="83"/>
      <c r="B288" s="83"/>
      <c r="C288" s="83"/>
      <c r="D288" s="83"/>
      <c r="E288" s="83"/>
      <c r="F288" s="83"/>
      <c r="G288" s="83"/>
      <c r="H288" s="83"/>
    </row>
    <row r="289" spans="1:8" x14ac:dyDescent="0.35">
      <c r="A289" s="83"/>
      <c r="B289" s="83"/>
      <c r="C289" s="83"/>
      <c r="D289" s="83"/>
      <c r="E289" s="83"/>
      <c r="F289" s="83"/>
      <c r="G289" s="83"/>
      <c r="H289" s="83"/>
    </row>
    <row r="290" spans="1:8" x14ac:dyDescent="0.35">
      <c r="A290" s="83"/>
      <c r="B290" s="83"/>
      <c r="C290" s="83"/>
      <c r="D290" s="83"/>
      <c r="E290" s="83"/>
      <c r="F290" s="83"/>
      <c r="G290" s="83"/>
      <c r="H290" s="83"/>
    </row>
    <row r="291" spans="1:8" x14ac:dyDescent="0.35">
      <c r="A291" s="83"/>
      <c r="B291" s="83"/>
      <c r="C291" s="83"/>
      <c r="D291" s="83"/>
      <c r="E291" s="83"/>
      <c r="F291" s="83"/>
      <c r="G291" s="83"/>
      <c r="H291" s="83"/>
    </row>
    <row r="292" spans="1:8" x14ac:dyDescent="0.35">
      <c r="A292" s="83"/>
      <c r="B292" s="83"/>
      <c r="C292" s="83"/>
      <c r="D292" s="83"/>
      <c r="E292" s="83"/>
      <c r="F292" s="83"/>
      <c r="G292" s="83"/>
      <c r="H292" s="83"/>
    </row>
    <row r="293" spans="1:8" x14ac:dyDescent="0.35">
      <c r="A293" s="83"/>
      <c r="B293" s="83"/>
      <c r="C293" s="83"/>
      <c r="D293" s="83"/>
      <c r="E293" s="83"/>
      <c r="F293" s="83"/>
      <c r="G293" s="83"/>
      <c r="H293" s="83"/>
    </row>
    <row r="294" spans="1:8" x14ac:dyDescent="0.35">
      <c r="A294" s="83"/>
      <c r="B294" s="83"/>
      <c r="C294" s="83"/>
      <c r="D294" s="83"/>
      <c r="E294" s="83"/>
      <c r="F294" s="83"/>
      <c r="G294" s="83"/>
      <c r="H294" s="83"/>
    </row>
    <row r="295" spans="1:8" x14ac:dyDescent="0.35">
      <c r="A295" s="83"/>
      <c r="B295" s="83"/>
      <c r="C295" s="83"/>
      <c r="D295" s="83"/>
      <c r="E295" s="83"/>
      <c r="F295" s="83"/>
      <c r="G295" s="83"/>
      <c r="H295" s="83"/>
    </row>
    <row r="296" spans="1:8" x14ac:dyDescent="0.35">
      <c r="A296" s="83"/>
      <c r="B296" s="83"/>
      <c r="C296" s="83"/>
      <c r="D296" s="83"/>
      <c r="E296" s="83"/>
      <c r="F296" s="83"/>
      <c r="G296" s="83"/>
      <c r="H296" s="83"/>
    </row>
    <row r="297" spans="1:8" x14ac:dyDescent="0.35">
      <c r="A297" s="83"/>
      <c r="B297" s="83"/>
      <c r="C297" s="83"/>
      <c r="D297" s="83"/>
      <c r="E297" s="83"/>
      <c r="F297" s="83"/>
      <c r="G297" s="83"/>
      <c r="H297" s="83"/>
    </row>
    <row r="298" spans="1:8" x14ac:dyDescent="0.35">
      <c r="A298" s="83"/>
      <c r="B298" s="83"/>
      <c r="C298" s="83"/>
      <c r="D298" s="83"/>
      <c r="E298" s="83"/>
      <c r="F298" s="83"/>
      <c r="G298" s="83"/>
      <c r="H298" s="83"/>
    </row>
    <row r="299" spans="1:8" x14ac:dyDescent="0.35">
      <c r="A299" s="83"/>
      <c r="B299" s="83"/>
      <c r="C299" s="83"/>
      <c r="D299" s="83"/>
      <c r="E299" s="83"/>
      <c r="F299" s="83"/>
      <c r="G299" s="83"/>
      <c r="H299" s="83"/>
    </row>
    <row r="300" spans="1:8" x14ac:dyDescent="0.35">
      <c r="A300" s="83"/>
      <c r="B300" s="83"/>
      <c r="C300" s="83"/>
      <c r="D300" s="83"/>
      <c r="E300" s="83"/>
      <c r="F300" s="83"/>
      <c r="G300" s="83"/>
      <c r="H300" s="83"/>
    </row>
    <row r="301" spans="1:8" x14ac:dyDescent="0.35">
      <c r="A301" s="83"/>
      <c r="B301" s="83"/>
      <c r="C301" s="83"/>
      <c r="D301" s="83"/>
      <c r="E301" s="83"/>
      <c r="F301" s="83"/>
      <c r="G301" s="83"/>
      <c r="H301" s="83"/>
    </row>
    <row r="302" spans="1:8" x14ac:dyDescent="0.35">
      <c r="A302" s="83"/>
      <c r="B302" s="83"/>
      <c r="C302" s="83"/>
      <c r="D302" s="83"/>
      <c r="E302" s="83"/>
      <c r="F302" s="83"/>
      <c r="G302" s="83"/>
      <c r="H302" s="83"/>
    </row>
    <row r="303" spans="1:8" x14ac:dyDescent="0.35">
      <c r="A303" s="83"/>
      <c r="B303" s="83"/>
      <c r="C303" s="83"/>
      <c r="D303" s="83"/>
      <c r="E303" s="83"/>
      <c r="F303" s="83"/>
      <c r="G303" s="83"/>
      <c r="H303" s="83"/>
    </row>
    <row r="304" spans="1:8" x14ac:dyDescent="0.35">
      <c r="A304" s="83"/>
      <c r="B304" s="83"/>
      <c r="C304" s="83"/>
      <c r="D304" s="83"/>
      <c r="E304" s="83"/>
      <c r="F304" s="83"/>
      <c r="G304" s="83"/>
      <c r="H304" s="83"/>
    </row>
    <row r="305" spans="1:8" x14ac:dyDescent="0.35">
      <c r="A305" s="83"/>
      <c r="B305" s="83"/>
      <c r="C305" s="83"/>
      <c r="D305" s="83"/>
      <c r="E305" s="83"/>
      <c r="F305" s="83"/>
      <c r="G305" s="83"/>
      <c r="H305" s="83"/>
    </row>
    <row r="306" spans="1:8" x14ac:dyDescent="0.35">
      <c r="A306" s="83"/>
      <c r="B306" s="83"/>
      <c r="C306" s="83"/>
      <c r="D306" s="83"/>
      <c r="E306" s="83"/>
      <c r="F306" s="83"/>
      <c r="G306" s="83"/>
      <c r="H306" s="83"/>
    </row>
    <row r="307" spans="1:8" x14ac:dyDescent="0.35">
      <c r="A307" s="83"/>
      <c r="B307" s="83"/>
      <c r="C307" s="83"/>
      <c r="D307" s="83"/>
      <c r="E307" s="83"/>
      <c r="F307" s="83"/>
      <c r="G307" s="83"/>
      <c r="H307" s="83"/>
    </row>
    <row r="308" spans="1:8" x14ac:dyDescent="0.35">
      <c r="A308" s="83"/>
      <c r="B308" s="83"/>
      <c r="C308" s="83"/>
      <c r="D308" s="83"/>
      <c r="E308" s="83"/>
      <c r="F308" s="83"/>
      <c r="G308" s="83"/>
      <c r="H308" s="83"/>
    </row>
    <row r="309" spans="1:8" x14ac:dyDescent="0.35">
      <c r="A309" s="83"/>
      <c r="B309" s="83"/>
      <c r="C309" s="83"/>
      <c r="D309" s="83"/>
      <c r="E309" s="83"/>
      <c r="F309" s="83"/>
      <c r="G309" s="83"/>
      <c r="H309" s="83"/>
    </row>
    <row r="310" spans="1:8" x14ac:dyDescent="0.35">
      <c r="A310" s="83"/>
      <c r="B310" s="83"/>
      <c r="C310" s="83"/>
      <c r="D310" s="83"/>
      <c r="E310" s="83"/>
      <c r="F310" s="83"/>
      <c r="G310" s="83"/>
      <c r="H310" s="83"/>
    </row>
    <row r="311" spans="1:8" x14ac:dyDescent="0.35">
      <c r="A311" s="83"/>
      <c r="B311" s="83"/>
      <c r="C311" s="83"/>
      <c r="D311" s="83"/>
      <c r="E311" s="83"/>
      <c r="F311" s="83"/>
      <c r="G311" s="83"/>
      <c r="H311" s="83"/>
    </row>
    <row r="312" spans="1:8" x14ac:dyDescent="0.35">
      <c r="A312" s="83"/>
      <c r="B312" s="83"/>
      <c r="C312" s="83"/>
      <c r="D312" s="83"/>
      <c r="E312" s="83"/>
      <c r="F312" s="83"/>
      <c r="G312" s="83"/>
      <c r="H312" s="83"/>
    </row>
    <row r="313" spans="1:8" x14ac:dyDescent="0.35">
      <c r="A313" s="83"/>
      <c r="B313" s="83"/>
      <c r="C313" s="83"/>
      <c r="D313" s="83"/>
      <c r="E313" s="83"/>
      <c r="F313" s="83"/>
      <c r="G313" s="83"/>
      <c r="H313" s="83"/>
    </row>
    <row r="314" spans="1:8" x14ac:dyDescent="0.35">
      <c r="A314" s="83"/>
      <c r="B314" s="83"/>
      <c r="C314" s="83"/>
      <c r="D314" s="83"/>
      <c r="E314" s="83"/>
      <c r="F314" s="83"/>
      <c r="G314" s="83"/>
      <c r="H314" s="83"/>
    </row>
    <row r="315" spans="1:8" x14ac:dyDescent="0.35">
      <c r="A315" s="83"/>
      <c r="B315" s="83"/>
      <c r="C315" s="83"/>
      <c r="D315" s="83"/>
      <c r="E315" s="83"/>
      <c r="F315" s="83"/>
      <c r="G315" s="83"/>
      <c r="H315" s="83"/>
    </row>
    <row r="316" spans="1:8" x14ac:dyDescent="0.35">
      <c r="A316" s="83"/>
      <c r="B316" s="83"/>
      <c r="C316" s="83"/>
      <c r="D316" s="83"/>
      <c r="E316" s="83"/>
      <c r="F316" s="83"/>
      <c r="G316" s="83"/>
      <c r="H316" s="83"/>
    </row>
    <row r="317" spans="1:8" x14ac:dyDescent="0.35">
      <c r="A317" s="83"/>
      <c r="B317" s="83"/>
      <c r="C317" s="83"/>
      <c r="D317" s="83"/>
      <c r="E317" s="83"/>
      <c r="F317" s="83"/>
      <c r="G317" s="83"/>
      <c r="H317" s="83"/>
    </row>
    <row r="318" spans="1:8" x14ac:dyDescent="0.35">
      <c r="A318" s="83"/>
      <c r="B318" s="83"/>
      <c r="C318" s="83"/>
      <c r="D318" s="83"/>
      <c r="E318" s="83"/>
      <c r="F318" s="83"/>
      <c r="G318" s="83"/>
      <c r="H318" s="83"/>
    </row>
    <row r="319" spans="1:8" x14ac:dyDescent="0.35">
      <c r="A319" s="83"/>
      <c r="B319" s="83"/>
      <c r="C319" s="83"/>
      <c r="D319" s="83"/>
      <c r="E319" s="83"/>
      <c r="F319" s="83"/>
      <c r="G319" s="83"/>
      <c r="H319" s="83"/>
    </row>
    <row r="320" spans="1:8" x14ac:dyDescent="0.35">
      <c r="A320" s="83"/>
      <c r="B320" s="83"/>
      <c r="C320" s="83"/>
      <c r="D320" s="83"/>
      <c r="E320" s="83"/>
      <c r="F320" s="83"/>
      <c r="G320" s="83"/>
      <c r="H320" s="83"/>
    </row>
    <row r="321" spans="1:8" x14ac:dyDescent="0.35">
      <c r="A321" s="83"/>
      <c r="B321" s="83"/>
      <c r="C321" s="83"/>
      <c r="D321" s="83"/>
      <c r="E321" s="83"/>
      <c r="F321" s="83"/>
      <c r="G321" s="83"/>
      <c r="H321" s="83"/>
    </row>
    <row r="322" spans="1:8" x14ac:dyDescent="0.35">
      <c r="A322" s="83"/>
      <c r="B322" s="83"/>
      <c r="C322" s="83"/>
      <c r="D322" s="83"/>
      <c r="E322" s="83"/>
      <c r="F322" s="83"/>
      <c r="G322" s="83"/>
      <c r="H322" s="83"/>
    </row>
    <row r="323" spans="1:8" x14ac:dyDescent="0.35">
      <c r="A323" s="83"/>
      <c r="B323" s="83"/>
      <c r="C323" s="83"/>
      <c r="D323" s="83"/>
      <c r="E323" s="83"/>
      <c r="F323" s="83"/>
      <c r="G323" s="83"/>
      <c r="H323" s="83"/>
    </row>
    <row r="324" spans="1:8" x14ac:dyDescent="0.35">
      <c r="A324" s="84" t="s">
        <v>258</v>
      </c>
      <c r="B324" s="83"/>
      <c r="C324" s="83"/>
      <c r="D324" s="83"/>
      <c r="E324" s="83"/>
      <c r="F324" s="83"/>
      <c r="G324" s="83"/>
      <c r="H324" s="83"/>
    </row>
    <row r="325" spans="1:8" x14ac:dyDescent="0.35">
      <c r="A325" s="83"/>
      <c r="B325" s="83"/>
      <c r="C325" s="83"/>
      <c r="D325" s="83"/>
      <c r="E325" s="83"/>
      <c r="F325" s="83"/>
      <c r="G325" s="83"/>
      <c r="H325" s="83"/>
    </row>
    <row r="326" spans="1:8" x14ac:dyDescent="0.35">
      <c r="A326" s="83"/>
      <c r="B326" s="83"/>
      <c r="C326" s="83"/>
      <c r="D326" s="83"/>
      <c r="E326" s="83"/>
      <c r="F326" s="83"/>
      <c r="G326" s="83"/>
      <c r="H326" s="83"/>
    </row>
    <row r="327" spans="1:8" x14ac:dyDescent="0.35">
      <c r="A327" s="83"/>
      <c r="B327" s="83"/>
      <c r="C327" s="83"/>
      <c r="D327" s="83"/>
      <c r="E327" s="83"/>
      <c r="F327" s="83"/>
      <c r="G327" s="83"/>
      <c r="H327" s="83"/>
    </row>
    <row r="328" spans="1:8" x14ac:dyDescent="0.35">
      <c r="A328" s="83"/>
      <c r="B328" s="83"/>
      <c r="C328" s="83"/>
      <c r="D328" s="83"/>
      <c r="E328" s="83"/>
      <c r="F328" s="83"/>
      <c r="G328" s="83"/>
      <c r="H328" s="83"/>
    </row>
    <row r="329" spans="1:8" x14ac:dyDescent="0.35">
      <c r="A329" s="83"/>
      <c r="B329" s="83"/>
      <c r="C329" s="83"/>
      <c r="D329" s="83"/>
      <c r="E329" s="83"/>
      <c r="F329" s="83"/>
      <c r="G329" s="83"/>
      <c r="H329" s="83"/>
    </row>
    <row r="330" spans="1:8" x14ac:dyDescent="0.35">
      <c r="A330" s="83"/>
      <c r="B330" s="83"/>
      <c r="C330" s="83"/>
      <c r="D330" s="83"/>
      <c r="E330" s="83"/>
      <c r="F330" s="83"/>
      <c r="G330" s="83"/>
      <c r="H330" s="83"/>
    </row>
    <row r="331" spans="1:8" x14ac:dyDescent="0.35">
      <c r="A331" s="83"/>
      <c r="B331" s="83"/>
      <c r="C331" s="83"/>
      <c r="D331" s="83"/>
      <c r="E331" s="83"/>
      <c r="F331" s="83"/>
      <c r="G331" s="83"/>
      <c r="H331" s="83"/>
    </row>
    <row r="332" spans="1:8" x14ac:dyDescent="0.35">
      <c r="A332" s="83"/>
      <c r="B332" s="83"/>
      <c r="C332" s="83"/>
      <c r="D332" s="83"/>
      <c r="E332" s="83"/>
      <c r="F332" s="83"/>
      <c r="G332" s="83"/>
      <c r="H332" s="83"/>
    </row>
    <row r="333" spans="1:8" x14ac:dyDescent="0.35">
      <c r="A333" s="83"/>
      <c r="B333" s="83"/>
      <c r="C333" s="83"/>
      <c r="D333" s="83"/>
      <c r="E333" s="83"/>
      <c r="F333" s="83"/>
      <c r="G333" s="83"/>
      <c r="H333" s="83"/>
    </row>
    <row r="334" spans="1:8" x14ac:dyDescent="0.35">
      <c r="A334" s="83"/>
      <c r="B334" s="83"/>
      <c r="C334" s="83"/>
      <c r="D334" s="83"/>
      <c r="E334" s="83"/>
      <c r="F334" s="83"/>
      <c r="G334" s="83"/>
      <c r="H334" s="83"/>
    </row>
    <row r="335" spans="1:8" x14ac:dyDescent="0.35">
      <c r="A335" s="83"/>
      <c r="B335" s="83"/>
      <c r="C335" s="83"/>
      <c r="D335" s="83"/>
      <c r="E335" s="83"/>
      <c r="F335" s="83"/>
      <c r="G335" s="83"/>
      <c r="H335" s="83"/>
    </row>
    <row r="336" spans="1:8" x14ac:dyDescent="0.35">
      <c r="A336" s="83"/>
      <c r="B336" s="83"/>
      <c r="C336" s="83"/>
      <c r="D336" s="83"/>
      <c r="E336" s="83"/>
      <c r="F336" s="83"/>
      <c r="G336" s="83"/>
      <c r="H336" s="83"/>
    </row>
    <row r="337" spans="1:8" x14ac:dyDescent="0.35">
      <c r="A337" s="83"/>
      <c r="B337" s="83"/>
      <c r="C337" s="83"/>
      <c r="D337" s="83"/>
      <c r="E337" s="83"/>
      <c r="F337" s="83"/>
      <c r="G337" s="83"/>
      <c r="H337" s="83"/>
    </row>
    <row r="338" spans="1:8" x14ac:dyDescent="0.35">
      <c r="A338" s="83"/>
      <c r="B338" s="83"/>
      <c r="C338" s="83"/>
      <c r="D338" s="83"/>
      <c r="E338" s="83"/>
      <c r="F338" s="83"/>
      <c r="G338" s="83"/>
      <c r="H338" s="83"/>
    </row>
    <row r="339" spans="1:8" x14ac:dyDescent="0.35">
      <c r="A339" s="83"/>
      <c r="B339" s="83"/>
      <c r="C339" s="83"/>
      <c r="D339" s="83"/>
      <c r="E339" s="83"/>
      <c r="F339" s="83"/>
      <c r="G339" s="83"/>
      <c r="H339" s="83"/>
    </row>
    <row r="340" spans="1:8" x14ac:dyDescent="0.35">
      <c r="A340" s="83"/>
      <c r="B340" s="83"/>
      <c r="C340" s="83"/>
      <c r="D340" s="83"/>
      <c r="E340" s="83"/>
      <c r="F340" s="83"/>
      <c r="G340" s="83"/>
      <c r="H340" s="83"/>
    </row>
    <row r="341" spans="1:8" x14ac:dyDescent="0.35">
      <c r="A341" s="83"/>
      <c r="B341" s="83"/>
      <c r="C341" s="83"/>
      <c r="D341" s="83"/>
      <c r="E341" s="83"/>
      <c r="F341" s="83"/>
      <c r="G341" s="83"/>
      <c r="H341" s="83"/>
    </row>
    <row r="342" spans="1:8" x14ac:dyDescent="0.35">
      <c r="A342" s="83"/>
      <c r="B342" s="83"/>
      <c r="C342" s="83"/>
      <c r="D342" s="83"/>
      <c r="E342" s="83"/>
      <c r="F342" s="83"/>
      <c r="G342" s="83"/>
      <c r="H342" s="83"/>
    </row>
    <row r="343" spans="1:8" x14ac:dyDescent="0.35">
      <c r="A343" s="83"/>
      <c r="B343" s="83"/>
      <c r="C343" s="83"/>
      <c r="D343" s="83"/>
      <c r="E343" s="83"/>
      <c r="F343" s="83"/>
      <c r="G343" s="83"/>
      <c r="H343" s="83"/>
    </row>
    <row r="344" spans="1:8" x14ac:dyDescent="0.35">
      <c r="A344" s="83"/>
      <c r="B344" s="83"/>
      <c r="C344" s="83"/>
      <c r="D344" s="83"/>
      <c r="E344" s="83"/>
      <c r="F344" s="83"/>
      <c r="G344" s="83"/>
      <c r="H344" s="83"/>
    </row>
    <row r="345" spans="1:8" x14ac:dyDescent="0.35">
      <c r="A345" s="83"/>
      <c r="B345" s="83"/>
      <c r="C345" s="83"/>
      <c r="D345" s="83"/>
      <c r="E345" s="83"/>
      <c r="F345" s="83"/>
      <c r="G345" s="83"/>
      <c r="H345" s="83"/>
    </row>
    <row r="346" spans="1:8" x14ac:dyDescent="0.35">
      <c r="A346" s="83"/>
      <c r="B346" s="83"/>
      <c r="C346" s="83"/>
      <c r="D346" s="83"/>
      <c r="E346" s="83"/>
      <c r="F346" s="83"/>
      <c r="G346" s="83"/>
      <c r="H346" s="83"/>
    </row>
    <row r="347" spans="1:8" x14ac:dyDescent="0.35">
      <c r="A347" s="83"/>
      <c r="B347" s="83"/>
      <c r="C347" s="83"/>
      <c r="D347" s="83"/>
      <c r="E347" s="83"/>
      <c r="F347" s="83"/>
      <c r="G347" s="83"/>
      <c r="H347" s="83"/>
    </row>
    <row r="348" spans="1:8" x14ac:dyDescent="0.35">
      <c r="A348" s="83"/>
      <c r="B348" s="83"/>
      <c r="C348" s="83"/>
      <c r="D348" s="83"/>
      <c r="E348" s="83"/>
      <c r="F348" s="83"/>
      <c r="G348" s="83"/>
      <c r="H348" s="83"/>
    </row>
    <row r="349" spans="1:8" x14ac:dyDescent="0.35">
      <c r="A349" s="83"/>
      <c r="B349" s="83"/>
      <c r="C349" s="83"/>
      <c r="D349" s="83"/>
      <c r="E349" s="83"/>
      <c r="F349" s="83"/>
      <c r="G349" s="83"/>
      <c r="H349" s="83"/>
    </row>
    <row r="350" spans="1:8" x14ac:dyDescent="0.35">
      <c r="A350" s="83"/>
      <c r="B350" s="83"/>
      <c r="C350" s="83"/>
      <c r="D350" s="83"/>
      <c r="E350" s="83"/>
      <c r="F350" s="83"/>
      <c r="G350" s="83"/>
      <c r="H350" s="83"/>
    </row>
    <row r="351" spans="1:8" x14ac:dyDescent="0.35">
      <c r="A351" s="83"/>
      <c r="B351" s="83"/>
      <c r="C351" s="83"/>
      <c r="D351" s="83"/>
      <c r="E351" s="83"/>
      <c r="F351" s="83"/>
      <c r="G351" s="83"/>
      <c r="H351" s="83"/>
    </row>
    <row r="352" spans="1:8" x14ac:dyDescent="0.35">
      <c r="A352" s="83"/>
      <c r="B352" s="83"/>
      <c r="C352" s="83"/>
      <c r="D352" s="83"/>
      <c r="E352" s="83"/>
      <c r="F352" s="83"/>
      <c r="G352" s="83"/>
      <c r="H352" s="83"/>
    </row>
    <row r="353" spans="1:8" x14ac:dyDescent="0.35">
      <c r="A353" s="83"/>
      <c r="B353" s="83"/>
      <c r="C353" s="83"/>
      <c r="D353" s="83"/>
      <c r="E353" s="83"/>
      <c r="F353" s="83"/>
      <c r="G353" s="83"/>
      <c r="H353" s="83"/>
    </row>
    <row r="354" spans="1:8" x14ac:dyDescent="0.35">
      <c r="A354" s="83"/>
      <c r="B354" s="83"/>
      <c r="C354" s="83"/>
      <c r="D354" s="83"/>
      <c r="E354" s="83"/>
      <c r="F354" s="83"/>
      <c r="G354" s="83"/>
      <c r="H354" s="83"/>
    </row>
    <row r="355" spans="1:8" x14ac:dyDescent="0.35">
      <c r="A355" s="83"/>
      <c r="B355" s="83"/>
      <c r="C355" s="83"/>
      <c r="D355" s="83"/>
      <c r="E355" s="83"/>
      <c r="F355" s="83"/>
      <c r="G355" s="83"/>
      <c r="H355" s="83"/>
    </row>
    <row r="356" spans="1:8" x14ac:dyDescent="0.35">
      <c r="A356" s="83"/>
      <c r="B356" s="83"/>
      <c r="C356" s="83"/>
      <c r="D356" s="83"/>
      <c r="E356" s="83"/>
      <c r="F356" s="83"/>
      <c r="G356" s="83"/>
      <c r="H356" s="83"/>
    </row>
    <row r="357" spans="1:8" x14ac:dyDescent="0.35">
      <c r="A357" s="83"/>
      <c r="B357" s="83"/>
      <c r="C357" s="83"/>
      <c r="D357" s="83"/>
      <c r="E357" s="83"/>
      <c r="F357" s="83"/>
      <c r="G357" s="83"/>
      <c r="H357" s="83"/>
    </row>
    <row r="358" spans="1:8" x14ac:dyDescent="0.35">
      <c r="A358" s="83"/>
      <c r="B358" s="83"/>
      <c r="C358" s="83"/>
      <c r="D358" s="83"/>
      <c r="E358" s="83"/>
      <c r="F358" s="83"/>
      <c r="G358" s="83"/>
      <c r="H358" s="83"/>
    </row>
    <row r="359" spans="1:8" x14ac:dyDescent="0.35">
      <c r="A359" s="83"/>
      <c r="B359" s="83"/>
      <c r="C359" s="83"/>
      <c r="D359" s="83"/>
      <c r="E359" s="83"/>
      <c r="F359" s="83"/>
      <c r="G359" s="83"/>
      <c r="H359" s="83"/>
    </row>
    <row r="360" spans="1:8" x14ac:dyDescent="0.35">
      <c r="A360" s="83"/>
      <c r="B360" s="83"/>
      <c r="C360" s="83"/>
      <c r="D360" s="83"/>
      <c r="E360" s="83"/>
      <c r="F360" s="83"/>
      <c r="G360" s="83"/>
      <c r="H360" s="83"/>
    </row>
    <row r="361" spans="1:8" x14ac:dyDescent="0.35">
      <c r="A361" s="83"/>
      <c r="B361" s="83"/>
      <c r="C361" s="83"/>
      <c r="D361" s="83"/>
      <c r="E361" s="83"/>
      <c r="F361" s="83"/>
      <c r="G361" s="83"/>
      <c r="H361" s="83"/>
    </row>
    <row r="362" spans="1:8" x14ac:dyDescent="0.35">
      <c r="A362" s="83"/>
      <c r="B362" s="83"/>
      <c r="C362" s="83"/>
      <c r="D362" s="83"/>
      <c r="E362" s="83"/>
      <c r="F362" s="83"/>
      <c r="G362" s="83"/>
      <c r="H362" s="83"/>
    </row>
    <row r="363" spans="1:8" x14ac:dyDescent="0.35">
      <c r="A363" s="84" t="s">
        <v>68</v>
      </c>
      <c r="B363" s="83"/>
      <c r="C363" s="83"/>
      <c r="D363" s="83"/>
      <c r="E363" s="83"/>
      <c r="F363" s="83"/>
      <c r="G363" s="83"/>
      <c r="H363" s="83"/>
    </row>
    <row r="364" spans="1:8" x14ac:dyDescent="0.35">
      <c r="A364" s="83"/>
      <c r="B364" s="83"/>
      <c r="C364" s="83"/>
      <c r="D364" s="83"/>
      <c r="E364" s="83"/>
      <c r="F364" s="83"/>
      <c r="G364" s="83"/>
      <c r="H364" s="83"/>
    </row>
    <row r="365" spans="1:8" x14ac:dyDescent="0.35">
      <c r="A365" s="83"/>
      <c r="B365" s="83"/>
      <c r="C365" s="83"/>
      <c r="D365" s="83"/>
      <c r="E365" s="83"/>
      <c r="F365" s="83"/>
      <c r="G365" s="83"/>
      <c r="H365" s="83"/>
    </row>
    <row r="366" spans="1:8" x14ac:dyDescent="0.35">
      <c r="A366" s="83"/>
      <c r="B366" s="83"/>
      <c r="C366" s="83"/>
      <c r="D366" s="83"/>
      <c r="E366" s="83"/>
      <c r="F366" s="83"/>
      <c r="G366" s="83"/>
      <c r="H366" s="83"/>
    </row>
    <row r="367" spans="1:8" x14ac:dyDescent="0.35">
      <c r="A367" s="83"/>
      <c r="B367" s="83"/>
      <c r="C367" s="83"/>
      <c r="D367" s="83"/>
      <c r="E367" s="83"/>
      <c r="F367" s="83"/>
      <c r="G367" s="83"/>
      <c r="H367" s="83"/>
    </row>
    <row r="368" spans="1:8" x14ac:dyDescent="0.35">
      <c r="A368" s="83"/>
      <c r="B368" s="83"/>
      <c r="C368" s="83"/>
      <c r="D368" s="83"/>
      <c r="E368" s="83"/>
      <c r="F368" s="83"/>
      <c r="G368" s="83"/>
      <c r="H368" s="83"/>
    </row>
    <row r="369" spans="1:8" x14ac:dyDescent="0.35">
      <c r="A369" s="83"/>
      <c r="B369" s="83"/>
      <c r="C369" s="83"/>
      <c r="D369" s="83"/>
      <c r="E369" s="83"/>
      <c r="F369" s="83"/>
      <c r="G369" s="83"/>
      <c r="H369" s="83"/>
    </row>
    <row r="370" spans="1:8" x14ac:dyDescent="0.35">
      <c r="A370" s="83"/>
      <c r="B370" s="83"/>
      <c r="C370" s="83"/>
      <c r="D370" s="83"/>
      <c r="E370" s="83"/>
      <c r="F370" s="83"/>
      <c r="G370" s="83"/>
      <c r="H370" s="83"/>
    </row>
    <row r="371" spans="1:8" x14ac:dyDescent="0.35">
      <c r="A371" s="83"/>
      <c r="B371" s="83"/>
      <c r="C371" s="83"/>
      <c r="D371" s="83"/>
      <c r="E371" s="83"/>
      <c r="F371" s="83"/>
      <c r="G371" s="83"/>
      <c r="H371" s="83"/>
    </row>
    <row r="372" spans="1:8" x14ac:dyDescent="0.35">
      <c r="A372" s="83"/>
      <c r="B372" s="83"/>
      <c r="C372" s="83"/>
      <c r="D372" s="83"/>
      <c r="E372" s="83"/>
      <c r="F372" s="83"/>
      <c r="G372" s="83"/>
      <c r="H372" s="83"/>
    </row>
    <row r="373" spans="1:8" x14ac:dyDescent="0.35">
      <c r="A373" s="83"/>
      <c r="B373" s="83"/>
      <c r="C373" s="83"/>
      <c r="D373" s="83"/>
      <c r="E373" s="83"/>
      <c r="F373" s="83"/>
      <c r="G373" s="83"/>
      <c r="H373" s="83"/>
    </row>
    <row r="374" spans="1:8" x14ac:dyDescent="0.35">
      <c r="A374" s="83"/>
      <c r="B374" s="83"/>
      <c r="C374" s="83"/>
      <c r="D374" s="83"/>
      <c r="E374" s="83"/>
      <c r="F374" s="83"/>
      <c r="G374" s="83"/>
      <c r="H374" s="83"/>
    </row>
    <row r="375" spans="1:8" x14ac:dyDescent="0.35">
      <c r="A375" s="83"/>
      <c r="B375" s="83"/>
      <c r="C375" s="83"/>
      <c r="D375" s="83"/>
      <c r="E375" s="83"/>
      <c r="F375" s="83"/>
      <c r="G375" s="83"/>
      <c r="H375" s="83"/>
    </row>
    <row r="376" spans="1:8" x14ac:dyDescent="0.35">
      <c r="A376" s="83"/>
      <c r="B376" s="83"/>
      <c r="C376" s="83"/>
      <c r="D376" s="83"/>
      <c r="E376" s="83"/>
      <c r="F376" s="83"/>
      <c r="G376" s="83"/>
      <c r="H376" s="83"/>
    </row>
    <row r="377" spans="1:8" x14ac:dyDescent="0.35">
      <c r="A377" s="83"/>
      <c r="B377" s="83"/>
      <c r="C377" s="83"/>
      <c r="D377" s="83"/>
      <c r="E377" s="83"/>
      <c r="F377" s="83"/>
      <c r="G377" s="83"/>
      <c r="H377" s="83"/>
    </row>
    <row r="378" spans="1:8" x14ac:dyDescent="0.35">
      <c r="A378" s="83"/>
      <c r="B378" s="83"/>
      <c r="C378" s="83"/>
      <c r="D378" s="83"/>
      <c r="E378" s="83"/>
      <c r="F378" s="83"/>
      <c r="G378" s="83"/>
      <c r="H378" s="83"/>
    </row>
    <row r="379" spans="1:8" x14ac:dyDescent="0.35">
      <c r="A379" s="83"/>
      <c r="B379" s="83"/>
      <c r="C379" s="83"/>
      <c r="D379" s="83"/>
      <c r="E379" s="83"/>
      <c r="F379" s="83"/>
      <c r="G379" s="83"/>
      <c r="H379" s="83"/>
    </row>
    <row r="380" spans="1:8" x14ac:dyDescent="0.35">
      <c r="A380" s="83"/>
      <c r="B380" s="83"/>
      <c r="C380" s="83"/>
      <c r="D380" s="83"/>
      <c r="E380" s="83"/>
      <c r="F380" s="83"/>
      <c r="G380" s="83"/>
      <c r="H380" s="83"/>
    </row>
    <row r="381" spans="1:8" x14ac:dyDescent="0.35">
      <c r="A381" s="83"/>
      <c r="B381" s="83"/>
      <c r="C381" s="83"/>
      <c r="D381" s="83"/>
      <c r="E381" s="83"/>
      <c r="F381" s="83"/>
      <c r="G381" s="83"/>
      <c r="H381" s="83"/>
    </row>
    <row r="382" spans="1:8" x14ac:dyDescent="0.35">
      <c r="A382" s="83"/>
      <c r="B382" s="83"/>
      <c r="C382" s="83"/>
      <c r="D382" s="83"/>
      <c r="E382" s="83"/>
      <c r="F382" s="83"/>
      <c r="G382" s="83"/>
      <c r="H382" s="83"/>
    </row>
    <row r="383" spans="1:8" x14ac:dyDescent="0.35">
      <c r="A383" s="83"/>
      <c r="B383" s="83"/>
      <c r="C383" s="83"/>
      <c r="D383" s="83"/>
      <c r="E383" s="83"/>
      <c r="F383" s="83"/>
      <c r="G383" s="83"/>
      <c r="H383" s="83"/>
    </row>
    <row r="384" spans="1:8" x14ac:dyDescent="0.35">
      <c r="A384" s="83"/>
      <c r="B384" s="83"/>
      <c r="C384" s="83"/>
      <c r="D384" s="83"/>
      <c r="E384" s="83"/>
      <c r="F384" s="83"/>
      <c r="G384" s="83"/>
      <c r="H384" s="83"/>
    </row>
    <row r="385" spans="1:8" x14ac:dyDescent="0.35">
      <c r="A385" s="83"/>
      <c r="B385" s="83"/>
      <c r="C385" s="83"/>
      <c r="D385" s="83"/>
      <c r="E385" s="83"/>
      <c r="F385" s="83"/>
      <c r="G385" s="83"/>
      <c r="H385" s="83"/>
    </row>
    <row r="386" spans="1:8" x14ac:dyDescent="0.35">
      <c r="A386" s="83"/>
      <c r="B386" s="83"/>
      <c r="C386" s="83"/>
      <c r="D386" s="83"/>
      <c r="E386" s="83"/>
      <c r="F386" s="83"/>
      <c r="G386" s="83"/>
      <c r="H386" s="83"/>
    </row>
    <row r="387" spans="1:8" x14ac:dyDescent="0.35">
      <c r="A387" s="83"/>
      <c r="B387" s="83"/>
      <c r="C387" s="83"/>
      <c r="D387" s="83"/>
      <c r="E387" s="83"/>
      <c r="F387" s="83"/>
      <c r="G387" s="83"/>
      <c r="H387" s="83"/>
    </row>
    <row r="388" spans="1:8" x14ac:dyDescent="0.35">
      <c r="A388" s="83"/>
      <c r="B388" s="83"/>
      <c r="C388" s="83"/>
      <c r="D388" s="83"/>
      <c r="E388" s="83"/>
      <c r="F388" s="83"/>
      <c r="G388" s="83"/>
      <c r="H388" s="83"/>
    </row>
    <row r="389" spans="1:8" x14ac:dyDescent="0.35">
      <c r="A389" s="83"/>
      <c r="B389" s="83"/>
      <c r="C389" s="83"/>
      <c r="D389" s="83"/>
      <c r="E389" s="83"/>
      <c r="F389" s="83"/>
      <c r="G389" s="83"/>
      <c r="H389" s="83"/>
    </row>
    <row r="390" spans="1:8" x14ac:dyDescent="0.35">
      <c r="A390" s="83"/>
      <c r="B390" s="83"/>
      <c r="C390" s="83"/>
      <c r="D390" s="83"/>
      <c r="E390" s="83"/>
      <c r="F390" s="83"/>
      <c r="G390" s="83"/>
      <c r="H390" s="83"/>
    </row>
    <row r="391" spans="1:8" x14ac:dyDescent="0.35">
      <c r="A391" s="83"/>
      <c r="B391" s="83"/>
      <c r="C391" s="83"/>
      <c r="D391" s="83"/>
      <c r="E391" s="83"/>
      <c r="F391" s="83"/>
      <c r="G391" s="83"/>
      <c r="H391" s="83"/>
    </row>
    <row r="392" spans="1:8" x14ac:dyDescent="0.35">
      <c r="A392" s="83"/>
      <c r="B392" s="83"/>
      <c r="C392" s="83"/>
      <c r="D392" s="83"/>
      <c r="E392" s="83"/>
      <c r="F392" s="83"/>
      <c r="G392" s="83"/>
      <c r="H392" s="83"/>
    </row>
    <row r="393" spans="1:8" x14ac:dyDescent="0.35">
      <c r="A393" s="83"/>
      <c r="B393" s="83"/>
      <c r="C393" s="83"/>
      <c r="D393" s="83"/>
      <c r="E393" s="83"/>
      <c r="F393" s="83"/>
      <c r="G393" s="83"/>
      <c r="H393" s="83"/>
    </row>
    <row r="394" spans="1:8" x14ac:dyDescent="0.35">
      <c r="A394" s="83"/>
      <c r="B394" s="83"/>
      <c r="C394" s="83"/>
      <c r="D394" s="83"/>
      <c r="E394" s="83"/>
      <c r="F394" s="83"/>
      <c r="G394" s="83"/>
      <c r="H394" s="83"/>
    </row>
    <row r="395" spans="1:8" x14ac:dyDescent="0.35">
      <c r="A395" s="83"/>
      <c r="B395" s="83"/>
      <c r="C395" s="83"/>
      <c r="D395" s="83"/>
      <c r="E395" s="83"/>
      <c r="F395" s="83"/>
      <c r="G395" s="83"/>
      <c r="H395" s="83"/>
    </row>
    <row r="396" spans="1:8" x14ac:dyDescent="0.35">
      <c r="A396" s="83"/>
      <c r="B396" s="83"/>
      <c r="C396" s="83"/>
      <c r="D396" s="83"/>
      <c r="E396" s="83"/>
      <c r="F396" s="83"/>
      <c r="G396" s="83"/>
      <c r="H396" s="83"/>
    </row>
    <row r="397" spans="1:8" x14ac:dyDescent="0.35">
      <c r="A397" s="83"/>
      <c r="B397" s="83"/>
      <c r="C397" s="83"/>
      <c r="D397" s="83"/>
      <c r="E397" s="83"/>
      <c r="F397" s="83"/>
      <c r="G397" s="83"/>
      <c r="H397" s="83"/>
    </row>
    <row r="398" spans="1:8" x14ac:dyDescent="0.35">
      <c r="A398" s="83"/>
      <c r="B398" s="83"/>
      <c r="C398" s="83"/>
      <c r="D398" s="83"/>
      <c r="E398" s="83"/>
      <c r="F398" s="83"/>
      <c r="G398" s="83"/>
      <c r="H398" s="83"/>
    </row>
    <row r="399" spans="1:8" x14ac:dyDescent="0.35">
      <c r="A399" s="83"/>
      <c r="B399" s="83"/>
      <c r="C399" s="83"/>
      <c r="D399" s="83"/>
      <c r="E399" s="83"/>
      <c r="F399" s="83"/>
      <c r="G399" s="83"/>
      <c r="H399" s="83"/>
    </row>
    <row r="400" spans="1:8" x14ac:dyDescent="0.35">
      <c r="A400" s="83"/>
      <c r="B400" s="83"/>
      <c r="C400" s="83"/>
      <c r="D400" s="83"/>
      <c r="E400" s="83"/>
      <c r="F400" s="83"/>
      <c r="G400" s="83"/>
      <c r="H400" s="83"/>
    </row>
  </sheetData>
  <mergeCells count="403">
    <mergeCell ref="B226:H226"/>
    <mergeCell ref="B225:H225"/>
    <mergeCell ref="A213:B213"/>
    <mergeCell ref="A214:B214"/>
    <mergeCell ref="C201:F201"/>
    <mergeCell ref="C207:F207"/>
    <mergeCell ref="C208:F208"/>
    <mergeCell ref="B223:H223"/>
    <mergeCell ref="A208:B208"/>
    <mergeCell ref="A209:B209"/>
    <mergeCell ref="A210:B210"/>
    <mergeCell ref="A211:B211"/>
    <mergeCell ref="A212:B212"/>
    <mergeCell ref="B224:H224"/>
    <mergeCell ref="A201:B201"/>
    <mergeCell ref="A202:B202"/>
    <mergeCell ref="B217:H217"/>
    <mergeCell ref="B218:H218"/>
    <mergeCell ref="B219:H219"/>
    <mergeCell ref="B220:H220"/>
    <mergeCell ref="B221:H221"/>
    <mergeCell ref="A215:H215"/>
    <mergeCell ref="A203:B203"/>
    <mergeCell ref="A204:H204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73:B173"/>
    <mergeCell ref="A177:B177"/>
    <mergeCell ref="A178:B178"/>
    <mergeCell ref="A179:B179"/>
    <mergeCell ref="A180:B180"/>
    <mergeCell ref="A181:B181"/>
    <mergeCell ref="A198:B198"/>
    <mergeCell ref="A199:B199"/>
    <mergeCell ref="A200:B200"/>
    <mergeCell ref="A188:B188"/>
    <mergeCell ref="A189:B189"/>
    <mergeCell ref="A190:B190"/>
    <mergeCell ref="A191:B191"/>
    <mergeCell ref="A192:B192"/>
    <mergeCell ref="A193:H193"/>
    <mergeCell ref="A194:B194"/>
    <mergeCell ref="A195:B195"/>
    <mergeCell ref="A196:B196"/>
    <mergeCell ref="A197:B197"/>
    <mergeCell ref="A174:B174"/>
    <mergeCell ref="A175:B175"/>
    <mergeCell ref="A176:B176"/>
    <mergeCell ref="A182:H182"/>
    <mergeCell ref="G183:H192"/>
    <mergeCell ref="L153:M153"/>
    <mergeCell ref="A167:B167"/>
    <mergeCell ref="A168:B168"/>
    <mergeCell ref="A162:H162"/>
    <mergeCell ref="A163:B163"/>
    <mergeCell ref="A164:B164"/>
    <mergeCell ref="A165:B165"/>
    <mergeCell ref="A166:B166"/>
    <mergeCell ref="A156:B156"/>
    <mergeCell ref="A157:B157"/>
    <mergeCell ref="A155:H155"/>
    <mergeCell ref="E131:F131"/>
    <mergeCell ref="G131:H131"/>
    <mergeCell ref="A132:B132"/>
    <mergeCell ref="C51:H51"/>
    <mergeCell ref="A151:H151"/>
    <mergeCell ref="A152:H152"/>
    <mergeCell ref="A153:B153"/>
    <mergeCell ref="L152:M152"/>
    <mergeCell ref="A57:C58"/>
    <mergeCell ref="D57:H57"/>
    <mergeCell ref="D58:H58"/>
    <mergeCell ref="A59:C59"/>
    <mergeCell ref="A60:C60"/>
    <mergeCell ref="D59:H59"/>
    <mergeCell ref="A62:C62"/>
    <mergeCell ref="D62:H62"/>
    <mergeCell ref="A64:B64"/>
    <mergeCell ref="C64:D64"/>
    <mergeCell ref="A68:B68"/>
    <mergeCell ref="G67:H67"/>
    <mergeCell ref="A65:B65"/>
    <mergeCell ref="A107:E107"/>
    <mergeCell ref="F107:H107"/>
    <mergeCell ref="A72:B72"/>
    <mergeCell ref="A116:E116"/>
    <mergeCell ref="F116:H116"/>
    <mergeCell ref="A111:E111"/>
    <mergeCell ref="G125:H125"/>
    <mergeCell ref="A120:E120"/>
    <mergeCell ref="C126:D126"/>
    <mergeCell ref="E126:F126"/>
    <mergeCell ref="F115:H115"/>
    <mergeCell ref="A128:B128"/>
    <mergeCell ref="A117:E117"/>
    <mergeCell ref="F120:H120"/>
    <mergeCell ref="A205:B205"/>
    <mergeCell ref="A206:B206"/>
    <mergeCell ref="A207:B207"/>
    <mergeCell ref="F121:H121"/>
    <mergeCell ref="F119:H119"/>
    <mergeCell ref="F117:H117"/>
    <mergeCell ref="G127:H127"/>
    <mergeCell ref="E125:F125"/>
    <mergeCell ref="C128:D128"/>
    <mergeCell ref="A172:B172"/>
    <mergeCell ref="A160:B160"/>
    <mergeCell ref="A159:B159"/>
    <mergeCell ref="A171:H171"/>
    <mergeCell ref="A149:A150"/>
    <mergeCell ref="A161:B161"/>
    <mergeCell ref="A135:H135"/>
    <mergeCell ref="D149:D150"/>
    <mergeCell ref="E149:E150"/>
    <mergeCell ref="G149:H150"/>
    <mergeCell ref="A154:B154"/>
    <mergeCell ref="E128:F128"/>
    <mergeCell ref="G128:H128"/>
    <mergeCell ref="A126:A127"/>
    <mergeCell ref="B149:B150"/>
    <mergeCell ref="C131:D131"/>
    <mergeCell ref="A38:H38"/>
    <mergeCell ref="A39:D39"/>
    <mergeCell ref="E39:H39"/>
    <mergeCell ref="A36:B36"/>
    <mergeCell ref="A30:B30"/>
    <mergeCell ref="C31:E31"/>
    <mergeCell ref="A32:B32"/>
    <mergeCell ref="C32:E32"/>
    <mergeCell ref="A33:B33"/>
    <mergeCell ref="C33:E33"/>
    <mergeCell ref="C34:E34"/>
    <mergeCell ref="C36:H36"/>
    <mergeCell ref="A37:B37"/>
    <mergeCell ref="C37:H37"/>
    <mergeCell ref="A78:B78"/>
    <mergeCell ref="C78:H78"/>
    <mergeCell ref="A79:B79"/>
    <mergeCell ref="C79:D79"/>
    <mergeCell ref="A80:B80"/>
    <mergeCell ref="C80:H80"/>
    <mergeCell ref="A81:B81"/>
    <mergeCell ref="E95:F95"/>
    <mergeCell ref="G95:H95"/>
    <mergeCell ref="A23:D23"/>
    <mergeCell ref="E23:H23"/>
    <mergeCell ref="A27:D27"/>
    <mergeCell ref="E27:H27"/>
    <mergeCell ref="A24:D24"/>
    <mergeCell ref="A28:D28"/>
    <mergeCell ref="E28:H28"/>
    <mergeCell ref="A35:H35"/>
    <mergeCell ref="A34:B34"/>
    <mergeCell ref="A29:D29"/>
    <mergeCell ref="E29:H29"/>
    <mergeCell ref="F31:H31"/>
    <mergeCell ref="F32:H32"/>
    <mergeCell ref="C30:E30"/>
    <mergeCell ref="F33:H33"/>
    <mergeCell ref="F34:H34"/>
    <mergeCell ref="F30:H30"/>
    <mergeCell ref="A31:B31"/>
    <mergeCell ref="A25:D25"/>
    <mergeCell ref="E25:H25"/>
    <mergeCell ref="E24:H24"/>
    <mergeCell ref="A26:D26"/>
    <mergeCell ref="E26:H26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84:B84"/>
    <mergeCell ref="A85:B85"/>
    <mergeCell ref="A86:B86"/>
    <mergeCell ref="A87:B87"/>
    <mergeCell ref="A88:B88"/>
    <mergeCell ref="E81:F81"/>
    <mergeCell ref="G81:H81"/>
    <mergeCell ref="C109:H109"/>
    <mergeCell ref="A82:B82"/>
    <mergeCell ref="E82:F91"/>
    <mergeCell ref="G82:H91"/>
    <mergeCell ref="A89:B89"/>
    <mergeCell ref="A90:B90"/>
    <mergeCell ref="A91:B91"/>
    <mergeCell ref="A92:B92"/>
    <mergeCell ref="C92:H92"/>
    <mergeCell ref="A93:B93"/>
    <mergeCell ref="C93:D93"/>
    <mergeCell ref="A94:B94"/>
    <mergeCell ref="C94:H94"/>
    <mergeCell ref="A95:B95"/>
    <mergeCell ref="A96:B96"/>
    <mergeCell ref="E96:F105"/>
    <mergeCell ref="G96:H105"/>
    <mergeCell ref="A44:D44"/>
    <mergeCell ref="A45:H45"/>
    <mergeCell ref="E68:F77"/>
    <mergeCell ref="G68:H77"/>
    <mergeCell ref="A76:B76"/>
    <mergeCell ref="A77:B77"/>
    <mergeCell ref="A61:C61"/>
    <mergeCell ref="D61:H61"/>
    <mergeCell ref="C65:H65"/>
    <mergeCell ref="A63:B63"/>
    <mergeCell ref="C63:H63"/>
    <mergeCell ref="D60:H60"/>
    <mergeCell ref="C48:E48"/>
    <mergeCell ref="A52:B52"/>
    <mergeCell ref="C52:E52"/>
    <mergeCell ref="A48:B48"/>
    <mergeCell ref="A70:B70"/>
    <mergeCell ref="A75:B75"/>
    <mergeCell ref="A74:B74"/>
    <mergeCell ref="A73:B73"/>
    <mergeCell ref="A66:B66"/>
    <mergeCell ref="C66:D66"/>
    <mergeCell ref="E66:F66"/>
    <mergeCell ref="G66:H66"/>
    <mergeCell ref="A235:H238"/>
    <mergeCell ref="A234:B234"/>
    <mergeCell ref="E234:F234"/>
    <mergeCell ref="C234:D234"/>
    <mergeCell ref="G234:H234"/>
    <mergeCell ref="A124:H124"/>
    <mergeCell ref="A122:E122"/>
    <mergeCell ref="F122:H122"/>
    <mergeCell ref="A123:E123"/>
    <mergeCell ref="F123:H123"/>
    <mergeCell ref="A131:B131"/>
    <mergeCell ref="A158:B158"/>
    <mergeCell ref="A230:H230"/>
    <mergeCell ref="A129:H129"/>
    <mergeCell ref="A229:H229"/>
    <mergeCell ref="C149:C150"/>
    <mergeCell ref="C125:D125"/>
    <mergeCell ref="C132:D132"/>
    <mergeCell ref="E132:F132"/>
    <mergeCell ref="G132:H132"/>
    <mergeCell ref="B222:H222"/>
    <mergeCell ref="A183:B183"/>
    <mergeCell ref="A184:B184"/>
    <mergeCell ref="B216:H216"/>
    <mergeCell ref="A232:H232"/>
    <mergeCell ref="A233:H233"/>
    <mergeCell ref="A231:H231"/>
    <mergeCell ref="A125:B125"/>
    <mergeCell ref="E40:H40"/>
    <mergeCell ref="A40:D40"/>
    <mergeCell ref="A56:C56"/>
    <mergeCell ref="G48:H48"/>
    <mergeCell ref="A50:B51"/>
    <mergeCell ref="G50:H50"/>
    <mergeCell ref="D54:H54"/>
    <mergeCell ref="C50:E50"/>
    <mergeCell ref="A41:D41"/>
    <mergeCell ref="A53:H53"/>
    <mergeCell ref="A54:C54"/>
    <mergeCell ref="A55:C55"/>
    <mergeCell ref="D55:H55"/>
    <mergeCell ref="G52:H52"/>
    <mergeCell ref="A47:B47"/>
    <mergeCell ref="C47:E47"/>
    <mergeCell ref="G47:H47"/>
    <mergeCell ref="D56:H56"/>
    <mergeCell ref="E41:H41"/>
    <mergeCell ref="E42:H42"/>
    <mergeCell ref="E43:H43"/>
    <mergeCell ref="E44:H44"/>
    <mergeCell ref="A42:D42"/>
    <mergeCell ref="A43:D43"/>
    <mergeCell ref="A227:H227"/>
    <mergeCell ref="A228:H228"/>
    <mergeCell ref="A130:B130"/>
    <mergeCell ref="A134:H134"/>
    <mergeCell ref="A119:E119"/>
    <mergeCell ref="A121:E121"/>
    <mergeCell ref="A136:A137"/>
    <mergeCell ref="B136:B137"/>
    <mergeCell ref="C136:C137"/>
    <mergeCell ref="D136:D137"/>
    <mergeCell ref="E136:E137"/>
    <mergeCell ref="G136:H137"/>
    <mergeCell ref="A139:H139"/>
    <mergeCell ref="A140:B140"/>
    <mergeCell ref="A144:B144"/>
    <mergeCell ref="A138:H138"/>
    <mergeCell ref="C127:D127"/>
    <mergeCell ref="E127:F127"/>
    <mergeCell ref="F112:H112"/>
    <mergeCell ref="A112:E112"/>
    <mergeCell ref="L145:M145"/>
    <mergeCell ref="A148:H148"/>
    <mergeCell ref="A147:B147"/>
    <mergeCell ref="L146:M146"/>
    <mergeCell ref="L139:M139"/>
    <mergeCell ref="A141:B141"/>
    <mergeCell ref="L140:M140"/>
    <mergeCell ref="A142:B142"/>
    <mergeCell ref="L141:M141"/>
    <mergeCell ref="A143:B143"/>
    <mergeCell ref="L142:M142"/>
    <mergeCell ref="L143:M143"/>
    <mergeCell ref="L144:M144"/>
    <mergeCell ref="A71:B71"/>
    <mergeCell ref="E67:F67"/>
    <mergeCell ref="F111:H111"/>
    <mergeCell ref="A108:H108"/>
    <mergeCell ref="A109:B109"/>
    <mergeCell ref="A185:B185"/>
    <mergeCell ref="A186:B186"/>
    <mergeCell ref="A187:B187"/>
    <mergeCell ref="A133:B133"/>
    <mergeCell ref="C133:D133"/>
    <mergeCell ref="E133:F133"/>
    <mergeCell ref="G133:H133"/>
    <mergeCell ref="A169:H169"/>
    <mergeCell ref="A170:H170"/>
    <mergeCell ref="A145:B145"/>
    <mergeCell ref="A146:B146"/>
    <mergeCell ref="F113:H113"/>
    <mergeCell ref="A118:E118"/>
    <mergeCell ref="F118:H118"/>
    <mergeCell ref="A114:E114"/>
    <mergeCell ref="F114:H114"/>
    <mergeCell ref="A115:E115"/>
    <mergeCell ref="A67:B67"/>
    <mergeCell ref="A83:B83"/>
    <mergeCell ref="G194:H203"/>
    <mergeCell ref="G205:H214"/>
    <mergeCell ref="I224:O224"/>
    <mergeCell ref="A106:B106"/>
    <mergeCell ref="C106:D106"/>
    <mergeCell ref="F106:G106"/>
    <mergeCell ref="A46:B46"/>
    <mergeCell ref="C46:H46"/>
    <mergeCell ref="I59:M59"/>
    <mergeCell ref="A49:B49"/>
    <mergeCell ref="C49:E49"/>
    <mergeCell ref="G49:H49"/>
    <mergeCell ref="G140:H147"/>
    <mergeCell ref="G153:H154"/>
    <mergeCell ref="G156:H161"/>
    <mergeCell ref="G163:H168"/>
    <mergeCell ref="G172:H181"/>
    <mergeCell ref="A113:E113"/>
    <mergeCell ref="A110:H110"/>
    <mergeCell ref="G126:H126"/>
    <mergeCell ref="C130:D130"/>
    <mergeCell ref="E130:F130"/>
    <mergeCell ref="G130:H130"/>
    <mergeCell ref="A69:B69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 &amp;P</oddFooter>
  </headerFooter>
  <rowBreaks count="5" manualBreakCount="5">
    <brk id="77" max="7" man="1"/>
    <brk id="238" max="7" man="1"/>
    <brk id="280" max="7" man="1"/>
    <brk id="323" max="7" man="1"/>
    <brk id="362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4"/>
  <sheetViews>
    <sheetView topLeftCell="A13" zoomScale="85" zoomScaleNormal="85" workbookViewId="0">
      <selection activeCell="A24" sqref="A24:A25"/>
    </sheetView>
  </sheetViews>
  <sheetFormatPr defaultRowHeight="14.5" x14ac:dyDescent="0.35"/>
  <cols>
    <col min="1" max="1" width="23.7265625" bestFit="1" customWidth="1"/>
    <col min="2" max="2" width="13.54296875" customWidth="1"/>
    <col min="3" max="3" width="14.26953125" bestFit="1" customWidth="1"/>
    <col min="4" max="4" width="16.7265625" customWidth="1"/>
    <col min="5" max="5" width="20.1796875" customWidth="1"/>
    <col min="6" max="6" width="22" bestFit="1" customWidth="1"/>
    <col min="7" max="7" width="23.81640625" customWidth="1"/>
    <col min="8" max="8" width="15.1796875" customWidth="1"/>
    <col min="9" max="9" width="20" customWidth="1"/>
  </cols>
  <sheetData>
    <row r="1" spans="1:9" ht="19.5" x14ac:dyDescent="0.45">
      <c r="A1" s="245" t="s">
        <v>188</v>
      </c>
      <c r="B1" s="245"/>
      <c r="C1" s="245"/>
      <c r="D1" s="245"/>
      <c r="E1" s="245"/>
      <c r="F1" s="245"/>
      <c r="G1" s="245"/>
      <c r="H1" s="245"/>
      <c r="I1" s="245"/>
    </row>
    <row r="2" spans="1:9" ht="15" customHeight="1" x14ac:dyDescent="0.35">
      <c r="A2" s="243" t="s">
        <v>165</v>
      </c>
      <c r="B2" s="243"/>
      <c r="C2" s="243"/>
      <c r="D2" s="243"/>
      <c r="E2" s="243"/>
      <c r="F2" s="243"/>
      <c r="G2" s="243"/>
      <c r="H2" s="243"/>
      <c r="I2" s="243"/>
    </row>
    <row r="3" spans="1:9" x14ac:dyDescent="0.35">
      <c r="A3" s="58"/>
      <c r="B3" s="59" t="s">
        <v>166</v>
      </c>
      <c r="C3" s="59" t="s">
        <v>167</v>
      </c>
      <c r="D3" s="59" t="s">
        <v>168</v>
      </c>
      <c r="E3" s="59" t="s">
        <v>169</v>
      </c>
      <c r="F3" s="60" t="s">
        <v>170</v>
      </c>
      <c r="G3" s="60" t="s">
        <v>171</v>
      </c>
      <c r="H3" s="59" t="s">
        <v>172</v>
      </c>
      <c r="I3" s="61" t="s">
        <v>173</v>
      </c>
    </row>
    <row r="4" spans="1:9" x14ac:dyDescent="0.35">
      <c r="A4" s="44" t="s">
        <v>174</v>
      </c>
      <c r="B4" s="45">
        <v>0</v>
      </c>
      <c r="C4" s="45">
        <v>0</v>
      </c>
      <c r="D4" s="45">
        <v>20</v>
      </c>
      <c r="E4" s="45">
        <v>20</v>
      </c>
      <c r="F4" s="48">
        <v>30</v>
      </c>
      <c r="G4" s="49">
        <v>30</v>
      </c>
      <c r="H4" s="47">
        <v>0</v>
      </c>
      <c r="I4" s="47">
        <f t="shared" ref="I4:I11" si="0">G4/F4*E4</f>
        <v>20</v>
      </c>
    </row>
    <row r="5" spans="1:9" x14ac:dyDescent="0.35">
      <c r="A5" s="44" t="s">
        <v>48</v>
      </c>
      <c r="B5" s="45">
        <v>10</v>
      </c>
      <c r="C5" s="45">
        <v>10</v>
      </c>
      <c r="D5" s="45">
        <v>45</v>
      </c>
      <c r="E5" s="45">
        <v>25</v>
      </c>
      <c r="F5" s="50">
        <f>F4</f>
        <v>30</v>
      </c>
      <c r="G5" s="49">
        <v>30</v>
      </c>
      <c r="H5" s="47">
        <f t="shared" ref="H5:H11" si="1">G5/F5*C5</f>
        <v>10</v>
      </c>
      <c r="I5" s="47">
        <f t="shared" si="0"/>
        <v>25</v>
      </c>
    </row>
    <row r="6" spans="1:9" x14ac:dyDescent="0.35">
      <c r="A6" s="44" t="s">
        <v>175</v>
      </c>
      <c r="B6" s="45">
        <v>50</v>
      </c>
      <c r="C6" s="45">
        <v>40</v>
      </c>
      <c r="D6" s="45">
        <v>75</v>
      </c>
      <c r="E6" s="45">
        <v>30</v>
      </c>
      <c r="F6" s="50">
        <v>35</v>
      </c>
      <c r="G6" s="49">
        <v>35</v>
      </c>
      <c r="H6" s="47">
        <f t="shared" si="1"/>
        <v>40</v>
      </c>
      <c r="I6" s="47">
        <f t="shared" si="0"/>
        <v>30</v>
      </c>
    </row>
    <row r="7" spans="1:9" ht="26" x14ac:dyDescent="0.35">
      <c r="A7" s="62" t="s">
        <v>176</v>
      </c>
      <c r="B7" s="45">
        <v>65</v>
      </c>
      <c r="C7" s="45">
        <v>15</v>
      </c>
      <c r="D7" s="45">
        <v>85</v>
      </c>
      <c r="E7" s="45">
        <v>10</v>
      </c>
      <c r="F7" s="50">
        <f>F4</f>
        <v>30</v>
      </c>
      <c r="G7" s="49">
        <v>30</v>
      </c>
      <c r="H7" s="47">
        <f t="shared" si="1"/>
        <v>15</v>
      </c>
      <c r="I7" s="47">
        <f t="shared" si="0"/>
        <v>10</v>
      </c>
    </row>
    <row r="8" spans="1:9" x14ac:dyDescent="0.35">
      <c r="A8" s="44" t="s">
        <v>177</v>
      </c>
      <c r="B8" s="45">
        <v>75</v>
      </c>
      <c r="C8" s="45">
        <v>10</v>
      </c>
      <c r="D8" s="45">
        <v>90</v>
      </c>
      <c r="E8" s="45">
        <v>5</v>
      </c>
      <c r="F8" s="50">
        <f>F4</f>
        <v>30</v>
      </c>
      <c r="G8" s="49">
        <v>30</v>
      </c>
      <c r="H8" s="47">
        <f t="shared" si="1"/>
        <v>10</v>
      </c>
      <c r="I8" s="47">
        <f t="shared" si="0"/>
        <v>5</v>
      </c>
    </row>
    <row r="9" spans="1:9" ht="26" x14ac:dyDescent="0.35">
      <c r="A9" s="44" t="s">
        <v>186</v>
      </c>
      <c r="B9" s="45">
        <v>85</v>
      </c>
      <c r="C9" s="45">
        <v>10</v>
      </c>
      <c r="D9" s="45">
        <v>95</v>
      </c>
      <c r="E9" s="45">
        <v>5</v>
      </c>
      <c r="F9" s="50">
        <f>F5</f>
        <v>30</v>
      </c>
      <c r="G9" s="49">
        <v>30</v>
      </c>
      <c r="H9" s="47">
        <f t="shared" si="1"/>
        <v>10</v>
      </c>
      <c r="I9" s="47">
        <f t="shared" si="0"/>
        <v>5</v>
      </c>
    </row>
    <row r="10" spans="1:9" ht="26" x14ac:dyDescent="0.35">
      <c r="A10" s="62" t="s">
        <v>179</v>
      </c>
      <c r="B10" s="45">
        <v>95</v>
      </c>
      <c r="C10" s="45">
        <v>10</v>
      </c>
      <c r="D10" s="45">
        <v>95</v>
      </c>
      <c r="E10" s="45">
        <v>0</v>
      </c>
      <c r="F10" s="50">
        <f>F4</f>
        <v>30</v>
      </c>
      <c r="G10" s="49">
        <v>30</v>
      </c>
      <c r="H10" s="47">
        <f t="shared" si="1"/>
        <v>10</v>
      </c>
      <c r="I10" s="47">
        <f t="shared" si="0"/>
        <v>0</v>
      </c>
    </row>
    <row r="11" spans="1:9" x14ac:dyDescent="0.35">
      <c r="A11" s="44" t="s">
        <v>180</v>
      </c>
      <c r="B11" s="45">
        <v>100</v>
      </c>
      <c r="C11" s="45">
        <v>5</v>
      </c>
      <c r="D11" s="45">
        <v>100</v>
      </c>
      <c r="E11" s="45">
        <v>5</v>
      </c>
      <c r="F11" s="50">
        <f>F4</f>
        <v>30</v>
      </c>
      <c r="G11" s="49">
        <v>30</v>
      </c>
      <c r="H11" s="47">
        <f t="shared" si="1"/>
        <v>5</v>
      </c>
      <c r="I11" s="47">
        <f t="shared" si="0"/>
        <v>5</v>
      </c>
    </row>
    <row r="12" spans="1:9" x14ac:dyDescent="0.35">
      <c r="A12" s="51"/>
      <c r="B12" s="51"/>
      <c r="C12" s="51">
        <f>SUM(C4:C11)</f>
        <v>100</v>
      </c>
      <c r="D12" s="51"/>
      <c r="E12" s="51">
        <f>SUM(E4:E11)</f>
        <v>100</v>
      </c>
      <c r="F12" s="51"/>
      <c r="G12" s="52" t="s">
        <v>181</v>
      </c>
      <c r="H12" s="53">
        <f>SUM(H4:H11)</f>
        <v>100</v>
      </c>
      <c r="I12" s="53">
        <f>SUM(I4:I11)</f>
        <v>100</v>
      </c>
    </row>
    <row r="14" spans="1:9" ht="19.5" x14ac:dyDescent="0.45">
      <c r="A14" s="246" t="s">
        <v>189</v>
      </c>
      <c r="B14" s="247"/>
      <c r="C14" s="247"/>
      <c r="D14" s="247"/>
      <c r="E14" s="247"/>
      <c r="F14" s="247"/>
      <c r="G14" s="247"/>
      <c r="H14" s="247"/>
      <c r="I14" s="248"/>
    </row>
    <row r="15" spans="1:9" x14ac:dyDescent="0.35">
      <c r="A15" s="244" t="s">
        <v>165</v>
      </c>
      <c r="B15" s="244"/>
      <c r="C15" s="244"/>
      <c r="D15" s="244"/>
      <c r="E15" s="244"/>
      <c r="F15" s="244"/>
      <c r="G15" s="244"/>
      <c r="H15" s="244"/>
      <c r="I15" s="244"/>
    </row>
    <row r="16" spans="1:9" x14ac:dyDescent="0.35">
      <c r="A16" s="44"/>
      <c r="B16" s="45" t="s">
        <v>166</v>
      </c>
      <c r="C16" s="45" t="s">
        <v>167</v>
      </c>
      <c r="D16" s="45" t="s">
        <v>168</v>
      </c>
      <c r="E16" s="45" t="s">
        <v>169</v>
      </c>
      <c r="F16" s="46" t="s">
        <v>170</v>
      </c>
      <c r="G16" s="46" t="s">
        <v>171</v>
      </c>
      <c r="H16" s="45" t="s">
        <v>172</v>
      </c>
      <c r="I16" s="47" t="s">
        <v>173</v>
      </c>
    </row>
    <row r="17" spans="1:9" x14ac:dyDescent="0.35">
      <c r="A17" s="44" t="s">
        <v>174</v>
      </c>
      <c r="B17" s="45">
        <v>0</v>
      </c>
      <c r="C17" s="45">
        <v>0</v>
      </c>
      <c r="D17" s="45">
        <v>20</v>
      </c>
      <c r="E17" s="45">
        <v>20</v>
      </c>
      <c r="F17" s="48">
        <v>30</v>
      </c>
      <c r="G17" s="49">
        <v>30</v>
      </c>
      <c r="H17" s="47">
        <v>0</v>
      </c>
      <c r="I17" s="47">
        <f t="shared" ref="I17:I26" si="2">G17/F17*E17</f>
        <v>20</v>
      </c>
    </row>
    <row r="18" spans="1:9" x14ac:dyDescent="0.35">
      <c r="A18" s="44" t="s">
        <v>48</v>
      </c>
      <c r="B18" s="45">
        <v>10</v>
      </c>
      <c r="C18" s="45">
        <v>10</v>
      </c>
      <c r="D18" s="57">
        <f>D17+I18</f>
        <v>45</v>
      </c>
      <c r="E18" s="45">
        <v>25</v>
      </c>
      <c r="F18" s="50">
        <f>F17</f>
        <v>30</v>
      </c>
      <c r="G18" s="49">
        <v>30</v>
      </c>
      <c r="H18" s="47">
        <f>G18/F18*C18</f>
        <v>10</v>
      </c>
      <c r="I18" s="47">
        <f t="shared" si="2"/>
        <v>25</v>
      </c>
    </row>
    <row r="19" spans="1:9" x14ac:dyDescent="0.35">
      <c r="A19" s="44" t="s">
        <v>175</v>
      </c>
      <c r="B19" s="57">
        <f>B18+H19</f>
        <v>50</v>
      </c>
      <c r="C19" s="45">
        <v>40</v>
      </c>
      <c r="D19" s="57">
        <f>D18+I19</f>
        <v>75</v>
      </c>
      <c r="E19" s="45">
        <v>30</v>
      </c>
      <c r="F19" s="50">
        <v>35</v>
      </c>
      <c r="G19" s="49">
        <v>35</v>
      </c>
      <c r="H19" s="47">
        <f>G19/F19*C19</f>
        <v>40</v>
      </c>
      <c r="I19" s="47">
        <f t="shared" si="2"/>
        <v>30</v>
      </c>
    </row>
    <row r="20" spans="1:9" x14ac:dyDescent="0.35">
      <c r="A20" s="62" t="s">
        <v>183</v>
      </c>
      <c r="B20" s="57">
        <f t="shared" ref="B20:B25" si="3">B19+H20</f>
        <v>57.5</v>
      </c>
      <c r="C20" s="45">
        <v>7.5</v>
      </c>
      <c r="D20" s="57">
        <f t="shared" ref="D20:D25" si="4">D19+I20</f>
        <v>80</v>
      </c>
      <c r="E20" s="45">
        <v>5</v>
      </c>
      <c r="F20" s="50">
        <f>F17</f>
        <v>30</v>
      </c>
      <c r="G20" s="49">
        <v>30</v>
      </c>
      <c r="H20" s="47">
        <f>G20/F20*7.5</f>
        <v>7.5</v>
      </c>
      <c r="I20" s="47">
        <f t="shared" si="2"/>
        <v>5</v>
      </c>
    </row>
    <row r="21" spans="1:9" x14ac:dyDescent="0.35">
      <c r="A21" s="62" t="s">
        <v>184</v>
      </c>
      <c r="B21" s="57">
        <f t="shared" si="3"/>
        <v>65</v>
      </c>
      <c r="C21" s="45">
        <v>7.5</v>
      </c>
      <c r="D21" s="57">
        <f t="shared" si="4"/>
        <v>85</v>
      </c>
      <c r="E21" s="45">
        <v>5</v>
      </c>
      <c r="F21" s="50">
        <f>F18</f>
        <v>30</v>
      </c>
      <c r="G21" s="49">
        <v>30</v>
      </c>
      <c r="H21" s="47">
        <f>G21/F21*C21</f>
        <v>7.5</v>
      </c>
      <c r="I21" s="47">
        <f>G21/F21*E21</f>
        <v>5</v>
      </c>
    </row>
    <row r="22" spans="1:9" ht="26" x14ac:dyDescent="0.35">
      <c r="A22" s="44" t="s">
        <v>178</v>
      </c>
      <c r="B22" s="57">
        <f t="shared" si="3"/>
        <v>75</v>
      </c>
      <c r="C22" s="45">
        <v>10</v>
      </c>
      <c r="D22" s="57">
        <f t="shared" si="4"/>
        <v>90</v>
      </c>
      <c r="E22" s="45">
        <v>5</v>
      </c>
      <c r="F22" s="50">
        <f>F17</f>
        <v>30</v>
      </c>
      <c r="G22" s="49">
        <v>30</v>
      </c>
      <c r="H22" s="47">
        <f>G22/F22*C22</f>
        <v>10</v>
      </c>
      <c r="I22" s="47">
        <f>G22/F22*E22</f>
        <v>5</v>
      </c>
    </row>
    <row r="23" spans="1:9" x14ac:dyDescent="0.35">
      <c r="A23" s="44" t="s">
        <v>177</v>
      </c>
      <c r="B23" s="57">
        <f t="shared" si="3"/>
        <v>85</v>
      </c>
      <c r="C23" s="45">
        <v>10</v>
      </c>
      <c r="D23" s="57">
        <f t="shared" si="4"/>
        <v>95</v>
      </c>
      <c r="E23" s="45">
        <v>5</v>
      </c>
      <c r="F23" s="50">
        <f>F17</f>
        <v>30</v>
      </c>
      <c r="G23" s="49">
        <v>30</v>
      </c>
      <c r="H23" s="47">
        <f>G23/F23*C23</f>
        <v>10</v>
      </c>
      <c r="I23" s="47">
        <f>G23/F23*E23</f>
        <v>5</v>
      </c>
    </row>
    <row r="24" spans="1:9" x14ac:dyDescent="0.35">
      <c r="A24" s="62" t="s">
        <v>185</v>
      </c>
      <c r="B24" s="57">
        <f t="shared" si="3"/>
        <v>90</v>
      </c>
      <c r="C24" s="45">
        <v>5</v>
      </c>
      <c r="D24" s="57">
        <f t="shared" si="4"/>
        <v>95</v>
      </c>
      <c r="E24" s="45">
        <v>0</v>
      </c>
      <c r="F24" s="50">
        <f>F18</f>
        <v>30</v>
      </c>
      <c r="G24" s="49">
        <v>30</v>
      </c>
      <c r="H24" s="47">
        <f t="shared" ref="H24:H26" si="5">G24/F24*C24</f>
        <v>5</v>
      </c>
      <c r="I24" s="47">
        <f t="shared" si="2"/>
        <v>0</v>
      </c>
    </row>
    <row r="25" spans="1:9" ht="26" x14ac:dyDescent="0.35">
      <c r="A25" s="62" t="s">
        <v>179</v>
      </c>
      <c r="B25" s="57">
        <f t="shared" si="3"/>
        <v>95</v>
      </c>
      <c r="C25" s="45">
        <v>5</v>
      </c>
      <c r="D25" s="57">
        <f t="shared" si="4"/>
        <v>95</v>
      </c>
      <c r="E25" s="45">
        <v>0</v>
      </c>
      <c r="F25" s="50">
        <f>F17</f>
        <v>30</v>
      </c>
      <c r="G25" s="49">
        <v>30</v>
      </c>
      <c r="H25" s="47">
        <f t="shared" si="5"/>
        <v>5</v>
      </c>
      <c r="I25" s="47">
        <f t="shared" si="2"/>
        <v>0</v>
      </c>
    </row>
    <row r="26" spans="1:9" x14ac:dyDescent="0.35">
      <c r="A26" s="44" t="s">
        <v>180</v>
      </c>
      <c r="B26" s="45">
        <v>100</v>
      </c>
      <c r="C26" s="45">
        <v>5</v>
      </c>
      <c r="D26" s="45">
        <v>100</v>
      </c>
      <c r="E26" s="45">
        <v>5</v>
      </c>
      <c r="F26" s="50">
        <f>F17</f>
        <v>30</v>
      </c>
      <c r="G26" s="49">
        <v>30</v>
      </c>
      <c r="H26" s="47">
        <f t="shared" si="5"/>
        <v>5</v>
      </c>
      <c r="I26" s="47">
        <f t="shared" si="2"/>
        <v>5</v>
      </c>
    </row>
    <row r="27" spans="1:9" x14ac:dyDescent="0.35">
      <c r="A27" s="51"/>
      <c r="B27" s="51"/>
      <c r="C27" s="51">
        <f>SUM(C17:C26)</f>
        <v>100</v>
      </c>
      <c r="D27" s="51"/>
      <c r="E27" s="51">
        <f>SUM(E17:E26)</f>
        <v>100</v>
      </c>
      <c r="F27" s="51"/>
      <c r="G27" s="52" t="s">
        <v>181</v>
      </c>
      <c r="H27" s="53">
        <f>SUM(H17:H26)</f>
        <v>100</v>
      </c>
      <c r="I27" s="53">
        <f>SUM(I17:I26)</f>
        <v>100</v>
      </c>
    </row>
    <row r="30" spans="1:9" hidden="1" x14ac:dyDescent="0.35">
      <c r="C30" s="63" t="s">
        <v>187</v>
      </c>
      <c r="D30" s="63"/>
    </row>
    <row r="31" spans="1:9" hidden="1" x14ac:dyDescent="0.35"/>
    <row r="32" spans="1:9" hidden="1" x14ac:dyDescent="0.35">
      <c r="A32" s="243" t="s">
        <v>165</v>
      </c>
      <c r="B32" s="243"/>
      <c r="C32" s="243"/>
      <c r="D32" s="243"/>
      <c r="E32" s="243"/>
      <c r="F32" s="243"/>
      <c r="G32" s="243"/>
      <c r="H32" s="243"/>
      <c r="I32" s="243"/>
    </row>
    <row r="33" spans="1:9" hidden="1" x14ac:dyDescent="0.35">
      <c r="A33" s="44"/>
      <c r="B33" s="45" t="s">
        <v>166</v>
      </c>
      <c r="C33" s="45" t="s">
        <v>167</v>
      </c>
      <c r="D33" s="45" t="s">
        <v>168</v>
      </c>
      <c r="E33" s="45" t="s">
        <v>169</v>
      </c>
      <c r="F33" s="46" t="s">
        <v>170</v>
      </c>
      <c r="G33" s="46" t="s">
        <v>171</v>
      </c>
      <c r="H33" s="45" t="s">
        <v>172</v>
      </c>
      <c r="I33" s="47" t="s">
        <v>173</v>
      </c>
    </row>
    <row r="34" spans="1:9" hidden="1" x14ac:dyDescent="0.35">
      <c r="A34" s="44" t="s">
        <v>174</v>
      </c>
      <c r="B34" s="45">
        <v>0</v>
      </c>
      <c r="C34" s="45">
        <v>0</v>
      </c>
      <c r="D34" s="45">
        <v>20</v>
      </c>
      <c r="E34" s="45">
        <v>20</v>
      </c>
      <c r="F34" s="48">
        <v>30</v>
      </c>
      <c r="G34" s="49">
        <v>30</v>
      </c>
      <c r="H34" s="47">
        <v>0</v>
      </c>
      <c r="I34" s="47">
        <f t="shared" ref="I34:I37" si="6">G34/F34*E34</f>
        <v>20</v>
      </c>
    </row>
    <row r="35" spans="1:9" hidden="1" x14ac:dyDescent="0.35">
      <c r="A35" s="44" t="s">
        <v>48</v>
      </c>
      <c r="B35" s="45">
        <v>10</v>
      </c>
      <c r="C35" s="45">
        <v>10</v>
      </c>
      <c r="D35" s="57">
        <f>D34+I35</f>
        <v>45</v>
      </c>
      <c r="E35" s="45">
        <v>25</v>
      </c>
      <c r="F35" s="50">
        <f>F34</f>
        <v>30</v>
      </c>
      <c r="G35" s="49">
        <v>30</v>
      </c>
      <c r="H35" s="47">
        <f>G35/F35*C35</f>
        <v>10</v>
      </c>
      <c r="I35" s="47">
        <f t="shared" si="6"/>
        <v>25</v>
      </c>
    </row>
    <row r="36" spans="1:9" hidden="1" x14ac:dyDescent="0.35">
      <c r="A36" s="44" t="s">
        <v>175</v>
      </c>
      <c r="B36" s="57">
        <f>B35+H36</f>
        <v>50</v>
      </c>
      <c r="C36" s="45">
        <v>40</v>
      </c>
      <c r="D36" s="57">
        <f>D35+I36</f>
        <v>75</v>
      </c>
      <c r="E36" s="45">
        <v>30</v>
      </c>
      <c r="F36" s="50">
        <v>35</v>
      </c>
      <c r="G36" s="49">
        <v>35</v>
      </c>
      <c r="H36" s="47">
        <f>G36/F36*C36</f>
        <v>40</v>
      </c>
      <c r="I36" s="47">
        <f t="shared" si="6"/>
        <v>30</v>
      </c>
    </row>
    <row r="37" spans="1:9" hidden="1" x14ac:dyDescent="0.35">
      <c r="A37" s="44" t="s">
        <v>183</v>
      </c>
      <c r="B37" s="57">
        <f t="shared" ref="B37:B42" si="7">B36+H37</f>
        <v>57.5</v>
      </c>
      <c r="C37" s="45">
        <v>10</v>
      </c>
      <c r="D37" s="57">
        <f t="shared" ref="D37:D42" si="8">D36+I37</f>
        <v>82.5</v>
      </c>
      <c r="E37" s="45">
        <v>7.5</v>
      </c>
      <c r="F37" s="50">
        <f>F34</f>
        <v>30</v>
      </c>
      <c r="G37" s="49">
        <v>30</v>
      </c>
      <c r="H37" s="47">
        <f>G37/F37*7.5</f>
        <v>7.5</v>
      </c>
      <c r="I37" s="47">
        <f t="shared" si="6"/>
        <v>7.5</v>
      </c>
    </row>
    <row r="38" spans="1:9" ht="26" hidden="1" x14ac:dyDescent="0.35">
      <c r="A38" s="44" t="s">
        <v>178</v>
      </c>
      <c r="B38" s="57">
        <f t="shared" si="7"/>
        <v>62.5</v>
      </c>
      <c r="C38" s="45">
        <v>5</v>
      </c>
      <c r="D38" s="57">
        <f t="shared" si="8"/>
        <v>85</v>
      </c>
      <c r="E38" s="45">
        <v>2.5</v>
      </c>
      <c r="F38" s="50">
        <f>F34</f>
        <v>30</v>
      </c>
      <c r="G38" s="49">
        <v>30</v>
      </c>
      <c r="H38" s="47">
        <f>G38/F38*C38</f>
        <v>5</v>
      </c>
      <c r="I38" s="47">
        <f>G38/F38*E38</f>
        <v>2.5</v>
      </c>
    </row>
    <row r="39" spans="1:9" hidden="1" x14ac:dyDescent="0.35">
      <c r="A39" s="44" t="s">
        <v>184</v>
      </c>
      <c r="B39" s="57">
        <f t="shared" si="7"/>
        <v>67.5</v>
      </c>
      <c r="C39" s="45">
        <v>5</v>
      </c>
      <c r="D39" s="57">
        <f t="shared" si="8"/>
        <v>87.5</v>
      </c>
      <c r="E39" s="45">
        <v>2.5</v>
      </c>
      <c r="F39" s="50">
        <f>F35</f>
        <v>30</v>
      </c>
      <c r="G39" s="49">
        <v>30</v>
      </c>
      <c r="H39" s="47">
        <f t="shared" ref="H39" si="9">G39/F39*C39</f>
        <v>5</v>
      </c>
      <c r="I39" s="47">
        <f t="shared" ref="I39" si="10">G39/F39*E39</f>
        <v>2.5</v>
      </c>
    </row>
    <row r="40" spans="1:9" hidden="1" x14ac:dyDescent="0.35">
      <c r="A40" s="44" t="s">
        <v>177</v>
      </c>
      <c r="B40" s="57">
        <f t="shared" si="7"/>
        <v>77.5</v>
      </c>
      <c r="C40" s="45">
        <v>10</v>
      </c>
      <c r="D40" s="57">
        <f t="shared" si="8"/>
        <v>90</v>
      </c>
      <c r="E40" s="45">
        <v>2.5</v>
      </c>
      <c r="F40" s="50">
        <f>F34</f>
        <v>30</v>
      </c>
      <c r="G40" s="49">
        <v>30</v>
      </c>
      <c r="H40" s="47">
        <f>G40/F40*C40</f>
        <v>10</v>
      </c>
      <c r="I40" s="47">
        <f>G40/F40*E40</f>
        <v>2.5</v>
      </c>
    </row>
    <row r="41" spans="1:9" hidden="1" x14ac:dyDescent="0.35">
      <c r="A41" s="44" t="s">
        <v>185</v>
      </c>
      <c r="B41" s="57">
        <f t="shared" si="7"/>
        <v>87.5</v>
      </c>
      <c r="C41" s="45">
        <v>10</v>
      </c>
      <c r="D41" s="57">
        <f t="shared" si="8"/>
        <v>95</v>
      </c>
      <c r="E41" s="45">
        <v>5</v>
      </c>
      <c r="F41" s="50">
        <f>F35</f>
        <v>30</v>
      </c>
      <c r="G41" s="49">
        <v>30</v>
      </c>
      <c r="H41" s="47">
        <f t="shared" ref="H41:H43" si="11">G41/F41*C41</f>
        <v>10</v>
      </c>
      <c r="I41" s="47">
        <f t="shared" ref="I41:I43" si="12">G41/F41*E41</f>
        <v>5</v>
      </c>
    </row>
    <row r="42" spans="1:9" ht="26" hidden="1" x14ac:dyDescent="0.35">
      <c r="A42" s="44" t="s">
        <v>179</v>
      </c>
      <c r="B42" s="57">
        <f t="shared" si="7"/>
        <v>92.5</v>
      </c>
      <c r="C42" s="45">
        <v>5</v>
      </c>
      <c r="D42" s="57">
        <f t="shared" si="8"/>
        <v>97.5</v>
      </c>
      <c r="E42" s="45">
        <v>2.5</v>
      </c>
      <c r="F42" s="50">
        <f>F34</f>
        <v>30</v>
      </c>
      <c r="G42" s="49">
        <v>30</v>
      </c>
      <c r="H42" s="47">
        <f t="shared" si="11"/>
        <v>5</v>
      </c>
      <c r="I42" s="47">
        <f t="shared" si="12"/>
        <v>2.5</v>
      </c>
    </row>
    <row r="43" spans="1:9" hidden="1" x14ac:dyDescent="0.35">
      <c r="A43" s="44" t="s">
        <v>180</v>
      </c>
      <c r="B43" s="45">
        <v>100</v>
      </c>
      <c r="C43" s="45">
        <v>5</v>
      </c>
      <c r="D43" s="45">
        <v>100</v>
      </c>
      <c r="E43" s="45">
        <v>2.5</v>
      </c>
      <c r="F43" s="50">
        <f>F34</f>
        <v>30</v>
      </c>
      <c r="G43" s="49">
        <v>30</v>
      </c>
      <c r="H43" s="47">
        <f t="shared" si="11"/>
        <v>5</v>
      </c>
      <c r="I43" s="47">
        <f t="shared" si="12"/>
        <v>2.5</v>
      </c>
    </row>
    <row r="44" spans="1:9" hidden="1" x14ac:dyDescent="0.35">
      <c r="A44" s="51"/>
      <c r="B44" s="51"/>
      <c r="C44" s="51">
        <f>SUM(C34:C43)</f>
        <v>100</v>
      </c>
      <c r="D44" s="51"/>
      <c r="E44" s="51">
        <f>SUM(E34:E43)</f>
        <v>100</v>
      </c>
      <c r="F44" s="51"/>
      <c r="G44" s="52" t="s">
        <v>181</v>
      </c>
      <c r="H44" s="53">
        <f>SUM(H34:H43)</f>
        <v>97.5</v>
      </c>
      <c r="I44" s="53">
        <f>SUM(I34:I43)</f>
        <v>100</v>
      </c>
    </row>
  </sheetData>
  <mergeCells count="5">
    <mergeCell ref="A2:I2"/>
    <mergeCell ref="A15:I15"/>
    <mergeCell ref="A32:I32"/>
    <mergeCell ref="A1:I1"/>
    <mergeCell ref="A14:I14"/>
  </mergeCells>
  <pageMargins left="0.7" right="0.7" top="0.75" bottom="0.75" header="0.3" footer="0.3"/>
  <pageSetup paperSize="9" orientation="portrait" horizontalDpi="300" verticalDpi="0" copies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7" workbookViewId="0">
      <selection activeCell="C21" sqref="C21:D25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70</v>
      </c>
      <c r="C2" s="249"/>
      <c r="D2" s="249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71</v>
      </c>
      <c r="B4" s="5" t="s">
        <v>72</v>
      </c>
      <c r="C4" s="250" t="s">
        <v>73</v>
      </c>
      <c r="D4" s="250"/>
      <c r="E4" s="250"/>
      <c r="F4" s="6"/>
      <c r="G4" s="250" t="s">
        <v>74</v>
      </c>
      <c r="H4" s="250"/>
      <c r="I4" s="250"/>
      <c r="J4" s="250" t="s">
        <v>75</v>
      </c>
      <c r="K4" s="250"/>
      <c r="L4" s="250"/>
    </row>
    <row r="5" spans="1:12" x14ac:dyDescent="0.35">
      <c r="A5" s="3">
        <v>202</v>
      </c>
      <c r="B5" s="5"/>
      <c r="C5" s="5" t="s">
        <v>76</v>
      </c>
      <c r="D5" s="5" t="s">
        <v>77</v>
      </c>
      <c r="E5" s="5" t="s">
        <v>56</v>
      </c>
      <c r="F5" s="5"/>
      <c r="G5" s="5" t="s">
        <v>76</v>
      </c>
      <c r="H5" s="5" t="s">
        <v>77</v>
      </c>
      <c r="I5" s="5" t="s">
        <v>56</v>
      </c>
      <c r="J5" s="5" t="s">
        <v>76</v>
      </c>
      <c r="K5" s="5" t="s">
        <v>77</v>
      </c>
      <c r="L5" s="5" t="s">
        <v>56</v>
      </c>
    </row>
    <row r="6" spans="1:12" x14ac:dyDescent="0.35">
      <c r="B6" s="7" t="s">
        <v>78</v>
      </c>
      <c r="C6" s="7"/>
      <c r="D6" s="7"/>
      <c r="E6" s="7">
        <f>C6*D6</f>
        <v>0</v>
      </c>
      <c r="F6" s="7" t="s">
        <v>79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80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81</v>
      </c>
      <c r="C9" s="7"/>
      <c r="D9" s="7"/>
      <c r="E9" s="7">
        <f t="shared" si="0"/>
        <v>0</v>
      </c>
      <c r="F9" s="7" t="s">
        <v>79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80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82</v>
      </c>
      <c r="C13" s="7"/>
      <c r="D13" s="7"/>
      <c r="E13" s="7">
        <f t="shared" si="0"/>
        <v>0</v>
      </c>
      <c r="F13" s="7" t="s">
        <v>79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80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83</v>
      </c>
      <c r="C17" s="7"/>
      <c r="D17" s="7"/>
      <c r="E17" s="7">
        <f t="shared" si="0"/>
        <v>0</v>
      </c>
      <c r="F17" s="7" t="s">
        <v>79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80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83</v>
      </c>
      <c r="C20" s="7"/>
      <c r="D20" s="7"/>
      <c r="E20" s="7">
        <f t="shared" si="0"/>
        <v>0</v>
      </c>
      <c r="F20" s="7" t="s">
        <v>79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80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84</v>
      </c>
      <c r="C23" s="7"/>
      <c r="D23" s="7"/>
      <c r="E23" s="7">
        <f t="shared" si="0"/>
        <v>0</v>
      </c>
      <c r="F23" s="7" t="s">
        <v>85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86</v>
      </c>
      <c r="C24" s="7"/>
      <c r="D24" s="7"/>
      <c r="E24" s="7">
        <f t="shared" si="0"/>
        <v>0</v>
      </c>
      <c r="F24" s="7" t="s">
        <v>85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87</v>
      </c>
      <c r="C25" s="7"/>
      <c r="D25" s="7"/>
      <c r="E25" s="7">
        <f t="shared" si="0"/>
        <v>0</v>
      </c>
      <c r="F25" s="7" t="s">
        <v>85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88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89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90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91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57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265625" defaultRowHeight="14.5" x14ac:dyDescent="0.35"/>
  <cols>
    <col min="1" max="1" width="8.7265625" style="23"/>
    <col min="2" max="2" width="22.1796875" style="23" customWidth="1"/>
    <col min="3" max="3" width="37" style="23" customWidth="1"/>
    <col min="4" max="5" width="11.453125" style="23" customWidth="1"/>
    <col min="6" max="6" width="14" style="23" customWidth="1"/>
    <col min="7" max="7" width="20" style="23" customWidth="1"/>
    <col min="8" max="8" width="16.453125" style="23" customWidth="1"/>
    <col min="9" max="16384" width="8.7265625" style="23"/>
  </cols>
  <sheetData>
    <row r="1" spans="1:9" ht="15" customHeight="1" x14ac:dyDescent="0.35">
      <c r="A1" s="22"/>
      <c r="B1" s="22"/>
      <c r="C1" s="22"/>
      <c r="D1" s="22"/>
      <c r="E1" s="22"/>
      <c r="F1" s="22"/>
      <c r="G1" s="22"/>
      <c r="H1" s="22"/>
    </row>
    <row r="2" spans="1:9" ht="15" customHeight="1" x14ac:dyDescent="0.35">
      <c r="A2" s="24"/>
      <c r="B2" s="24"/>
      <c r="C2" s="24"/>
      <c r="D2" s="24"/>
      <c r="E2" s="24"/>
      <c r="F2" s="24"/>
      <c r="G2" s="24"/>
      <c r="H2" s="24"/>
    </row>
    <row r="3" spans="1:9" ht="15.75" customHeight="1" x14ac:dyDescent="0.35">
      <c r="A3" s="24"/>
      <c r="B3" s="251" t="s">
        <v>140</v>
      </c>
      <c r="C3" s="251"/>
      <c r="D3" s="251"/>
      <c r="E3" s="251"/>
      <c r="F3" s="251"/>
      <c r="G3" s="251"/>
      <c r="H3" s="251"/>
    </row>
    <row r="4" spans="1:9" x14ac:dyDescent="0.35">
      <c r="A4" s="24"/>
      <c r="B4" s="25" t="s">
        <v>141</v>
      </c>
      <c r="C4" s="25" t="s">
        <v>142</v>
      </c>
      <c r="D4" s="25" t="s">
        <v>71</v>
      </c>
      <c r="E4" s="25" t="s">
        <v>143</v>
      </c>
      <c r="F4" s="25" t="s">
        <v>150</v>
      </c>
      <c r="G4" s="25" t="s">
        <v>151</v>
      </c>
      <c r="H4" s="25" t="s">
        <v>144</v>
      </c>
    </row>
    <row r="5" spans="1:9" ht="15" customHeight="1" x14ac:dyDescent="0.35">
      <c r="A5" s="24"/>
      <c r="B5" s="27" t="s">
        <v>145</v>
      </c>
      <c r="C5" s="28"/>
      <c r="D5" s="27" t="s">
        <v>146</v>
      </c>
      <c r="E5" s="27">
        <v>1106</v>
      </c>
      <c r="F5" s="29">
        <f>E5*1.6</f>
        <v>1769.6000000000001</v>
      </c>
      <c r="G5" s="29">
        <f>H5/F5</f>
        <v>31532.549728752259</v>
      </c>
      <c r="H5" s="30">
        <v>55800000</v>
      </c>
    </row>
    <row r="6" spans="1:9" x14ac:dyDescent="0.35">
      <c r="A6" s="24"/>
      <c r="B6" s="27" t="s">
        <v>145</v>
      </c>
      <c r="C6" s="31"/>
      <c r="D6" s="27"/>
      <c r="E6" s="27"/>
      <c r="F6" s="29">
        <f t="shared" ref="F6:F11" si="0">E6*1.6</f>
        <v>0</v>
      </c>
      <c r="G6" s="29" t="e">
        <f t="shared" ref="G6:G11" si="1">H6/F6</f>
        <v>#DIV/0!</v>
      </c>
      <c r="H6" s="30"/>
    </row>
    <row r="7" spans="1:9" ht="15" customHeight="1" x14ac:dyDescent="0.35">
      <c r="A7" s="24"/>
      <c r="B7" s="27" t="s">
        <v>145</v>
      </c>
      <c r="C7" s="28"/>
      <c r="D7" s="27"/>
      <c r="E7" s="27"/>
      <c r="F7" s="29">
        <f t="shared" si="0"/>
        <v>0</v>
      </c>
      <c r="G7" s="29" t="e">
        <f t="shared" si="1"/>
        <v>#DIV/0!</v>
      </c>
      <c r="H7" s="30"/>
    </row>
    <row r="8" spans="1:9" x14ac:dyDescent="0.35">
      <c r="A8" s="24"/>
      <c r="B8" s="27" t="s">
        <v>145</v>
      </c>
      <c r="C8" s="31"/>
      <c r="D8" s="27"/>
      <c r="E8" s="27"/>
      <c r="F8" s="29">
        <f t="shared" si="0"/>
        <v>0</v>
      </c>
      <c r="G8" s="29" t="e">
        <f t="shared" si="1"/>
        <v>#DIV/0!</v>
      </c>
      <c r="H8" s="30"/>
    </row>
    <row r="9" spans="1:9" ht="15" customHeight="1" x14ac:dyDescent="0.35">
      <c r="A9" s="24"/>
      <c r="B9" s="27" t="s">
        <v>145</v>
      </c>
      <c r="C9" s="31"/>
      <c r="D9" s="27"/>
      <c r="E9" s="27"/>
      <c r="F9" s="29">
        <f t="shared" si="0"/>
        <v>0</v>
      </c>
      <c r="G9" s="29" t="e">
        <f t="shared" si="1"/>
        <v>#DIV/0!</v>
      </c>
      <c r="H9" s="30"/>
    </row>
    <row r="10" spans="1:9" ht="15" customHeight="1" x14ac:dyDescent="0.35">
      <c r="A10" s="24"/>
      <c r="B10" s="27" t="s">
        <v>147</v>
      </c>
      <c r="C10" s="28"/>
      <c r="D10" s="27"/>
      <c r="E10" s="27"/>
      <c r="F10" s="29">
        <f t="shared" si="0"/>
        <v>0</v>
      </c>
      <c r="G10" s="29" t="e">
        <f t="shared" si="1"/>
        <v>#DIV/0!</v>
      </c>
      <c r="H10" s="30"/>
    </row>
    <row r="11" spans="1:9" ht="15" customHeight="1" x14ac:dyDescent="0.35">
      <c r="A11" s="24"/>
      <c r="B11" s="27" t="s">
        <v>147</v>
      </c>
      <c r="C11" s="28"/>
      <c r="D11" s="27"/>
      <c r="E11" s="27"/>
      <c r="F11" s="29">
        <f t="shared" si="0"/>
        <v>0</v>
      </c>
      <c r="G11" s="29" t="e">
        <f t="shared" si="1"/>
        <v>#DIV/0!</v>
      </c>
      <c r="H11" s="30"/>
    </row>
    <row r="12" spans="1:9" ht="15" customHeight="1" x14ac:dyDescent="0.35">
      <c r="A12" s="24"/>
      <c r="B12" s="32" t="s">
        <v>148</v>
      </c>
      <c r="C12" s="27"/>
      <c r="D12" s="27"/>
      <c r="E12" s="27"/>
      <c r="F12" s="27"/>
      <c r="G12" s="33" t="e">
        <f>AVERAGE(G5:G11)</f>
        <v>#DIV/0!</v>
      </c>
      <c r="H12" s="27"/>
    </row>
    <row r="13" spans="1:9" ht="15" customHeight="1" x14ac:dyDescent="0.35">
      <c r="A13" s="22"/>
      <c r="B13" s="32" t="s">
        <v>149</v>
      </c>
      <c r="C13" s="34"/>
      <c r="D13" s="34"/>
      <c r="E13" s="34"/>
      <c r="F13" s="35"/>
      <c r="G13" s="32"/>
      <c r="H13" s="32"/>
      <c r="I13" s="26"/>
    </row>
    <row r="14" spans="1:9" ht="15" customHeight="1" x14ac:dyDescent="0.35">
      <c r="B14" s="22"/>
      <c r="C14" s="22"/>
      <c r="D14" s="22"/>
      <c r="E14" s="22"/>
    </row>
    <row r="15" spans="1:9" ht="15" customHeight="1" x14ac:dyDescent="0.35">
      <c r="B15" s="22"/>
      <c r="C15" s="22"/>
      <c r="D15" s="22"/>
      <c r="E15" s="22"/>
    </row>
    <row r="16" spans="1:9" ht="15" customHeight="1" x14ac:dyDescent="0.35">
      <c r="B16" s="22"/>
      <c r="C16" s="22"/>
      <c r="D16" s="22"/>
      <c r="E16" s="22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Report</vt:lpstr>
      <vt:lpstr>AXIS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2025-06-07T10:06:05Z</cp:lastPrinted>
  <dcterms:created xsi:type="dcterms:W3CDTF">2019-07-16T09:29:46Z</dcterms:created>
  <dcterms:modified xsi:type="dcterms:W3CDTF">2025-09-11T10:20:39Z</dcterms:modified>
</cp:coreProperties>
</file>