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Sept 2025\11-09-2025\"/>
    </mc:Choice>
  </mc:AlternateContent>
  <bookViews>
    <workbookView xWindow="0" yWindow="0" windowWidth="19200" windowHeight="6640" tabRatio="849"/>
  </bookViews>
  <sheets>
    <sheet name="Report (2)" sheetId="1" r:id="rId1"/>
    <sheet name="Note" sheetId="4" r:id="rId2"/>
  </sheets>
  <definedNames>
    <definedName name="_xlnm.Print_Area" localSheetId="0">'Report (2)'!$A$1:$J$505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7" i="1" l="1"/>
  <c r="D302" i="1" l="1"/>
  <c r="G302" i="1" s="1"/>
  <c r="D300" i="1"/>
  <c r="G300" i="1" s="1"/>
  <c r="D299" i="1"/>
  <c r="G299" i="1" s="1"/>
  <c r="D297" i="1"/>
  <c r="D296" i="1"/>
  <c r="G296" i="1" s="1"/>
  <c r="D295" i="1"/>
  <c r="G295" i="1" s="1"/>
  <c r="D294" i="1"/>
  <c r="G297" i="1"/>
  <c r="L294" i="1"/>
  <c r="K294" i="1"/>
  <c r="H299" i="1"/>
  <c r="H294" i="1"/>
  <c r="L143" i="1"/>
  <c r="L142" i="1"/>
  <c r="L141" i="1"/>
  <c r="L140" i="1"/>
  <c r="D56" i="1"/>
  <c r="H50" i="1"/>
  <c r="H47" i="1"/>
  <c r="F39" i="1"/>
  <c r="I133" i="1"/>
  <c r="G294" i="1" l="1"/>
  <c r="G166" i="1" s="1"/>
  <c r="G167" i="1" s="1"/>
  <c r="C166" i="1"/>
  <c r="C167" i="1" s="1"/>
  <c r="D166" i="1"/>
  <c r="D167" i="1" s="1"/>
  <c r="M294" i="1"/>
  <c r="L137" i="1"/>
  <c r="C136" i="1" s="1"/>
  <c r="L135" i="1"/>
  <c r="L136" i="1"/>
  <c r="D145" i="1"/>
  <c r="D143" i="1"/>
  <c r="D141" i="1"/>
  <c r="D139" i="1"/>
  <c r="L138" i="1"/>
  <c r="L139" i="1" s="1"/>
  <c r="L144" i="1" s="1"/>
  <c r="L145" i="1" s="1"/>
  <c r="C137" i="1" s="1"/>
  <c r="D144" i="1"/>
  <c r="D142" i="1"/>
  <c r="D140" i="1"/>
  <c r="D138" i="1"/>
  <c r="F3" i="1"/>
  <c r="F136" i="1" l="1"/>
  <c r="D137" i="1"/>
  <c r="H136" i="1"/>
  <c r="D136" i="1"/>
  <c r="L186" i="1"/>
  <c r="D289" i="1"/>
  <c r="G289" i="1" s="1"/>
  <c r="D288" i="1"/>
  <c r="G288" i="1" s="1"/>
  <c r="D287" i="1"/>
  <c r="G287" i="1" s="1"/>
  <c r="D286" i="1"/>
  <c r="G286" i="1" s="1"/>
  <c r="D285" i="1"/>
  <c r="G285" i="1" s="1"/>
  <c r="H284" i="1"/>
  <c r="D282" i="1"/>
  <c r="G282" i="1" s="1"/>
  <c r="D281" i="1"/>
  <c r="G281" i="1" s="1"/>
  <c r="D280" i="1"/>
  <c r="G280" i="1" s="1"/>
  <c r="D279" i="1"/>
  <c r="G279" i="1" s="1"/>
  <c r="D278" i="1"/>
  <c r="G278" i="1" s="1"/>
  <c r="H277" i="1"/>
  <c r="D277" i="1"/>
  <c r="G277" i="1" s="1"/>
  <c r="D275" i="1"/>
  <c r="G275" i="1" s="1"/>
  <c r="D274" i="1"/>
  <c r="G274" i="1" s="1"/>
  <c r="D273" i="1"/>
  <c r="G273" i="1" s="1"/>
  <c r="D272" i="1"/>
  <c r="G272" i="1" s="1"/>
  <c r="D271" i="1"/>
  <c r="G271" i="1" s="1"/>
  <c r="H270" i="1"/>
  <c r="D270" i="1"/>
  <c r="G270" i="1" s="1"/>
  <c r="D266" i="1"/>
  <c r="G266" i="1" s="1"/>
  <c r="D265" i="1"/>
  <c r="G265" i="1" s="1"/>
  <c r="D264" i="1"/>
  <c r="G264" i="1" s="1"/>
  <c r="D263" i="1"/>
  <c r="G263" i="1" s="1"/>
  <c r="D262" i="1"/>
  <c r="G262" i="1" s="1"/>
  <c r="H261" i="1"/>
  <c r="D259" i="1"/>
  <c r="G259" i="1" s="1"/>
  <c r="D258" i="1"/>
  <c r="G258" i="1" s="1"/>
  <c r="D257" i="1"/>
  <c r="G257" i="1" s="1"/>
  <c r="D256" i="1"/>
  <c r="G256" i="1" s="1"/>
  <c r="D255" i="1"/>
  <c r="G255" i="1" s="1"/>
  <c r="H254" i="1"/>
  <c r="D254" i="1"/>
  <c r="G254" i="1" s="1"/>
  <c r="D252" i="1"/>
  <c r="G252" i="1" s="1"/>
  <c r="D251" i="1"/>
  <c r="G251" i="1" s="1"/>
  <c r="D250" i="1"/>
  <c r="G250" i="1" s="1"/>
  <c r="D249" i="1"/>
  <c r="G249" i="1" s="1"/>
  <c r="D248" i="1"/>
  <c r="G248" i="1" s="1"/>
  <c r="H247" i="1"/>
  <c r="D247" i="1"/>
  <c r="G247" i="1" s="1"/>
  <c r="D243" i="1"/>
  <c r="G243" i="1" s="1"/>
  <c r="D242" i="1"/>
  <c r="G242" i="1" s="1"/>
  <c r="D241" i="1"/>
  <c r="G241" i="1" s="1"/>
  <c r="D240" i="1"/>
  <c r="G240" i="1" s="1"/>
  <c r="D239" i="1"/>
  <c r="G239" i="1" s="1"/>
  <c r="H238" i="1"/>
  <c r="D236" i="1"/>
  <c r="G236" i="1" s="1"/>
  <c r="D235" i="1"/>
  <c r="G235" i="1" s="1"/>
  <c r="D234" i="1"/>
  <c r="G234" i="1" s="1"/>
  <c r="D233" i="1"/>
  <c r="G233" i="1" s="1"/>
  <c r="D232" i="1"/>
  <c r="G232" i="1" s="1"/>
  <c r="H231" i="1"/>
  <c r="D231" i="1"/>
  <c r="G231" i="1" s="1"/>
  <c r="D229" i="1"/>
  <c r="G229" i="1" s="1"/>
  <c r="D228" i="1"/>
  <c r="G228" i="1" s="1"/>
  <c r="D227" i="1"/>
  <c r="G227" i="1" s="1"/>
  <c r="D226" i="1"/>
  <c r="G226" i="1" s="1"/>
  <c r="D225" i="1"/>
  <c r="G225" i="1" s="1"/>
  <c r="H224" i="1"/>
  <c r="D224" i="1"/>
  <c r="D220" i="1"/>
  <c r="G220" i="1" s="1"/>
  <c r="D219" i="1"/>
  <c r="G219" i="1" s="1"/>
  <c r="D218" i="1"/>
  <c r="G218" i="1" s="1"/>
  <c r="D217" i="1"/>
  <c r="G217" i="1" s="1"/>
  <c r="D216" i="1"/>
  <c r="G216" i="1" s="1"/>
  <c r="H215" i="1"/>
  <c r="D213" i="1"/>
  <c r="G213" i="1" s="1"/>
  <c r="D212" i="1"/>
  <c r="G212" i="1" s="1"/>
  <c r="D211" i="1"/>
  <c r="G211" i="1" s="1"/>
  <c r="D210" i="1"/>
  <c r="G210" i="1" s="1"/>
  <c r="D209" i="1"/>
  <c r="G209" i="1" s="1"/>
  <c r="H208" i="1"/>
  <c r="D208" i="1"/>
  <c r="G208" i="1" s="1"/>
  <c r="D206" i="1"/>
  <c r="G206" i="1" s="1"/>
  <c r="D205" i="1"/>
  <c r="G205" i="1" s="1"/>
  <c r="D204" i="1"/>
  <c r="G204" i="1" s="1"/>
  <c r="D203" i="1"/>
  <c r="G203" i="1" s="1"/>
  <c r="D202" i="1"/>
  <c r="G202" i="1" s="1"/>
  <c r="H201" i="1"/>
  <c r="D201" i="1"/>
  <c r="D197" i="1"/>
  <c r="D196" i="1"/>
  <c r="D195" i="1"/>
  <c r="D194" i="1"/>
  <c r="D193" i="1"/>
  <c r="D190" i="1"/>
  <c r="G190" i="1" s="1"/>
  <c r="D189" i="1"/>
  <c r="G189" i="1" s="1"/>
  <c r="D188" i="1"/>
  <c r="G188" i="1" s="1"/>
  <c r="D187" i="1"/>
  <c r="G187" i="1" s="1"/>
  <c r="D186" i="1"/>
  <c r="G186" i="1" s="1"/>
  <c r="D185" i="1"/>
  <c r="G185" i="1" s="1"/>
  <c r="D183" i="1"/>
  <c r="D182" i="1"/>
  <c r="D181" i="1"/>
  <c r="D180" i="1"/>
  <c r="D179" i="1"/>
  <c r="D178" i="1"/>
  <c r="H185" i="1"/>
  <c r="K132" i="1" l="1"/>
  <c r="C134" i="1" s="1"/>
  <c r="G162" i="1"/>
  <c r="G161" i="1"/>
  <c r="D158" i="1"/>
  <c r="C158" i="1"/>
  <c r="C159" i="1"/>
  <c r="G224" i="1"/>
  <c r="G160" i="1" s="1"/>
  <c r="C160" i="1"/>
  <c r="D162" i="1"/>
  <c r="G201" i="1"/>
  <c r="G159" i="1" s="1"/>
  <c r="C161" i="1"/>
  <c r="C162" i="1"/>
  <c r="D160" i="1"/>
  <c r="D159" i="1"/>
  <c r="D161" i="1"/>
  <c r="L115" i="1"/>
  <c r="L114" i="1"/>
  <c r="L113" i="1"/>
  <c r="L112" i="1"/>
  <c r="I105" i="1"/>
  <c r="C163" i="1" l="1"/>
  <c r="C168" i="1" s="1"/>
  <c r="D163" i="1"/>
  <c r="D168" i="1" s="1"/>
  <c r="L109" i="1"/>
  <c r="C108" i="1" s="1"/>
  <c r="L107" i="1"/>
  <c r="D116" i="1"/>
  <c r="D114" i="1"/>
  <c r="D112" i="1"/>
  <c r="D110" i="1"/>
  <c r="L108" i="1"/>
  <c r="D117" i="1"/>
  <c r="D115" i="1"/>
  <c r="D113" i="1"/>
  <c r="D111" i="1"/>
  <c r="L110" i="1"/>
  <c r="L111" i="1" s="1"/>
  <c r="L116" i="1" s="1"/>
  <c r="L117" i="1" s="1"/>
  <c r="C109" i="1" s="1"/>
  <c r="F108" i="1" l="1"/>
  <c r="D109" i="1"/>
  <c r="H108" i="1"/>
  <c r="D108" i="1"/>
  <c r="K104" i="1" l="1"/>
  <c r="C106" i="1" s="1"/>
  <c r="L129" i="1"/>
  <c r="L128" i="1"/>
  <c r="L127" i="1"/>
  <c r="L126" i="1"/>
  <c r="L101" i="1"/>
  <c r="L100" i="1"/>
  <c r="L99" i="1"/>
  <c r="L98" i="1"/>
  <c r="L87" i="1"/>
  <c r="L86" i="1"/>
  <c r="L85" i="1"/>
  <c r="L84" i="1"/>
  <c r="L73" i="1"/>
  <c r="L72" i="1"/>
  <c r="I63" i="1"/>
  <c r="I77" i="1"/>
  <c r="I91" i="1"/>
  <c r="I119" i="1"/>
  <c r="L121" i="1" l="1"/>
  <c r="D127" i="1"/>
  <c r="D126" i="1"/>
  <c r="D129" i="1"/>
  <c r="D125" i="1"/>
  <c r="D128" i="1"/>
  <c r="L123" i="1"/>
  <c r="C122" i="1" s="1"/>
  <c r="D131" i="1"/>
  <c r="L124" i="1"/>
  <c r="L125" i="1" s="1"/>
  <c r="L130" i="1" s="1"/>
  <c r="L131" i="1" s="1"/>
  <c r="C123" i="1" s="1"/>
  <c r="D124" i="1"/>
  <c r="D130" i="1"/>
  <c r="L122" i="1"/>
  <c r="L95" i="1"/>
  <c r="C94" i="1" s="1"/>
  <c r="D94" i="1" s="1"/>
  <c r="L93" i="1"/>
  <c r="D103" i="1"/>
  <c r="D99" i="1"/>
  <c r="D102" i="1"/>
  <c r="D98" i="1"/>
  <c r="L94" i="1"/>
  <c r="L96" i="1"/>
  <c r="L97" i="1" s="1"/>
  <c r="L102" i="1" s="1"/>
  <c r="L103" i="1" s="1"/>
  <c r="C95" i="1" s="1"/>
  <c r="D101" i="1"/>
  <c r="D97" i="1"/>
  <c r="D100" i="1"/>
  <c r="D96" i="1"/>
  <c r="L81" i="1"/>
  <c r="C80" i="1" s="1"/>
  <c r="D80" i="1" s="1"/>
  <c r="L79" i="1"/>
  <c r="D89" i="1"/>
  <c r="D85" i="1"/>
  <c r="D88" i="1"/>
  <c r="D84" i="1"/>
  <c r="L80" i="1"/>
  <c r="D82" i="1"/>
  <c r="D87" i="1"/>
  <c r="D83" i="1"/>
  <c r="L82" i="1"/>
  <c r="L83" i="1" s="1"/>
  <c r="L88" i="1" s="1"/>
  <c r="L89" i="1" s="1"/>
  <c r="C81" i="1" s="1"/>
  <c r="D86" i="1"/>
  <c r="D68" i="1"/>
  <c r="D75" i="1"/>
  <c r="D71" i="1"/>
  <c r="L67" i="1"/>
  <c r="C66" i="1" s="1"/>
  <c r="L65" i="1"/>
  <c r="L70" i="1"/>
  <c r="L71" i="1" s="1"/>
  <c r="L66" i="1"/>
  <c r="D72" i="1"/>
  <c r="D74" i="1"/>
  <c r="D70" i="1"/>
  <c r="D73" i="1"/>
  <c r="D69" i="1"/>
  <c r="L68" i="1"/>
  <c r="L69" i="1" s="1"/>
  <c r="G197" i="1"/>
  <c r="G196" i="1"/>
  <c r="G195" i="1"/>
  <c r="G194" i="1"/>
  <c r="G193" i="1"/>
  <c r="H192" i="1"/>
  <c r="F122" i="1" l="1"/>
  <c r="D123" i="1"/>
  <c r="H122" i="1"/>
  <c r="D122" i="1"/>
  <c r="F94" i="1"/>
  <c r="K90" i="1" s="1"/>
  <c r="C92" i="1" s="1"/>
  <c r="D95" i="1"/>
  <c r="H94" i="1"/>
  <c r="F80" i="1"/>
  <c r="K76" i="1" s="1"/>
  <c r="C78" i="1" s="1"/>
  <c r="D81" i="1"/>
  <c r="H80" i="1"/>
  <c r="L74" i="1"/>
  <c r="L75" i="1" s="1"/>
  <c r="C67" i="1" s="1"/>
  <c r="D66" i="1"/>
  <c r="F40" i="1"/>
  <c r="F41" i="1" s="1"/>
  <c r="K118" i="1" l="1"/>
  <c r="C120" i="1" s="1"/>
  <c r="F66" i="1"/>
  <c r="K62" i="1" s="1"/>
  <c r="C64" i="1" s="1"/>
  <c r="H66" i="1"/>
  <c r="D67" i="1"/>
  <c r="G181" i="1" l="1"/>
  <c r="G180" i="1"/>
  <c r="G182" i="1"/>
  <c r="G179" i="1"/>
  <c r="G178" i="1"/>
  <c r="H178" i="1"/>
  <c r="C14" i="1"/>
  <c r="G183" i="1" l="1"/>
  <c r="G158" i="1" s="1"/>
  <c r="G163" i="1" s="1"/>
  <c r="G168" i="1" s="1"/>
  <c r="D323" i="1" l="1"/>
  <c r="G155" i="1"/>
</calcChain>
</file>

<file path=xl/sharedStrings.xml><?xml version="1.0" encoding="utf-8"?>
<sst xmlns="http://schemas.openxmlformats.org/spreadsheetml/2006/main" count="574" uniqueCount="252">
  <si>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</si>
  <si>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</si>
  <si>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</si>
  <si>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</si>
  <si>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</si>
  <si>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</si>
  <si>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</si>
  <si>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</si>
  <si>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</si>
  <si>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</si>
  <si>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</si>
  <si>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</si>
  <si>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</si>
  <si>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</si>
  <si>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</si>
  <si>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</si>
  <si>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</si>
  <si>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</si>
  <si>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</si>
  <si>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</si>
  <si>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</si>
  <si>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</si>
  <si>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</si>
  <si>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</si>
  <si>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</si>
  <si>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</si>
  <si>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</si>
  <si>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</si>
  <si>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</si>
  <si>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</si>
  <si>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</si>
  <si>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</si>
  <si>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</si>
  <si>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</si>
  <si>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</si>
  <si>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</si>
  <si>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</si>
  <si>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</si>
  <si>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</si>
  <si>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</si>
  <si>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</si>
  <si>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</si>
  <si>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</si>
  <si>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</si>
  <si>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</si>
  <si>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</si>
  <si>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</si>
  <si>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</si>
  <si>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</si>
  <si>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</si>
  <si>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</si>
  <si>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</si>
  <si>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</si>
  <si>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O. Certificate No.: </t>
  </si>
  <si>
    <t xml:space="preserve">Date of approval: </t>
  </si>
  <si>
    <t xml:space="preserve">Commencement date of construction </t>
  </si>
  <si>
    <t>Expected Completion</t>
  </si>
  <si>
    <t>Building wise Construction details</t>
  </si>
  <si>
    <t>Approved no of units</t>
  </si>
  <si>
    <t>Approved no of Floors</t>
  </si>
  <si>
    <t>Quality of construction: Good</t>
  </si>
  <si>
    <t>Projected life of the structure: 60 Years After Completion</t>
  </si>
  <si>
    <t xml:space="preserve">Construction details:                                                                  </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</si>
  <si>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</si>
  <si>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</si>
  <si>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</si>
  <si>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</si>
  <si>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</si>
  <si>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</si>
  <si>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</si>
  <si>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</si>
  <si>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</si>
  <si>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Total</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</si>
  <si>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</si>
  <si>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</si>
  <si>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</si>
  <si>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</si>
  <si>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</si>
  <si>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</si>
  <si>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</si>
  <si>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</si>
  <si>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</si>
  <si>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</si>
  <si>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</si>
  <si>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</si>
  <si>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</si>
  <si>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</si>
  <si>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</si>
  <si>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</si>
  <si>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</si>
  <si>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</si>
  <si>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</si>
  <si>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</si>
  <si>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</si>
  <si>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</si>
  <si>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</si>
  <si>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</si>
  <si>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</si>
  <si>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</si>
  <si>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</si>
  <si>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</si>
  <si>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</si>
  <si>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</si>
  <si>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200000/-</t>
  </si>
  <si>
    <t>Inspected By :</t>
  </si>
  <si>
    <t>Report Prepared By :</t>
  </si>
  <si>
    <t>No. of Units</t>
  </si>
  <si>
    <t>Authorized Signatory
Name &amp; Seal of the agency</t>
  </si>
  <si>
    <t>Axis Sanpada</t>
  </si>
  <si>
    <t>M/s.Macrotech Developers Limited</t>
  </si>
  <si>
    <t>Survey No</t>
  </si>
  <si>
    <t>Kalyan</t>
  </si>
  <si>
    <t>Thane</t>
  </si>
  <si>
    <t xml:space="preserve">Datiwali </t>
  </si>
  <si>
    <t>QRS Co-Operating Housing Society Ltd</t>
  </si>
  <si>
    <t>PLOT B</t>
  </si>
  <si>
    <t>Ground Floor is For Parking</t>
  </si>
  <si>
    <t>1BHK</t>
  </si>
  <si>
    <t>2BHK</t>
  </si>
  <si>
    <t>Refuge Area</t>
  </si>
  <si>
    <t xml:space="preserve">Residential </t>
  </si>
  <si>
    <t>Wheather the construction is as per approved Building plan : Under Construction</t>
  </si>
  <si>
    <t>Utility &amp; related infrastructure expense</t>
  </si>
  <si>
    <t>Rs.24/-</t>
  </si>
  <si>
    <t>Floor Rise Per Sq. Ft. ( on Saleable area)</t>
  </si>
  <si>
    <t>Proposed no of Floors</t>
  </si>
  <si>
    <t>F Wing</t>
  </si>
  <si>
    <t>G Wing</t>
  </si>
  <si>
    <t>H Wing</t>
  </si>
  <si>
    <t>I Wing</t>
  </si>
  <si>
    <t>J Wing</t>
  </si>
  <si>
    <t>4,00,000/-</t>
  </si>
  <si>
    <t>07/12/2020.</t>
  </si>
  <si>
    <t>Asmita</t>
  </si>
  <si>
    <t>Rate changed by palas, Rate is more then cost sheet &amp; Index II</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</si>
  <si>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</si>
  <si>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</si>
  <si>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</si>
  <si>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</si>
  <si>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</si>
  <si>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</si>
  <si>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</si>
  <si>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</si>
  <si>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</si>
  <si>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</si>
  <si>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</si>
  <si>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</si>
  <si>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</si>
  <si>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</si>
  <si>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</si>
  <si>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</si>
  <si>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</si>
  <si>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</si>
  <si>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</si>
  <si>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</si>
  <si>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</si>
  <si>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</si>
  <si>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</si>
  <si>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</si>
  <si>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Bhopar</t>
  </si>
  <si>
    <t>Village</t>
  </si>
  <si>
    <t xml:space="preserve"> 53/1, 53/2, 54/1,54/2, 54/3, 55, 56/4A, 56/4B, 231/3, 231/4A, 231/4B, 231/4C, 231/4D, 231/5, 232/1, 232/8, 240/5A, 240/5B, 240/6, 240/7, 240/8, 240/3A/2, 240/3A/4, 240/3A/5, 240/3A/6, 240/3A/7, 240/3A/9</t>
  </si>
  <si>
    <t>Saleable area Loading:</t>
  </si>
  <si>
    <t>Material laying at Site: Bricks, Cement &amp; Steel etc.</t>
  </si>
  <si>
    <t>36000/-</t>
  </si>
  <si>
    <t xml:space="preserve">CGS charges is fixed upto Society formation charges </t>
  </si>
  <si>
    <t>Mr. B. S Rathod - 8108204814</t>
  </si>
  <si>
    <t>3.7Km from Datiwali Railway Station</t>
  </si>
  <si>
    <t xml:space="preserve">SROT/27Villages/2401/BP/Bhoper-10/Vol-13/1268/2022
</t>
  </si>
  <si>
    <t>Wing F, G, H, I = Gr + 1st to 18th Floor</t>
  </si>
  <si>
    <t>1st to 7th, 9th to 12th Floor for Residential</t>
  </si>
  <si>
    <t>14th to 17th Floor (15th to 18th Floor as per Builder)</t>
  </si>
  <si>
    <t>8th Floor
13th Floor (14th Floor as per Builder)</t>
  </si>
  <si>
    <t>a b c poss received 5/6 month d wing rcc Breck work plaster in out kitchen platform and bathroom style complete flooring working progress panting progress e wing rcc 12 th complete 13 th working Breck 10 th floor complete f rcc Breck work plaster in out complete and internal working progress g rcc Breck work plaster in out complete internal working pro h wing rcc 10th slap rcc complete Breck 8 th floor complete I wing 15 th slap complete 16 th working 13 th Breck work and plaster in out progress j wing 8 th slap working 7th complete Breck 5 th floor complete external visit complete side meet Mr Rathod sir 8691041102</t>
  </si>
  <si>
    <t>Location Link</t>
  </si>
  <si>
    <t>https://goo.gl/maps/mzegGcAgvP5taX4X8</t>
  </si>
  <si>
    <t>Office No. 1031, Wing J, Akshar Business Park, Plot No. 03 Sector 25, Near APMC Market, Vashi, Navi Mumbai, Maharashtra 400703 TEL: 022-46090378/79/80
E mail : vsjcapf@gmail.com. Web site : www.vsjadon.com</t>
  </si>
  <si>
    <t>Site Person - Contact Details ( Name &amp; Contact No.)</t>
  </si>
  <si>
    <t>16RCC complete22/03/2024</t>
  </si>
  <si>
    <t>16 RCC complete22/03/2024</t>
  </si>
  <si>
    <t>Extra percentage given allreday please check properly 22/03/2024.</t>
  </si>
  <si>
    <t>Lodha Panacea II &amp; III</t>
  </si>
  <si>
    <t>Ms. Suvarna 8691041102</t>
  </si>
  <si>
    <t xml:space="preserve">Plot B </t>
  </si>
  <si>
    <t>RERA Name &amp; No.</t>
  </si>
  <si>
    <t>Layout :</t>
  </si>
  <si>
    <t>As per Layout</t>
  </si>
  <si>
    <t>19.190000,73.083306</t>
  </si>
  <si>
    <t>Lodha Panacea Road</t>
  </si>
  <si>
    <t>Lodha Panacea Phase III</t>
  </si>
  <si>
    <t>Open Plot</t>
  </si>
  <si>
    <t>30.00 M DP Road</t>
  </si>
  <si>
    <t>Amenity Area</t>
  </si>
  <si>
    <t>Cluster 1.02 (Wing A)</t>
  </si>
  <si>
    <t>12.00 M. Wide Road</t>
  </si>
  <si>
    <t>Cross Lane 1</t>
  </si>
  <si>
    <t>06 Wings</t>
  </si>
  <si>
    <t>SROT/Growth Center/2401 /BP/Bhopar-10/Vol - 16/156/2024</t>
  </si>
  <si>
    <t xml:space="preserve">Approved Floor plan No.
(Phase III) 
</t>
  </si>
  <si>
    <t>Commencement Certificate No.
Valid Up to:</t>
  </si>
  <si>
    <t>SROT/27 Villages/2401/BP/Bhopar-10/Vol-16/157/2024</t>
  </si>
  <si>
    <t>SROT/KCC/2401/BP/BHOPAR/10/Vol - 16/157/2024</t>
  </si>
  <si>
    <t>Phase II</t>
  </si>
  <si>
    <t>Phase III</t>
  </si>
  <si>
    <t xml:space="preserve">SROT/27Villages/2401/BP/Bhoper Vol13/1268/2022
Gr + 1st to 17th Floor
</t>
  </si>
  <si>
    <t xml:space="preserve">Approved Floor plan No.
(Phase II) 
Approved Up to:
</t>
  </si>
  <si>
    <t>Phase II (Wing F, G, H, I &amp; J) = Gr + 1st to 17th Floor
Phase III (Wing A) = Gr/St + 1st to 23rd Floor</t>
  </si>
  <si>
    <t>Phase II (F, G, H, I &amp; J) = Gr + 1st to 18th Floor
Phase III (Wing A) = Gr/St + 1st to 23rd Floor</t>
  </si>
  <si>
    <t>Approved area of the Phase II &amp; III  in Sq.Mt</t>
  </si>
  <si>
    <t>Phase II (G Wing) = Stilt +  1st to 18th Floor</t>
  </si>
  <si>
    <t>Phase II (I Wing) = Stilt +  1st to 18th Floor</t>
  </si>
  <si>
    <t>Phase II (J Wing) = Stilt +  1st to 18th Floor</t>
  </si>
  <si>
    <t>Phase III (Wing A) = Gr/St + 1st to 23rd Floor</t>
  </si>
  <si>
    <t>Lodha Group</t>
  </si>
  <si>
    <t xml:space="preserve"> Wing A</t>
  </si>
  <si>
    <t>Ground Floor For Meter Room, Society Office &amp; Parking</t>
  </si>
  <si>
    <t xml:space="preserve"> Refuge Area</t>
  </si>
  <si>
    <t>Cluster 1.01 (Phase II)</t>
  </si>
  <si>
    <t>Cluster 1.02 (Phase III)</t>
  </si>
  <si>
    <t>Building Details Floor Wise</t>
  </si>
  <si>
    <t xml:space="preserve">Details of Residential in Building   </t>
  </si>
  <si>
    <t>Wing A</t>
  </si>
  <si>
    <t>Residential Area Details : (Phase II)</t>
  </si>
  <si>
    <t>Residential Area Details : (Phase III)</t>
  </si>
  <si>
    <t>Grand Total</t>
  </si>
  <si>
    <t xml:space="preserve">Cluster 1.01 </t>
  </si>
  <si>
    <t xml:space="preserve">Cluster 1.02 </t>
  </si>
  <si>
    <t>Flats = 589</t>
  </si>
  <si>
    <t>Cluster 1.01 (F, G, H, I &amp; J Wings)
Cluster 1.02 (Wing A)</t>
  </si>
  <si>
    <t>Cluster No.1.01 (Wing F to J) = Stilt + 1st to 18th Floor
Cluster No. 1.02 Wing A = Stilt + 1st to 23rd Floor</t>
  </si>
  <si>
    <t>12. Internal visit was not allowed. Photos were taken from the road, and we have given the stage
of construction for the wings visible from the roadside i.e' F, G, J &amp; I Wings.</t>
  </si>
  <si>
    <t>8th Floor
 13th &amp; 18th Floor (14th &amp; 19th Floor As Per Builder) (Part Refuge Area)</t>
  </si>
  <si>
    <t>1st to 7th, 9th to 12th Floor
14th to 17th, 19th to 23rd Floor (15th to 18th, 20th to 24th  Floor As Per Builder)For Residential</t>
  </si>
  <si>
    <t xml:space="preserve">Remark No. 14 : </t>
  </si>
  <si>
    <t>Sr. No.</t>
  </si>
  <si>
    <t>As Per RERA</t>
  </si>
  <si>
    <t>As Per Builder</t>
  </si>
  <si>
    <t>Cluster 1.02 (Phase III)Tower No. 1</t>
  </si>
  <si>
    <t>Cluster 1.02 (Phase III)Tower No. 2</t>
  </si>
  <si>
    <t>Cluster 1.02 (Phase III)Wing A</t>
  </si>
  <si>
    <t>Cluster 1.02 (Phase III)Wing B</t>
  </si>
  <si>
    <t>By Smith</t>
  </si>
  <si>
    <t>On 13/06/2024</t>
  </si>
  <si>
    <t>15. Recommended Rates of the Property have been revised on 13/06/2024.</t>
  </si>
  <si>
    <t>Lodha Panacea II (Wing F, G, H, I &amp; J) &amp; P51700017060
Lodha Panacea III (Tower 1 &amp; 2) &amp; P51700048408</t>
  </si>
  <si>
    <t>Phase II (F &amp; G Wing) = Stilt +  1st to 18th Floor</t>
  </si>
  <si>
    <t>Phase II (H, I &amp; J Wing) = Stilt +  1st to 18th Floor</t>
  </si>
  <si>
    <r>
      <t xml:space="preserve">8. Recommended rate should be considered as all inclusive rate if other charges are not mentioned. (Excluding GST &amp; other government Taxes).
9. We update revised approved Plans of H &amp; I Wings (on 29/11/2021).
10 We have updated CC (Gr + 1st to 18th) &amp; approved floor plan of wing F, G, H, I &amp; J (Gr + 1st to 17th Floor)(on 19/10/2022).
11. Please Provide 18th Floor plan for (Wing F to J).
</t>
    </r>
    <r>
      <rPr>
        <b/>
        <sz val="12"/>
        <color theme="1"/>
        <rFont val="Times New Roman"/>
        <family val="1"/>
      </rPr>
      <t>12.We have added Phase III (Wing A) on 27/04/2024.
13. We have updated revised approved CC for wing F to J on 27/04/2024.
14. The wing clarification letter is taken from index II, which is provided by bank officials is attached below.</t>
    </r>
    <r>
      <rPr>
        <b/>
        <sz val="12"/>
        <color rgb="FFFF0000"/>
        <rFont val="Times New Roman"/>
        <family val="1"/>
      </rPr>
      <t xml:space="preserve">
</t>
    </r>
    <r>
      <rPr>
        <b/>
        <sz val="12"/>
        <rFont val="Times New Roman"/>
        <family val="1"/>
      </rPr>
      <t xml:space="preserve">
14. On Site, we meet Mr.B.S. Rathore 8691041102.</t>
    </r>
  </si>
  <si>
    <t>Completed</t>
  </si>
  <si>
    <t>1. Wing F to J = All work Completed. Please provide OC.
    Phase III (Wing A) = Construction work is process at the time of visit. Internal photos was not allowed.
2. We considered Saleable area as per our calculation.
3. We considered Carpet area as per Approved Plan.
4. We considered Gross carpet area = Net carpet + Balcony Area.
5. We have considered rate by verifying it from market inquire.
6. We have considered Other charges from cost sheet.
7. Car parking is subjected to authentic documentation.</t>
  </si>
  <si>
    <t>Pooja Kawale</t>
  </si>
  <si>
    <t>Gangaram parshuram Lambore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</si>
</sst>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2"/>
      <color theme="1"/>
      <name val="Times New Roman"/>
      <family val="1"/>
    </font>
    <font>
      <b/>
      <sz val="11.5"/>
      <color indexed="8"/>
      <name val="Times New Roman"/>
      <family val="1"/>
    </font>
    <font>
      <sz val="12"/>
      <name val="Times New Roman"/>
      <family val="1"/>
    </font>
    <font>
      <b/>
      <sz val="12"/>
      <name val="Times New Roman"/>
      <family val="1"/>
    </font>
    <font>
      <sz val="11"/>
      <color rgb="FF000000"/>
      <name val="Times New Roman"/>
      <family val="1"/>
    </font>
    <font>
      <sz val="11"/>
      <name val="Times New Roman"/>
      <family val="1"/>
    </font>
    <font>
      <sz val="11"/>
      <color rgb="FF272727"/>
      <name val="Arial"/>
      <family val="2"/>
    </font>
    <font>
      <u/>
      <sz val="11"/>
      <color theme="10"/>
      <name val="Calibri"/>
      <family val="2"/>
    </font>
    <font>
      <b/>
      <sz val="12"/>
      <color rgb="FFFF0000"/>
      <name val="Times New Roman"/>
      <family val="1"/>
    </font>
  </fonts>
  <fills count="5">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2" fillId="0" borderId="0"/>
    <xf numFmtId="0" fontId="5" fillId="0" borderId="0"/>
    <xf numFmtId="0" fontId="1" fillId="0" borderId="0"/>
    <xf numFmtId="0" fontId="16" fillId="0" borderId="0" applyNumberFormat="0" applyFill="0" applyBorder="0" applyAlignment="0" applyProtection="0"/>
  </cellStyleXfs>
  <cellXfs count="256">
    <xf numFmtId="0" fontId="0" fillId="0" borderId="0" xfId="0"/>
    <xf numFmtId="1" fontId="6" fillId="0" borderId="4" xfId="1" applyNumberFormat="1" applyFont="1" applyBorder="1" applyAlignment="1">
      <alignment horizontal="center" vertical="center" wrapText="1"/>
    </xf>
    <xf numFmtId="0" fontId="7" fillId="0" borderId="19" xfId="1" applyFont="1" applyBorder="1" applyProtection="1">
      <protection hidden="1"/>
    </xf>
    <xf numFmtId="0" fontId="7" fillId="0" borderId="0" xfId="1" applyFont="1" applyProtection="1">
      <protection hidden="1"/>
    </xf>
    <xf numFmtId="0" fontId="13" fillId="0" borderId="0" xfId="0" applyFont="1" applyProtection="1">
      <protection hidden="1"/>
    </xf>
    <xf numFmtId="0" fontId="13" fillId="0" borderId="32" xfId="0" applyFont="1" applyBorder="1" applyProtection="1">
      <protection hidden="1"/>
    </xf>
    <xf numFmtId="1" fontId="8" fillId="0" borderId="13" xfId="1" applyNumberFormat="1" applyFont="1" applyBorder="1" applyAlignment="1">
      <alignment horizontal="center" vertical="top" wrapText="1"/>
    </xf>
    <xf numFmtId="9" fontId="8" fillId="0" borderId="34" xfId="1" applyNumberFormat="1" applyFont="1" applyBorder="1" applyAlignment="1">
      <alignment horizontal="center" vertical="top" wrapText="1"/>
    </xf>
    <xf numFmtId="0" fontId="11" fillId="0" borderId="21"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6" fillId="0" borderId="4" xfId="1" applyFont="1" applyBorder="1" applyAlignment="1">
      <alignment horizontal="left" vertical="top"/>
    </xf>
    <xf numFmtId="0" fontId="7" fillId="0" borderId="0" xfId="1" applyFont="1"/>
    <xf numFmtId="0" fontId="6" fillId="0" borderId="4" xfId="1" applyFont="1" applyBorder="1" applyAlignment="1">
      <alignment vertical="top"/>
    </xf>
    <xf numFmtId="0" fontId="7" fillId="0" borderId="20" xfId="1" applyFont="1" applyBorder="1" applyProtection="1">
      <protection hidden="1"/>
    </xf>
    <xf numFmtId="0" fontId="7" fillId="0" borderId="23" xfId="1" applyFont="1" applyBorder="1" applyProtection="1">
      <protection hidden="1"/>
    </xf>
    <xf numFmtId="0" fontId="11" fillId="0" borderId="4" xfId="1" applyFont="1" applyBorder="1" applyAlignment="1" applyProtection="1">
      <alignment horizontal="center" vertical="top" wrapText="1"/>
      <protection locked="0"/>
    </xf>
    <xf numFmtId="0" fontId="7" fillId="0" borderId="23" xfId="1" applyFont="1" applyBorder="1"/>
    <xf numFmtId="0" fontId="11" fillId="0" borderId="4" xfId="1" applyFont="1" applyBorder="1" applyAlignment="1" applyProtection="1">
      <alignment horizontal="center" wrapText="1"/>
      <protection locked="0"/>
    </xf>
    <xf numFmtId="0" fontId="13" fillId="0" borderId="23" xfId="0" applyFont="1" applyBorder="1" applyProtection="1">
      <protection hidden="1"/>
    </xf>
    <xf numFmtId="1" fontId="11" fillId="0" borderId="4" xfId="1"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11" fillId="0" borderId="28" xfId="1" applyFont="1" applyBorder="1" applyAlignment="1" applyProtection="1">
      <alignment horizontal="center" wrapText="1"/>
      <protection locked="0"/>
    </xf>
    <xf numFmtId="1" fontId="0" fillId="0" borderId="33" xfId="0" applyNumberFormat="1" applyBorder="1"/>
    <xf numFmtId="0" fontId="6" fillId="0" borderId="0" xfId="2" applyFont="1"/>
    <xf numFmtId="0" fontId="7" fillId="0" borderId="0" xfId="0" applyFont="1" applyAlignment="1">
      <alignment horizontal="center" vertical="center"/>
    </xf>
    <xf numFmtId="0" fontId="9" fillId="0" borderId="4" xfId="0" applyFont="1" applyBorder="1" applyAlignment="1">
      <alignment horizontal="center" vertical="center"/>
    </xf>
    <xf numFmtId="1" fontId="7" fillId="0" borderId="4" xfId="0" applyNumberFormat="1" applyFont="1" applyBorder="1" applyAlignment="1">
      <alignment horizontal="center" vertical="center"/>
    </xf>
    <xf numFmtId="1" fontId="9" fillId="0" borderId="4" xfId="0" applyNumberFormat="1" applyFont="1" applyBorder="1" applyAlignment="1">
      <alignment horizontal="center" vertical="center"/>
    </xf>
    <xf numFmtId="0" fontId="7" fillId="0" borderId="0" xfId="1" applyFont="1" applyAlignment="1">
      <alignment horizontal="center" vertical="center"/>
    </xf>
    <xf numFmtId="2" fontId="7" fillId="0" borderId="0" xfId="1" applyNumberFormat="1" applyFont="1" applyAlignment="1">
      <alignment horizontal="center" vertical="center"/>
    </xf>
    <xf numFmtId="1" fontId="7" fillId="0" borderId="0" xfId="1" applyNumberFormat="1" applyFont="1" applyAlignment="1">
      <alignment horizontal="center" vertical="center"/>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9" fillId="0" borderId="0" xfId="1" applyFont="1"/>
    <xf numFmtId="1" fontId="7" fillId="0" borderId="4" xfId="1" applyNumberFormat="1" applyFont="1" applyBorder="1" applyAlignment="1">
      <alignment horizontal="center" vertical="center"/>
    </xf>
    <xf numFmtId="1" fontId="6" fillId="0" borderId="1" xfId="0" applyNumberFormat="1" applyFont="1" applyBorder="1" applyAlignment="1">
      <alignment horizontal="center" vertical="center" wrapText="1"/>
    </xf>
    <xf numFmtId="0" fontId="0" fillId="3" borderId="0" xfId="0" applyFill="1"/>
    <xf numFmtId="0" fontId="11" fillId="0" borderId="4" xfId="1" applyFont="1" applyBorder="1" applyAlignment="1">
      <alignment horizontal="center" vertical="center" wrapText="1"/>
    </xf>
    <xf numFmtId="0" fontId="6" fillId="0" borderId="4" xfId="1" applyFont="1" applyBorder="1" applyAlignment="1">
      <alignment horizontal="center" vertical="center"/>
    </xf>
    <xf numFmtId="1" fontId="7" fillId="0" borderId="0" xfId="1" applyNumberFormat="1" applyFont="1"/>
    <xf numFmtId="1" fontId="6" fillId="0" borderId="8" xfId="0" applyNumberFormat="1" applyFont="1" applyBorder="1" applyAlignment="1">
      <alignment horizontal="center" vertical="center" wrapText="1"/>
    </xf>
    <xf numFmtId="0" fontId="7" fillId="0" borderId="0" xfId="1" applyFont="1" applyAlignment="1">
      <alignment wrapText="1"/>
    </xf>
    <xf numFmtId="0" fontId="8" fillId="0" borderId="4" xfId="1" applyFont="1" applyBorder="1" applyAlignment="1">
      <alignment horizontal="center" vertical="center"/>
    </xf>
    <xf numFmtId="0" fontId="11" fillId="0" borderId="4" xfId="1" applyFont="1" applyBorder="1" applyAlignment="1" applyProtection="1">
      <alignment horizontal="center" vertical="top" wrapText="1"/>
      <protection locked="0"/>
    </xf>
    <xf numFmtId="0" fontId="11" fillId="0" borderId="4" xfId="1" applyFont="1" applyBorder="1" applyAlignment="1" applyProtection="1">
      <alignment horizontal="center" vertical="top"/>
      <protection locked="0"/>
    </xf>
    <xf numFmtId="1" fontId="6" fillId="0" borderId="4" xfId="1" applyNumberFormat="1" applyFont="1" applyBorder="1" applyAlignment="1">
      <alignment horizontal="center" vertical="center" wrapText="1"/>
    </xf>
    <xf numFmtId="0" fontId="11" fillId="0" borderId="4" xfId="1" applyFont="1" applyBorder="1" applyAlignment="1" applyProtection="1">
      <alignment horizontal="center" vertical="top" wrapText="1"/>
      <protection locked="0"/>
    </xf>
    <xf numFmtId="0" fontId="11" fillId="0" borderId="21"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8" fillId="0" borderId="3" xfId="1" applyNumberFormat="1" applyFont="1" applyBorder="1" applyAlignment="1">
      <alignment horizontal="center" vertical="top" wrapText="1"/>
    </xf>
    <xf numFmtId="1" fontId="8" fillId="0" borderId="4" xfId="1" applyNumberFormat="1" applyFont="1" applyBorder="1" applyAlignment="1">
      <alignment horizontal="center" vertical="top" wrapText="1"/>
    </xf>
    <xf numFmtId="0" fontId="12" fillId="0" borderId="14" xfId="1" applyFont="1" applyBorder="1" applyAlignment="1" applyProtection="1">
      <alignment horizontal="center" vertical="top" wrapText="1"/>
      <protection locked="0"/>
    </xf>
    <xf numFmtId="0" fontId="12" fillId="0" borderId="15" xfId="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11" fillId="0" borderId="3" xfId="1" applyFont="1" applyBorder="1" applyAlignment="1" applyProtection="1">
      <alignment horizontal="center" vertical="top"/>
      <protection locked="0"/>
    </xf>
    <xf numFmtId="0" fontId="11" fillId="0" borderId="22" xfId="1" applyFont="1" applyBorder="1" applyAlignment="1" applyProtection="1">
      <alignment horizontal="center" vertical="top"/>
      <protection locked="0"/>
    </xf>
    <xf numFmtId="0" fontId="12" fillId="0" borderId="21"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1" fillId="0" borderId="24" xfId="1" applyFont="1" applyBorder="1" applyAlignment="1" applyProtection="1">
      <alignment horizontal="center" vertical="top"/>
      <protection locked="0"/>
    </xf>
    <xf numFmtId="0" fontId="11" fillId="0" borderId="4" xfId="1" applyFont="1" applyBorder="1" applyAlignment="1" applyProtection="1">
      <alignment horizontal="center" vertical="top" wrapText="1"/>
      <protection locked="0"/>
    </xf>
    <xf numFmtId="0" fontId="11" fillId="0" borderId="25" xfId="1" applyFont="1" applyBorder="1" applyAlignment="1" applyProtection="1">
      <alignment horizontal="center" vertical="top" wrapText="1"/>
      <protection locked="0"/>
    </xf>
    <xf numFmtId="0" fontId="11" fillId="0" borderId="21"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9" fontId="11" fillId="0" borderId="1" xfId="1" applyNumberFormat="1" applyFont="1" applyBorder="1" applyAlignment="1" applyProtection="1">
      <alignment horizontal="center" vertical="center" wrapText="1"/>
      <protection hidden="1"/>
    </xf>
    <xf numFmtId="9" fontId="11" fillId="0" borderId="3" xfId="1" applyNumberFormat="1" applyFont="1" applyBorder="1" applyAlignment="1" applyProtection="1">
      <alignment horizontal="center" vertical="center" wrapText="1"/>
      <protection hidden="1"/>
    </xf>
    <xf numFmtId="9" fontId="11" fillId="0" borderId="4" xfId="1" applyNumberFormat="1" applyFont="1" applyBorder="1" applyAlignment="1" applyProtection="1">
      <alignment horizontal="center" vertical="center" wrapText="1"/>
      <protection hidden="1"/>
    </xf>
    <xf numFmtId="9" fontId="11" fillId="0" borderId="28" xfId="1" applyNumberFormat="1" applyFont="1" applyBorder="1" applyAlignment="1" applyProtection="1">
      <alignment horizontal="center" vertical="center" wrapText="1"/>
      <protection hidden="1"/>
    </xf>
    <xf numFmtId="9" fontId="11" fillId="0" borderId="5" xfId="1" applyNumberFormat="1" applyFont="1" applyBorder="1" applyAlignment="1" applyProtection="1">
      <alignment horizontal="center" vertical="center" wrapText="1"/>
      <protection hidden="1"/>
    </xf>
    <xf numFmtId="9" fontId="11" fillId="0" borderId="6" xfId="1" applyNumberFormat="1" applyFont="1" applyBorder="1" applyAlignment="1" applyProtection="1">
      <alignment horizontal="center" vertical="center" wrapText="1"/>
      <protection hidden="1"/>
    </xf>
    <xf numFmtId="9" fontId="11" fillId="0" borderId="26" xfId="1" applyNumberFormat="1" applyFont="1" applyBorder="1" applyAlignment="1" applyProtection="1">
      <alignment horizontal="center" vertical="center" wrapText="1"/>
      <protection hidden="1"/>
    </xf>
    <xf numFmtId="9" fontId="11" fillId="0" borderId="11" xfId="1" applyNumberFormat="1" applyFont="1" applyBorder="1" applyAlignment="1" applyProtection="1">
      <alignment horizontal="center" vertical="center" wrapText="1"/>
      <protection hidden="1"/>
    </xf>
    <xf numFmtId="9" fontId="11" fillId="0" borderId="0" xfId="1" applyNumberFormat="1" applyFont="1" applyAlignment="1" applyProtection="1">
      <alignment horizontal="center" vertical="center" wrapText="1"/>
      <protection hidden="1"/>
    </xf>
    <xf numFmtId="9" fontId="11" fillId="0" borderId="23" xfId="1" applyNumberFormat="1" applyFont="1" applyBorder="1" applyAlignment="1" applyProtection="1">
      <alignment horizontal="center" vertical="center" wrapText="1"/>
      <protection hidden="1"/>
    </xf>
    <xf numFmtId="9" fontId="11" fillId="0" borderId="31" xfId="1" applyNumberFormat="1" applyFont="1" applyBorder="1" applyAlignment="1" applyProtection="1">
      <alignment horizontal="center" vertical="center" wrapText="1"/>
      <protection hidden="1"/>
    </xf>
    <xf numFmtId="9" fontId="11" fillId="0" borderId="32" xfId="1" applyNumberFormat="1" applyFont="1" applyBorder="1" applyAlignment="1" applyProtection="1">
      <alignment horizontal="center" vertical="center" wrapText="1"/>
      <protection hidden="1"/>
    </xf>
    <xf numFmtId="9" fontId="11" fillId="0" borderId="33" xfId="1" applyNumberFormat="1" applyFont="1" applyBorder="1" applyAlignment="1" applyProtection="1">
      <alignment horizontal="center" vertical="center" wrapText="1"/>
      <protection hidden="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8" fillId="0" borderId="4" xfId="1" applyFont="1" applyBorder="1" applyAlignment="1">
      <alignment horizontal="left" vertical="top"/>
    </xf>
    <xf numFmtId="0" fontId="11" fillId="0" borderId="4" xfId="1" applyFont="1" applyBorder="1" applyAlignment="1">
      <alignment horizontal="left" vertical="top"/>
    </xf>
    <xf numFmtId="0" fontId="12" fillId="0" borderId="4" xfId="1" applyFont="1" applyBorder="1" applyAlignment="1">
      <alignment horizontal="left" vertical="top"/>
    </xf>
    <xf numFmtId="0" fontId="11" fillId="0" borderId="27" xfId="1" applyFont="1" applyBorder="1" applyAlignment="1" applyProtection="1">
      <alignment horizontal="center" vertical="top"/>
      <protection locked="0"/>
    </xf>
    <xf numFmtId="0" fontId="11" fillId="0" borderId="28" xfId="1" applyFont="1" applyBorder="1" applyAlignment="1" applyProtection="1">
      <alignment horizontal="center" vertical="top"/>
      <protection locked="0"/>
    </xf>
    <xf numFmtId="9" fontId="11" fillId="0" borderId="29" xfId="1" applyNumberFormat="1" applyFont="1" applyBorder="1" applyAlignment="1" applyProtection="1">
      <alignment horizontal="center" vertical="center" wrapText="1"/>
      <protection hidden="1"/>
    </xf>
    <xf numFmtId="9" fontId="11" fillId="0" borderId="30" xfId="1" applyNumberFormat="1" applyFont="1" applyBorder="1" applyAlignment="1" applyProtection="1">
      <alignment horizontal="center" vertical="center" wrapText="1"/>
      <protection hidden="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4" xfId="1" applyNumberFormat="1" applyFont="1" applyBorder="1" applyAlignment="1">
      <alignment horizontal="center" vertical="center" wrapText="1"/>
    </xf>
    <xf numFmtId="1" fontId="6" fillId="0" borderId="4" xfId="1" applyNumberFormat="1" applyFont="1" applyBorder="1" applyAlignment="1">
      <alignment horizontal="center" vertical="center" wrapText="1"/>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wrapText="1"/>
    </xf>
    <xf numFmtId="0" fontId="6" fillId="0" borderId="3" xfId="1" applyFont="1" applyBorder="1" applyAlignment="1">
      <alignment horizontal="center" vertical="center" wrapText="1"/>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0" borderId="1" xfId="1" applyFont="1" applyBorder="1" applyAlignment="1">
      <alignment horizontal="left" vertical="top"/>
    </xf>
    <xf numFmtId="0" fontId="11" fillId="0" borderId="2" xfId="1" applyFont="1" applyBorder="1" applyAlignment="1">
      <alignment horizontal="left" vertical="top"/>
    </xf>
    <xf numFmtId="0" fontId="11" fillId="0" borderId="3" xfId="1" applyFont="1" applyBorder="1" applyAlignment="1">
      <alignment horizontal="left" vertical="top"/>
    </xf>
    <xf numFmtId="164" fontId="11" fillId="0" borderId="1" xfId="1" applyNumberFormat="1" applyFont="1" applyBorder="1" applyAlignment="1">
      <alignment horizontal="left" vertical="top"/>
    </xf>
    <xf numFmtId="164" fontId="11" fillId="0" borderId="2" xfId="1" applyNumberFormat="1" applyFont="1" applyBorder="1" applyAlignment="1">
      <alignment horizontal="left" vertical="top"/>
    </xf>
    <xf numFmtId="164" fontId="11" fillId="0" borderId="3" xfId="1" applyNumberFormat="1" applyFont="1" applyBorder="1" applyAlignment="1">
      <alignment horizontal="left" vertical="top"/>
    </xf>
    <xf numFmtId="0" fontId="6" fillId="0" borderId="4" xfId="1" applyFont="1" applyBorder="1" applyAlignment="1">
      <alignment horizontal="left" vertical="top" wrapText="1"/>
    </xf>
    <xf numFmtId="0" fontId="11" fillId="0" borderId="4" xfId="1" applyFont="1" applyBorder="1" applyAlignment="1" applyProtection="1">
      <alignment horizontal="left" vertical="center" wrapText="1"/>
      <protection locked="0"/>
    </xf>
    <xf numFmtId="0" fontId="6"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11"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1" fillId="0" borderId="1" xfId="1" applyFont="1" applyBorder="1" applyAlignment="1">
      <alignment horizontal="left" vertical="top" wrapText="1"/>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xf>
    <xf numFmtId="0" fontId="7" fillId="0" borderId="3" xfId="1" applyFont="1" applyBorder="1" applyAlignment="1">
      <alignment horizontal="left" vertical="top"/>
    </xf>
    <xf numFmtId="0" fontId="11" fillId="0" borderId="4" xfId="1" applyFont="1" applyBorder="1" applyAlignment="1">
      <alignment horizontal="left" vertical="top" wrapText="1"/>
    </xf>
    <xf numFmtId="0" fontId="7"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14" fontId="6" fillId="0" borderId="4" xfId="1" applyNumberFormat="1" applyFont="1" applyBorder="1" applyAlignment="1">
      <alignment horizontal="center" vertical="top"/>
    </xf>
    <xf numFmtId="0" fontId="6" fillId="0" borderId="4" xfId="1" applyFont="1" applyBorder="1" applyAlignment="1">
      <alignment horizontal="center" vertical="top"/>
    </xf>
    <xf numFmtId="14" fontId="11" fillId="0" borderId="1" xfId="1" applyNumberFormat="1" applyFont="1" applyBorder="1" applyAlignment="1">
      <alignment horizontal="left" vertical="top" wrapText="1"/>
    </xf>
    <xf numFmtId="14" fontId="6" fillId="0" borderId="1" xfId="1" applyNumberFormat="1" applyFont="1" applyBorder="1" applyAlignment="1">
      <alignment horizontal="left" vertical="top" wrapText="1"/>
    </xf>
    <xf numFmtId="2" fontId="11" fillId="0" borderId="1" xfId="1" applyNumberFormat="1" applyFont="1" applyBorder="1" applyAlignment="1">
      <alignment horizontal="left" vertical="top"/>
    </xf>
    <xf numFmtId="2" fontId="11" fillId="0" borderId="2" xfId="1" applyNumberFormat="1" applyFont="1" applyBorder="1" applyAlignment="1">
      <alignment horizontal="left" vertical="top"/>
    </xf>
    <xf numFmtId="2" fontId="11" fillId="0" borderId="3" xfId="1" applyNumberFormat="1" applyFont="1" applyBorder="1" applyAlignment="1">
      <alignment horizontal="left" vertical="top"/>
    </xf>
    <xf numFmtId="0" fontId="12" fillId="0" borderId="4" xfId="1" applyFont="1" applyBorder="1" applyAlignment="1">
      <alignment horizontal="left" vertical="top"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2" fontId="6" fillId="0" borderId="1" xfId="1" applyNumberFormat="1" applyFont="1" applyBorder="1" applyAlignment="1">
      <alignment horizontal="center" vertical="top"/>
    </xf>
    <xf numFmtId="2" fontId="6" fillId="0" borderId="3" xfId="1" applyNumberFormat="1" applyFont="1" applyBorder="1" applyAlignment="1">
      <alignment horizontal="center" vertical="top"/>
    </xf>
    <xf numFmtId="0" fontId="11" fillId="0" borderId="1" xfId="1" applyFont="1" applyBorder="1" applyAlignment="1">
      <alignment horizontal="center" vertical="top" wrapText="1"/>
    </xf>
    <xf numFmtId="0" fontId="11" fillId="0" borderId="3" xfId="1" applyFont="1" applyBorder="1" applyAlignment="1">
      <alignment horizontal="center" vertical="top" wrapText="1"/>
    </xf>
    <xf numFmtId="0" fontId="7" fillId="0" borderId="1"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8" fillId="0" borderId="4" xfId="1" applyFont="1" applyBorder="1" applyAlignment="1">
      <alignment horizontal="left" vertical="top" wrapText="1"/>
    </xf>
    <xf numFmtId="0" fontId="12" fillId="0" borderId="4" xfId="1" applyFont="1" applyBorder="1" applyAlignment="1" applyProtection="1">
      <alignment horizontal="left" vertical="top" wrapText="1"/>
      <protection locked="0"/>
    </xf>
    <xf numFmtId="1" fontId="3" fillId="0" borderId="1" xfId="1" applyNumberFormat="1" applyFont="1" applyBorder="1" applyAlignment="1">
      <alignment horizontal="center" vertical="top" wrapText="1"/>
    </xf>
    <xf numFmtId="1" fontId="8" fillId="0" borderId="1" xfId="0" applyNumberFormat="1" applyFont="1" applyBorder="1" applyAlignment="1">
      <alignment horizontal="left" vertical="top" wrapText="1"/>
    </xf>
    <xf numFmtId="1" fontId="8" fillId="0" borderId="2" xfId="0" applyNumberFormat="1" applyFont="1" applyBorder="1" applyAlignment="1">
      <alignment horizontal="left" vertical="top" wrapText="1"/>
    </xf>
    <xf numFmtId="1" fontId="8" fillId="0" borderId="3" xfId="0" applyNumberFormat="1" applyFont="1" applyBorder="1" applyAlignment="1">
      <alignment horizontal="left"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12" fillId="0" borderId="1" xfId="1" applyNumberFormat="1" applyFont="1" applyBorder="1" applyAlignment="1">
      <alignment horizontal="center" vertical="center" wrapText="1"/>
    </xf>
    <xf numFmtId="1" fontId="12" fillId="0" borderId="2" xfId="1" applyNumberFormat="1" applyFont="1" applyBorder="1" applyAlignment="1">
      <alignment horizontal="center" vertical="center" wrapText="1"/>
    </xf>
    <xf numFmtId="1" fontId="12" fillId="0" borderId="9" xfId="1" applyNumberFormat="1" applyFont="1" applyBorder="1" applyAlignment="1">
      <alignment horizontal="center" vertical="center" wrapText="1"/>
    </xf>
    <xf numFmtId="1" fontId="12" fillId="0" borderId="3" xfId="1" applyNumberFormat="1" applyFont="1" applyBorder="1" applyAlignment="1">
      <alignment horizontal="center" vertical="center" wrapText="1"/>
    </xf>
    <xf numFmtId="0" fontId="12" fillId="0" borderId="4" xfId="2" applyFont="1" applyBorder="1" applyAlignment="1">
      <alignment horizontal="left" vertical="top" wrapText="1"/>
    </xf>
    <xf numFmtId="0" fontId="4" fillId="0" borderId="4" xfId="1" applyFont="1" applyBorder="1" applyAlignment="1">
      <alignment horizontal="center" vertical="top" wrapText="1"/>
    </xf>
    <xf numFmtId="0" fontId="14" fillId="0" borderId="4" xfId="1" applyFont="1" applyBorder="1" applyAlignment="1">
      <alignment horizontal="center" vertical="top" wrapText="1"/>
    </xf>
    <xf numFmtId="0" fontId="8" fillId="0" borderId="4" xfId="1" applyFont="1" applyBorder="1" applyAlignment="1">
      <alignment horizontal="center" vertical="center"/>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0" fontId="12" fillId="0" borderId="4" xfId="1" applyFont="1" applyBorder="1" applyAlignment="1" applyProtection="1">
      <alignment horizontal="center" vertical="top" wrapText="1"/>
      <protection locked="0"/>
    </xf>
    <xf numFmtId="1" fontId="8" fillId="4" borderId="1" xfId="1" applyNumberFormat="1" applyFont="1" applyFill="1" applyBorder="1" applyAlignment="1">
      <alignment horizontal="center" vertical="center" wrapText="1"/>
    </xf>
    <xf numFmtId="1" fontId="8" fillId="4" borderId="2" xfId="1" applyNumberFormat="1" applyFont="1" applyFill="1" applyBorder="1" applyAlignment="1">
      <alignment horizontal="center" vertical="center" wrapText="1"/>
    </xf>
    <xf numFmtId="1" fontId="8" fillId="4" borderId="3" xfId="1" applyNumberFormat="1" applyFont="1" applyFill="1" applyBorder="1" applyAlignment="1">
      <alignment horizontal="center" vertical="center" wrapText="1"/>
    </xf>
    <xf numFmtId="1" fontId="12" fillId="0" borderId="1" xfId="0" applyNumberFormat="1" applyFont="1" applyBorder="1" applyAlignment="1">
      <alignment horizontal="center" vertical="top" wrapText="1"/>
    </xf>
    <xf numFmtId="1" fontId="12" fillId="0" borderId="2" xfId="0" applyNumberFormat="1" applyFont="1" applyBorder="1" applyAlignment="1">
      <alignment horizontal="center" vertical="top" wrapText="1"/>
    </xf>
    <xf numFmtId="1" fontId="12" fillId="0" borderId="3" xfId="0" applyNumberFormat="1" applyFont="1" applyBorder="1" applyAlignment="1">
      <alignment horizontal="center" vertical="top" wrapText="1"/>
    </xf>
    <xf numFmtId="0" fontId="8" fillId="0" borderId="6" xfId="1" applyFont="1" applyBorder="1" applyAlignment="1">
      <alignment horizontal="center" vertical="top"/>
    </xf>
    <xf numFmtId="0" fontId="12" fillId="0" borderId="36" xfId="1" applyFont="1" applyBorder="1" applyAlignment="1" applyProtection="1">
      <alignment horizontal="center" vertical="top" wrapText="1"/>
      <protection locked="0"/>
    </xf>
    <xf numFmtId="0" fontId="12" fillId="0" borderId="10" xfId="1" applyFont="1" applyBorder="1" applyAlignment="1" applyProtection="1">
      <alignment horizontal="center" vertical="top"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37" xfId="1" applyFont="1" applyBorder="1" applyAlignment="1" applyProtection="1">
      <alignment horizontal="left" vertical="top" wrapText="1"/>
      <protection locked="0"/>
    </xf>
    <xf numFmtId="1" fontId="6" fillId="0" borderId="2" xfId="1" applyNumberFormat="1" applyFont="1" applyBorder="1" applyAlignment="1">
      <alignment horizontal="center" vertical="center" wrapText="1"/>
    </xf>
    <xf numFmtId="0" fontId="6" fillId="0" borderId="5" xfId="1" applyFont="1" applyBorder="1" applyAlignment="1">
      <alignment horizontal="center" vertical="top" wrapText="1"/>
    </xf>
    <xf numFmtId="0" fontId="6" fillId="0" borderId="7" xfId="1" applyFont="1" applyBorder="1" applyAlignment="1">
      <alignment horizontal="center" vertical="top" wrapText="1"/>
    </xf>
    <xf numFmtId="0" fontId="6" fillId="0" borderId="8" xfId="1" applyFont="1" applyBorder="1" applyAlignment="1">
      <alignment horizontal="center" vertical="top" wrapText="1"/>
    </xf>
    <xf numFmtId="0" fontId="6" fillId="0" borderId="10" xfId="1" applyFont="1" applyBorder="1" applyAlignment="1">
      <alignment horizontal="center" vertical="top" wrapText="1"/>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10" xfId="1" applyFont="1" applyBorder="1" applyAlignment="1">
      <alignment horizontal="center" vertical="center"/>
    </xf>
    <xf numFmtId="14" fontId="6" fillId="0" borderId="2" xfId="1" applyNumberFormat="1" applyFont="1" applyBorder="1" applyAlignment="1">
      <alignment horizontal="left" vertical="top" wrapText="1"/>
    </xf>
    <xf numFmtId="14" fontId="6" fillId="0" borderId="3" xfId="1" applyNumberFormat="1" applyFont="1" applyBorder="1" applyAlignment="1">
      <alignment horizontal="left" vertical="top" wrapText="1"/>
    </xf>
    <xf numFmtId="0" fontId="6" fillId="0" borderId="1" xfId="1" applyFont="1" applyBorder="1" applyAlignment="1">
      <alignment vertical="top" wrapText="1"/>
    </xf>
    <xf numFmtId="0" fontId="6" fillId="0" borderId="2" xfId="1" applyFont="1" applyBorder="1" applyAlignment="1">
      <alignment vertical="top" wrapText="1"/>
    </xf>
    <xf numFmtId="0" fontId="6" fillId="0" borderId="3" xfId="1" applyFont="1" applyBorder="1" applyAlignment="1">
      <alignment vertical="top" wrapText="1"/>
    </xf>
    <xf numFmtId="0" fontId="16" fillId="0" borderId="4" xfId="4" applyFill="1" applyBorder="1" applyAlignment="1">
      <alignment horizontal="left" vertical="top"/>
    </xf>
    <xf numFmtId="1" fontId="7" fillId="0" borderId="4" xfId="1" applyNumberFormat="1" applyFont="1" applyBorder="1" applyAlignment="1">
      <alignment horizontal="center" vertical="center"/>
    </xf>
    <xf numFmtId="1" fontId="6" fillId="0" borderId="13" xfId="0" applyNumberFormat="1" applyFont="1" applyBorder="1" applyAlignment="1">
      <alignment horizontal="center" vertical="center" wrapText="1"/>
    </xf>
    <xf numFmtId="1" fontId="6" fillId="0" borderId="35" xfId="0" applyNumberFormat="1" applyFont="1" applyBorder="1" applyAlignment="1">
      <alignment horizontal="center" vertical="center" wrapText="1"/>
    </xf>
    <xf numFmtId="1" fontId="6" fillId="0" borderId="34"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15" fillId="2" borderId="0" xfId="0" applyFont="1" applyFill="1" applyAlignment="1">
      <alignment horizontal="left" vertical="top" wrapText="1"/>
    </xf>
    <xf numFmtId="2" fontId="11" fillId="0" borderId="4" xfId="1" applyNumberFormat="1" applyFont="1" applyBorder="1" applyAlignment="1">
      <alignment horizontal="left" vertical="top" wrapText="1"/>
    </xf>
    <xf numFmtId="164" fontId="11" fillId="0" borderId="4" xfId="1" applyNumberFormat="1" applyFont="1" applyBorder="1" applyAlignment="1">
      <alignment horizontal="left" vertical="top"/>
    </xf>
    <xf numFmtId="0" fontId="6" fillId="0" borderId="4" xfId="1" applyFont="1" applyBorder="1" applyAlignment="1">
      <alignment vertical="top"/>
    </xf>
    <xf numFmtId="0" fontId="8" fillId="0" borderId="4" xfId="1" applyFont="1" applyBorder="1" applyAlignment="1">
      <alignment horizontal="center" vertical="top" wrapText="1"/>
    </xf>
  </cellXfs>
  <cellStyles count="5">
    <cellStyle name="Excel Built-in Normal" xfId="2"/>
    <cellStyle name="Hyperlink" xfId="4" builtinId="8"/>
    <cellStyle name="Normal" xfId="0" builtinId="0"/>
    <cellStyle name="Normal 2" xfId="3"/>
    <cellStyle name="Normal 3" xfId="1"/>
  </cellStyles>
  <dxfs count="0"/>
  <tableStyles count="0" defaultTableStyle="TableStyleMedium2" defaultPivotStyle="PivotStyleLight16"/>
  <colors>
    <mruColors>
      <color rgb="FFFF00FF"/>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769186</xdr:colOff>
      <xdr:row>460</xdr:row>
      <xdr:rowOff>122255</xdr:rowOff>
    </xdr:from>
    <xdr:to>
      <xdr:col>8</xdr:col>
      <xdr:colOff>262375</xdr:colOff>
      <xdr:row>480</xdr:row>
      <xdr:rowOff>8805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69186" y="93691373"/>
          <a:ext cx="5185777" cy="3920667"/>
        </a:xfrm>
        <a:prstGeom prst="rect">
          <a:avLst/>
        </a:prstGeom>
        <a:ln>
          <a:solidFill>
            <a:sysClr val="windowText" lastClr="000000"/>
          </a:solidFill>
        </a:ln>
      </xdr:spPr>
    </xdr:pic>
    <xdr:clientData/>
  </xdr:twoCellAnchor>
  <xdr:twoCellAnchor>
    <xdr:from>
      <xdr:col>11</xdr:col>
      <xdr:colOff>276225</xdr:colOff>
      <xdr:row>300</xdr:row>
      <xdr:rowOff>190500</xdr:rowOff>
    </xdr:from>
    <xdr:to>
      <xdr:col>11</xdr:col>
      <xdr:colOff>533400</xdr:colOff>
      <xdr:row>302</xdr:row>
      <xdr:rowOff>0</xdr:rowOff>
    </xdr:to>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7810500" y="65579625"/>
          <a:ext cx="257175" cy="233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F</a:t>
          </a:r>
        </a:p>
      </xdr:txBody>
    </xdr:sp>
    <xdr:clientData/>
  </xdr:twoCellAnchor>
  <xdr:twoCellAnchor>
    <xdr:from>
      <xdr:col>13</xdr:col>
      <xdr:colOff>375154</xdr:colOff>
      <xdr:row>289</xdr:row>
      <xdr:rowOff>9525</xdr:rowOff>
    </xdr:from>
    <xdr:to>
      <xdr:col>14</xdr:col>
      <xdr:colOff>30598</xdr:colOff>
      <xdr:row>290</xdr:row>
      <xdr:rowOff>52180</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9843004" y="64855725"/>
          <a:ext cx="265044" cy="233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G</a:t>
          </a:r>
        </a:p>
      </xdr:txBody>
    </xdr:sp>
    <xdr:clientData/>
  </xdr:twoCellAnchor>
  <xdr:twoCellAnchor>
    <xdr:from>
      <xdr:col>15</xdr:col>
      <xdr:colOff>474083</xdr:colOff>
      <xdr:row>288</xdr:row>
      <xdr:rowOff>133350</xdr:rowOff>
    </xdr:from>
    <xdr:to>
      <xdr:col>16</xdr:col>
      <xdr:colOff>129527</xdr:colOff>
      <xdr:row>289</xdr:row>
      <xdr:rowOff>166481</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0446758" y="65522475"/>
          <a:ext cx="265044" cy="233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H</a:t>
          </a:r>
        </a:p>
      </xdr:txBody>
    </xdr:sp>
    <xdr:clientData/>
  </xdr:twoCellAnchor>
  <xdr:twoCellAnchor>
    <xdr:from>
      <xdr:col>0</xdr:col>
      <xdr:colOff>368681</xdr:colOff>
      <xdr:row>480</xdr:row>
      <xdr:rowOff>145679</xdr:rowOff>
    </xdr:from>
    <xdr:to>
      <xdr:col>9</xdr:col>
      <xdr:colOff>190501</xdr:colOff>
      <xdr:row>503</xdr:row>
      <xdr:rowOff>88957</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368681" y="94919429"/>
          <a:ext cx="6381370" cy="4470828"/>
          <a:chOff x="435429" y="86571993"/>
          <a:chExt cx="5820898" cy="4286072"/>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stretch>
            <a:fillRect/>
          </a:stretch>
        </xdr:blipFill>
        <xdr:spPr>
          <a:xfrm>
            <a:off x="435429" y="86571993"/>
            <a:ext cx="5820898" cy="4286072"/>
          </a:xfrm>
          <a:prstGeom prst="rect">
            <a:avLst/>
          </a:prstGeom>
          <a:ln>
            <a:solidFill>
              <a:sysClr val="windowText" lastClr="000000"/>
            </a:solidFill>
          </a:ln>
        </xdr:spPr>
      </xdr:pic>
      <xdr:sp macro="" textlink="">
        <xdr:nvSpPr>
          <xdr:cNvPr id="17" name="Rectangle 16">
            <a:extLst>
              <a:ext uri="{FF2B5EF4-FFF2-40B4-BE49-F238E27FC236}">
                <a16:creationId xmlns:a16="http://schemas.microsoft.com/office/drawing/2014/main" id="{00000000-0008-0000-0000-000011000000}"/>
              </a:ext>
            </a:extLst>
          </xdr:cNvPr>
          <xdr:cNvSpPr/>
        </xdr:nvSpPr>
        <xdr:spPr>
          <a:xfrm rot="19933630">
            <a:off x="3292982" y="87980788"/>
            <a:ext cx="595029" cy="1306996"/>
          </a:xfrm>
          <a:prstGeom prst="rect">
            <a:avLst/>
          </a:prstGeom>
          <a:noFill/>
          <a:ln w="28575">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5" name="Rectangle 74">
            <a:extLst>
              <a:ext uri="{FF2B5EF4-FFF2-40B4-BE49-F238E27FC236}">
                <a16:creationId xmlns:a16="http://schemas.microsoft.com/office/drawing/2014/main" id="{00000000-0008-0000-0000-00004B000000}"/>
              </a:ext>
            </a:extLst>
          </xdr:cNvPr>
          <xdr:cNvSpPr/>
        </xdr:nvSpPr>
        <xdr:spPr>
          <a:xfrm rot="20034805">
            <a:off x="2636586" y="88303397"/>
            <a:ext cx="592959" cy="130575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6" name="Rectangle 75">
            <a:extLst>
              <a:ext uri="{FF2B5EF4-FFF2-40B4-BE49-F238E27FC236}">
                <a16:creationId xmlns:a16="http://schemas.microsoft.com/office/drawing/2014/main" id="{00000000-0008-0000-0000-00004C000000}"/>
              </a:ext>
            </a:extLst>
          </xdr:cNvPr>
          <xdr:cNvSpPr/>
        </xdr:nvSpPr>
        <xdr:spPr>
          <a:xfrm rot="19933630">
            <a:off x="2797686" y="87794994"/>
            <a:ext cx="390472" cy="331378"/>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7" name="TextBox 19">
            <a:extLst>
              <a:ext uri="{FF2B5EF4-FFF2-40B4-BE49-F238E27FC236}">
                <a16:creationId xmlns:a16="http://schemas.microsoft.com/office/drawing/2014/main" id="{00000000-0008-0000-0000-00004D000000}"/>
              </a:ext>
            </a:extLst>
          </xdr:cNvPr>
          <xdr:cNvSpPr txBox="1"/>
        </xdr:nvSpPr>
        <xdr:spPr>
          <a:xfrm rot="20185568">
            <a:off x="1967949" y="89495222"/>
            <a:ext cx="1161329" cy="497316"/>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FF00"/>
                </a:solidFill>
                <a:latin typeface="Times New Roman" panose="02020603050405020304" pitchFamily="18" charset="0"/>
                <a:cs typeface="Times New Roman" panose="02020603050405020304" pitchFamily="18" charset="0"/>
              </a:rPr>
              <a:t>Lodha Panacea I </a:t>
            </a:r>
            <a:endParaRPr lang="en-IN" sz="1400" b="1">
              <a:solidFill>
                <a:srgbClr val="FFFF00"/>
              </a:solidFill>
              <a:latin typeface="Times New Roman" panose="02020603050405020304" pitchFamily="18" charset="0"/>
              <a:cs typeface="Times New Roman" panose="02020603050405020304" pitchFamily="18" charset="0"/>
            </a:endParaRPr>
          </a:p>
        </xdr:txBody>
      </xdr:sp>
      <xdr:sp macro="" textlink="">
        <xdr:nvSpPr>
          <xdr:cNvPr id="78" name="TextBox 19">
            <a:extLst>
              <a:ext uri="{FF2B5EF4-FFF2-40B4-BE49-F238E27FC236}">
                <a16:creationId xmlns:a16="http://schemas.microsoft.com/office/drawing/2014/main" id="{00000000-0008-0000-0000-00004E000000}"/>
              </a:ext>
            </a:extLst>
          </xdr:cNvPr>
          <xdr:cNvSpPr txBox="1"/>
        </xdr:nvSpPr>
        <xdr:spPr>
          <a:xfrm rot="20185568">
            <a:off x="3932345" y="88532371"/>
            <a:ext cx="1164228" cy="497316"/>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FFFF"/>
                </a:solidFill>
                <a:latin typeface="Times New Roman" panose="02020603050405020304" pitchFamily="18" charset="0"/>
                <a:cs typeface="Times New Roman" panose="02020603050405020304" pitchFamily="18" charset="0"/>
              </a:rPr>
              <a:t>Lodha Panacea II </a:t>
            </a:r>
            <a:endParaRPr lang="en-IN" sz="1400" b="1">
              <a:solidFill>
                <a:srgbClr val="00FFFF"/>
              </a:solidFill>
              <a:latin typeface="Times New Roman" panose="02020603050405020304" pitchFamily="18" charset="0"/>
              <a:cs typeface="Times New Roman" panose="02020603050405020304" pitchFamily="18" charset="0"/>
            </a:endParaRPr>
          </a:p>
        </xdr:txBody>
      </xdr:sp>
      <xdr:sp macro="" textlink="">
        <xdr:nvSpPr>
          <xdr:cNvPr id="79" name="TextBox 19">
            <a:extLst>
              <a:ext uri="{FF2B5EF4-FFF2-40B4-BE49-F238E27FC236}">
                <a16:creationId xmlns:a16="http://schemas.microsoft.com/office/drawing/2014/main" id="{00000000-0008-0000-0000-00004F000000}"/>
              </a:ext>
            </a:extLst>
          </xdr:cNvPr>
          <xdr:cNvSpPr txBox="1"/>
        </xdr:nvSpPr>
        <xdr:spPr>
          <a:xfrm rot="20185568">
            <a:off x="2279553" y="87203839"/>
            <a:ext cx="1164228" cy="498558"/>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chemeClr val="bg1"/>
                </a:solidFill>
                <a:latin typeface="Times New Roman" panose="02020603050405020304" pitchFamily="18" charset="0"/>
                <a:cs typeface="Times New Roman" panose="02020603050405020304" pitchFamily="18" charset="0"/>
              </a:rPr>
              <a:t>Lodha Panacea III</a:t>
            </a:r>
            <a:endParaRPr lang="en-IN" sz="14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10</xdr:col>
      <xdr:colOff>500343</xdr:colOff>
      <xdr:row>31</xdr:row>
      <xdr:rowOff>90208</xdr:rowOff>
    </xdr:from>
    <xdr:to>
      <xdr:col>19</xdr:col>
      <xdr:colOff>26557</xdr:colOff>
      <xdr:row>44</xdr:row>
      <xdr:rowOff>403258</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7501218" y="8757958"/>
          <a:ext cx="5650789" cy="2894326"/>
        </a:xfrm>
        <a:prstGeom prst="rect">
          <a:avLst/>
        </a:prstGeom>
      </xdr:spPr>
    </xdr:pic>
    <xdr:clientData/>
  </xdr:twoCellAnchor>
  <xdr:twoCellAnchor editAs="oneCell">
    <xdr:from>
      <xdr:col>10</xdr:col>
      <xdr:colOff>554130</xdr:colOff>
      <xdr:row>51</xdr:row>
      <xdr:rowOff>9524</xdr:rowOff>
    </xdr:from>
    <xdr:to>
      <xdr:col>27</xdr:col>
      <xdr:colOff>97271</xdr:colOff>
      <xdr:row>57</xdr:row>
      <xdr:rowOff>93225</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a:stretch>
          <a:fillRect/>
        </a:stretch>
      </xdr:blipFill>
      <xdr:spPr>
        <a:xfrm>
          <a:off x="7546601" y="13714318"/>
          <a:ext cx="10468876" cy="1574084"/>
        </a:xfrm>
        <a:prstGeom prst="rect">
          <a:avLst/>
        </a:prstGeom>
      </xdr:spPr>
    </xdr:pic>
    <xdr:clientData/>
  </xdr:twoCellAnchor>
  <xdr:twoCellAnchor editAs="oneCell">
    <xdr:from>
      <xdr:col>10</xdr:col>
      <xdr:colOff>477930</xdr:colOff>
      <xdr:row>37</xdr:row>
      <xdr:rowOff>123824</xdr:rowOff>
    </xdr:from>
    <xdr:to>
      <xdr:col>16</xdr:col>
      <xdr:colOff>462760</xdr:colOff>
      <xdr:row>50</xdr:row>
      <xdr:rowOff>85164</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5"/>
        <a:stretch>
          <a:fillRect/>
        </a:stretch>
      </xdr:blipFill>
      <xdr:spPr>
        <a:xfrm>
          <a:off x="7478805" y="9972674"/>
          <a:ext cx="4280605" cy="3314140"/>
        </a:xfrm>
        <a:prstGeom prst="rect">
          <a:avLst/>
        </a:prstGeom>
      </xdr:spPr>
    </xdr:pic>
    <xdr:clientData/>
  </xdr:twoCellAnchor>
  <xdr:twoCellAnchor editAs="oneCell">
    <xdr:from>
      <xdr:col>10</xdr:col>
      <xdr:colOff>533400</xdr:colOff>
      <xdr:row>282</xdr:row>
      <xdr:rowOff>190500</xdr:rowOff>
    </xdr:from>
    <xdr:to>
      <xdr:col>16</xdr:col>
      <xdr:colOff>286315</xdr:colOff>
      <xdr:row>297</xdr:row>
      <xdr:rowOff>114747</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6"/>
        <a:stretch>
          <a:fillRect/>
        </a:stretch>
      </xdr:blipFill>
      <xdr:spPr>
        <a:xfrm>
          <a:off x="7534275" y="62074425"/>
          <a:ext cx="4048690" cy="3200847"/>
        </a:xfrm>
        <a:prstGeom prst="rect">
          <a:avLst/>
        </a:prstGeom>
      </xdr:spPr>
    </xdr:pic>
    <xdr:clientData/>
  </xdr:twoCellAnchor>
  <xdr:twoCellAnchor editAs="oneCell">
    <xdr:from>
      <xdr:col>11</xdr:col>
      <xdr:colOff>314325</xdr:colOff>
      <xdr:row>293</xdr:row>
      <xdr:rowOff>114300</xdr:rowOff>
    </xdr:from>
    <xdr:to>
      <xdr:col>18</xdr:col>
      <xdr:colOff>267289</xdr:colOff>
      <xdr:row>304</xdr:row>
      <xdr:rowOff>648113</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7"/>
        <a:stretch>
          <a:fillRect/>
        </a:stretch>
      </xdr:blipFill>
      <xdr:spPr>
        <a:xfrm>
          <a:off x="8562975" y="64474725"/>
          <a:ext cx="4220164" cy="2962688"/>
        </a:xfrm>
        <a:prstGeom prst="rect">
          <a:avLst/>
        </a:prstGeom>
      </xdr:spPr>
    </xdr:pic>
    <xdr:clientData/>
  </xdr:twoCellAnchor>
  <xdr:oneCellAnchor>
    <xdr:from>
      <xdr:col>2</xdr:col>
      <xdr:colOff>486753</xdr:colOff>
      <xdr:row>414</xdr:row>
      <xdr:rowOff>28575</xdr:rowOff>
    </xdr:from>
    <xdr:ext cx="2311160" cy="3543925"/>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8"/>
        <a:stretch>
          <a:fillRect/>
        </a:stretch>
      </xdr:blipFill>
      <xdr:spPr>
        <a:xfrm>
          <a:off x="2220303" y="82124550"/>
          <a:ext cx="2311160" cy="3543925"/>
        </a:xfrm>
        <a:prstGeom prst="rect">
          <a:avLst/>
        </a:prstGeom>
        <a:ln>
          <a:solidFill>
            <a:schemeClr val="tx1"/>
          </a:solidFill>
        </a:ln>
      </xdr:spPr>
    </xdr:pic>
    <xdr:clientData/>
  </xdr:oneCellAnchor>
  <xdr:twoCellAnchor>
    <xdr:from>
      <xdr:col>0</xdr:col>
      <xdr:colOff>702849</xdr:colOff>
      <xdr:row>432</xdr:row>
      <xdr:rowOff>98154</xdr:rowOff>
    </xdr:from>
    <xdr:to>
      <xdr:col>8</xdr:col>
      <xdr:colOff>542815</xdr:colOff>
      <xdr:row>457</xdr:row>
      <xdr:rowOff>81743</xdr:rowOff>
    </xdr:to>
    <xdr:grpSp>
      <xdr:nvGrpSpPr>
        <xdr:cNvPr id="92" name="Group 91">
          <a:extLst>
            <a:ext uri="{FF2B5EF4-FFF2-40B4-BE49-F238E27FC236}">
              <a16:creationId xmlns:a16="http://schemas.microsoft.com/office/drawing/2014/main" id="{00000000-0008-0000-0000-00005C000000}"/>
            </a:ext>
          </a:extLst>
        </xdr:cNvPr>
        <xdr:cNvGrpSpPr/>
      </xdr:nvGrpSpPr>
      <xdr:grpSpPr>
        <a:xfrm>
          <a:off x="702849" y="85423104"/>
          <a:ext cx="5802616" cy="4904839"/>
          <a:chOff x="825314" y="76789158"/>
          <a:chExt cx="5538401" cy="4953154"/>
        </a:xfrm>
      </xdr:grpSpPr>
      <xdr:grpSp>
        <xdr:nvGrpSpPr>
          <xdr:cNvPr id="95" name="Group 94">
            <a:extLst>
              <a:ext uri="{FF2B5EF4-FFF2-40B4-BE49-F238E27FC236}">
                <a16:creationId xmlns:a16="http://schemas.microsoft.com/office/drawing/2014/main" id="{00000000-0008-0000-0000-00005F000000}"/>
              </a:ext>
            </a:extLst>
          </xdr:cNvPr>
          <xdr:cNvGrpSpPr/>
        </xdr:nvGrpSpPr>
        <xdr:grpSpPr>
          <a:xfrm>
            <a:off x="825314" y="76789158"/>
            <a:ext cx="5538401" cy="4953154"/>
            <a:chOff x="1083049" y="78165533"/>
            <a:chExt cx="5532554" cy="5026236"/>
          </a:xfrm>
        </xdr:grpSpPr>
        <xdr:grpSp>
          <xdr:nvGrpSpPr>
            <xdr:cNvPr id="99" name="Group 98">
              <a:extLst>
                <a:ext uri="{FF2B5EF4-FFF2-40B4-BE49-F238E27FC236}">
                  <a16:creationId xmlns:a16="http://schemas.microsoft.com/office/drawing/2014/main" id="{00000000-0008-0000-0000-000063000000}"/>
                </a:ext>
              </a:extLst>
            </xdr:cNvPr>
            <xdr:cNvGrpSpPr/>
          </xdr:nvGrpSpPr>
          <xdr:grpSpPr>
            <a:xfrm>
              <a:off x="1083049" y="78165533"/>
              <a:ext cx="5532554" cy="5026236"/>
              <a:chOff x="689617" y="3934967"/>
              <a:chExt cx="5535916" cy="4984214"/>
            </a:xfrm>
          </xdr:grpSpPr>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9"/>
              <a:stretch>
                <a:fillRect/>
              </a:stretch>
            </xdr:blipFill>
            <xdr:spPr>
              <a:xfrm>
                <a:off x="689617" y="3934967"/>
                <a:ext cx="5535916" cy="4984214"/>
              </a:xfrm>
              <a:prstGeom prst="rect">
                <a:avLst/>
              </a:prstGeom>
              <a:ln>
                <a:solidFill>
                  <a:schemeClr val="tx1"/>
                </a:solidFill>
              </a:ln>
            </xdr:spPr>
          </xdr:pic>
          <xdr:grpSp>
            <xdr:nvGrpSpPr>
              <xdr:cNvPr id="102" name="Group 101">
                <a:extLst>
                  <a:ext uri="{FF2B5EF4-FFF2-40B4-BE49-F238E27FC236}">
                    <a16:creationId xmlns:a16="http://schemas.microsoft.com/office/drawing/2014/main" id="{00000000-0008-0000-0000-000066000000}"/>
                  </a:ext>
                </a:extLst>
              </xdr:cNvPr>
              <xdr:cNvGrpSpPr/>
            </xdr:nvGrpSpPr>
            <xdr:grpSpPr>
              <a:xfrm>
                <a:off x="971990" y="4108820"/>
                <a:ext cx="4820394" cy="4151511"/>
                <a:chOff x="971990" y="4108820"/>
                <a:chExt cx="4820394" cy="4151511"/>
              </a:xfrm>
            </xdr:grpSpPr>
            <xdr:sp macro="" textlink="">
              <xdr:nvSpPr>
                <xdr:cNvPr id="115" name="L-Shape 114">
                  <a:extLst>
                    <a:ext uri="{FF2B5EF4-FFF2-40B4-BE49-F238E27FC236}">
                      <a16:creationId xmlns:a16="http://schemas.microsoft.com/office/drawing/2014/main" id="{00000000-0008-0000-0000-000073000000}"/>
                    </a:ext>
                  </a:extLst>
                </xdr:cNvPr>
                <xdr:cNvSpPr/>
              </xdr:nvSpPr>
              <xdr:spPr>
                <a:xfrm rot="7916720">
                  <a:off x="3219226" y="5786265"/>
                  <a:ext cx="493550" cy="494263"/>
                </a:xfrm>
                <a:prstGeom prst="corner">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6" name="L-Shape 115">
                  <a:extLst>
                    <a:ext uri="{FF2B5EF4-FFF2-40B4-BE49-F238E27FC236}">
                      <a16:creationId xmlns:a16="http://schemas.microsoft.com/office/drawing/2014/main" id="{00000000-0008-0000-0000-000074000000}"/>
                    </a:ext>
                  </a:extLst>
                </xdr:cNvPr>
                <xdr:cNvSpPr/>
              </xdr:nvSpPr>
              <xdr:spPr>
                <a:xfrm rot="13431872">
                  <a:off x="3602852" y="6151065"/>
                  <a:ext cx="484166" cy="453829"/>
                </a:xfrm>
                <a:prstGeom prst="corner">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7" name="L-Shape 116">
                  <a:extLst>
                    <a:ext uri="{FF2B5EF4-FFF2-40B4-BE49-F238E27FC236}">
                      <a16:creationId xmlns:a16="http://schemas.microsoft.com/office/drawing/2014/main" id="{00000000-0008-0000-0000-000075000000}"/>
                    </a:ext>
                  </a:extLst>
                </xdr:cNvPr>
                <xdr:cNvSpPr/>
              </xdr:nvSpPr>
              <xdr:spPr>
                <a:xfrm rot="2593584">
                  <a:off x="3439342" y="6663147"/>
                  <a:ext cx="443957" cy="475063"/>
                </a:xfrm>
                <a:prstGeom prst="corner">
                  <a:avLst>
                    <a:gd name="adj1" fmla="val 52147"/>
                    <a:gd name="adj2" fmla="val 50000"/>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8" name="L-Shape 117">
                  <a:extLst>
                    <a:ext uri="{FF2B5EF4-FFF2-40B4-BE49-F238E27FC236}">
                      <a16:creationId xmlns:a16="http://schemas.microsoft.com/office/drawing/2014/main" id="{00000000-0008-0000-0000-000076000000}"/>
                    </a:ext>
                  </a:extLst>
                </xdr:cNvPr>
                <xdr:cNvSpPr/>
              </xdr:nvSpPr>
              <xdr:spPr>
                <a:xfrm rot="13376115">
                  <a:off x="3629748" y="7160162"/>
                  <a:ext cx="387076" cy="441054"/>
                </a:xfrm>
                <a:prstGeom prst="corner">
                  <a:avLst>
                    <a:gd name="adj1" fmla="val 60804"/>
                    <a:gd name="adj2" fmla="val 58652"/>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9" name="L-Shape 118">
                  <a:extLst>
                    <a:ext uri="{FF2B5EF4-FFF2-40B4-BE49-F238E27FC236}">
                      <a16:creationId xmlns:a16="http://schemas.microsoft.com/office/drawing/2014/main" id="{00000000-0008-0000-0000-000077000000}"/>
                    </a:ext>
                  </a:extLst>
                </xdr:cNvPr>
                <xdr:cNvSpPr/>
              </xdr:nvSpPr>
              <xdr:spPr>
                <a:xfrm rot="18817132">
                  <a:off x="3251414" y="7492002"/>
                  <a:ext cx="466349" cy="479546"/>
                </a:xfrm>
                <a:prstGeom prst="corner">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0" name="TextBox 15">
                  <a:extLst>
                    <a:ext uri="{FF2B5EF4-FFF2-40B4-BE49-F238E27FC236}">
                      <a16:creationId xmlns:a16="http://schemas.microsoft.com/office/drawing/2014/main" id="{00000000-0008-0000-0000-000078000000}"/>
                    </a:ext>
                  </a:extLst>
                </xdr:cNvPr>
                <xdr:cNvSpPr txBox="1"/>
              </xdr:nvSpPr>
              <xdr:spPr>
                <a:xfrm rot="18467274">
                  <a:off x="2737792" y="5455193"/>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CC0000"/>
                      </a:solidFill>
                      <a:latin typeface="Times New Roman" panose="02020603050405020304" pitchFamily="18" charset="0"/>
                      <a:cs typeface="Times New Roman" panose="02020603050405020304" pitchFamily="18" charset="0"/>
                    </a:rPr>
                    <a:t>Wing F </a:t>
                  </a:r>
                  <a:endParaRPr lang="en-IN" sz="1400" b="1">
                    <a:solidFill>
                      <a:srgbClr val="CC0000"/>
                    </a:solidFill>
                    <a:latin typeface="Times New Roman" panose="02020603050405020304" pitchFamily="18" charset="0"/>
                    <a:cs typeface="Times New Roman" panose="02020603050405020304" pitchFamily="18" charset="0"/>
                  </a:endParaRPr>
                </a:p>
              </xdr:txBody>
            </xdr:sp>
            <xdr:sp macro="" textlink="">
              <xdr:nvSpPr>
                <xdr:cNvPr id="121" name="TextBox 16">
                  <a:extLst>
                    <a:ext uri="{FF2B5EF4-FFF2-40B4-BE49-F238E27FC236}">
                      <a16:creationId xmlns:a16="http://schemas.microsoft.com/office/drawing/2014/main" id="{00000000-0008-0000-0000-000079000000}"/>
                    </a:ext>
                  </a:extLst>
                </xdr:cNvPr>
                <xdr:cNvSpPr txBox="1"/>
              </xdr:nvSpPr>
              <xdr:spPr>
                <a:xfrm rot="2847536">
                  <a:off x="3719557" y="6147987"/>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CC0000"/>
                      </a:solidFill>
                      <a:latin typeface="Times New Roman" panose="02020603050405020304" pitchFamily="18" charset="0"/>
                      <a:cs typeface="Times New Roman" panose="02020603050405020304" pitchFamily="18" charset="0"/>
                    </a:rPr>
                    <a:t>Wing G </a:t>
                  </a:r>
                  <a:endParaRPr lang="en-IN" sz="1400" b="1">
                    <a:solidFill>
                      <a:srgbClr val="CC0000"/>
                    </a:solidFill>
                    <a:latin typeface="Times New Roman" panose="02020603050405020304" pitchFamily="18" charset="0"/>
                    <a:cs typeface="Times New Roman" panose="02020603050405020304" pitchFamily="18" charset="0"/>
                  </a:endParaRPr>
                </a:p>
              </xdr:txBody>
            </xdr:sp>
            <xdr:sp macro="" textlink="">
              <xdr:nvSpPr>
                <xdr:cNvPr id="122" name="TextBox 18">
                  <a:extLst>
                    <a:ext uri="{FF2B5EF4-FFF2-40B4-BE49-F238E27FC236}">
                      <a16:creationId xmlns:a16="http://schemas.microsoft.com/office/drawing/2014/main" id="{00000000-0008-0000-0000-00007A000000}"/>
                    </a:ext>
                  </a:extLst>
                </xdr:cNvPr>
                <xdr:cNvSpPr txBox="1"/>
              </xdr:nvSpPr>
              <xdr:spPr>
                <a:xfrm rot="230569">
                  <a:off x="3719557" y="6776064"/>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CC0000"/>
                      </a:solidFill>
                      <a:latin typeface="Times New Roman" panose="02020603050405020304" pitchFamily="18" charset="0"/>
                      <a:cs typeface="Times New Roman" panose="02020603050405020304" pitchFamily="18" charset="0"/>
                    </a:rPr>
                    <a:t>Wing H </a:t>
                  </a:r>
                  <a:endParaRPr lang="en-IN" sz="1400" b="1">
                    <a:solidFill>
                      <a:srgbClr val="CC0000"/>
                    </a:solidFill>
                    <a:latin typeface="Times New Roman" panose="02020603050405020304" pitchFamily="18" charset="0"/>
                    <a:cs typeface="Times New Roman" panose="02020603050405020304" pitchFamily="18" charset="0"/>
                  </a:endParaRPr>
                </a:p>
              </xdr:txBody>
            </xdr:sp>
            <xdr:sp macro="" textlink="">
              <xdr:nvSpPr>
                <xdr:cNvPr id="123" name="TextBox 19">
                  <a:extLst>
                    <a:ext uri="{FF2B5EF4-FFF2-40B4-BE49-F238E27FC236}">
                      <a16:creationId xmlns:a16="http://schemas.microsoft.com/office/drawing/2014/main" id="{00000000-0008-0000-0000-00007B000000}"/>
                    </a:ext>
                  </a:extLst>
                </xdr:cNvPr>
                <xdr:cNvSpPr txBox="1"/>
              </xdr:nvSpPr>
              <xdr:spPr>
                <a:xfrm rot="18551549">
                  <a:off x="3634619" y="7321419"/>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CC0000"/>
                      </a:solidFill>
                      <a:latin typeface="Times New Roman" panose="02020603050405020304" pitchFamily="18" charset="0"/>
                      <a:cs typeface="Times New Roman" panose="02020603050405020304" pitchFamily="18" charset="0"/>
                    </a:rPr>
                    <a:t>Wing I </a:t>
                  </a:r>
                  <a:endParaRPr lang="en-IN" sz="1400" b="1">
                    <a:solidFill>
                      <a:srgbClr val="CC0000"/>
                    </a:solidFill>
                    <a:latin typeface="Times New Roman" panose="02020603050405020304" pitchFamily="18" charset="0"/>
                    <a:cs typeface="Times New Roman" panose="02020603050405020304" pitchFamily="18" charset="0"/>
                  </a:endParaRPr>
                </a:p>
              </xdr:txBody>
            </xdr:sp>
            <xdr:sp macro="" textlink="">
              <xdr:nvSpPr>
                <xdr:cNvPr id="124" name="TextBox 20">
                  <a:extLst>
                    <a:ext uri="{FF2B5EF4-FFF2-40B4-BE49-F238E27FC236}">
                      <a16:creationId xmlns:a16="http://schemas.microsoft.com/office/drawing/2014/main" id="{00000000-0008-0000-0000-00007C000000}"/>
                    </a:ext>
                  </a:extLst>
                </xdr:cNvPr>
                <xdr:cNvSpPr txBox="1"/>
              </xdr:nvSpPr>
              <xdr:spPr>
                <a:xfrm rot="2639253">
                  <a:off x="2766892" y="7952554"/>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CC0000"/>
                      </a:solidFill>
                      <a:latin typeface="Times New Roman" panose="02020603050405020304" pitchFamily="18" charset="0"/>
                      <a:cs typeface="Times New Roman" panose="02020603050405020304" pitchFamily="18" charset="0"/>
                    </a:rPr>
                    <a:t>Wing J </a:t>
                  </a:r>
                  <a:endParaRPr lang="en-IN" sz="1400" b="1">
                    <a:solidFill>
                      <a:srgbClr val="CC0000"/>
                    </a:solidFill>
                    <a:latin typeface="Times New Roman" panose="02020603050405020304" pitchFamily="18" charset="0"/>
                    <a:cs typeface="Times New Roman" panose="02020603050405020304" pitchFamily="18" charset="0"/>
                  </a:endParaRPr>
                </a:p>
              </xdr:txBody>
            </xdr:sp>
            <xdr:sp macro="" textlink="">
              <xdr:nvSpPr>
                <xdr:cNvPr id="125" name="TextBox 19">
                  <a:extLst>
                    <a:ext uri="{FF2B5EF4-FFF2-40B4-BE49-F238E27FC236}">
                      <a16:creationId xmlns:a16="http://schemas.microsoft.com/office/drawing/2014/main" id="{00000000-0008-0000-0000-00007D000000}"/>
                    </a:ext>
                  </a:extLst>
                </xdr:cNvPr>
                <xdr:cNvSpPr txBox="1"/>
              </xdr:nvSpPr>
              <xdr:spPr>
                <a:xfrm>
                  <a:off x="4627328" y="7500593"/>
                  <a:ext cx="1165056" cy="501043"/>
                </a:xfrm>
                <a:prstGeom prst="rect">
                  <a:avLst/>
                </a:prstGeom>
                <a:noFill/>
              </xdr:spPr>
              <xdr:txBody>
                <a:bodyPr wrap="square"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C00000"/>
                      </a:solidFill>
                      <a:latin typeface="Times New Roman" panose="02020603050405020304" pitchFamily="18" charset="0"/>
                      <a:cs typeface="Times New Roman" panose="02020603050405020304" pitchFamily="18" charset="0"/>
                    </a:rPr>
                    <a:t>Lodha Panacea II </a:t>
                  </a:r>
                  <a:endParaRPr lang="en-IN" sz="1400" b="1">
                    <a:solidFill>
                      <a:srgbClr val="C00000"/>
                    </a:solidFill>
                    <a:latin typeface="Times New Roman" panose="02020603050405020304" pitchFamily="18" charset="0"/>
                    <a:cs typeface="Times New Roman" panose="02020603050405020304" pitchFamily="18" charset="0"/>
                  </a:endParaRPr>
                </a:p>
              </xdr:txBody>
            </xdr:sp>
            <xdr:sp macro="" textlink="">
              <xdr:nvSpPr>
                <xdr:cNvPr id="126" name="TextBox 19">
                  <a:extLst>
                    <a:ext uri="{FF2B5EF4-FFF2-40B4-BE49-F238E27FC236}">
                      <a16:creationId xmlns:a16="http://schemas.microsoft.com/office/drawing/2014/main" id="{00000000-0008-0000-0000-00007E000000}"/>
                    </a:ext>
                  </a:extLst>
                </xdr:cNvPr>
                <xdr:cNvSpPr txBox="1"/>
              </xdr:nvSpPr>
              <xdr:spPr>
                <a:xfrm>
                  <a:off x="971990" y="4733657"/>
                  <a:ext cx="1165056" cy="501043"/>
                </a:xfrm>
                <a:prstGeom prst="rect">
                  <a:avLst/>
                </a:prstGeom>
                <a:noFill/>
              </xdr:spPr>
              <xdr:txBody>
                <a:bodyPr wrap="square"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00FF"/>
                      </a:solidFill>
                      <a:latin typeface="Times New Roman" panose="02020603050405020304" pitchFamily="18" charset="0"/>
                      <a:cs typeface="Times New Roman" panose="02020603050405020304" pitchFamily="18" charset="0"/>
                    </a:rPr>
                    <a:t>Lodha Panacea I </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127" name="TextBox 19">
                  <a:extLst>
                    <a:ext uri="{FF2B5EF4-FFF2-40B4-BE49-F238E27FC236}">
                      <a16:creationId xmlns:a16="http://schemas.microsoft.com/office/drawing/2014/main" id="{00000000-0008-0000-0000-00007F000000}"/>
                    </a:ext>
                  </a:extLst>
                </xdr:cNvPr>
                <xdr:cNvSpPr txBox="1"/>
              </xdr:nvSpPr>
              <xdr:spPr>
                <a:xfrm>
                  <a:off x="3433602" y="4108820"/>
                  <a:ext cx="1165056" cy="501043"/>
                </a:xfrm>
                <a:prstGeom prst="rect">
                  <a:avLst/>
                </a:prstGeom>
                <a:noFill/>
              </xdr:spPr>
              <xdr:txBody>
                <a:bodyPr wrap="square"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FF"/>
                      </a:solidFill>
                      <a:latin typeface="Times New Roman" panose="02020603050405020304" pitchFamily="18" charset="0"/>
                      <a:cs typeface="Times New Roman" panose="02020603050405020304" pitchFamily="18" charset="0"/>
                    </a:rPr>
                    <a:t>Lodha Panacea III </a:t>
                  </a:r>
                  <a:endParaRPr lang="en-IN" sz="1400" b="1">
                    <a:solidFill>
                      <a:srgbClr val="FF00FF"/>
                    </a:solidFill>
                    <a:latin typeface="Times New Roman" panose="02020603050405020304" pitchFamily="18" charset="0"/>
                    <a:cs typeface="Times New Roman" panose="02020603050405020304" pitchFamily="18" charset="0"/>
                  </a:endParaRPr>
                </a:p>
              </xdr:txBody>
            </xdr:sp>
          </xdr:grpSp>
          <xdr:grpSp>
            <xdr:nvGrpSpPr>
              <xdr:cNvPr id="103" name="Group 102">
                <a:extLst>
                  <a:ext uri="{FF2B5EF4-FFF2-40B4-BE49-F238E27FC236}">
                    <a16:creationId xmlns:a16="http://schemas.microsoft.com/office/drawing/2014/main" id="{00000000-0008-0000-0000-000067000000}"/>
                  </a:ext>
                </a:extLst>
              </xdr:cNvPr>
              <xdr:cNvGrpSpPr/>
            </xdr:nvGrpSpPr>
            <xdr:grpSpPr>
              <a:xfrm rot="10800000">
                <a:off x="1534379" y="4856564"/>
                <a:ext cx="2320949" cy="3556261"/>
                <a:chOff x="2154092" y="5320631"/>
                <a:chExt cx="2320949" cy="3556261"/>
              </a:xfrm>
            </xdr:grpSpPr>
            <xdr:sp macro="" textlink="">
              <xdr:nvSpPr>
                <xdr:cNvPr id="104" name="L-Shape 103">
                  <a:extLst>
                    <a:ext uri="{FF2B5EF4-FFF2-40B4-BE49-F238E27FC236}">
                      <a16:creationId xmlns:a16="http://schemas.microsoft.com/office/drawing/2014/main" id="{00000000-0008-0000-0000-000068000000}"/>
                    </a:ext>
                  </a:extLst>
                </xdr:cNvPr>
                <xdr:cNvSpPr/>
              </xdr:nvSpPr>
              <xdr:spPr>
                <a:xfrm rot="7916720">
                  <a:off x="3219226" y="5786265"/>
                  <a:ext cx="493550" cy="494263"/>
                </a:xfrm>
                <a:prstGeom prst="corner">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105" name="L-Shape 104">
                  <a:extLst>
                    <a:ext uri="{FF2B5EF4-FFF2-40B4-BE49-F238E27FC236}">
                      <a16:creationId xmlns:a16="http://schemas.microsoft.com/office/drawing/2014/main" id="{00000000-0008-0000-0000-000069000000}"/>
                    </a:ext>
                  </a:extLst>
                </xdr:cNvPr>
                <xdr:cNvSpPr/>
              </xdr:nvSpPr>
              <xdr:spPr>
                <a:xfrm rot="13431872">
                  <a:off x="3602852" y="6151065"/>
                  <a:ext cx="484166" cy="453829"/>
                </a:xfrm>
                <a:prstGeom prst="corner">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106" name="L-Shape 105">
                  <a:extLst>
                    <a:ext uri="{FF2B5EF4-FFF2-40B4-BE49-F238E27FC236}">
                      <a16:creationId xmlns:a16="http://schemas.microsoft.com/office/drawing/2014/main" id="{00000000-0008-0000-0000-00006A000000}"/>
                    </a:ext>
                  </a:extLst>
                </xdr:cNvPr>
                <xdr:cNvSpPr/>
              </xdr:nvSpPr>
              <xdr:spPr>
                <a:xfrm rot="2593584">
                  <a:off x="3439342" y="6663147"/>
                  <a:ext cx="443957" cy="475063"/>
                </a:xfrm>
                <a:prstGeom prst="corner">
                  <a:avLst>
                    <a:gd name="adj1" fmla="val 52147"/>
                    <a:gd name="adj2" fmla="val 50000"/>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107" name="L-Shape 106">
                  <a:extLst>
                    <a:ext uri="{FF2B5EF4-FFF2-40B4-BE49-F238E27FC236}">
                      <a16:creationId xmlns:a16="http://schemas.microsoft.com/office/drawing/2014/main" id="{00000000-0008-0000-0000-00006B000000}"/>
                    </a:ext>
                  </a:extLst>
                </xdr:cNvPr>
                <xdr:cNvSpPr/>
              </xdr:nvSpPr>
              <xdr:spPr>
                <a:xfrm rot="13376115">
                  <a:off x="3640030" y="7150217"/>
                  <a:ext cx="418530" cy="466088"/>
                </a:xfrm>
                <a:prstGeom prst="corner">
                  <a:avLst>
                    <a:gd name="adj1" fmla="val 60804"/>
                    <a:gd name="adj2" fmla="val 58652"/>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108" name="L-Shape 107">
                  <a:extLst>
                    <a:ext uri="{FF2B5EF4-FFF2-40B4-BE49-F238E27FC236}">
                      <a16:creationId xmlns:a16="http://schemas.microsoft.com/office/drawing/2014/main" id="{00000000-0008-0000-0000-00006C000000}"/>
                    </a:ext>
                  </a:extLst>
                </xdr:cNvPr>
                <xdr:cNvSpPr/>
              </xdr:nvSpPr>
              <xdr:spPr>
                <a:xfrm rot="18817132">
                  <a:off x="3251414" y="7492002"/>
                  <a:ext cx="466349" cy="479546"/>
                </a:xfrm>
                <a:prstGeom prst="corner">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109" name="TextBox 29">
                  <a:extLst>
                    <a:ext uri="{FF2B5EF4-FFF2-40B4-BE49-F238E27FC236}">
                      <a16:creationId xmlns:a16="http://schemas.microsoft.com/office/drawing/2014/main" id="{00000000-0008-0000-0000-00006D000000}"/>
                    </a:ext>
                  </a:extLst>
                </xdr:cNvPr>
                <xdr:cNvSpPr txBox="1"/>
              </xdr:nvSpPr>
              <xdr:spPr>
                <a:xfrm rot="7717711">
                  <a:off x="2546280" y="5744049"/>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 A </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110" name="TextBox 30">
                  <a:extLst>
                    <a:ext uri="{FF2B5EF4-FFF2-40B4-BE49-F238E27FC236}">
                      <a16:creationId xmlns:a16="http://schemas.microsoft.com/office/drawing/2014/main" id="{00000000-0008-0000-0000-00006E000000}"/>
                    </a:ext>
                  </a:extLst>
                </xdr:cNvPr>
                <xdr:cNvSpPr txBox="1"/>
              </xdr:nvSpPr>
              <xdr:spPr>
                <a:xfrm rot="13662674">
                  <a:off x="3467681" y="5926765"/>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 B </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111" name="TextBox 31">
                  <a:extLst>
                    <a:ext uri="{FF2B5EF4-FFF2-40B4-BE49-F238E27FC236}">
                      <a16:creationId xmlns:a16="http://schemas.microsoft.com/office/drawing/2014/main" id="{00000000-0008-0000-0000-00006F000000}"/>
                    </a:ext>
                  </a:extLst>
                </xdr:cNvPr>
                <xdr:cNvSpPr txBox="1"/>
              </xdr:nvSpPr>
              <xdr:spPr>
                <a:xfrm rot="10800000">
                  <a:off x="3320427" y="6752533"/>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 C </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112" name="TextBox 32">
                  <a:extLst>
                    <a:ext uri="{FF2B5EF4-FFF2-40B4-BE49-F238E27FC236}">
                      <a16:creationId xmlns:a16="http://schemas.microsoft.com/office/drawing/2014/main" id="{00000000-0008-0000-0000-000070000000}"/>
                    </a:ext>
                  </a:extLst>
                </xdr:cNvPr>
                <xdr:cNvSpPr txBox="1"/>
              </xdr:nvSpPr>
              <xdr:spPr>
                <a:xfrm rot="7264296">
                  <a:off x="3432148" y="7594775"/>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 D </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113" name="TextBox 33">
                  <a:extLst>
                    <a:ext uri="{FF2B5EF4-FFF2-40B4-BE49-F238E27FC236}">
                      <a16:creationId xmlns:a16="http://schemas.microsoft.com/office/drawing/2014/main" id="{00000000-0008-0000-0000-000071000000}"/>
                    </a:ext>
                  </a:extLst>
                </xdr:cNvPr>
                <xdr:cNvSpPr txBox="1"/>
              </xdr:nvSpPr>
              <xdr:spPr>
                <a:xfrm rot="13061853">
                  <a:off x="2516042" y="7730915"/>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Wing E </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114" name="TextBox 33">
                  <a:extLst>
                    <a:ext uri="{FF2B5EF4-FFF2-40B4-BE49-F238E27FC236}">
                      <a16:creationId xmlns:a16="http://schemas.microsoft.com/office/drawing/2014/main" id="{00000000-0008-0000-0000-000072000000}"/>
                    </a:ext>
                  </a:extLst>
                </xdr:cNvPr>
                <xdr:cNvSpPr txBox="1"/>
              </xdr:nvSpPr>
              <xdr:spPr>
                <a:xfrm rot="10800000">
                  <a:off x="2154092" y="8569115"/>
                  <a:ext cx="115461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FF"/>
                      </a:solidFill>
                      <a:latin typeface="Times New Roman" panose="02020603050405020304" pitchFamily="18" charset="0"/>
                      <a:cs typeface="Times New Roman" panose="02020603050405020304" pitchFamily="18" charset="0"/>
                    </a:rPr>
                    <a:t>Wing A </a:t>
                  </a:r>
                  <a:endParaRPr lang="en-IN" sz="1400" b="1">
                    <a:solidFill>
                      <a:srgbClr val="FF00FF"/>
                    </a:solidFill>
                    <a:latin typeface="Times New Roman" panose="02020603050405020304" pitchFamily="18" charset="0"/>
                    <a:cs typeface="Times New Roman" panose="02020603050405020304" pitchFamily="18" charset="0"/>
                  </a:endParaRPr>
                </a:p>
              </xdr:txBody>
            </xdr:sp>
          </xdr:grpSp>
        </xdr:grpSp>
        <xdr:sp macro="" textlink="">
          <xdr:nvSpPr>
            <xdr:cNvPr id="100" name="Rectangle 99">
              <a:extLst>
                <a:ext uri="{FF2B5EF4-FFF2-40B4-BE49-F238E27FC236}">
                  <a16:creationId xmlns:a16="http://schemas.microsoft.com/office/drawing/2014/main" id="{00000000-0008-0000-0000-000064000000}"/>
                </a:ext>
              </a:extLst>
            </xdr:cNvPr>
            <xdr:cNvSpPr/>
          </xdr:nvSpPr>
          <xdr:spPr>
            <a:xfrm>
              <a:off x="3261473" y="79404882"/>
              <a:ext cx="500902" cy="382681"/>
            </a:xfrm>
            <a:prstGeom prst="rect">
              <a:avLst/>
            </a:prstGeom>
            <a:noFill/>
            <a:ln w="1905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xnSp macro="">
        <xdr:nvCxnSpPr>
          <xdr:cNvPr id="96" name="Straight Arrow Connector 95">
            <a:extLst>
              <a:ext uri="{FF2B5EF4-FFF2-40B4-BE49-F238E27FC236}">
                <a16:creationId xmlns:a16="http://schemas.microsoft.com/office/drawing/2014/main" id="{00000000-0008-0000-0000-000060000000}"/>
              </a:ext>
            </a:extLst>
          </xdr:cNvPr>
          <xdr:cNvCxnSpPr/>
        </xdr:nvCxnSpPr>
        <xdr:spPr>
          <a:xfrm>
            <a:off x="4005580" y="79901623"/>
            <a:ext cx="988833" cy="51422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7" name="Straight Arrow Connector 96">
            <a:extLst>
              <a:ext uri="{FF2B5EF4-FFF2-40B4-BE49-F238E27FC236}">
                <a16:creationId xmlns:a16="http://schemas.microsoft.com/office/drawing/2014/main" id="{00000000-0008-0000-0000-000061000000}"/>
              </a:ext>
            </a:extLst>
          </xdr:cNvPr>
          <xdr:cNvCxnSpPr/>
        </xdr:nvCxnSpPr>
        <xdr:spPr>
          <a:xfrm flipH="1" flipV="1">
            <a:off x="1873820" y="78010969"/>
            <a:ext cx="515469" cy="795128"/>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8" name="Straight Arrow Connector 97">
            <a:extLst>
              <a:ext uri="{FF2B5EF4-FFF2-40B4-BE49-F238E27FC236}">
                <a16:creationId xmlns:a16="http://schemas.microsoft.com/office/drawing/2014/main" id="{00000000-0008-0000-0000-000062000000}"/>
              </a:ext>
            </a:extLst>
          </xdr:cNvPr>
          <xdr:cNvCxnSpPr/>
        </xdr:nvCxnSpPr>
        <xdr:spPr>
          <a:xfrm flipH="1">
            <a:off x="3530344" y="77500784"/>
            <a:ext cx="428743" cy="510185"/>
          </a:xfrm>
          <a:prstGeom prst="straightConnector1">
            <a:avLst/>
          </a:prstGeom>
          <a:ln>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38100</xdr:colOff>
      <xdr:row>370</xdr:row>
      <xdr:rowOff>28575</xdr:rowOff>
    </xdr:from>
    <xdr:to>
      <xdr:col>9</xdr:col>
      <xdr:colOff>37425</xdr:colOff>
      <xdr:row>406</xdr:row>
      <xdr:rowOff>27675</xdr:rowOff>
    </xdr:to>
    <xdr:pic>
      <xdr:nvPicPr>
        <xdr:cNvPr id="128" name="Pictur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904875" y="82524600"/>
          <a:ext cx="5400000" cy="7200000"/>
        </a:xfrm>
        <a:prstGeom prst="rect">
          <a:avLst/>
        </a:prstGeom>
        <a:ln>
          <a:solidFill>
            <a:schemeClr val="tx1"/>
          </a:solidFill>
        </a:ln>
      </xdr:spPr>
    </xdr:pic>
    <xdr:clientData/>
  </xdr:twoCellAnchor>
  <xdr:oneCellAnchor>
    <xdr:from>
      <xdr:col>10</xdr:col>
      <xdr:colOff>685800</xdr:colOff>
      <xdr:row>327</xdr:row>
      <xdr:rowOff>171450</xdr:rowOff>
    </xdr:from>
    <xdr:ext cx="793422" cy="311496"/>
    <xdr:sp macro="" textlink="">
      <xdr:nvSpPr>
        <xdr:cNvPr id="2" name="TextBox 1"/>
        <xdr:cNvSpPr txBox="1"/>
      </xdr:nvSpPr>
      <xdr:spPr>
        <a:xfrm>
          <a:off x="8013700" y="64827150"/>
          <a:ext cx="79342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Phase III</a:t>
          </a:r>
        </a:p>
      </xdr:txBody>
    </xdr:sp>
    <xdr:clientData/>
  </xdr:oneCellAnchor>
  <xdr:twoCellAnchor>
    <xdr:from>
      <xdr:col>0</xdr:col>
      <xdr:colOff>412750</xdr:colOff>
      <xdr:row>323</xdr:row>
      <xdr:rowOff>152400</xdr:rowOff>
    </xdr:from>
    <xdr:to>
      <xdr:col>9</xdr:col>
      <xdr:colOff>244304</xdr:colOff>
      <xdr:row>363</xdr:row>
      <xdr:rowOff>110816</xdr:rowOff>
    </xdr:to>
    <xdr:grpSp>
      <xdr:nvGrpSpPr>
        <xdr:cNvPr id="4" name="Group 3"/>
        <xdr:cNvGrpSpPr/>
      </xdr:nvGrpSpPr>
      <xdr:grpSpPr>
        <a:xfrm>
          <a:off x="412750" y="64020700"/>
          <a:ext cx="6391104" cy="7832416"/>
          <a:chOff x="412750" y="64020700"/>
          <a:chExt cx="6391104" cy="7832416"/>
        </a:xfrm>
      </xdr:grpSpPr>
      <xdr:pic>
        <xdr:nvPicPr>
          <xdr:cNvPr id="63" name="Picture 6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185541" y="69693116"/>
            <a:ext cx="1618313"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425471" y="69693116"/>
            <a:ext cx="1625063" cy="216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569239" y="64020700"/>
            <a:ext cx="2049863" cy="273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725727" y="64020700"/>
            <a:ext cx="2049863" cy="273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12750" y="66856908"/>
            <a:ext cx="2049863" cy="273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569239" y="66856908"/>
            <a:ext cx="2049863" cy="273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12750" y="69693116"/>
            <a:ext cx="2877714"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725727" y="66856908"/>
            <a:ext cx="2049863" cy="2736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12751" y="64020700"/>
            <a:ext cx="2049863" cy="2736000"/>
          </a:xfrm>
          <a:prstGeom prst="rect">
            <a:avLst/>
          </a:prstGeom>
          <a:ln>
            <a:solidFill>
              <a:schemeClr val="tx1"/>
            </a:solidFill>
          </a:ln>
        </xdr:spPr>
      </xdr:pic>
      <xdr:sp macro="" textlink="">
        <xdr:nvSpPr>
          <xdr:cNvPr id="73" name="TextBox 72"/>
          <xdr:cNvSpPr txBox="1"/>
        </xdr:nvSpPr>
        <xdr:spPr>
          <a:xfrm>
            <a:off x="1041401" y="65868550"/>
            <a:ext cx="79342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Phase III</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38100</xdr:rowOff>
    </xdr:from>
    <xdr:to>
      <xdr:col>13</xdr:col>
      <xdr:colOff>214050</xdr:colOff>
      <xdr:row>19</xdr:row>
      <xdr:rowOff>18600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6450" y="38100"/>
          <a:ext cx="2576250" cy="3600000"/>
        </a:xfrm>
        <a:prstGeom prst="rect">
          <a:avLst/>
        </a:prstGeom>
      </xdr:spPr>
    </xdr:pic>
    <xdr:clientData/>
  </xdr:twoCellAnchor>
  <xdr:twoCellAnchor editAs="oneCell">
    <xdr:from>
      <xdr:col>14</xdr:col>
      <xdr:colOff>0</xdr:colOff>
      <xdr:row>0</xdr:row>
      <xdr:rowOff>0</xdr:rowOff>
    </xdr:from>
    <xdr:to>
      <xdr:col>18</xdr:col>
      <xdr:colOff>21831</xdr:colOff>
      <xdr:row>20</xdr:row>
      <xdr:rowOff>94800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858250" y="0"/>
          <a:ext cx="2460231" cy="3904800"/>
        </a:xfrm>
        <a:prstGeom prst="rect">
          <a:avLst/>
        </a:prstGeom>
      </xdr:spPr>
    </xdr:pic>
    <xdr:clientData/>
  </xdr:twoCellAnchor>
  <xdr:twoCellAnchor editAs="oneCell">
    <xdr:from>
      <xdr:col>18</xdr:col>
      <xdr:colOff>163412</xdr:colOff>
      <xdr:row>0</xdr:row>
      <xdr:rowOff>0</xdr:rowOff>
    </xdr:from>
    <xdr:to>
      <xdr:col>22</xdr:col>
      <xdr:colOff>273485</xdr:colOff>
      <xdr:row>20</xdr:row>
      <xdr:rowOff>94800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1460062" y="0"/>
          <a:ext cx="2548473" cy="390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zegGcAgvP5taX4X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0"/>
  <sheetViews>
    <sheetView tabSelected="1" view="pageBreakPreview" zoomScaleNormal="100" zoomScaleSheetLayoutView="100" zoomScalePageLayoutView="85" workbookViewId="0">
      <selection activeCell="F9" sqref="F9:J9"/>
    </sheetView>
  </sheetViews>
  <sheetFormatPr defaultRowHeight="15.5" x14ac:dyDescent="0.35"/>
  <cols>
    <col min="1" max="2" width="13" style="11" customWidth="1"/>
    <col min="3" max="3" width="14.54296875" style="11" customWidth="1"/>
    <col min="4" max="4" width="7.453125" style="11" customWidth="1"/>
    <col min="5" max="5" width="5.54296875" style="11" customWidth="1"/>
    <col min="6" max="6" width="9.81640625" style="11" customWidth="1"/>
    <col min="7" max="7" width="12.1796875" style="11" customWidth="1"/>
    <col min="8" max="8" width="9.81640625" style="11" customWidth="1"/>
    <col min="9" max="9" width="8.54296875" style="11" customWidth="1"/>
    <col min="10" max="10" width="11" style="11" customWidth="1"/>
    <col min="11" max="11" width="18.54296875" style="11" customWidth="1"/>
    <col min="12" max="256" width="9.1796875" style="11"/>
    <col min="257" max="257" width="8.54296875" style="11" customWidth="1"/>
    <col min="258" max="258" width="9.81640625" style="11" customWidth="1"/>
    <col min="259" max="259" width="14.453125" style="11" customWidth="1"/>
    <col min="260" max="260" width="7.453125" style="11" customWidth="1"/>
    <col min="261" max="261" width="5.54296875" style="11" customWidth="1"/>
    <col min="262" max="262" width="9" style="11" customWidth="1"/>
    <col min="263" max="264" width="9.81640625" style="11" customWidth="1"/>
    <col min="265" max="265" width="11.1796875" style="11" customWidth="1"/>
    <col min="266" max="266" width="2.81640625" style="11" customWidth="1"/>
    <col min="267" max="267" width="3.54296875" style="11" customWidth="1"/>
    <col min="268" max="512" width="9.1796875" style="11"/>
    <col min="513" max="513" width="8.54296875" style="11" customWidth="1"/>
    <col min="514" max="514" width="9.81640625" style="11" customWidth="1"/>
    <col min="515" max="515" width="14.453125" style="11" customWidth="1"/>
    <col min="516" max="516" width="7.453125" style="11" customWidth="1"/>
    <col min="517" max="517" width="5.54296875" style="11" customWidth="1"/>
    <col min="518" max="518" width="9" style="11" customWidth="1"/>
    <col min="519" max="520" width="9.81640625" style="11" customWidth="1"/>
    <col min="521" max="521" width="11.1796875" style="11" customWidth="1"/>
    <col min="522" max="522" width="2.81640625" style="11" customWidth="1"/>
    <col min="523" max="523" width="3.54296875" style="11" customWidth="1"/>
    <col min="524" max="768" width="9.1796875" style="11"/>
    <col min="769" max="769" width="8.54296875" style="11" customWidth="1"/>
    <col min="770" max="770" width="9.81640625" style="11" customWidth="1"/>
    <col min="771" max="771" width="14.453125" style="11" customWidth="1"/>
    <col min="772" max="772" width="7.453125" style="11" customWidth="1"/>
    <col min="773" max="773" width="5.54296875" style="11" customWidth="1"/>
    <col min="774" max="774" width="9" style="11" customWidth="1"/>
    <col min="775" max="776" width="9.81640625" style="11" customWidth="1"/>
    <col min="777" max="777" width="11.1796875" style="11" customWidth="1"/>
    <col min="778" max="778" width="2.81640625" style="11" customWidth="1"/>
    <col min="779" max="779" width="3.54296875" style="11" customWidth="1"/>
    <col min="780" max="1024" width="9.1796875" style="11"/>
    <col min="1025" max="1025" width="8.54296875" style="11" customWidth="1"/>
    <col min="1026" max="1026" width="9.81640625" style="11" customWidth="1"/>
    <col min="1027" max="1027" width="14.453125" style="11" customWidth="1"/>
    <col min="1028" max="1028" width="7.453125" style="11" customWidth="1"/>
    <col min="1029" max="1029" width="5.54296875" style="11" customWidth="1"/>
    <col min="1030" max="1030" width="9" style="11" customWidth="1"/>
    <col min="1031" max="1032" width="9.81640625" style="11" customWidth="1"/>
    <col min="1033" max="1033" width="11.1796875" style="11" customWidth="1"/>
    <col min="1034" max="1034" width="2.81640625" style="11" customWidth="1"/>
    <col min="1035" max="1035" width="3.54296875" style="11" customWidth="1"/>
    <col min="1036" max="1280" width="9.1796875" style="11"/>
    <col min="1281" max="1281" width="8.54296875" style="11" customWidth="1"/>
    <col min="1282" max="1282" width="9.81640625" style="11" customWidth="1"/>
    <col min="1283" max="1283" width="14.453125" style="11" customWidth="1"/>
    <col min="1284" max="1284" width="7.453125" style="11" customWidth="1"/>
    <col min="1285" max="1285" width="5.54296875" style="11" customWidth="1"/>
    <col min="1286" max="1286" width="9" style="11" customWidth="1"/>
    <col min="1287" max="1288" width="9.81640625" style="11" customWidth="1"/>
    <col min="1289" max="1289" width="11.1796875" style="11" customWidth="1"/>
    <col min="1290" max="1290" width="2.81640625" style="11" customWidth="1"/>
    <col min="1291" max="1291" width="3.54296875" style="11" customWidth="1"/>
    <col min="1292" max="1536" width="9.1796875" style="11"/>
    <col min="1537" max="1537" width="8.54296875" style="11" customWidth="1"/>
    <col min="1538" max="1538" width="9.81640625" style="11" customWidth="1"/>
    <col min="1539" max="1539" width="14.453125" style="11" customWidth="1"/>
    <col min="1540" max="1540" width="7.453125" style="11" customWidth="1"/>
    <col min="1541" max="1541" width="5.54296875" style="11" customWidth="1"/>
    <col min="1542" max="1542" width="9" style="11" customWidth="1"/>
    <col min="1543" max="1544" width="9.81640625" style="11" customWidth="1"/>
    <col min="1545" max="1545" width="11.1796875" style="11" customWidth="1"/>
    <col min="1546" max="1546" width="2.81640625" style="11" customWidth="1"/>
    <col min="1547" max="1547" width="3.54296875" style="11" customWidth="1"/>
    <col min="1548" max="1792" width="9.1796875" style="11"/>
    <col min="1793" max="1793" width="8.54296875" style="11" customWidth="1"/>
    <col min="1794" max="1794" width="9.81640625" style="11" customWidth="1"/>
    <col min="1795" max="1795" width="14.453125" style="11" customWidth="1"/>
    <col min="1796" max="1796" width="7.453125" style="11" customWidth="1"/>
    <col min="1797" max="1797" width="5.54296875" style="11" customWidth="1"/>
    <col min="1798" max="1798" width="9" style="11" customWidth="1"/>
    <col min="1799" max="1800" width="9.81640625" style="11" customWidth="1"/>
    <col min="1801" max="1801" width="11.1796875" style="11" customWidth="1"/>
    <col min="1802" max="1802" width="2.81640625" style="11" customWidth="1"/>
    <col min="1803" max="1803" width="3.54296875" style="11" customWidth="1"/>
    <col min="1804" max="2048" width="9.1796875" style="11"/>
    <col min="2049" max="2049" width="8.54296875" style="11" customWidth="1"/>
    <col min="2050" max="2050" width="9.81640625" style="11" customWidth="1"/>
    <col min="2051" max="2051" width="14.453125" style="11" customWidth="1"/>
    <col min="2052" max="2052" width="7.453125" style="11" customWidth="1"/>
    <col min="2053" max="2053" width="5.54296875" style="11" customWidth="1"/>
    <col min="2054" max="2054" width="9" style="11" customWidth="1"/>
    <col min="2055" max="2056" width="9.81640625" style="11" customWidth="1"/>
    <col min="2057" max="2057" width="11.1796875" style="11" customWidth="1"/>
    <col min="2058" max="2058" width="2.81640625" style="11" customWidth="1"/>
    <col min="2059" max="2059" width="3.54296875" style="11" customWidth="1"/>
    <col min="2060" max="2304" width="9.1796875" style="11"/>
    <col min="2305" max="2305" width="8.54296875" style="11" customWidth="1"/>
    <col min="2306" max="2306" width="9.81640625" style="11" customWidth="1"/>
    <col min="2307" max="2307" width="14.453125" style="11" customWidth="1"/>
    <col min="2308" max="2308" width="7.453125" style="11" customWidth="1"/>
    <col min="2309" max="2309" width="5.54296875" style="11" customWidth="1"/>
    <col min="2310" max="2310" width="9" style="11" customWidth="1"/>
    <col min="2311" max="2312" width="9.81640625" style="11" customWidth="1"/>
    <col min="2313" max="2313" width="11.1796875" style="11" customWidth="1"/>
    <col min="2314" max="2314" width="2.81640625" style="11" customWidth="1"/>
    <col min="2315" max="2315" width="3.54296875" style="11" customWidth="1"/>
    <col min="2316" max="2560" width="9.1796875" style="11"/>
    <col min="2561" max="2561" width="8.54296875" style="11" customWidth="1"/>
    <col min="2562" max="2562" width="9.81640625" style="11" customWidth="1"/>
    <col min="2563" max="2563" width="14.453125" style="11" customWidth="1"/>
    <col min="2564" max="2564" width="7.453125" style="11" customWidth="1"/>
    <col min="2565" max="2565" width="5.54296875" style="11" customWidth="1"/>
    <col min="2566" max="2566" width="9" style="11" customWidth="1"/>
    <col min="2567" max="2568" width="9.81640625" style="11" customWidth="1"/>
    <col min="2569" max="2569" width="11.1796875" style="11" customWidth="1"/>
    <col min="2570" max="2570" width="2.81640625" style="11" customWidth="1"/>
    <col min="2571" max="2571" width="3.54296875" style="11" customWidth="1"/>
    <col min="2572" max="2816" width="9.1796875" style="11"/>
    <col min="2817" max="2817" width="8.54296875" style="11" customWidth="1"/>
    <col min="2818" max="2818" width="9.81640625" style="11" customWidth="1"/>
    <col min="2819" max="2819" width="14.453125" style="11" customWidth="1"/>
    <col min="2820" max="2820" width="7.453125" style="11" customWidth="1"/>
    <col min="2821" max="2821" width="5.54296875" style="11" customWidth="1"/>
    <col min="2822" max="2822" width="9" style="11" customWidth="1"/>
    <col min="2823" max="2824" width="9.81640625" style="11" customWidth="1"/>
    <col min="2825" max="2825" width="11.1796875" style="11" customWidth="1"/>
    <col min="2826" max="2826" width="2.81640625" style="11" customWidth="1"/>
    <col min="2827" max="2827" width="3.54296875" style="11" customWidth="1"/>
    <col min="2828" max="3072" width="9.1796875" style="11"/>
    <col min="3073" max="3073" width="8.54296875" style="11" customWidth="1"/>
    <col min="3074" max="3074" width="9.81640625" style="11" customWidth="1"/>
    <col min="3075" max="3075" width="14.453125" style="11" customWidth="1"/>
    <col min="3076" max="3076" width="7.453125" style="11" customWidth="1"/>
    <col min="3077" max="3077" width="5.54296875" style="11" customWidth="1"/>
    <col min="3078" max="3078" width="9" style="11" customWidth="1"/>
    <col min="3079" max="3080" width="9.81640625" style="11" customWidth="1"/>
    <col min="3081" max="3081" width="11.1796875" style="11" customWidth="1"/>
    <col min="3082" max="3082" width="2.81640625" style="11" customWidth="1"/>
    <col min="3083" max="3083" width="3.54296875" style="11" customWidth="1"/>
    <col min="3084" max="3328" width="9.1796875" style="11"/>
    <col min="3329" max="3329" width="8.54296875" style="11" customWidth="1"/>
    <col min="3330" max="3330" width="9.81640625" style="11" customWidth="1"/>
    <col min="3331" max="3331" width="14.453125" style="11" customWidth="1"/>
    <col min="3332" max="3332" width="7.453125" style="11" customWidth="1"/>
    <col min="3333" max="3333" width="5.54296875" style="11" customWidth="1"/>
    <col min="3334" max="3334" width="9" style="11" customWidth="1"/>
    <col min="3335" max="3336" width="9.81640625" style="11" customWidth="1"/>
    <col min="3337" max="3337" width="11.1796875" style="11" customWidth="1"/>
    <col min="3338" max="3338" width="2.81640625" style="11" customWidth="1"/>
    <col min="3339" max="3339" width="3.54296875" style="11" customWidth="1"/>
    <col min="3340" max="3584" width="9.1796875" style="11"/>
    <col min="3585" max="3585" width="8.54296875" style="11" customWidth="1"/>
    <col min="3586" max="3586" width="9.81640625" style="11" customWidth="1"/>
    <col min="3587" max="3587" width="14.453125" style="11" customWidth="1"/>
    <col min="3588" max="3588" width="7.453125" style="11" customWidth="1"/>
    <col min="3589" max="3589" width="5.54296875" style="11" customWidth="1"/>
    <col min="3590" max="3590" width="9" style="11" customWidth="1"/>
    <col min="3591" max="3592" width="9.81640625" style="11" customWidth="1"/>
    <col min="3593" max="3593" width="11.1796875" style="11" customWidth="1"/>
    <col min="3594" max="3594" width="2.81640625" style="11" customWidth="1"/>
    <col min="3595" max="3595" width="3.54296875" style="11" customWidth="1"/>
    <col min="3596" max="3840" width="9.1796875" style="11"/>
    <col min="3841" max="3841" width="8.54296875" style="11" customWidth="1"/>
    <col min="3842" max="3842" width="9.81640625" style="11" customWidth="1"/>
    <col min="3843" max="3843" width="14.453125" style="11" customWidth="1"/>
    <col min="3844" max="3844" width="7.453125" style="11" customWidth="1"/>
    <col min="3845" max="3845" width="5.54296875" style="11" customWidth="1"/>
    <col min="3846" max="3846" width="9" style="11" customWidth="1"/>
    <col min="3847" max="3848" width="9.81640625" style="11" customWidth="1"/>
    <col min="3849" max="3849" width="11.1796875" style="11" customWidth="1"/>
    <col min="3850" max="3850" width="2.81640625" style="11" customWidth="1"/>
    <col min="3851" max="3851" width="3.54296875" style="11" customWidth="1"/>
    <col min="3852" max="4096" width="9.1796875" style="11"/>
    <col min="4097" max="4097" width="8.54296875" style="11" customWidth="1"/>
    <col min="4098" max="4098" width="9.81640625" style="11" customWidth="1"/>
    <col min="4099" max="4099" width="14.453125" style="11" customWidth="1"/>
    <col min="4100" max="4100" width="7.453125" style="11" customWidth="1"/>
    <col min="4101" max="4101" width="5.54296875" style="11" customWidth="1"/>
    <col min="4102" max="4102" width="9" style="11" customWidth="1"/>
    <col min="4103" max="4104" width="9.81640625" style="11" customWidth="1"/>
    <col min="4105" max="4105" width="11.1796875" style="11" customWidth="1"/>
    <col min="4106" max="4106" width="2.81640625" style="11" customWidth="1"/>
    <col min="4107" max="4107" width="3.54296875" style="11" customWidth="1"/>
    <col min="4108" max="4352" width="9.1796875" style="11"/>
    <col min="4353" max="4353" width="8.54296875" style="11" customWidth="1"/>
    <col min="4354" max="4354" width="9.81640625" style="11" customWidth="1"/>
    <col min="4355" max="4355" width="14.453125" style="11" customWidth="1"/>
    <col min="4356" max="4356" width="7.453125" style="11" customWidth="1"/>
    <col min="4357" max="4357" width="5.54296875" style="11" customWidth="1"/>
    <col min="4358" max="4358" width="9" style="11" customWidth="1"/>
    <col min="4359" max="4360" width="9.81640625" style="11" customWidth="1"/>
    <col min="4361" max="4361" width="11.1796875" style="11" customWidth="1"/>
    <col min="4362" max="4362" width="2.81640625" style="11" customWidth="1"/>
    <col min="4363" max="4363" width="3.54296875" style="11" customWidth="1"/>
    <col min="4364" max="4608" width="9.1796875" style="11"/>
    <col min="4609" max="4609" width="8.54296875" style="11" customWidth="1"/>
    <col min="4610" max="4610" width="9.81640625" style="11" customWidth="1"/>
    <col min="4611" max="4611" width="14.453125" style="11" customWidth="1"/>
    <col min="4612" max="4612" width="7.453125" style="11" customWidth="1"/>
    <col min="4613" max="4613" width="5.54296875" style="11" customWidth="1"/>
    <col min="4614" max="4614" width="9" style="11" customWidth="1"/>
    <col min="4615" max="4616" width="9.81640625" style="11" customWidth="1"/>
    <col min="4617" max="4617" width="11.1796875" style="11" customWidth="1"/>
    <col min="4618" max="4618" width="2.81640625" style="11" customWidth="1"/>
    <col min="4619" max="4619" width="3.54296875" style="11" customWidth="1"/>
    <col min="4620" max="4864" width="9.1796875" style="11"/>
    <col min="4865" max="4865" width="8.54296875" style="11" customWidth="1"/>
    <col min="4866" max="4866" width="9.81640625" style="11" customWidth="1"/>
    <col min="4867" max="4867" width="14.453125" style="11" customWidth="1"/>
    <col min="4868" max="4868" width="7.453125" style="11" customWidth="1"/>
    <col min="4869" max="4869" width="5.54296875" style="11" customWidth="1"/>
    <col min="4870" max="4870" width="9" style="11" customWidth="1"/>
    <col min="4871" max="4872" width="9.81640625" style="11" customWidth="1"/>
    <col min="4873" max="4873" width="11.1796875" style="11" customWidth="1"/>
    <col min="4874" max="4874" width="2.81640625" style="11" customWidth="1"/>
    <col min="4875" max="4875" width="3.54296875" style="11" customWidth="1"/>
    <col min="4876" max="5120" width="9.1796875" style="11"/>
    <col min="5121" max="5121" width="8.54296875" style="11" customWidth="1"/>
    <col min="5122" max="5122" width="9.81640625" style="11" customWidth="1"/>
    <col min="5123" max="5123" width="14.453125" style="11" customWidth="1"/>
    <col min="5124" max="5124" width="7.453125" style="11" customWidth="1"/>
    <col min="5125" max="5125" width="5.54296875" style="11" customWidth="1"/>
    <col min="5126" max="5126" width="9" style="11" customWidth="1"/>
    <col min="5127" max="5128" width="9.81640625" style="11" customWidth="1"/>
    <col min="5129" max="5129" width="11.1796875" style="11" customWidth="1"/>
    <col min="5130" max="5130" width="2.81640625" style="11" customWidth="1"/>
    <col min="5131" max="5131" width="3.54296875" style="11" customWidth="1"/>
    <col min="5132" max="5376" width="9.1796875" style="11"/>
    <col min="5377" max="5377" width="8.54296875" style="11" customWidth="1"/>
    <col min="5378" max="5378" width="9.81640625" style="11" customWidth="1"/>
    <col min="5379" max="5379" width="14.453125" style="11" customWidth="1"/>
    <col min="5380" max="5380" width="7.453125" style="11" customWidth="1"/>
    <col min="5381" max="5381" width="5.54296875" style="11" customWidth="1"/>
    <col min="5382" max="5382" width="9" style="11" customWidth="1"/>
    <col min="5383" max="5384" width="9.81640625" style="11" customWidth="1"/>
    <col min="5385" max="5385" width="11.1796875" style="11" customWidth="1"/>
    <col min="5386" max="5386" width="2.81640625" style="11" customWidth="1"/>
    <col min="5387" max="5387" width="3.54296875" style="11" customWidth="1"/>
    <col min="5388" max="5632" width="9.1796875" style="11"/>
    <col min="5633" max="5633" width="8.54296875" style="11" customWidth="1"/>
    <col min="5634" max="5634" width="9.81640625" style="11" customWidth="1"/>
    <col min="5635" max="5635" width="14.453125" style="11" customWidth="1"/>
    <col min="5636" max="5636" width="7.453125" style="11" customWidth="1"/>
    <col min="5637" max="5637" width="5.54296875" style="11" customWidth="1"/>
    <col min="5638" max="5638" width="9" style="11" customWidth="1"/>
    <col min="5639" max="5640" width="9.81640625" style="11" customWidth="1"/>
    <col min="5641" max="5641" width="11.1796875" style="11" customWidth="1"/>
    <col min="5642" max="5642" width="2.81640625" style="11" customWidth="1"/>
    <col min="5643" max="5643" width="3.54296875" style="11" customWidth="1"/>
    <col min="5644" max="5888" width="9.1796875" style="11"/>
    <col min="5889" max="5889" width="8.54296875" style="11" customWidth="1"/>
    <col min="5890" max="5890" width="9.81640625" style="11" customWidth="1"/>
    <col min="5891" max="5891" width="14.453125" style="11" customWidth="1"/>
    <col min="5892" max="5892" width="7.453125" style="11" customWidth="1"/>
    <col min="5893" max="5893" width="5.54296875" style="11" customWidth="1"/>
    <col min="5894" max="5894" width="9" style="11" customWidth="1"/>
    <col min="5895" max="5896" width="9.81640625" style="11" customWidth="1"/>
    <col min="5897" max="5897" width="11.1796875" style="11" customWidth="1"/>
    <col min="5898" max="5898" width="2.81640625" style="11" customWidth="1"/>
    <col min="5899" max="5899" width="3.54296875" style="11" customWidth="1"/>
    <col min="5900" max="6144" width="9.1796875" style="11"/>
    <col min="6145" max="6145" width="8.54296875" style="11" customWidth="1"/>
    <col min="6146" max="6146" width="9.81640625" style="11" customWidth="1"/>
    <col min="6147" max="6147" width="14.453125" style="11" customWidth="1"/>
    <col min="6148" max="6148" width="7.453125" style="11" customWidth="1"/>
    <col min="6149" max="6149" width="5.54296875" style="11" customWidth="1"/>
    <col min="6150" max="6150" width="9" style="11" customWidth="1"/>
    <col min="6151" max="6152" width="9.81640625" style="11" customWidth="1"/>
    <col min="6153" max="6153" width="11.1796875" style="11" customWidth="1"/>
    <col min="6154" max="6154" width="2.81640625" style="11" customWidth="1"/>
    <col min="6155" max="6155" width="3.54296875" style="11" customWidth="1"/>
    <col min="6156" max="6400" width="9.1796875" style="11"/>
    <col min="6401" max="6401" width="8.54296875" style="11" customWidth="1"/>
    <col min="6402" max="6402" width="9.81640625" style="11" customWidth="1"/>
    <col min="6403" max="6403" width="14.453125" style="11" customWidth="1"/>
    <col min="6404" max="6404" width="7.453125" style="11" customWidth="1"/>
    <col min="6405" max="6405" width="5.54296875" style="11" customWidth="1"/>
    <col min="6406" max="6406" width="9" style="11" customWidth="1"/>
    <col min="6407" max="6408" width="9.81640625" style="11" customWidth="1"/>
    <col min="6409" max="6409" width="11.1796875" style="11" customWidth="1"/>
    <col min="6410" max="6410" width="2.81640625" style="11" customWidth="1"/>
    <col min="6411" max="6411" width="3.54296875" style="11" customWidth="1"/>
    <col min="6412" max="6656" width="9.1796875" style="11"/>
    <col min="6657" max="6657" width="8.54296875" style="11" customWidth="1"/>
    <col min="6658" max="6658" width="9.81640625" style="11" customWidth="1"/>
    <col min="6659" max="6659" width="14.453125" style="11" customWidth="1"/>
    <col min="6660" max="6660" width="7.453125" style="11" customWidth="1"/>
    <col min="6661" max="6661" width="5.54296875" style="11" customWidth="1"/>
    <col min="6662" max="6662" width="9" style="11" customWidth="1"/>
    <col min="6663" max="6664" width="9.81640625" style="11" customWidth="1"/>
    <col min="6665" max="6665" width="11.1796875" style="11" customWidth="1"/>
    <col min="6666" max="6666" width="2.81640625" style="11" customWidth="1"/>
    <col min="6667" max="6667" width="3.54296875" style="11" customWidth="1"/>
    <col min="6668" max="6912" width="9.1796875" style="11"/>
    <col min="6913" max="6913" width="8.54296875" style="11" customWidth="1"/>
    <col min="6914" max="6914" width="9.81640625" style="11" customWidth="1"/>
    <col min="6915" max="6915" width="14.453125" style="11" customWidth="1"/>
    <col min="6916" max="6916" width="7.453125" style="11" customWidth="1"/>
    <col min="6917" max="6917" width="5.54296875" style="11" customWidth="1"/>
    <col min="6918" max="6918" width="9" style="11" customWidth="1"/>
    <col min="6919" max="6920" width="9.81640625" style="11" customWidth="1"/>
    <col min="6921" max="6921" width="11.1796875" style="11" customWidth="1"/>
    <col min="6922" max="6922" width="2.81640625" style="11" customWidth="1"/>
    <col min="6923" max="6923" width="3.54296875" style="11" customWidth="1"/>
    <col min="6924" max="7168" width="9.1796875" style="11"/>
    <col min="7169" max="7169" width="8.54296875" style="11" customWidth="1"/>
    <col min="7170" max="7170" width="9.81640625" style="11" customWidth="1"/>
    <col min="7171" max="7171" width="14.453125" style="11" customWidth="1"/>
    <col min="7172" max="7172" width="7.453125" style="11" customWidth="1"/>
    <col min="7173" max="7173" width="5.54296875" style="11" customWidth="1"/>
    <col min="7174" max="7174" width="9" style="11" customWidth="1"/>
    <col min="7175" max="7176" width="9.81640625" style="11" customWidth="1"/>
    <col min="7177" max="7177" width="11.1796875" style="11" customWidth="1"/>
    <col min="7178" max="7178" width="2.81640625" style="11" customWidth="1"/>
    <col min="7179" max="7179" width="3.54296875" style="11" customWidth="1"/>
    <col min="7180" max="7424" width="9.1796875" style="11"/>
    <col min="7425" max="7425" width="8.54296875" style="11" customWidth="1"/>
    <col min="7426" max="7426" width="9.81640625" style="11" customWidth="1"/>
    <col min="7427" max="7427" width="14.453125" style="11" customWidth="1"/>
    <col min="7428" max="7428" width="7.453125" style="11" customWidth="1"/>
    <col min="7429" max="7429" width="5.54296875" style="11" customWidth="1"/>
    <col min="7430" max="7430" width="9" style="11" customWidth="1"/>
    <col min="7431" max="7432" width="9.81640625" style="11" customWidth="1"/>
    <col min="7433" max="7433" width="11.1796875" style="11" customWidth="1"/>
    <col min="7434" max="7434" width="2.81640625" style="11" customWidth="1"/>
    <col min="7435" max="7435" width="3.54296875" style="11" customWidth="1"/>
    <col min="7436" max="7680" width="9.1796875" style="11"/>
    <col min="7681" max="7681" width="8.54296875" style="11" customWidth="1"/>
    <col min="7682" max="7682" width="9.81640625" style="11" customWidth="1"/>
    <col min="7683" max="7683" width="14.453125" style="11" customWidth="1"/>
    <col min="7684" max="7684" width="7.453125" style="11" customWidth="1"/>
    <col min="7685" max="7685" width="5.54296875" style="11" customWidth="1"/>
    <col min="7686" max="7686" width="9" style="11" customWidth="1"/>
    <col min="7687" max="7688" width="9.81640625" style="11" customWidth="1"/>
    <col min="7689" max="7689" width="11.1796875" style="11" customWidth="1"/>
    <col min="7690" max="7690" width="2.81640625" style="11" customWidth="1"/>
    <col min="7691" max="7691" width="3.54296875" style="11" customWidth="1"/>
    <col min="7692" max="7936" width="9.1796875" style="11"/>
    <col min="7937" max="7937" width="8.54296875" style="11" customWidth="1"/>
    <col min="7938" max="7938" width="9.81640625" style="11" customWidth="1"/>
    <col min="7939" max="7939" width="14.453125" style="11" customWidth="1"/>
    <col min="7940" max="7940" width="7.453125" style="11" customWidth="1"/>
    <col min="7941" max="7941" width="5.54296875" style="11" customWidth="1"/>
    <col min="7942" max="7942" width="9" style="11" customWidth="1"/>
    <col min="7943" max="7944" width="9.81640625" style="11" customWidth="1"/>
    <col min="7945" max="7945" width="11.1796875" style="11" customWidth="1"/>
    <col min="7946" max="7946" width="2.81640625" style="11" customWidth="1"/>
    <col min="7947" max="7947" width="3.54296875" style="11" customWidth="1"/>
    <col min="7948" max="8192" width="9.1796875" style="11"/>
    <col min="8193" max="8193" width="8.54296875" style="11" customWidth="1"/>
    <col min="8194" max="8194" width="9.81640625" style="11" customWidth="1"/>
    <col min="8195" max="8195" width="14.453125" style="11" customWidth="1"/>
    <col min="8196" max="8196" width="7.453125" style="11" customWidth="1"/>
    <col min="8197" max="8197" width="5.54296875" style="11" customWidth="1"/>
    <col min="8198" max="8198" width="9" style="11" customWidth="1"/>
    <col min="8199" max="8200" width="9.81640625" style="11" customWidth="1"/>
    <col min="8201" max="8201" width="11.1796875" style="11" customWidth="1"/>
    <col min="8202" max="8202" width="2.81640625" style="11" customWidth="1"/>
    <col min="8203" max="8203" width="3.54296875" style="11" customWidth="1"/>
    <col min="8204" max="8448" width="9.1796875" style="11"/>
    <col min="8449" max="8449" width="8.54296875" style="11" customWidth="1"/>
    <col min="8450" max="8450" width="9.81640625" style="11" customWidth="1"/>
    <col min="8451" max="8451" width="14.453125" style="11" customWidth="1"/>
    <col min="8452" max="8452" width="7.453125" style="11" customWidth="1"/>
    <col min="8453" max="8453" width="5.54296875" style="11" customWidth="1"/>
    <col min="8454" max="8454" width="9" style="11" customWidth="1"/>
    <col min="8455" max="8456" width="9.81640625" style="11" customWidth="1"/>
    <col min="8457" max="8457" width="11.1796875" style="11" customWidth="1"/>
    <col min="8458" max="8458" width="2.81640625" style="11" customWidth="1"/>
    <col min="8459" max="8459" width="3.54296875" style="11" customWidth="1"/>
    <col min="8460" max="8704" width="9.1796875" style="11"/>
    <col min="8705" max="8705" width="8.54296875" style="11" customWidth="1"/>
    <col min="8706" max="8706" width="9.81640625" style="11" customWidth="1"/>
    <col min="8707" max="8707" width="14.453125" style="11" customWidth="1"/>
    <col min="8708" max="8708" width="7.453125" style="11" customWidth="1"/>
    <col min="8709" max="8709" width="5.54296875" style="11" customWidth="1"/>
    <col min="8710" max="8710" width="9" style="11" customWidth="1"/>
    <col min="8711" max="8712" width="9.81640625" style="11" customWidth="1"/>
    <col min="8713" max="8713" width="11.1796875" style="11" customWidth="1"/>
    <col min="8714" max="8714" width="2.81640625" style="11" customWidth="1"/>
    <col min="8715" max="8715" width="3.54296875" style="11" customWidth="1"/>
    <col min="8716" max="8960" width="9.1796875" style="11"/>
    <col min="8961" max="8961" width="8.54296875" style="11" customWidth="1"/>
    <col min="8962" max="8962" width="9.81640625" style="11" customWidth="1"/>
    <col min="8963" max="8963" width="14.453125" style="11" customWidth="1"/>
    <col min="8964" max="8964" width="7.453125" style="11" customWidth="1"/>
    <col min="8965" max="8965" width="5.54296875" style="11" customWidth="1"/>
    <col min="8966" max="8966" width="9" style="11" customWidth="1"/>
    <col min="8967" max="8968" width="9.81640625" style="11" customWidth="1"/>
    <col min="8969" max="8969" width="11.1796875" style="11" customWidth="1"/>
    <col min="8970" max="8970" width="2.81640625" style="11" customWidth="1"/>
    <col min="8971" max="8971" width="3.54296875" style="11" customWidth="1"/>
    <col min="8972" max="9216" width="9.1796875" style="11"/>
    <col min="9217" max="9217" width="8.54296875" style="11" customWidth="1"/>
    <col min="9218" max="9218" width="9.81640625" style="11" customWidth="1"/>
    <col min="9219" max="9219" width="14.453125" style="11" customWidth="1"/>
    <col min="9220" max="9220" width="7.453125" style="11" customWidth="1"/>
    <col min="9221" max="9221" width="5.54296875" style="11" customWidth="1"/>
    <col min="9222" max="9222" width="9" style="11" customWidth="1"/>
    <col min="9223" max="9224" width="9.81640625" style="11" customWidth="1"/>
    <col min="9225" max="9225" width="11.1796875" style="11" customWidth="1"/>
    <col min="9226" max="9226" width="2.81640625" style="11" customWidth="1"/>
    <col min="9227" max="9227" width="3.54296875" style="11" customWidth="1"/>
    <col min="9228" max="9472" width="9.1796875" style="11"/>
    <col min="9473" max="9473" width="8.54296875" style="11" customWidth="1"/>
    <col min="9474" max="9474" width="9.81640625" style="11" customWidth="1"/>
    <col min="9475" max="9475" width="14.453125" style="11" customWidth="1"/>
    <col min="9476" max="9476" width="7.453125" style="11" customWidth="1"/>
    <col min="9477" max="9477" width="5.54296875" style="11" customWidth="1"/>
    <col min="9478" max="9478" width="9" style="11" customWidth="1"/>
    <col min="9479" max="9480" width="9.81640625" style="11" customWidth="1"/>
    <col min="9481" max="9481" width="11.1796875" style="11" customWidth="1"/>
    <col min="9482" max="9482" width="2.81640625" style="11" customWidth="1"/>
    <col min="9483" max="9483" width="3.54296875" style="11" customWidth="1"/>
    <col min="9484" max="9728" width="9.1796875" style="11"/>
    <col min="9729" max="9729" width="8.54296875" style="11" customWidth="1"/>
    <col min="9730" max="9730" width="9.81640625" style="11" customWidth="1"/>
    <col min="9731" max="9731" width="14.453125" style="11" customWidth="1"/>
    <col min="9732" max="9732" width="7.453125" style="11" customWidth="1"/>
    <col min="9733" max="9733" width="5.54296875" style="11" customWidth="1"/>
    <col min="9734" max="9734" width="9" style="11" customWidth="1"/>
    <col min="9735" max="9736" width="9.81640625" style="11" customWidth="1"/>
    <col min="9737" max="9737" width="11.1796875" style="11" customWidth="1"/>
    <col min="9738" max="9738" width="2.81640625" style="11" customWidth="1"/>
    <col min="9739" max="9739" width="3.54296875" style="11" customWidth="1"/>
    <col min="9740" max="9984" width="9.1796875" style="11"/>
    <col min="9985" max="9985" width="8.54296875" style="11" customWidth="1"/>
    <col min="9986" max="9986" width="9.81640625" style="11" customWidth="1"/>
    <col min="9987" max="9987" width="14.453125" style="11" customWidth="1"/>
    <col min="9988" max="9988" width="7.453125" style="11" customWidth="1"/>
    <col min="9989" max="9989" width="5.54296875" style="11" customWidth="1"/>
    <col min="9990" max="9990" width="9" style="11" customWidth="1"/>
    <col min="9991" max="9992" width="9.81640625" style="11" customWidth="1"/>
    <col min="9993" max="9993" width="11.1796875" style="11" customWidth="1"/>
    <col min="9994" max="9994" width="2.81640625" style="11" customWidth="1"/>
    <col min="9995" max="9995" width="3.54296875" style="11" customWidth="1"/>
    <col min="9996" max="10240" width="9.1796875" style="11"/>
    <col min="10241" max="10241" width="8.54296875" style="11" customWidth="1"/>
    <col min="10242" max="10242" width="9.81640625" style="11" customWidth="1"/>
    <col min="10243" max="10243" width="14.453125" style="11" customWidth="1"/>
    <col min="10244" max="10244" width="7.453125" style="11" customWidth="1"/>
    <col min="10245" max="10245" width="5.54296875" style="11" customWidth="1"/>
    <col min="10246" max="10246" width="9" style="11" customWidth="1"/>
    <col min="10247" max="10248" width="9.81640625" style="11" customWidth="1"/>
    <col min="10249" max="10249" width="11.1796875" style="11" customWidth="1"/>
    <col min="10250" max="10250" width="2.81640625" style="11" customWidth="1"/>
    <col min="10251" max="10251" width="3.54296875" style="11" customWidth="1"/>
    <col min="10252" max="10496" width="9.1796875" style="11"/>
    <col min="10497" max="10497" width="8.54296875" style="11" customWidth="1"/>
    <col min="10498" max="10498" width="9.81640625" style="11" customWidth="1"/>
    <col min="10499" max="10499" width="14.453125" style="11" customWidth="1"/>
    <col min="10500" max="10500" width="7.453125" style="11" customWidth="1"/>
    <col min="10501" max="10501" width="5.54296875" style="11" customWidth="1"/>
    <col min="10502" max="10502" width="9" style="11" customWidth="1"/>
    <col min="10503" max="10504" width="9.81640625" style="11" customWidth="1"/>
    <col min="10505" max="10505" width="11.1796875" style="11" customWidth="1"/>
    <col min="10506" max="10506" width="2.81640625" style="11" customWidth="1"/>
    <col min="10507" max="10507" width="3.54296875" style="11" customWidth="1"/>
    <col min="10508" max="10752" width="9.1796875" style="11"/>
    <col min="10753" max="10753" width="8.54296875" style="11" customWidth="1"/>
    <col min="10754" max="10754" width="9.81640625" style="11" customWidth="1"/>
    <col min="10755" max="10755" width="14.453125" style="11" customWidth="1"/>
    <col min="10756" max="10756" width="7.453125" style="11" customWidth="1"/>
    <col min="10757" max="10757" width="5.54296875" style="11" customWidth="1"/>
    <col min="10758" max="10758" width="9" style="11" customWidth="1"/>
    <col min="10759" max="10760" width="9.81640625" style="11" customWidth="1"/>
    <col min="10761" max="10761" width="11.1796875" style="11" customWidth="1"/>
    <col min="10762" max="10762" width="2.81640625" style="11" customWidth="1"/>
    <col min="10763" max="10763" width="3.54296875" style="11" customWidth="1"/>
    <col min="10764" max="11008" width="9.1796875" style="11"/>
    <col min="11009" max="11009" width="8.54296875" style="11" customWidth="1"/>
    <col min="11010" max="11010" width="9.81640625" style="11" customWidth="1"/>
    <col min="11011" max="11011" width="14.453125" style="11" customWidth="1"/>
    <col min="11012" max="11012" width="7.453125" style="11" customWidth="1"/>
    <col min="11013" max="11013" width="5.54296875" style="11" customWidth="1"/>
    <col min="11014" max="11014" width="9" style="11" customWidth="1"/>
    <col min="11015" max="11016" width="9.81640625" style="11" customWidth="1"/>
    <col min="11017" max="11017" width="11.1796875" style="11" customWidth="1"/>
    <col min="11018" max="11018" width="2.81640625" style="11" customWidth="1"/>
    <col min="11019" max="11019" width="3.54296875" style="11" customWidth="1"/>
    <col min="11020" max="11264" width="9.1796875" style="11"/>
    <col min="11265" max="11265" width="8.54296875" style="11" customWidth="1"/>
    <col min="11266" max="11266" width="9.81640625" style="11" customWidth="1"/>
    <col min="11267" max="11267" width="14.453125" style="11" customWidth="1"/>
    <col min="11268" max="11268" width="7.453125" style="11" customWidth="1"/>
    <col min="11269" max="11269" width="5.54296875" style="11" customWidth="1"/>
    <col min="11270" max="11270" width="9" style="11" customWidth="1"/>
    <col min="11271" max="11272" width="9.81640625" style="11" customWidth="1"/>
    <col min="11273" max="11273" width="11.1796875" style="11" customWidth="1"/>
    <col min="11274" max="11274" width="2.81640625" style="11" customWidth="1"/>
    <col min="11275" max="11275" width="3.54296875" style="11" customWidth="1"/>
    <col min="11276" max="11520" width="9.1796875" style="11"/>
    <col min="11521" max="11521" width="8.54296875" style="11" customWidth="1"/>
    <col min="11522" max="11522" width="9.81640625" style="11" customWidth="1"/>
    <col min="11523" max="11523" width="14.453125" style="11" customWidth="1"/>
    <col min="11524" max="11524" width="7.453125" style="11" customWidth="1"/>
    <col min="11525" max="11525" width="5.54296875" style="11" customWidth="1"/>
    <col min="11526" max="11526" width="9" style="11" customWidth="1"/>
    <col min="11527" max="11528" width="9.81640625" style="11" customWidth="1"/>
    <col min="11529" max="11529" width="11.1796875" style="11" customWidth="1"/>
    <col min="11530" max="11530" width="2.81640625" style="11" customWidth="1"/>
    <col min="11531" max="11531" width="3.54296875" style="11" customWidth="1"/>
    <col min="11532" max="11776" width="9.1796875" style="11"/>
    <col min="11777" max="11777" width="8.54296875" style="11" customWidth="1"/>
    <col min="11778" max="11778" width="9.81640625" style="11" customWidth="1"/>
    <col min="11779" max="11779" width="14.453125" style="11" customWidth="1"/>
    <col min="11780" max="11780" width="7.453125" style="11" customWidth="1"/>
    <col min="11781" max="11781" width="5.54296875" style="11" customWidth="1"/>
    <col min="11782" max="11782" width="9" style="11" customWidth="1"/>
    <col min="11783" max="11784" width="9.81640625" style="11" customWidth="1"/>
    <col min="11785" max="11785" width="11.1796875" style="11" customWidth="1"/>
    <col min="11786" max="11786" width="2.81640625" style="11" customWidth="1"/>
    <col min="11787" max="11787" width="3.54296875" style="11" customWidth="1"/>
    <col min="11788" max="12032" width="9.1796875" style="11"/>
    <col min="12033" max="12033" width="8.54296875" style="11" customWidth="1"/>
    <col min="12034" max="12034" width="9.81640625" style="11" customWidth="1"/>
    <col min="12035" max="12035" width="14.453125" style="11" customWidth="1"/>
    <col min="12036" max="12036" width="7.453125" style="11" customWidth="1"/>
    <col min="12037" max="12037" width="5.54296875" style="11" customWidth="1"/>
    <col min="12038" max="12038" width="9" style="11" customWidth="1"/>
    <col min="12039" max="12040" width="9.81640625" style="11" customWidth="1"/>
    <col min="12041" max="12041" width="11.1796875" style="11" customWidth="1"/>
    <col min="12042" max="12042" width="2.81640625" style="11" customWidth="1"/>
    <col min="12043" max="12043" width="3.54296875" style="11" customWidth="1"/>
    <col min="12044" max="12288" width="9.1796875" style="11"/>
    <col min="12289" max="12289" width="8.54296875" style="11" customWidth="1"/>
    <col min="12290" max="12290" width="9.81640625" style="11" customWidth="1"/>
    <col min="12291" max="12291" width="14.453125" style="11" customWidth="1"/>
    <col min="12292" max="12292" width="7.453125" style="11" customWidth="1"/>
    <col min="12293" max="12293" width="5.54296875" style="11" customWidth="1"/>
    <col min="12294" max="12294" width="9" style="11" customWidth="1"/>
    <col min="12295" max="12296" width="9.81640625" style="11" customWidth="1"/>
    <col min="12297" max="12297" width="11.1796875" style="11" customWidth="1"/>
    <col min="12298" max="12298" width="2.81640625" style="11" customWidth="1"/>
    <col min="12299" max="12299" width="3.54296875" style="11" customWidth="1"/>
    <col min="12300" max="12544" width="9.1796875" style="11"/>
    <col min="12545" max="12545" width="8.54296875" style="11" customWidth="1"/>
    <col min="12546" max="12546" width="9.81640625" style="11" customWidth="1"/>
    <col min="12547" max="12547" width="14.453125" style="11" customWidth="1"/>
    <col min="12548" max="12548" width="7.453125" style="11" customWidth="1"/>
    <col min="12549" max="12549" width="5.54296875" style="11" customWidth="1"/>
    <col min="12550" max="12550" width="9" style="11" customWidth="1"/>
    <col min="12551" max="12552" width="9.81640625" style="11" customWidth="1"/>
    <col min="12553" max="12553" width="11.1796875" style="11" customWidth="1"/>
    <col min="12554" max="12554" width="2.81640625" style="11" customWidth="1"/>
    <col min="12555" max="12555" width="3.54296875" style="11" customWidth="1"/>
    <col min="12556" max="12800" width="9.1796875" style="11"/>
    <col min="12801" max="12801" width="8.54296875" style="11" customWidth="1"/>
    <col min="12802" max="12802" width="9.81640625" style="11" customWidth="1"/>
    <col min="12803" max="12803" width="14.453125" style="11" customWidth="1"/>
    <col min="12804" max="12804" width="7.453125" style="11" customWidth="1"/>
    <col min="12805" max="12805" width="5.54296875" style="11" customWidth="1"/>
    <col min="12806" max="12806" width="9" style="11" customWidth="1"/>
    <col min="12807" max="12808" width="9.81640625" style="11" customWidth="1"/>
    <col min="12809" max="12809" width="11.1796875" style="11" customWidth="1"/>
    <col min="12810" max="12810" width="2.81640625" style="11" customWidth="1"/>
    <col min="12811" max="12811" width="3.54296875" style="11" customWidth="1"/>
    <col min="12812" max="13056" width="9.1796875" style="11"/>
    <col min="13057" max="13057" width="8.54296875" style="11" customWidth="1"/>
    <col min="13058" max="13058" width="9.81640625" style="11" customWidth="1"/>
    <col min="13059" max="13059" width="14.453125" style="11" customWidth="1"/>
    <col min="13060" max="13060" width="7.453125" style="11" customWidth="1"/>
    <col min="13061" max="13061" width="5.54296875" style="11" customWidth="1"/>
    <col min="13062" max="13062" width="9" style="11" customWidth="1"/>
    <col min="13063" max="13064" width="9.81640625" style="11" customWidth="1"/>
    <col min="13065" max="13065" width="11.1796875" style="11" customWidth="1"/>
    <col min="13066" max="13066" width="2.81640625" style="11" customWidth="1"/>
    <col min="13067" max="13067" width="3.54296875" style="11" customWidth="1"/>
    <col min="13068" max="13312" width="9.1796875" style="11"/>
    <col min="13313" max="13313" width="8.54296875" style="11" customWidth="1"/>
    <col min="13314" max="13314" width="9.81640625" style="11" customWidth="1"/>
    <col min="13315" max="13315" width="14.453125" style="11" customWidth="1"/>
    <col min="13316" max="13316" width="7.453125" style="11" customWidth="1"/>
    <col min="13317" max="13317" width="5.54296875" style="11" customWidth="1"/>
    <col min="13318" max="13318" width="9" style="11" customWidth="1"/>
    <col min="13319" max="13320" width="9.81640625" style="11" customWidth="1"/>
    <col min="13321" max="13321" width="11.1796875" style="11" customWidth="1"/>
    <col min="13322" max="13322" width="2.81640625" style="11" customWidth="1"/>
    <col min="13323" max="13323" width="3.54296875" style="11" customWidth="1"/>
    <col min="13324" max="13568" width="9.1796875" style="11"/>
    <col min="13569" max="13569" width="8.54296875" style="11" customWidth="1"/>
    <col min="13570" max="13570" width="9.81640625" style="11" customWidth="1"/>
    <col min="13571" max="13571" width="14.453125" style="11" customWidth="1"/>
    <col min="13572" max="13572" width="7.453125" style="11" customWidth="1"/>
    <col min="13573" max="13573" width="5.54296875" style="11" customWidth="1"/>
    <col min="13574" max="13574" width="9" style="11" customWidth="1"/>
    <col min="13575" max="13576" width="9.81640625" style="11" customWidth="1"/>
    <col min="13577" max="13577" width="11.1796875" style="11" customWidth="1"/>
    <col min="13578" max="13578" width="2.81640625" style="11" customWidth="1"/>
    <col min="13579" max="13579" width="3.54296875" style="11" customWidth="1"/>
    <col min="13580" max="13824" width="9.1796875" style="11"/>
    <col min="13825" max="13825" width="8.54296875" style="11" customWidth="1"/>
    <col min="13826" max="13826" width="9.81640625" style="11" customWidth="1"/>
    <col min="13827" max="13827" width="14.453125" style="11" customWidth="1"/>
    <col min="13828" max="13828" width="7.453125" style="11" customWidth="1"/>
    <col min="13829" max="13829" width="5.54296875" style="11" customWidth="1"/>
    <col min="13830" max="13830" width="9" style="11" customWidth="1"/>
    <col min="13831" max="13832" width="9.81640625" style="11" customWidth="1"/>
    <col min="13833" max="13833" width="11.1796875" style="11" customWidth="1"/>
    <col min="13834" max="13834" width="2.81640625" style="11" customWidth="1"/>
    <col min="13835" max="13835" width="3.54296875" style="11" customWidth="1"/>
    <col min="13836" max="14080" width="9.1796875" style="11"/>
    <col min="14081" max="14081" width="8.54296875" style="11" customWidth="1"/>
    <col min="14082" max="14082" width="9.81640625" style="11" customWidth="1"/>
    <col min="14083" max="14083" width="14.453125" style="11" customWidth="1"/>
    <col min="14084" max="14084" width="7.453125" style="11" customWidth="1"/>
    <col min="14085" max="14085" width="5.54296875" style="11" customWidth="1"/>
    <col min="14086" max="14086" width="9" style="11" customWidth="1"/>
    <col min="14087" max="14088" width="9.81640625" style="11" customWidth="1"/>
    <col min="14089" max="14089" width="11.1796875" style="11" customWidth="1"/>
    <col min="14090" max="14090" width="2.81640625" style="11" customWidth="1"/>
    <col min="14091" max="14091" width="3.54296875" style="11" customWidth="1"/>
    <col min="14092" max="14336" width="9.1796875" style="11"/>
    <col min="14337" max="14337" width="8.54296875" style="11" customWidth="1"/>
    <col min="14338" max="14338" width="9.81640625" style="11" customWidth="1"/>
    <col min="14339" max="14339" width="14.453125" style="11" customWidth="1"/>
    <col min="14340" max="14340" width="7.453125" style="11" customWidth="1"/>
    <col min="14341" max="14341" width="5.54296875" style="11" customWidth="1"/>
    <col min="14342" max="14342" width="9" style="11" customWidth="1"/>
    <col min="14343" max="14344" width="9.81640625" style="11" customWidth="1"/>
    <col min="14345" max="14345" width="11.1796875" style="11" customWidth="1"/>
    <col min="14346" max="14346" width="2.81640625" style="11" customWidth="1"/>
    <col min="14347" max="14347" width="3.54296875" style="11" customWidth="1"/>
    <col min="14348" max="14592" width="9.1796875" style="11"/>
    <col min="14593" max="14593" width="8.54296875" style="11" customWidth="1"/>
    <col min="14594" max="14594" width="9.81640625" style="11" customWidth="1"/>
    <col min="14595" max="14595" width="14.453125" style="11" customWidth="1"/>
    <col min="14596" max="14596" width="7.453125" style="11" customWidth="1"/>
    <col min="14597" max="14597" width="5.54296875" style="11" customWidth="1"/>
    <col min="14598" max="14598" width="9" style="11" customWidth="1"/>
    <col min="14599" max="14600" width="9.81640625" style="11" customWidth="1"/>
    <col min="14601" max="14601" width="11.1796875" style="11" customWidth="1"/>
    <col min="14602" max="14602" width="2.81640625" style="11" customWidth="1"/>
    <col min="14603" max="14603" width="3.54296875" style="11" customWidth="1"/>
    <col min="14604" max="14848" width="9.1796875" style="11"/>
    <col min="14849" max="14849" width="8.54296875" style="11" customWidth="1"/>
    <col min="14850" max="14850" width="9.81640625" style="11" customWidth="1"/>
    <col min="14851" max="14851" width="14.453125" style="11" customWidth="1"/>
    <col min="14852" max="14852" width="7.453125" style="11" customWidth="1"/>
    <col min="14853" max="14853" width="5.54296875" style="11" customWidth="1"/>
    <col min="14854" max="14854" width="9" style="11" customWidth="1"/>
    <col min="14855" max="14856" width="9.81640625" style="11" customWidth="1"/>
    <col min="14857" max="14857" width="11.1796875" style="11" customWidth="1"/>
    <col min="14858" max="14858" width="2.81640625" style="11" customWidth="1"/>
    <col min="14859" max="14859" width="3.54296875" style="11" customWidth="1"/>
    <col min="14860" max="15104" width="9.1796875" style="11"/>
    <col min="15105" max="15105" width="8.54296875" style="11" customWidth="1"/>
    <col min="15106" max="15106" width="9.81640625" style="11" customWidth="1"/>
    <col min="15107" max="15107" width="14.453125" style="11" customWidth="1"/>
    <col min="15108" max="15108" width="7.453125" style="11" customWidth="1"/>
    <col min="15109" max="15109" width="5.54296875" style="11" customWidth="1"/>
    <col min="15110" max="15110" width="9" style="11" customWidth="1"/>
    <col min="15111" max="15112" width="9.81640625" style="11" customWidth="1"/>
    <col min="15113" max="15113" width="11.1796875" style="11" customWidth="1"/>
    <col min="15114" max="15114" width="2.81640625" style="11" customWidth="1"/>
    <col min="15115" max="15115" width="3.54296875" style="11" customWidth="1"/>
    <col min="15116" max="15360" width="9.1796875" style="11"/>
    <col min="15361" max="15361" width="8.54296875" style="11" customWidth="1"/>
    <col min="15362" max="15362" width="9.81640625" style="11" customWidth="1"/>
    <col min="15363" max="15363" width="14.453125" style="11" customWidth="1"/>
    <col min="15364" max="15364" width="7.453125" style="11" customWidth="1"/>
    <col min="15365" max="15365" width="5.54296875" style="11" customWidth="1"/>
    <col min="15366" max="15366" width="9" style="11" customWidth="1"/>
    <col min="15367" max="15368" width="9.81640625" style="11" customWidth="1"/>
    <col min="15369" max="15369" width="11.1796875" style="11" customWidth="1"/>
    <col min="15370" max="15370" width="2.81640625" style="11" customWidth="1"/>
    <col min="15371" max="15371" width="3.54296875" style="11" customWidth="1"/>
    <col min="15372" max="15616" width="9.1796875" style="11"/>
    <col min="15617" max="15617" width="8.54296875" style="11" customWidth="1"/>
    <col min="15618" max="15618" width="9.81640625" style="11" customWidth="1"/>
    <col min="15619" max="15619" width="14.453125" style="11" customWidth="1"/>
    <col min="15620" max="15620" width="7.453125" style="11" customWidth="1"/>
    <col min="15621" max="15621" width="5.54296875" style="11" customWidth="1"/>
    <col min="15622" max="15622" width="9" style="11" customWidth="1"/>
    <col min="15623" max="15624" width="9.81640625" style="11" customWidth="1"/>
    <col min="15625" max="15625" width="11.1796875" style="11" customWidth="1"/>
    <col min="15626" max="15626" width="2.81640625" style="11" customWidth="1"/>
    <col min="15627" max="15627" width="3.54296875" style="11" customWidth="1"/>
    <col min="15628" max="15872" width="9.1796875" style="11"/>
    <col min="15873" max="15873" width="8.54296875" style="11" customWidth="1"/>
    <col min="15874" max="15874" width="9.81640625" style="11" customWidth="1"/>
    <col min="15875" max="15875" width="14.453125" style="11" customWidth="1"/>
    <col min="15876" max="15876" width="7.453125" style="11" customWidth="1"/>
    <col min="15877" max="15877" width="5.54296875" style="11" customWidth="1"/>
    <col min="15878" max="15878" width="9" style="11" customWidth="1"/>
    <col min="15879" max="15880" width="9.81640625" style="11" customWidth="1"/>
    <col min="15881" max="15881" width="11.1796875" style="11" customWidth="1"/>
    <col min="15882" max="15882" width="2.81640625" style="11" customWidth="1"/>
    <col min="15883" max="15883" width="3.54296875" style="11" customWidth="1"/>
    <col min="15884" max="16128" width="9.1796875" style="11"/>
    <col min="16129" max="16129" width="8.54296875" style="11" customWidth="1"/>
    <col min="16130" max="16130" width="9.81640625" style="11" customWidth="1"/>
    <col min="16131" max="16131" width="14.453125" style="11" customWidth="1"/>
    <col min="16132" max="16132" width="7.453125" style="11" customWidth="1"/>
    <col min="16133" max="16133" width="5.54296875" style="11" customWidth="1"/>
    <col min="16134" max="16134" width="9" style="11" customWidth="1"/>
    <col min="16135" max="16136" width="9.81640625" style="11" customWidth="1"/>
    <col min="16137" max="16137" width="11.1796875" style="11" customWidth="1"/>
    <col min="16138" max="16138" width="2.81640625" style="11" customWidth="1"/>
    <col min="16139" max="16139" width="3.54296875" style="11" customWidth="1"/>
    <col min="16140" max="16384" width="9.1796875" style="11"/>
  </cols>
  <sheetData>
    <row r="1" spans="1:11" ht="46.5" customHeight="1" x14ac:dyDescent="0.35">
      <c r="A1" s="133" t="s">
        <v>176</v>
      </c>
      <c r="B1" s="134"/>
      <c r="C1" s="134"/>
      <c r="D1" s="134"/>
      <c r="E1" s="134"/>
      <c r="F1" s="134"/>
      <c r="G1" s="134"/>
      <c r="H1" s="134"/>
      <c r="I1" s="134"/>
      <c r="J1" s="135"/>
    </row>
    <row r="2" spans="1:11" ht="16.5" customHeight="1" x14ac:dyDescent="0.35">
      <c r="A2" s="136" t="s">
        <v>0</v>
      </c>
      <c r="B2" s="137"/>
      <c r="C2" s="137"/>
      <c r="D2" s="137"/>
      <c r="E2" s="137"/>
      <c r="F2" s="137"/>
      <c r="G2" s="137"/>
      <c r="H2" s="137"/>
      <c r="I2" s="137"/>
      <c r="J2" s="138"/>
    </row>
    <row r="3" spans="1:11" x14ac:dyDescent="0.35">
      <c r="A3" s="139" t="s">
        <v>1</v>
      </c>
      <c r="B3" s="140"/>
      <c r="C3" s="140"/>
      <c r="D3" s="140"/>
      <c r="E3" s="141"/>
      <c r="F3" s="142" t="str">
        <f ca="1">TEXT(TODAY(),"DD/MM/YYYY")</f>
        <v>11/09/2025</v>
      </c>
      <c r="G3" s="143"/>
      <c r="H3" s="143"/>
      <c r="I3" s="143"/>
      <c r="J3" s="144"/>
    </row>
    <row r="4" spans="1:11" ht="15" customHeight="1" x14ac:dyDescent="0.35">
      <c r="A4" s="139" t="s">
        <v>2</v>
      </c>
      <c r="B4" s="140"/>
      <c r="C4" s="140"/>
      <c r="D4" s="140"/>
      <c r="E4" s="141"/>
      <c r="F4" s="148" t="s">
        <v>108</v>
      </c>
      <c r="G4" s="149"/>
      <c r="H4" s="149"/>
      <c r="I4" s="149"/>
      <c r="J4" s="150"/>
    </row>
    <row r="5" spans="1:11" x14ac:dyDescent="0.35">
      <c r="A5" s="139" t="s">
        <v>3</v>
      </c>
      <c r="B5" s="140"/>
      <c r="C5" s="140"/>
      <c r="D5" s="140"/>
      <c r="E5" s="141"/>
      <c r="F5" s="142">
        <v>45906</v>
      </c>
      <c r="G5" s="143"/>
      <c r="H5" s="143"/>
      <c r="I5" s="143"/>
      <c r="J5" s="144"/>
    </row>
    <row r="6" spans="1:11" ht="16.5" customHeight="1" x14ac:dyDescent="0.35">
      <c r="A6" s="139" t="s">
        <v>4</v>
      </c>
      <c r="B6" s="140"/>
      <c r="C6" s="140"/>
      <c r="D6" s="140"/>
      <c r="E6" s="141"/>
      <c r="F6" s="151" t="s">
        <v>213</v>
      </c>
      <c r="G6" s="152"/>
      <c r="H6" s="152"/>
      <c r="I6" s="152"/>
      <c r="J6" s="153"/>
    </row>
    <row r="7" spans="1:11" ht="15" customHeight="1" x14ac:dyDescent="0.35">
      <c r="A7" s="139" t="s">
        <v>5</v>
      </c>
      <c r="B7" s="140"/>
      <c r="C7" s="140"/>
      <c r="D7" s="140"/>
      <c r="E7" s="141"/>
      <c r="F7" s="151" t="s">
        <v>109</v>
      </c>
      <c r="G7" s="152"/>
      <c r="H7" s="152"/>
      <c r="I7" s="152"/>
      <c r="J7" s="153"/>
    </row>
    <row r="8" spans="1:11" x14ac:dyDescent="0.35">
      <c r="A8" s="139" t="s">
        <v>6</v>
      </c>
      <c r="B8" s="140"/>
      <c r="C8" s="140"/>
      <c r="D8" s="140"/>
      <c r="E8" s="141"/>
      <c r="F8" s="145" t="s">
        <v>181</v>
      </c>
      <c r="G8" s="146"/>
      <c r="H8" s="146"/>
      <c r="I8" s="146"/>
      <c r="J8" s="147"/>
      <c r="K8" s="11" t="s">
        <v>180</v>
      </c>
    </row>
    <row r="9" spans="1:11" x14ac:dyDescent="0.35">
      <c r="A9" s="139" t="s">
        <v>7</v>
      </c>
      <c r="B9" s="140"/>
      <c r="C9" s="140"/>
      <c r="D9" s="140"/>
      <c r="E9" s="141"/>
      <c r="F9" s="139" t="s">
        <v>166</v>
      </c>
      <c r="G9" s="140"/>
      <c r="H9" s="140"/>
      <c r="I9" s="140"/>
      <c r="J9" s="141"/>
    </row>
    <row r="10" spans="1:11" x14ac:dyDescent="0.35">
      <c r="A10" s="139" t="s">
        <v>177</v>
      </c>
      <c r="B10" s="140"/>
      <c r="C10" s="140"/>
      <c r="D10" s="140"/>
      <c r="E10" s="141"/>
      <c r="F10" s="139" t="s">
        <v>182</v>
      </c>
      <c r="G10" s="140"/>
      <c r="H10" s="140"/>
      <c r="I10" s="140"/>
      <c r="J10" s="141"/>
    </row>
    <row r="11" spans="1:11" ht="30" customHeight="1" x14ac:dyDescent="0.35">
      <c r="A11" s="139" t="s">
        <v>8</v>
      </c>
      <c r="B11" s="140"/>
      <c r="C11" s="140"/>
      <c r="D11" s="140"/>
      <c r="E11" s="141"/>
      <c r="F11" s="39" t="s">
        <v>183</v>
      </c>
      <c r="G11" s="160" t="s">
        <v>228</v>
      </c>
      <c r="H11" s="160"/>
      <c r="I11" s="160"/>
      <c r="J11" s="160"/>
    </row>
    <row r="12" spans="1:11" x14ac:dyDescent="0.35">
      <c r="A12" s="139" t="s">
        <v>9</v>
      </c>
      <c r="B12" s="140"/>
      <c r="C12" s="140"/>
      <c r="D12" s="140"/>
      <c r="E12" s="141"/>
      <c r="F12" s="154" t="s">
        <v>10</v>
      </c>
      <c r="G12" s="155"/>
      <c r="H12" s="155"/>
      <c r="I12" s="155"/>
      <c r="J12" s="156"/>
    </row>
    <row r="13" spans="1:11" ht="53.25" customHeight="1" x14ac:dyDescent="0.35">
      <c r="A13" s="139" t="s">
        <v>184</v>
      </c>
      <c r="B13" s="140"/>
      <c r="C13" s="140"/>
      <c r="D13" s="140"/>
      <c r="E13" s="141"/>
      <c r="F13" s="157" t="s">
        <v>244</v>
      </c>
      <c r="G13" s="158"/>
      <c r="H13" s="158"/>
      <c r="I13" s="158"/>
      <c r="J13" s="159"/>
    </row>
    <row r="14" spans="1:11" ht="65.25" customHeight="1" x14ac:dyDescent="0.35">
      <c r="A14" s="125" t="s">
        <v>11</v>
      </c>
      <c r="B14" s="125"/>
      <c r="C14" s="151" t="str">
        <f>CONCATENATE((IF(OR(F8="",F8="NA"),"",F8)),", ",(IF(OR(A15="",A15="NA"),"",A15)),".",(IF(OR(C15="",C15="NA"),"",C15)),", ",(IF(OR(C16="",C16="NA"),"",C16)),", ",(IF(OR(H16="",H16="NA"),"",H16)),", ",(IF(OR(C17="",C17="NA"),"",C17)),", ",(IF(OR(C18="",C18="NA"),"",C18)),", ",(IF(OR(H17="",H17="NA"),"",H17)),".")</f>
        <v>Lodha Panacea II &amp; III, Survey No. 53/1, 53/2, 54/1,54/2, 54/3, 55, 56/4A, 56/4B, 231/3, 231/4A, 231/4B, 231/4C, 231/4D, 231/5, 232/1, 232/8, 240/5A, 240/5B, 240/6, 240/7, 240/8, 240/3A/2, 240/3A/4, 240/3A/5, 240/3A/6, 240/3A/7, 240/3A/9, Lodha Panacea Road, Bhopar, Datiwali , Kalyan, Thane.</v>
      </c>
      <c r="D14" s="152"/>
      <c r="E14" s="152"/>
      <c r="F14" s="152"/>
      <c r="G14" s="152"/>
      <c r="H14" s="152"/>
      <c r="I14" s="152"/>
      <c r="J14" s="153"/>
    </row>
    <row r="15" spans="1:11" ht="48" customHeight="1" x14ac:dyDescent="0.35">
      <c r="A15" s="151" t="s">
        <v>110</v>
      </c>
      <c r="B15" s="153"/>
      <c r="C15" s="154" t="s">
        <v>161</v>
      </c>
      <c r="D15" s="155"/>
      <c r="E15" s="155"/>
      <c r="F15" s="155"/>
      <c r="G15" s="155"/>
      <c r="H15" s="155"/>
      <c r="I15" s="155"/>
      <c r="J15" s="156"/>
    </row>
    <row r="16" spans="1:11" x14ac:dyDescent="0.35">
      <c r="A16" s="151" t="s">
        <v>12</v>
      </c>
      <c r="B16" s="153"/>
      <c r="C16" s="161" t="s">
        <v>188</v>
      </c>
      <c r="D16" s="161"/>
      <c r="E16" s="161"/>
      <c r="F16" s="128" t="s">
        <v>160</v>
      </c>
      <c r="G16" s="129"/>
      <c r="H16" s="154" t="s">
        <v>159</v>
      </c>
      <c r="I16" s="155"/>
      <c r="J16" s="156"/>
    </row>
    <row r="17" spans="1:10" x14ac:dyDescent="0.35">
      <c r="A17" s="127" t="s">
        <v>14</v>
      </c>
      <c r="B17" s="127"/>
      <c r="C17" s="99" t="s">
        <v>113</v>
      </c>
      <c r="D17" s="99"/>
      <c r="E17" s="99"/>
      <c r="F17" s="128" t="s">
        <v>13</v>
      </c>
      <c r="G17" s="129"/>
      <c r="H17" s="130" t="s">
        <v>112</v>
      </c>
      <c r="I17" s="130"/>
      <c r="J17" s="130"/>
    </row>
    <row r="18" spans="1:10" x14ac:dyDescent="0.35">
      <c r="A18" s="127" t="s">
        <v>90</v>
      </c>
      <c r="B18" s="127"/>
      <c r="C18" s="154" t="s">
        <v>111</v>
      </c>
      <c r="D18" s="155"/>
      <c r="E18" s="156"/>
      <c r="F18" s="128" t="s">
        <v>15</v>
      </c>
      <c r="G18" s="129"/>
      <c r="H18" s="154">
        <v>421204</v>
      </c>
      <c r="I18" s="155"/>
      <c r="J18" s="156"/>
    </row>
    <row r="19" spans="1:10" ht="32.25" customHeight="1" x14ac:dyDescent="0.35">
      <c r="A19" s="127" t="s">
        <v>16</v>
      </c>
      <c r="B19" s="127"/>
      <c r="C19" s="125" t="s">
        <v>114</v>
      </c>
      <c r="D19" s="125"/>
      <c r="E19" s="125"/>
      <c r="F19" s="125" t="s">
        <v>17</v>
      </c>
      <c r="G19" s="125"/>
      <c r="H19" s="155" t="s">
        <v>167</v>
      </c>
      <c r="I19" s="155"/>
      <c r="J19" s="156"/>
    </row>
    <row r="20" spans="1:10" ht="15" customHeight="1" x14ac:dyDescent="0.35">
      <c r="A20" s="128" t="s">
        <v>102</v>
      </c>
      <c r="B20" s="162"/>
      <c r="C20" s="162"/>
      <c r="D20" s="162"/>
      <c r="E20" s="129"/>
      <c r="F20" s="166" t="s">
        <v>18</v>
      </c>
      <c r="G20" s="167"/>
      <c r="H20" s="167"/>
      <c r="I20" s="167"/>
      <c r="J20" s="168"/>
    </row>
    <row r="21" spans="1:10" ht="18.75" customHeight="1" x14ac:dyDescent="0.35">
      <c r="A21" s="163"/>
      <c r="B21" s="164"/>
      <c r="C21" s="164"/>
      <c r="D21" s="164"/>
      <c r="E21" s="165"/>
      <c r="F21" s="169"/>
      <c r="G21" s="170"/>
      <c r="H21" s="170"/>
      <c r="I21" s="170"/>
      <c r="J21" s="171"/>
    </row>
    <row r="22" spans="1:10" ht="15" customHeight="1" x14ac:dyDescent="0.35">
      <c r="A22" s="128" t="s">
        <v>19</v>
      </c>
      <c r="B22" s="162"/>
      <c r="C22" s="162"/>
      <c r="D22" s="162"/>
      <c r="E22" s="129"/>
      <c r="F22" s="128" t="s">
        <v>20</v>
      </c>
      <c r="G22" s="162"/>
      <c r="H22" s="162"/>
      <c r="I22" s="162"/>
      <c r="J22" s="129"/>
    </row>
    <row r="23" spans="1:10" ht="15" customHeight="1" x14ac:dyDescent="0.35">
      <c r="A23" s="139" t="s">
        <v>21</v>
      </c>
      <c r="B23" s="140"/>
      <c r="C23" s="140"/>
      <c r="D23" s="140"/>
      <c r="E23" s="141"/>
      <c r="F23" s="148" t="s">
        <v>22</v>
      </c>
      <c r="G23" s="149"/>
      <c r="H23" s="149"/>
      <c r="I23" s="149"/>
      <c r="J23" s="150"/>
    </row>
    <row r="24" spans="1:10" x14ac:dyDescent="0.35">
      <c r="A24" s="139" t="s">
        <v>23</v>
      </c>
      <c r="B24" s="140"/>
      <c r="C24" s="140"/>
      <c r="D24" s="140"/>
      <c r="E24" s="141"/>
      <c r="F24" s="148" t="s">
        <v>24</v>
      </c>
      <c r="G24" s="149"/>
      <c r="H24" s="149"/>
      <c r="I24" s="149"/>
      <c r="J24" s="150"/>
    </row>
    <row r="25" spans="1:10" ht="15" customHeight="1" x14ac:dyDescent="0.35">
      <c r="A25" s="139" t="s">
        <v>25</v>
      </c>
      <c r="B25" s="140"/>
      <c r="C25" s="140"/>
      <c r="D25" s="140"/>
      <c r="E25" s="141"/>
      <c r="F25" s="148" t="s">
        <v>26</v>
      </c>
      <c r="G25" s="149"/>
      <c r="H25" s="149"/>
      <c r="I25" s="149"/>
      <c r="J25" s="150"/>
    </row>
    <row r="26" spans="1:10" x14ac:dyDescent="0.35">
      <c r="A26" s="139" t="s">
        <v>27</v>
      </c>
      <c r="B26" s="140"/>
      <c r="C26" s="140"/>
      <c r="D26" s="140"/>
      <c r="E26" s="141"/>
      <c r="F26" s="148" t="s">
        <v>28</v>
      </c>
      <c r="G26" s="149"/>
      <c r="H26" s="149"/>
      <c r="I26" s="149"/>
      <c r="J26" s="150"/>
    </row>
    <row r="27" spans="1:10" x14ac:dyDescent="0.35">
      <c r="A27" s="131" t="s">
        <v>29</v>
      </c>
      <c r="B27" s="132"/>
      <c r="C27" s="131" t="s">
        <v>30</v>
      </c>
      <c r="D27" s="132"/>
      <c r="E27" s="131" t="s">
        <v>31</v>
      </c>
      <c r="F27" s="132"/>
      <c r="G27" s="131" t="s">
        <v>33</v>
      </c>
      <c r="H27" s="132"/>
      <c r="I27" s="131" t="s">
        <v>32</v>
      </c>
      <c r="J27" s="132"/>
    </row>
    <row r="28" spans="1:10" ht="34.5" customHeight="1" x14ac:dyDescent="0.35">
      <c r="A28" s="113" t="s">
        <v>186</v>
      </c>
      <c r="B28" s="114"/>
      <c r="C28" s="113" t="s">
        <v>192</v>
      </c>
      <c r="D28" s="114"/>
      <c r="E28" s="115" t="s">
        <v>194</v>
      </c>
      <c r="F28" s="116"/>
      <c r="G28" s="117" t="s">
        <v>193</v>
      </c>
      <c r="H28" s="118"/>
      <c r="I28" s="113" t="s">
        <v>191</v>
      </c>
      <c r="J28" s="114"/>
    </row>
    <row r="29" spans="1:10" ht="28.5" customHeight="1" x14ac:dyDescent="0.35">
      <c r="A29" s="113" t="s">
        <v>35</v>
      </c>
      <c r="B29" s="114"/>
      <c r="C29" s="115" t="s">
        <v>190</v>
      </c>
      <c r="D29" s="116"/>
      <c r="E29" s="115" t="s">
        <v>195</v>
      </c>
      <c r="F29" s="116"/>
      <c r="G29" s="115" t="s">
        <v>189</v>
      </c>
      <c r="H29" s="116"/>
      <c r="I29" s="115" t="s">
        <v>188</v>
      </c>
      <c r="J29" s="116"/>
    </row>
    <row r="30" spans="1:10" x14ac:dyDescent="0.35">
      <c r="A30" s="127" t="s">
        <v>36</v>
      </c>
      <c r="B30" s="127"/>
      <c r="C30" s="127"/>
      <c r="D30" s="127"/>
      <c r="E30" s="127"/>
      <c r="F30" s="127"/>
      <c r="G30" s="127"/>
      <c r="H30" s="127"/>
      <c r="I30" s="127"/>
      <c r="J30" s="127"/>
    </row>
    <row r="31" spans="1:10" x14ac:dyDescent="0.35">
      <c r="A31" s="127" t="s">
        <v>37</v>
      </c>
      <c r="B31" s="127"/>
      <c r="C31" s="127"/>
      <c r="D31" s="127"/>
      <c r="E31" s="127"/>
      <c r="F31" s="127"/>
      <c r="G31" s="127"/>
      <c r="H31" s="127"/>
      <c r="I31" s="127"/>
      <c r="J31" s="127"/>
    </row>
    <row r="32" spans="1:10" x14ac:dyDescent="0.35">
      <c r="A32" s="127" t="s">
        <v>38</v>
      </c>
      <c r="B32" s="127"/>
      <c r="C32" s="127" t="s">
        <v>187</v>
      </c>
      <c r="D32" s="127"/>
      <c r="E32" s="127"/>
      <c r="F32" s="127"/>
      <c r="G32" s="127"/>
      <c r="H32" s="127"/>
      <c r="I32" s="127"/>
      <c r="J32" s="127"/>
    </row>
    <row r="33" spans="1:10" x14ac:dyDescent="0.35">
      <c r="A33" s="127" t="s">
        <v>174</v>
      </c>
      <c r="B33" s="127"/>
      <c r="C33" s="240" t="s">
        <v>175</v>
      </c>
      <c r="D33" s="127"/>
      <c r="E33" s="127"/>
      <c r="F33" s="127"/>
      <c r="G33" s="127"/>
      <c r="H33" s="127"/>
      <c r="I33" s="127"/>
      <c r="J33" s="127"/>
    </row>
    <row r="34" spans="1:10" x14ac:dyDescent="0.35">
      <c r="A34" s="98" t="s">
        <v>39</v>
      </c>
      <c r="B34" s="98"/>
      <c r="C34" s="98"/>
      <c r="D34" s="98"/>
      <c r="E34" s="98"/>
      <c r="F34" s="98"/>
      <c r="G34" s="98"/>
      <c r="H34" s="98"/>
      <c r="I34" s="98"/>
      <c r="J34" s="98"/>
    </row>
    <row r="35" spans="1:10" ht="15" customHeight="1" x14ac:dyDescent="0.35">
      <c r="A35" s="125" t="s">
        <v>40</v>
      </c>
      <c r="B35" s="125"/>
      <c r="C35" s="125"/>
      <c r="D35" s="125"/>
      <c r="E35" s="125"/>
      <c r="F35" s="126" t="s">
        <v>120</v>
      </c>
      <c r="G35" s="126"/>
      <c r="H35" s="126"/>
      <c r="I35" s="126"/>
      <c r="J35" s="126"/>
    </row>
    <row r="36" spans="1:10" ht="15" customHeight="1" x14ac:dyDescent="0.35">
      <c r="A36" s="125" t="s">
        <v>41</v>
      </c>
      <c r="B36" s="125"/>
      <c r="C36" s="125"/>
      <c r="D36" s="125"/>
      <c r="E36" s="125"/>
      <c r="F36" s="125" t="s">
        <v>42</v>
      </c>
      <c r="G36" s="125"/>
      <c r="H36" s="125"/>
      <c r="I36" s="125"/>
      <c r="J36" s="125"/>
    </row>
    <row r="37" spans="1:10" x14ac:dyDescent="0.35">
      <c r="A37" s="98" t="s">
        <v>43</v>
      </c>
      <c r="B37" s="98"/>
      <c r="C37" s="98"/>
      <c r="D37" s="98"/>
      <c r="E37" s="98"/>
      <c r="F37" s="98"/>
      <c r="G37" s="98"/>
      <c r="H37" s="98"/>
      <c r="I37" s="98"/>
      <c r="J37" s="98"/>
    </row>
    <row r="38" spans="1:10" x14ac:dyDescent="0.35">
      <c r="A38" s="99" t="s">
        <v>44</v>
      </c>
      <c r="B38" s="99"/>
      <c r="C38" s="99"/>
      <c r="D38" s="99"/>
      <c r="E38" s="99"/>
      <c r="F38" s="252">
        <v>50055.199999999997</v>
      </c>
      <c r="G38" s="252"/>
      <c r="H38" s="252"/>
      <c r="I38" s="252"/>
      <c r="J38" s="252"/>
    </row>
    <row r="39" spans="1:10" x14ac:dyDescent="0.35">
      <c r="A39" s="99" t="s">
        <v>45</v>
      </c>
      <c r="B39" s="99"/>
      <c r="C39" s="99"/>
      <c r="D39" s="99"/>
      <c r="E39" s="99"/>
      <c r="F39" s="253">
        <f>55060.72/F38</f>
        <v>1.1000000000000001</v>
      </c>
      <c r="G39" s="253"/>
      <c r="H39" s="253"/>
      <c r="I39" s="253"/>
      <c r="J39" s="253"/>
    </row>
    <row r="40" spans="1:10" x14ac:dyDescent="0.35">
      <c r="A40" s="119" t="s">
        <v>46</v>
      </c>
      <c r="B40" s="120"/>
      <c r="C40" s="120"/>
      <c r="D40" s="120"/>
      <c r="E40" s="121"/>
      <c r="F40" s="122">
        <f>F42/F38-F39</f>
        <v>0.86578677140436966</v>
      </c>
      <c r="G40" s="123"/>
      <c r="H40" s="123"/>
      <c r="I40" s="123"/>
      <c r="J40" s="124"/>
    </row>
    <row r="41" spans="1:10" x14ac:dyDescent="0.35">
      <c r="A41" s="119" t="s">
        <v>47</v>
      </c>
      <c r="B41" s="120"/>
      <c r="C41" s="120"/>
      <c r="D41" s="120"/>
      <c r="E41" s="121"/>
      <c r="F41" s="122">
        <f>F39+F40</f>
        <v>1.9657867714043697</v>
      </c>
      <c r="G41" s="123"/>
      <c r="H41" s="123"/>
      <c r="I41" s="123"/>
      <c r="J41" s="124"/>
    </row>
    <row r="42" spans="1:10" x14ac:dyDescent="0.35">
      <c r="A42" s="119" t="s">
        <v>48</v>
      </c>
      <c r="B42" s="120"/>
      <c r="C42" s="120"/>
      <c r="D42" s="120"/>
      <c r="E42" s="121"/>
      <c r="F42" s="176">
        <v>98397.85</v>
      </c>
      <c r="G42" s="177"/>
      <c r="H42" s="177"/>
      <c r="I42" s="177"/>
      <c r="J42" s="178"/>
    </row>
    <row r="43" spans="1:10" x14ac:dyDescent="0.35">
      <c r="A43" s="139" t="s">
        <v>49</v>
      </c>
      <c r="B43" s="140"/>
      <c r="C43" s="140"/>
      <c r="D43" s="140"/>
      <c r="E43" s="141"/>
      <c r="F43" s="119" t="s">
        <v>196</v>
      </c>
      <c r="G43" s="120"/>
      <c r="H43" s="120"/>
      <c r="I43" s="120"/>
      <c r="J43" s="121"/>
    </row>
    <row r="44" spans="1:10" x14ac:dyDescent="0.35">
      <c r="A44" s="145" t="s">
        <v>50</v>
      </c>
      <c r="B44" s="146"/>
      <c r="C44" s="146"/>
      <c r="D44" s="146"/>
      <c r="E44" s="146"/>
      <c r="F44" s="146"/>
      <c r="G44" s="146"/>
      <c r="H44" s="146"/>
      <c r="I44" s="146"/>
      <c r="J44" s="147"/>
    </row>
    <row r="45" spans="1:10" ht="37.5" customHeight="1" x14ac:dyDescent="0.35">
      <c r="A45" s="154" t="s">
        <v>51</v>
      </c>
      <c r="B45" s="156"/>
      <c r="C45" s="151" t="s">
        <v>197</v>
      </c>
      <c r="D45" s="152"/>
      <c r="E45" s="152"/>
      <c r="F45" s="153"/>
      <c r="G45" s="10" t="s">
        <v>52</v>
      </c>
      <c r="H45" s="175">
        <v>45334</v>
      </c>
      <c r="I45" s="152"/>
      <c r="J45" s="153"/>
    </row>
    <row r="46" spans="1:10" ht="51" customHeight="1" x14ac:dyDescent="0.35">
      <c r="A46" s="151" t="s">
        <v>205</v>
      </c>
      <c r="B46" s="153"/>
      <c r="C46" s="151" t="s">
        <v>204</v>
      </c>
      <c r="D46" s="152"/>
      <c r="E46" s="152"/>
      <c r="F46" s="153"/>
      <c r="G46" s="10" t="s">
        <v>52</v>
      </c>
      <c r="H46" s="175">
        <v>44832</v>
      </c>
      <c r="I46" s="235"/>
      <c r="J46" s="236"/>
    </row>
    <row r="47" spans="1:10" ht="31.5" customHeight="1" x14ac:dyDescent="0.35">
      <c r="A47" s="151" t="s">
        <v>198</v>
      </c>
      <c r="B47" s="153"/>
      <c r="C47" s="151" t="s">
        <v>201</v>
      </c>
      <c r="D47" s="152"/>
      <c r="E47" s="152"/>
      <c r="F47" s="153"/>
      <c r="G47" s="10" t="s">
        <v>52</v>
      </c>
      <c r="H47" s="175">
        <f>H45</f>
        <v>45334</v>
      </c>
      <c r="I47" s="235"/>
      <c r="J47" s="236"/>
    </row>
    <row r="48" spans="1:10" ht="31.5" hidden="1" customHeight="1" x14ac:dyDescent="0.35">
      <c r="A48" s="128" t="s">
        <v>199</v>
      </c>
      <c r="B48" s="129"/>
      <c r="C48" s="151" t="s">
        <v>168</v>
      </c>
      <c r="D48" s="140"/>
      <c r="E48" s="140"/>
      <c r="F48" s="141"/>
      <c r="G48" s="12" t="s">
        <v>52</v>
      </c>
      <c r="H48" s="175">
        <v>44832</v>
      </c>
      <c r="I48" s="152"/>
      <c r="J48" s="153"/>
    </row>
    <row r="49" spans="1:12" ht="17.25" hidden="1" customHeight="1" x14ac:dyDescent="0.35">
      <c r="A49" s="163"/>
      <c r="B49" s="165"/>
      <c r="C49" s="237" t="s">
        <v>169</v>
      </c>
      <c r="D49" s="238"/>
      <c r="E49" s="238"/>
      <c r="F49" s="238"/>
      <c r="G49" s="238"/>
      <c r="H49" s="238"/>
      <c r="I49" s="238"/>
      <c r="J49" s="239"/>
    </row>
    <row r="50" spans="1:12" ht="33.75" customHeight="1" x14ac:dyDescent="0.35">
      <c r="A50" s="128" t="s">
        <v>199</v>
      </c>
      <c r="B50" s="129"/>
      <c r="C50" s="151" t="s">
        <v>200</v>
      </c>
      <c r="D50" s="140"/>
      <c r="E50" s="140"/>
      <c r="F50" s="141"/>
      <c r="G50" s="12" t="s">
        <v>52</v>
      </c>
      <c r="H50" s="175">
        <f>H45</f>
        <v>45334</v>
      </c>
      <c r="I50" s="152"/>
      <c r="J50" s="153"/>
    </row>
    <row r="51" spans="1:12" ht="35.25" customHeight="1" x14ac:dyDescent="0.35">
      <c r="A51" s="163"/>
      <c r="B51" s="165"/>
      <c r="C51" s="237" t="s">
        <v>229</v>
      </c>
      <c r="D51" s="238"/>
      <c r="E51" s="238"/>
      <c r="F51" s="238"/>
      <c r="G51" s="238"/>
      <c r="H51" s="238"/>
      <c r="I51" s="238"/>
      <c r="J51" s="239"/>
    </row>
    <row r="52" spans="1:12" x14ac:dyDescent="0.35">
      <c r="A52" s="151" t="s">
        <v>53</v>
      </c>
      <c r="B52" s="153"/>
      <c r="C52" s="151" t="s">
        <v>99</v>
      </c>
      <c r="D52" s="140"/>
      <c r="E52" s="140"/>
      <c r="F52" s="141" t="s">
        <v>54</v>
      </c>
      <c r="G52" s="10" t="s">
        <v>52</v>
      </c>
      <c r="H52" s="151" t="s">
        <v>34</v>
      </c>
      <c r="I52" s="152" t="s">
        <v>34</v>
      </c>
      <c r="J52" s="153"/>
    </row>
    <row r="53" spans="1:12" ht="15.75" customHeight="1" x14ac:dyDescent="0.35">
      <c r="A53" s="40" t="s">
        <v>202</v>
      </c>
      <c r="B53" s="227" t="s">
        <v>55</v>
      </c>
      <c r="C53" s="228"/>
      <c r="D53" s="172">
        <v>43290</v>
      </c>
      <c r="E53" s="173"/>
      <c r="F53" s="231" t="s">
        <v>56</v>
      </c>
      <c r="G53" s="232"/>
      <c r="H53" s="174" t="s">
        <v>248</v>
      </c>
      <c r="I53" s="120"/>
      <c r="J53" s="121"/>
    </row>
    <row r="54" spans="1:12" ht="15.75" customHeight="1" x14ac:dyDescent="0.35">
      <c r="A54" s="40" t="s">
        <v>203</v>
      </c>
      <c r="B54" s="229"/>
      <c r="C54" s="230"/>
      <c r="D54" s="172">
        <v>44832</v>
      </c>
      <c r="E54" s="173"/>
      <c r="F54" s="233"/>
      <c r="G54" s="234"/>
      <c r="H54" s="174">
        <v>46203</v>
      </c>
      <c r="I54" s="120"/>
      <c r="J54" s="121"/>
    </row>
    <row r="55" spans="1:12" x14ac:dyDescent="0.35">
      <c r="A55" s="180" t="s">
        <v>57</v>
      </c>
      <c r="B55" s="181"/>
      <c r="C55" s="181"/>
      <c r="D55" s="181"/>
      <c r="E55" s="181"/>
      <c r="F55" s="181"/>
      <c r="G55" s="181"/>
      <c r="H55" s="181"/>
      <c r="I55" s="181"/>
      <c r="J55" s="182"/>
    </row>
    <row r="56" spans="1:12" x14ac:dyDescent="0.35">
      <c r="A56" s="139" t="s">
        <v>208</v>
      </c>
      <c r="B56" s="140"/>
      <c r="C56" s="141"/>
      <c r="D56" s="183">
        <f>(8100.12*5)+6080.8</f>
        <v>46581.4</v>
      </c>
      <c r="E56" s="184"/>
      <c r="F56" s="185" t="s">
        <v>58</v>
      </c>
      <c r="G56" s="186"/>
      <c r="H56" s="187" t="s">
        <v>227</v>
      </c>
      <c r="I56" s="188"/>
      <c r="J56" s="189"/>
    </row>
    <row r="57" spans="1:12" ht="37.5" customHeight="1" x14ac:dyDescent="0.35">
      <c r="A57" s="154" t="s">
        <v>59</v>
      </c>
      <c r="B57" s="155"/>
      <c r="C57" s="154" t="s">
        <v>206</v>
      </c>
      <c r="D57" s="155"/>
      <c r="E57" s="155"/>
      <c r="F57" s="155"/>
      <c r="G57" s="155"/>
      <c r="H57" s="155"/>
      <c r="I57" s="155"/>
      <c r="J57" s="156"/>
    </row>
    <row r="58" spans="1:12" ht="33.75" customHeight="1" x14ac:dyDescent="0.35">
      <c r="A58" s="160" t="s">
        <v>125</v>
      </c>
      <c r="B58" s="160"/>
      <c r="C58" s="160" t="s">
        <v>207</v>
      </c>
      <c r="D58" s="160"/>
      <c r="E58" s="160"/>
      <c r="F58" s="160"/>
      <c r="G58" s="160"/>
      <c r="H58" s="160"/>
      <c r="I58" s="160"/>
      <c r="J58" s="160"/>
    </row>
    <row r="59" spans="1:12" ht="15" customHeight="1" x14ac:dyDescent="0.35">
      <c r="A59" s="127" t="s">
        <v>60</v>
      </c>
      <c r="B59" s="127"/>
      <c r="C59" s="127"/>
      <c r="D59" s="125" t="s">
        <v>61</v>
      </c>
      <c r="E59" s="125"/>
      <c r="F59" s="125"/>
      <c r="G59" s="125"/>
      <c r="H59" s="125"/>
      <c r="I59" s="125"/>
      <c r="J59" s="125"/>
    </row>
    <row r="60" spans="1:12" customFormat="1" ht="15.75" customHeight="1" x14ac:dyDescent="0.35">
      <c r="A60" s="99" t="s">
        <v>163</v>
      </c>
      <c r="B60" s="99"/>
      <c r="C60" s="99"/>
      <c r="D60" s="99"/>
      <c r="E60" s="99"/>
      <c r="F60" s="99"/>
      <c r="G60" s="99"/>
      <c r="H60" s="99"/>
      <c r="I60" s="99"/>
      <c r="J60" s="99"/>
    </row>
    <row r="61" spans="1:12" customFormat="1" thickBot="1" x14ac:dyDescent="0.4">
      <c r="A61" s="190" t="s">
        <v>62</v>
      </c>
      <c r="B61" s="190"/>
      <c r="C61" s="190"/>
      <c r="D61" s="190"/>
      <c r="E61" s="190"/>
      <c r="F61" s="190"/>
      <c r="G61" s="190"/>
      <c r="H61" s="190"/>
      <c r="I61" s="190"/>
      <c r="J61" s="190"/>
    </row>
    <row r="62" spans="1:12" customFormat="1" x14ac:dyDescent="0.35">
      <c r="A62" s="213" t="s">
        <v>135</v>
      </c>
      <c r="B62" s="213"/>
      <c r="C62" s="191" t="s">
        <v>245</v>
      </c>
      <c r="D62" s="191"/>
      <c r="E62" s="191"/>
      <c r="F62" s="191"/>
      <c r="G62" s="191"/>
      <c r="H62" s="191"/>
      <c r="I62" s="191"/>
      <c r="J62" s="191"/>
      <c r="K62" s="2" t="str">
        <f ca="1">(IF(F66&gt;99%,"All work completed. Please provide OC.",IF(F66&gt;89.8%,"Plinth, RCC, Brick, Plaster, Flooring, Painting work Completed. Finishing work is in process.",IF(F66&lt;94%,(IF(C66=0,"Work not yet Started.",IF(D66=25%,"Piling work in process",IF(D66=50%,"Excavation work in process",IF(D66=100%,"Excavation work Completed. ","0")))&amp;(IF(C67=0%,"",IF(C67=L68,"Footing work is process",IF(C67=L69,"Footing work Completed",IF(C67=L70,"1st Basement Completed",IF(C67=L71,"1st &amp; 2nd Basement Completed",IF(C67=L72,"1st to 3rd Basement Completed",IF(C67=L73,"1st to 4th Basement Completed",IF(C67=L74,"Plinth work is process",IF(C67=L75,"Plinth work completed","0")))))))))))&amp;(IF(C68=(D63+G63+I63),", RCC Slab",IF(C68&gt;0,", RCC upto "&amp;C68&amp;" Slab",""))&amp;(IF(C69=I63,", Brickwork",IF(C69&gt;0,", Brickwork upto "&amp;C69&amp;" Floor",""))&amp;(IF(C70=I63,", Internal Plaster",IF(C70&gt;0,", Internal Plaster upto "&amp;C70&amp;" Floor",""))&amp;(IF(C71=I63,", External Plaster",IF(C71&gt;0,", External Plaster upto "&amp;C71&amp;" Floor",""))&amp;(IF(C72=I63,", Flooring",IF(C72&gt;0,", Flooring upto "&amp;C72&amp;" Floor",""))&amp;(IF(C73=I63,", Painting",IF(C73&gt;0,", Painting upto "&amp;C73&amp;" Floor",""))&amp;(IF(C74&gt;0,", Finishing upto "&amp;C74&amp;" Floor","")&amp;(IF(C68&gt;0.5," Completed",""))))))))))))))</f>
        <v>All work completed. Please provide OC.</v>
      </c>
      <c r="L62" s="13"/>
    </row>
    <row r="63" spans="1:12" customFormat="1" ht="15.75" customHeight="1" x14ac:dyDescent="0.35">
      <c r="A63" s="46" t="s">
        <v>87</v>
      </c>
      <c r="B63" s="46">
        <v>0</v>
      </c>
      <c r="C63" s="46" t="s">
        <v>89</v>
      </c>
      <c r="D63" s="46">
        <v>1</v>
      </c>
      <c r="E63" s="72" t="s">
        <v>88</v>
      </c>
      <c r="F63" s="72"/>
      <c r="G63" s="46">
        <v>0</v>
      </c>
      <c r="H63" s="46" t="s">
        <v>136</v>
      </c>
      <c r="I63" s="72">
        <f ca="1">--TRIM(RIGHT(SUBSTITUTE(LEFT(C62,_xlfn.AGGREGATE(16,6,FIND({0,1,2,3,4,5,6,7,8,9},C62,ROW(INDIRECT("1:"&amp;LEN(C62)))),1))," ",REPT(" ",LEN(C62))),LEN(C62)))</f>
        <v>18</v>
      </c>
      <c r="J63" s="72"/>
      <c r="K63" s="3"/>
      <c r="L63" s="14"/>
    </row>
    <row r="64" spans="1:12" customFormat="1" x14ac:dyDescent="0.35">
      <c r="A64" s="64" t="s">
        <v>137</v>
      </c>
      <c r="B64" s="64"/>
      <c r="C64" s="191" t="str">
        <f ca="1">K62</f>
        <v>All work completed. Please provide OC.</v>
      </c>
      <c r="D64" s="191"/>
      <c r="E64" s="191"/>
      <c r="F64" s="191"/>
      <c r="G64" s="191"/>
      <c r="H64" s="191"/>
      <c r="I64" s="191"/>
      <c r="J64" s="191"/>
      <c r="K64" s="3" t="s">
        <v>138</v>
      </c>
      <c r="L64" s="14"/>
    </row>
    <row r="65" spans="1:16" customFormat="1" x14ac:dyDescent="0.35">
      <c r="A65" s="72" t="s">
        <v>63</v>
      </c>
      <c r="B65" s="72"/>
      <c r="C65" s="45" t="s">
        <v>139</v>
      </c>
      <c r="D65" s="69" t="s">
        <v>140</v>
      </c>
      <c r="E65" s="69"/>
      <c r="F65" s="69" t="s">
        <v>141</v>
      </c>
      <c r="G65" s="69"/>
      <c r="H65" s="69" t="s">
        <v>142</v>
      </c>
      <c r="I65" s="69"/>
      <c r="J65" s="69"/>
      <c r="K65" s="4" t="s">
        <v>143</v>
      </c>
      <c r="L65" s="16">
        <f ca="1">I63*25%</f>
        <v>4.5</v>
      </c>
    </row>
    <row r="66" spans="1:16" customFormat="1" ht="15.75" customHeight="1" x14ac:dyDescent="0.35">
      <c r="A66" s="72" t="s">
        <v>144</v>
      </c>
      <c r="B66" s="72"/>
      <c r="C66" s="17">
        <f ca="1">L67</f>
        <v>18</v>
      </c>
      <c r="D66" s="75">
        <f ca="1">((100/I63)*C66)/100</f>
        <v>1</v>
      </c>
      <c r="E66" s="75"/>
      <c r="F66" s="75">
        <f ca="1">(((C67/I63*10)+(40/(D63+G63+I63)*C68)+(7.5/(I63)*C69)+(7.5/(I63)*C70)+(10/I63*C71)+(10/I63*C72)+(5/I63*C73)+(5/I63*C74)+(5/I63*C75))/100)</f>
        <v>1</v>
      </c>
      <c r="G66" s="75"/>
      <c r="H66" s="75">
        <f ca="1">((((C66/I63)*20)+((C67/I63)*25)+(30/(I63+G63+D63)*C68)+(5/I63*C69)+(5/I63*C70)+(5/I63*C71)+(5/I63*C72)+(0/I63*C73)+(0/I63*C74)+(5/I63*C75))/100)</f>
        <v>1</v>
      </c>
      <c r="I66" s="75"/>
      <c r="J66" s="75"/>
      <c r="K66" s="4" t="s">
        <v>93</v>
      </c>
      <c r="L66" s="18">
        <f ca="1">I63*50%</f>
        <v>9</v>
      </c>
    </row>
    <row r="67" spans="1:16" customFormat="1" ht="15.75" customHeight="1" x14ac:dyDescent="0.35">
      <c r="A67" s="72" t="s">
        <v>64</v>
      </c>
      <c r="B67" s="72"/>
      <c r="C67" s="19">
        <f ca="1">L75</f>
        <v>18</v>
      </c>
      <c r="D67" s="75">
        <f ca="1">((100/I63)*C67)/100</f>
        <v>1</v>
      </c>
      <c r="E67" s="75"/>
      <c r="F67" s="75"/>
      <c r="G67" s="75"/>
      <c r="H67" s="75"/>
      <c r="I67" s="75"/>
      <c r="J67" s="75"/>
      <c r="K67" s="4" t="s">
        <v>94</v>
      </c>
      <c r="L67" s="18">
        <f ca="1">I63</f>
        <v>18</v>
      </c>
    </row>
    <row r="68" spans="1:16" customFormat="1" ht="15.75" customHeight="1" x14ac:dyDescent="0.35">
      <c r="A68" s="72" t="s">
        <v>145</v>
      </c>
      <c r="B68" s="72"/>
      <c r="C68" s="19">
        <v>19</v>
      </c>
      <c r="D68" s="75">
        <f ca="1">((100/(D63+G63+I63))*C68)/100</f>
        <v>1</v>
      </c>
      <c r="E68" s="75"/>
      <c r="F68" s="75"/>
      <c r="G68" s="75"/>
      <c r="H68" s="75"/>
      <c r="I68" s="75"/>
      <c r="J68" s="75"/>
      <c r="K68" s="4" t="s">
        <v>95</v>
      </c>
      <c r="L68" s="20">
        <f ca="1">(IF(B63&gt;1,(I63/(B63+2)),I63/4))</f>
        <v>4.5</v>
      </c>
    </row>
    <row r="69" spans="1:16" customFormat="1" ht="15.75" customHeight="1" x14ac:dyDescent="0.35">
      <c r="A69" s="72" t="s">
        <v>146</v>
      </c>
      <c r="B69" s="72" t="s">
        <v>147</v>
      </c>
      <c r="C69" s="17">
        <v>18</v>
      </c>
      <c r="D69" s="75">
        <f ca="1">((100/I63)*C69)/100</f>
        <v>1</v>
      </c>
      <c r="E69" s="75"/>
      <c r="F69" s="75"/>
      <c r="G69" s="75"/>
      <c r="H69" s="75"/>
      <c r="I69" s="75"/>
      <c r="J69" s="75"/>
      <c r="K69" s="4" t="s">
        <v>96</v>
      </c>
      <c r="L69" s="20">
        <f ca="1">(IF(B63&gt;1,(I63/(B63+2)+L68),I63/4+L68))</f>
        <v>9</v>
      </c>
    </row>
    <row r="70" spans="1:16" customFormat="1" ht="15.75" customHeight="1" x14ac:dyDescent="0.35">
      <c r="A70" s="72" t="s">
        <v>148</v>
      </c>
      <c r="B70" s="72" t="s">
        <v>147</v>
      </c>
      <c r="C70" s="17">
        <v>18</v>
      </c>
      <c r="D70" s="75">
        <f ca="1">((100/I63)*C70)/100</f>
        <v>1</v>
      </c>
      <c r="E70" s="75"/>
      <c r="F70" s="75"/>
      <c r="G70" s="75"/>
      <c r="H70" s="75"/>
      <c r="I70" s="75"/>
      <c r="J70" s="75"/>
      <c r="K70" s="4" t="s">
        <v>149</v>
      </c>
      <c r="L70" s="20">
        <f>(IF(B63&gt;1,(I63/(B63+2)+L69),0))</f>
        <v>0</v>
      </c>
    </row>
    <row r="71" spans="1:16" customFormat="1" ht="15.75" customHeight="1" x14ac:dyDescent="0.35">
      <c r="A71" s="72" t="s">
        <v>150</v>
      </c>
      <c r="B71" s="72" t="s">
        <v>151</v>
      </c>
      <c r="C71" s="17">
        <v>18</v>
      </c>
      <c r="D71" s="75">
        <f ca="1">((100/(I63))*C71)/100</f>
        <v>1</v>
      </c>
      <c r="E71" s="75"/>
      <c r="F71" s="75"/>
      <c r="G71" s="75"/>
      <c r="H71" s="75"/>
      <c r="I71" s="75"/>
      <c r="J71" s="75"/>
      <c r="K71" s="4" t="s">
        <v>152</v>
      </c>
      <c r="L71" s="20">
        <f>(IF(B63&gt;2,(I63/(B63+2)+L70),0))</f>
        <v>0</v>
      </c>
    </row>
    <row r="72" spans="1:16" customFormat="1" ht="15.75" customHeight="1" x14ac:dyDescent="0.35">
      <c r="A72" s="72" t="s">
        <v>153</v>
      </c>
      <c r="B72" s="72" t="s">
        <v>153</v>
      </c>
      <c r="C72" s="17">
        <v>18</v>
      </c>
      <c r="D72" s="75">
        <f ca="1">((100/I63)*C72)/100</f>
        <v>1</v>
      </c>
      <c r="E72" s="75"/>
      <c r="F72" s="75"/>
      <c r="G72" s="75"/>
      <c r="H72" s="75"/>
      <c r="I72" s="75"/>
      <c r="J72" s="75"/>
      <c r="K72" s="4" t="s">
        <v>154</v>
      </c>
      <c r="L72" s="21">
        <f>(IF(B63&gt;3,(I63/(B63+2)+L71),0))</f>
        <v>0</v>
      </c>
    </row>
    <row r="73" spans="1:16" customFormat="1" ht="16.5" customHeight="1" x14ac:dyDescent="0.35">
      <c r="A73" s="72" t="s">
        <v>155</v>
      </c>
      <c r="B73" s="72"/>
      <c r="C73" s="17">
        <v>18</v>
      </c>
      <c r="D73" s="75">
        <f ca="1">((100/I63)*C73)/100</f>
        <v>1</v>
      </c>
      <c r="E73" s="75"/>
      <c r="F73" s="75"/>
      <c r="G73" s="75"/>
      <c r="H73" s="75"/>
      <c r="I73" s="75"/>
      <c r="J73" s="75"/>
      <c r="K73" s="4" t="s">
        <v>156</v>
      </c>
      <c r="L73" s="20">
        <f>(IF(B63&gt;4,(I63/(B63+2)+L72),0))</f>
        <v>0</v>
      </c>
    </row>
    <row r="74" spans="1:16" customFormat="1" ht="15.75" customHeight="1" x14ac:dyDescent="0.35">
      <c r="A74" s="72" t="s">
        <v>157</v>
      </c>
      <c r="B74" s="72" t="s">
        <v>157</v>
      </c>
      <c r="C74" s="17">
        <v>18</v>
      </c>
      <c r="D74" s="75">
        <f ca="1">((100/(I63))*C74)/100</f>
        <v>1</v>
      </c>
      <c r="E74" s="75"/>
      <c r="F74" s="75"/>
      <c r="G74" s="75"/>
      <c r="H74" s="75"/>
      <c r="I74" s="75"/>
      <c r="J74" s="75"/>
      <c r="K74" s="4" t="s">
        <v>97</v>
      </c>
      <c r="L74" s="20">
        <f ca="1">(IF(B63=1,(I63/(B63+3)+L69),IF(B63=0,(I63/4+L69),IF(B63&gt;1,0))))</f>
        <v>13.5</v>
      </c>
    </row>
    <row r="75" spans="1:16" customFormat="1" ht="16" thickBot="1" x14ac:dyDescent="0.4">
      <c r="A75" s="72" t="s">
        <v>158</v>
      </c>
      <c r="B75" s="72"/>
      <c r="C75" s="17">
        <v>18</v>
      </c>
      <c r="D75" s="75">
        <f ca="1">((100/(I63))*C75)/100</f>
        <v>1</v>
      </c>
      <c r="E75" s="75"/>
      <c r="F75" s="75"/>
      <c r="G75" s="75"/>
      <c r="H75" s="75"/>
      <c r="I75" s="75"/>
      <c r="J75" s="75"/>
      <c r="K75" s="5" t="s">
        <v>98</v>
      </c>
      <c r="L75" s="23">
        <f ca="1">(IF(B63&gt;1.5,(I63/(B63+2)+L69+MAX(0,L70-L69)+MAX(0,L71-L70)+MAX(0,L72-L71)+MAX(0,L73-L72)+MAX(0,L74-L73)),IF(B63=1,(I63/(B63+3)+L74),IF(B63=0,I63/4+L74))))</f>
        <v>18</v>
      </c>
    </row>
    <row r="76" spans="1:16" customFormat="1" ht="16" hidden="1" thickBot="1" x14ac:dyDescent="0.4">
      <c r="A76" s="221" t="s">
        <v>135</v>
      </c>
      <c r="B76" s="222"/>
      <c r="C76" s="223" t="s">
        <v>209</v>
      </c>
      <c r="D76" s="224"/>
      <c r="E76" s="224"/>
      <c r="F76" s="224"/>
      <c r="G76" s="224"/>
      <c r="H76" s="224"/>
      <c r="I76" s="224"/>
      <c r="J76" s="225"/>
      <c r="K76" s="2" t="str">
        <f ca="1">(IF(F80&gt;99%,"All work completed. Please provide OC.",IF(F80&gt;89.8%,"Plinth, RCC, Brick, Plaster, Flooring, Painting work Completed. Finishing work is in process.",IF(F80&lt;94%,(IF(C80=0,"Work not yet Started.",IF(D80=25%,"Piling work in process",IF(D80=50%,"Excavation work in process",IF(D80=100%,"Excavation work Completed. ","0")))&amp;(IF(C81=0%,"",IF(C81=L82,"Footing work is process",IF(C81=L83,"Footing work Completed",IF(C81=L84,"1st Basement Completed",IF(C81=L85,"1st &amp; 2nd Basement Completed",IF(C81=L86,"1st to 3rd Basement Completed",IF(C81=L87,"1st to 4th Basement Completed",IF(C81=L88,"Plinth work is process",IF(C81=L89,"Plinth work completed","0")))))))))))&amp;(IF(C82=(D77+G77+I77),", RCC Slab",IF(C82&gt;0,", RCC upto "&amp;C82&amp;" Slab",""))&amp;(IF(C83=I77,", Brickwork",IF(C83&gt;0,", Brickwork upto "&amp;C83&amp;" Floor",""))&amp;(IF(C84=I77,", Internal Plaster",IF(C84&gt;0,", Internal Plaster upto "&amp;C84&amp;" Floor",""))&amp;(IF(C85=I77,", External Plaster",IF(C85&gt;0,", External Plaster upto "&amp;C85&amp;" Floor",""))&amp;(IF(C86=I77,", Flooring",IF(C86&gt;0,", Flooring upto "&amp;C86&amp;" Floor",""))&amp;(IF(C87=I77,", Painting",IF(C87&gt;0,", Painting upto "&amp;C87&amp;" Floor",""))&amp;(IF(C88&gt;0,", Finishing upto "&amp;C88&amp;" Floor","")&amp;(IF(C82&gt;0.5," Completed",""))))))))))))))</f>
        <v>All work completed. Please provide OC.</v>
      </c>
      <c r="L76" s="13"/>
    </row>
    <row r="77" spans="1:16" customFormat="1" ht="15.75" hidden="1" customHeight="1" x14ac:dyDescent="0.35">
      <c r="A77" s="8" t="s">
        <v>87</v>
      </c>
      <c r="B77" s="9">
        <v>0</v>
      </c>
      <c r="C77" s="9" t="s">
        <v>89</v>
      </c>
      <c r="D77" s="9">
        <v>1</v>
      </c>
      <c r="E77" s="60" t="s">
        <v>88</v>
      </c>
      <c r="F77" s="61"/>
      <c r="G77" s="9">
        <v>0</v>
      </c>
      <c r="H77" s="9" t="s">
        <v>136</v>
      </c>
      <c r="I77" s="60">
        <f ca="1">--TRIM(RIGHT(SUBSTITUTE(LEFT(C76,_xlfn.AGGREGATE(16,6,FIND({0,1,2,3,4,5,6,7,8,9},C76,ROW(INDIRECT("1:"&amp;LEN(C76)))),1))," ",REPT(" ",LEN(C76))),LEN(C76)))</f>
        <v>18</v>
      </c>
      <c r="J77" s="62"/>
      <c r="K77" s="3"/>
      <c r="L77" s="14"/>
    </row>
    <row r="78" spans="1:16" customFormat="1" hidden="1" x14ac:dyDescent="0.35">
      <c r="A78" s="63" t="s">
        <v>137</v>
      </c>
      <c r="B78" s="64"/>
      <c r="C78" s="65" t="str">
        <f ca="1">K76</f>
        <v>All work completed. Please provide OC.</v>
      </c>
      <c r="D78" s="66"/>
      <c r="E78" s="66"/>
      <c r="F78" s="66"/>
      <c r="G78" s="66"/>
      <c r="H78" s="66"/>
      <c r="I78" s="66"/>
      <c r="J78" s="67"/>
      <c r="K78" s="3" t="s">
        <v>138</v>
      </c>
      <c r="L78" s="14"/>
    </row>
    <row r="79" spans="1:16" customFormat="1" hidden="1" x14ac:dyDescent="0.35">
      <c r="A79" s="68" t="s">
        <v>63</v>
      </c>
      <c r="B79" s="61"/>
      <c r="C79" s="15" t="s">
        <v>139</v>
      </c>
      <c r="D79" s="69" t="s">
        <v>140</v>
      </c>
      <c r="E79" s="69"/>
      <c r="F79" s="69" t="s">
        <v>141</v>
      </c>
      <c r="G79" s="69"/>
      <c r="H79" s="69" t="s">
        <v>142</v>
      </c>
      <c r="I79" s="69"/>
      <c r="J79" s="70"/>
      <c r="K79" s="4" t="s">
        <v>143</v>
      </c>
      <c r="L79" s="16">
        <f ca="1">I77*25%</f>
        <v>4.5</v>
      </c>
    </row>
    <row r="80" spans="1:16" customFormat="1" ht="15.75" hidden="1" customHeight="1" x14ac:dyDescent="0.35">
      <c r="A80" s="71" t="s">
        <v>144</v>
      </c>
      <c r="B80" s="72"/>
      <c r="C80" s="17">
        <f ca="1">L81</f>
        <v>18</v>
      </c>
      <c r="D80" s="73">
        <f ca="1">((100/I77)*C80)/100</f>
        <v>1</v>
      </c>
      <c r="E80" s="74"/>
      <c r="F80" s="75">
        <f ca="1">(((C81/I77*10)+(40/(D77+G77+I77)*C82)+(7.5/(I77)*C83)+(7.5/(I77)*C84)+(10/I77*C85)+(10/I77*C86)+(5/I77*C87)+(5/I77*C88)+(5/I77*C89))/100)</f>
        <v>1</v>
      </c>
      <c r="G80" s="75"/>
      <c r="H80" s="77">
        <f ca="1">((((C80/I77)*20)+((C81/I77)*25)+(30/(I77+G77+D77)*C82)+(5/I77*C83)+(5/I77*C84)+(5/I77*C85)+(5/I77*C86)+(0/I77*C87)+(0/I77*C88)+(5/I77*C89))/100)</f>
        <v>1</v>
      </c>
      <c r="I80" s="78"/>
      <c r="J80" s="79"/>
      <c r="K80" s="4" t="s">
        <v>93</v>
      </c>
      <c r="L80" s="18">
        <f ca="1">I77*50%</f>
        <v>9</v>
      </c>
      <c r="O80" s="38"/>
      <c r="P80" s="38"/>
    </row>
    <row r="81" spans="1:14" customFormat="1" ht="15.75" hidden="1" customHeight="1" x14ac:dyDescent="0.35">
      <c r="A81" s="71" t="s">
        <v>64</v>
      </c>
      <c r="B81" s="72"/>
      <c r="C81" s="19">
        <f ca="1">L89</f>
        <v>18</v>
      </c>
      <c r="D81" s="73">
        <f ca="1">((100/I77)*C81)/100</f>
        <v>1</v>
      </c>
      <c r="E81" s="74"/>
      <c r="F81" s="75"/>
      <c r="G81" s="75"/>
      <c r="H81" s="80"/>
      <c r="I81" s="81"/>
      <c r="J81" s="82"/>
      <c r="K81" s="4" t="s">
        <v>94</v>
      </c>
      <c r="L81" s="18">
        <f ca="1">I77</f>
        <v>18</v>
      </c>
    </row>
    <row r="82" spans="1:14" customFormat="1" ht="15.75" hidden="1" customHeight="1" x14ac:dyDescent="0.35">
      <c r="A82" s="71" t="s">
        <v>145</v>
      </c>
      <c r="B82" s="72"/>
      <c r="C82" s="19">
        <v>19</v>
      </c>
      <c r="D82" s="73">
        <f ca="1">((100/(D77+G77+I77))*C82)/100</f>
        <v>1</v>
      </c>
      <c r="E82" s="74"/>
      <c r="F82" s="75"/>
      <c r="G82" s="75"/>
      <c r="H82" s="80"/>
      <c r="I82" s="81"/>
      <c r="J82" s="82"/>
      <c r="K82" s="4" t="s">
        <v>95</v>
      </c>
      <c r="L82" s="20">
        <f ca="1">(IF(B77&gt;1,(I77/(B77+2)),I77/4))</f>
        <v>4.5</v>
      </c>
      <c r="M82" s="38" t="s">
        <v>179</v>
      </c>
      <c r="N82" s="38"/>
    </row>
    <row r="83" spans="1:14" customFormat="1" ht="15.75" hidden="1" customHeight="1" x14ac:dyDescent="0.35">
      <c r="A83" s="71" t="s">
        <v>146</v>
      </c>
      <c r="B83" s="72" t="s">
        <v>147</v>
      </c>
      <c r="C83" s="17">
        <v>18</v>
      </c>
      <c r="D83" s="73">
        <f ca="1">((100/I77)*C83)/100</f>
        <v>1</v>
      </c>
      <c r="E83" s="74"/>
      <c r="F83" s="75"/>
      <c r="G83" s="75"/>
      <c r="H83" s="80"/>
      <c r="I83" s="81"/>
      <c r="J83" s="82"/>
      <c r="K83" s="4" t="s">
        <v>96</v>
      </c>
      <c r="L83" s="20">
        <f ca="1">(IF(B77&gt;1,(I77/(B77+2)+L82),I77/4+L82))</f>
        <v>9</v>
      </c>
    </row>
    <row r="84" spans="1:14" customFormat="1" ht="15.75" hidden="1" customHeight="1" x14ac:dyDescent="0.35">
      <c r="A84" s="71" t="s">
        <v>148</v>
      </c>
      <c r="B84" s="72" t="s">
        <v>147</v>
      </c>
      <c r="C84" s="17">
        <v>18</v>
      </c>
      <c r="D84" s="73">
        <f ca="1">((100/I77)*C84)/100</f>
        <v>1</v>
      </c>
      <c r="E84" s="74"/>
      <c r="F84" s="75"/>
      <c r="G84" s="75"/>
      <c r="H84" s="80"/>
      <c r="I84" s="81"/>
      <c r="J84" s="82"/>
      <c r="K84" s="4" t="s">
        <v>149</v>
      </c>
      <c r="L84" s="20">
        <f>(IF(B77&gt;1,(I77/(B77+2)+L83),0))</f>
        <v>0</v>
      </c>
    </row>
    <row r="85" spans="1:14" customFormat="1" ht="15.75" hidden="1" customHeight="1" x14ac:dyDescent="0.35">
      <c r="A85" s="71" t="s">
        <v>150</v>
      </c>
      <c r="B85" s="72" t="s">
        <v>151</v>
      </c>
      <c r="C85" s="17">
        <v>18</v>
      </c>
      <c r="D85" s="73">
        <f ca="1">((100/(I77))*C85)/100</f>
        <v>1</v>
      </c>
      <c r="E85" s="74"/>
      <c r="F85" s="75"/>
      <c r="G85" s="75"/>
      <c r="H85" s="80"/>
      <c r="I85" s="81"/>
      <c r="J85" s="82"/>
      <c r="K85" s="4" t="s">
        <v>152</v>
      </c>
      <c r="L85" s="20">
        <f>(IF(B77&gt;2,(I77/(B77+2)+L84),0))</f>
        <v>0</v>
      </c>
    </row>
    <row r="86" spans="1:14" customFormat="1" ht="15.75" hidden="1" customHeight="1" x14ac:dyDescent="0.35">
      <c r="A86" s="71" t="s">
        <v>153</v>
      </c>
      <c r="B86" s="72" t="s">
        <v>153</v>
      </c>
      <c r="C86" s="17">
        <v>18</v>
      </c>
      <c r="D86" s="73">
        <f ca="1">((100/I77)*C86)/100</f>
        <v>1</v>
      </c>
      <c r="E86" s="74"/>
      <c r="F86" s="75"/>
      <c r="G86" s="75"/>
      <c r="H86" s="80"/>
      <c r="I86" s="81"/>
      <c r="J86" s="82"/>
      <c r="K86" s="4" t="s">
        <v>154</v>
      </c>
      <c r="L86" s="21">
        <f>(IF(B77&gt;3,(I77/(B77+2)+L85),0))</f>
        <v>0</v>
      </c>
    </row>
    <row r="87" spans="1:14" customFormat="1" ht="16.5" hidden="1" customHeight="1" x14ac:dyDescent="0.35">
      <c r="A87" s="71" t="s">
        <v>155</v>
      </c>
      <c r="B87" s="72"/>
      <c r="C87" s="17">
        <v>18</v>
      </c>
      <c r="D87" s="73">
        <f ca="1">((100/I77)*C87)/100</f>
        <v>1</v>
      </c>
      <c r="E87" s="74"/>
      <c r="F87" s="75"/>
      <c r="G87" s="75"/>
      <c r="H87" s="80"/>
      <c r="I87" s="81"/>
      <c r="J87" s="82"/>
      <c r="K87" s="4" t="s">
        <v>156</v>
      </c>
      <c r="L87" s="20">
        <f>(IF(B77&gt;4,(I77/(B77+2)+L86),0))</f>
        <v>0</v>
      </c>
    </row>
    <row r="88" spans="1:14" customFormat="1" ht="15.75" hidden="1" customHeight="1" x14ac:dyDescent="0.35">
      <c r="A88" s="71" t="s">
        <v>157</v>
      </c>
      <c r="B88" s="72" t="s">
        <v>157</v>
      </c>
      <c r="C88" s="17">
        <v>18</v>
      </c>
      <c r="D88" s="73">
        <f ca="1">((100/(I77))*C88)/100</f>
        <v>1</v>
      </c>
      <c r="E88" s="74"/>
      <c r="F88" s="75"/>
      <c r="G88" s="75"/>
      <c r="H88" s="80"/>
      <c r="I88" s="81"/>
      <c r="J88" s="82"/>
      <c r="K88" s="4" t="s">
        <v>97</v>
      </c>
      <c r="L88" s="20">
        <f ca="1">(IF(B77=1,(I77/(B77+3)+L83),IF(B77=0,(I77/4+L83),IF(B77&gt;1,0))))</f>
        <v>13.5</v>
      </c>
    </row>
    <row r="89" spans="1:14" customFormat="1" ht="16" hidden="1" thickBot="1" x14ac:dyDescent="0.4">
      <c r="A89" s="101" t="s">
        <v>158</v>
      </c>
      <c r="B89" s="102"/>
      <c r="C89" s="22">
        <v>18</v>
      </c>
      <c r="D89" s="103">
        <f ca="1">((100/(I77))*C89)/100</f>
        <v>1</v>
      </c>
      <c r="E89" s="104"/>
      <c r="F89" s="76"/>
      <c r="G89" s="76"/>
      <c r="H89" s="83"/>
      <c r="I89" s="84"/>
      <c r="J89" s="85"/>
      <c r="K89" s="5" t="s">
        <v>98</v>
      </c>
      <c r="L89" s="23">
        <f ca="1">(IF(B77&gt;1.5,(I77/(B77+2)+L83+MAX(0,L84-L83)+MAX(0,L85-L84)+MAX(0,L86-L85)+MAX(0,L87-L86)+MAX(0,L88-L87)),IF(B77=1,(I77/(B77+3)+L88),IF(B77=0,I77/4+L88))))</f>
        <v>18</v>
      </c>
    </row>
    <row r="90" spans="1:14" customFormat="1" x14ac:dyDescent="0.35">
      <c r="A90" s="55" t="s">
        <v>135</v>
      </c>
      <c r="B90" s="56"/>
      <c r="C90" s="57" t="s">
        <v>246</v>
      </c>
      <c r="D90" s="58"/>
      <c r="E90" s="58"/>
      <c r="F90" s="58"/>
      <c r="G90" s="58"/>
      <c r="H90" s="58"/>
      <c r="I90" s="58"/>
      <c r="J90" s="59"/>
      <c r="K90" s="2" t="str">
        <f ca="1">(IF(F94&gt;99%,"All work completed. Please provide OC.",IF(F94&gt;89.8%,"Plinth, RCC, Brick, Plaster, Flooring, Painting work Completed. Finishing work is in process.",IF(F94&lt;94%,(IF(C94=0,"Work not yet Started.",IF(D94=25%,"Piling work in process",IF(D94=50%,"Excavation work in process",IF(D94=100%,"Excavation work Completed. ","0")))&amp;(IF(C95=0%,"",IF(C95=L96,"Footing work is process",IF(C95=L97,"Footing work Completed",IF(C95=L98,"1st Basement Completed",IF(C95=L99,"1st &amp; 2nd Basement Completed",IF(C95=L100,"1st to 3rd Basement Completed",IF(C95=L101,"1st to 4th Basement Completed",IF(C95=L102,"Plinth work is process",IF(C95=L103,"Plinth work completed","0")))))))))))&amp;(IF(C96=(D91+G91+I91),", RCC Slab",IF(C96&gt;0,", RCC upto "&amp;C96&amp;" Slab",""))&amp;(IF(C97=I91,", Brickwork",IF(C97&gt;0,", Brickwork upto "&amp;C97&amp;" Floor",""))&amp;(IF(C98=I91,", Internal Plaster",IF(C98&gt;0,", Internal Plaster upto "&amp;C98&amp;" Floor",""))&amp;(IF(C99=I91,", External Plaster",IF(C99&gt;0,", External Plaster upto "&amp;C99&amp;" Floor",""))&amp;(IF(C100=I91,", Flooring",IF(C100&gt;0,", Flooring upto "&amp;C100&amp;" Floor",""))&amp;(IF(C101=I91,", Painting",IF(C101&gt;0,", Painting upto "&amp;C101&amp;" Floor",""))&amp;(IF(C102&gt;0,", Finishing upto "&amp;C102&amp;" Floor","")&amp;(IF(C96&gt;0.5," Completed",""))))))))))))))</f>
        <v>All work completed. Please provide OC.</v>
      </c>
      <c r="L90" s="13"/>
    </row>
    <row r="91" spans="1:14" customFormat="1" ht="15.75" customHeight="1" x14ac:dyDescent="0.35">
      <c r="A91" s="8" t="s">
        <v>87</v>
      </c>
      <c r="B91" s="9">
        <v>0</v>
      </c>
      <c r="C91" s="9" t="s">
        <v>89</v>
      </c>
      <c r="D91" s="9">
        <v>1</v>
      </c>
      <c r="E91" s="60" t="s">
        <v>88</v>
      </c>
      <c r="F91" s="61"/>
      <c r="G91" s="9">
        <v>0</v>
      </c>
      <c r="H91" s="9" t="s">
        <v>136</v>
      </c>
      <c r="I91" s="60">
        <f ca="1">--TRIM(RIGHT(SUBSTITUTE(LEFT(C90,_xlfn.AGGREGATE(16,6,FIND({0,1,2,3,4,5,6,7,8,9},C90,ROW(INDIRECT("1:"&amp;LEN(C90)))),1))," ",REPT(" ",LEN(C90))),LEN(C90)))</f>
        <v>18</v>
      </c>
      <c r="J91" s="62"/>
      <c r="K91" s="3"/>
      <c r="L91" s="14"/>
    </row>
    <row r="92" spans="1:14" customFormat="1" x14ac:dyDescent="0.35">
      <c r="A92" s="63" t="s">
        <v>137</v>
      </c>
      <c r="B92" s="64"/>
      <c r="C92" s="65" t="str">
        <f ca="1">K90</f>
        <v>All work completed. Please provide OC.</v>
      </c>
      <c r="D92" s="66"/>
      <c r="E92" s="66"/>
      <c r="F92" s="66"/>
      <c r="G92" s="66"/>
      <c r="H92" s="66"/>
      <c r="I92" s="66"/>
      <c r="J92" s="67"/>
      <c r="K92" s="3" t="s">
        <v>138</v>
      </c>
      <c r="L92" s="14"/>
    </row>
    <row r="93" spans="1:14" customFormat="1" x14ac:dyDescent="0.35">
      <c r="A93" s="68" t="s">
        <v>63</v>
      </c>
      <c r="B93" s="61"/>
      <c r="C93" s="15" t="s">
        <v>139</v>
      </c>
      <c r="D93" s="69" t="s">
        <v>140</v>
      </c>
      <c r="E93" s="69"/>
      <c r="F93" s="69" t="s">
        <v>141</v>
      </c>
      <c r="G93" s="69"/>
      <c r="H93" s="69" t="s">
        <v>142</v>
      </c>
      <c r="I93" s="69"/>
      <c r="J93" s="70"/>
      <c r="K93" s="4" t="s">
        <v>143</v>
      </c>
      <c r="L93" s="16">
        <f ca="1">I91*25%</f>
        <v>4.5</v>
      </c>
    </row>
    <row r="94" spans="1:14" customFormat="1" ht="15.75" customHeight="1" x14ac:dyDescent="0.35">
      <c r="A94" s="71" t="s">
        <v>144</v>
      </c>
      <c r="B94" s="72"/>
      <c r="C94" s="17">
        <f ca="1">L95</f>
        <v>18</v>
      </c>
      <c r="D94" s="73">
        <f ca="1">((100/I91)*C94)/100</f>
        <v>1</v>
      </c>
      <c r="E94" s="74"/>
      <c r="F94" s="75">
        <f ca="1">(((C95/I91*10)+(40/(D91+G91+I91)*C96)+(7.5/(I91)*C97)+(7.5/(I91)*C98)+(10/I91*C99)+(10/I91*C100)+(5/I91*C101)+(5/I91*C102)+(5/I91*C103))/100)</f>
        <v>1</v>
      </c>
      <c r="G94" s="75"/>
      <c r="H94" s="77">
        <f ca="1">((((C94/I91)*20)+((C95/I91)*25)+(30/(I91+G91+D91)*C96)+(5/I91*C97)+(5/I91*C98)+(5/I91*C99)+(5/I91*C100)+(0/I91*C101)+(0/I91*C102)+(5/I91*C103))/100)</f>
        <v>1</v>
      </c>
      <c r="I94" s="78"/>
      <c r="J94" s="79"/>
      <c r="K94" s="4" t="s">
        <v>93</v>
      </c>
      <c r="L94" s="18">
        <f ca="1">I91*50%</f>
        <v>9</v>
      </c>
    </row>
    <row r="95" spans="1:14" customFormat="1" ht="15.75" customHeight="1" x14ac:dyDescent="0.35">
      <c r="A95" s="71" t="s">
        <v>64</v>
      </c>
      <c r="B95" s="72"/>
      <c r="C95" s="19">
        <f ca="1">L103</f>
        <v>18</v>
      </c>
      <c r="D95" s="73">
        <f ca="1">((100/I91)*C95)/100</f>
        <v>1</v>
      </c>
      <c r="E95" s="74"/>
      <c r="F95" s="75"/>
      <c r="G95" s="75"/>
      <c r="H95" s="80"/>
      <c r="I95" s="81"/>
      <c r="J95" s="82"/>
      <c r="K95" s="4" t="s">
        <v>94</v>
      </c>
      <c r="L95" s="18">
        <f ca="1">I91</f>
        <v>18</v>
      </c>
    </row>
    <row r="96" spans="1:14" customFormat="1" ht="15.75" customHeight="1" x14ac:dyDescent="0.35">
      <c r="A96" s="71" t="s">
        <v>145</v>
      </c>
      <c r="B96" s="72"/>
      <c r="C96" s="19">
        <v>19</v>
      </c>
      <c r="D96" s="73">
        <f ca="1">((100/(D91+G91+I91))*C96)/100</f>
        <v>1</v>
      </c>
      <c r="E96" s="74"/>
      <c r="F96" s="75"/>
      <c r="G96" s="75"/>
      <c r="H96" s="80"/>
      <c r="I96" s="81"/>
      <c r="J96" s="82"/>
      <c r="K96" s="4" t="s">
        <v>95</v>
      </c>
      <c r="L96" s="20">
        <f ca="1">(IF(B91&gt;1,(I91/(B91+2)),I91/4))</f>
        <v>4.5</v>
      </c>
    </row>
    <row r="97" spans="1:16" customFormat="1" ht="15.75" customHeight="1" x14ac:dyDescent="0.35">
      <c r="A97" s="71" t="s">
        <v>146</v>
      </c>
      <c r="B97" s="72" t="s">
        <v>147</v>
      </c>
      <c r="C97" s="17">
        <v>18</v>
      </c>
      <c r="D97" s="73">
        <f ca="1">((100/I91)*C97)/100</f>
        <v>1</v>
      </c>
      <c r="E97" s="74"/>
      <c r="F97" s="75"/>
      <c r="G97" s="75"/>
      <c r="H97" s="80"/>
      <c r="I97" s="81"/>
      <c r="J97" s="82"/>
      <c r="K97" s="4" t="s">
        <v>96</v>
      </c>
      <c r="L97" s="20">
        <f ca="1">(IF(B91&gt;1,(I91/(B91+2)+L96),I91/4+L96))</f>
        <v>9</v>
      </c>
    </row>
    <row r="98" spans="1:16" customFormat="1" ht="15.75" customHeight="1" x14ac:dyDescent="0.35">
      <c r="A98" s="71" t="s">
        <v>148</v>
      </c>
      <c r="B98" s="72" t="s">
        <v>147</v>
      </c>
      <c r="C98" s="17">
        <v>18</v>
      </c>
      <c r="D98" s="73">
        <f ca="1">((100/I91)*C98)/100</f>
        <v>1</v>
      </c>
      <c r="E98" s="74"/>
      <c r="F98" s="75"/>
      <c r="G98" s="75"/>
      <c r="H98" s="80"/>
      <c r="I98" s="81"/>
      <c r="J98" s="82"/>
      <c r="K98" s="4" t="s">
        <v>149</v>
      </c>
      <c r="L98" s="20">
        <f>(IF(B91&gt;1,(I91/(B91+2)+L97),0))</f>
        <v>0</v>
      </c>
    </row>
    <row r="99" spans="1:16" customFormat="1" ht="15.75" customHeight="1" x14ac:dyDescent="0.35">
      <c r="A99" s="71" t="s">
        <v>150</v>
      </c>
      <c r="B99" s="72" t="s">
        <v>151</v>
      </c>
      <c r="C99" s="17">
        <v>18</v>
      </c>
      <c r="D99" s="73">
        <f ca="1">((100/(I91))*C99)/100</f>
        <v>1</v>
      </c>
      <c r="E99" s="74"/>
      <c r="F99" s="75"/>
      <c r="G99" s="75"/>
      <c r="H99" s="80"/>
      <c r="I99" s="81"/>
      <c r="J99" s="82"/>
      <c r="K99" s="4" t="s">
        <v>152</v>
      </c>
      <c r="L99" s="20">
        <f>(IF(B91&gt;2,(I91/(B91+2)+L98),0))</f>
        <v>0</v>
      </c>
    </row>
    <row r="100" spans="1:16" customFormat="1" ht="15.75" customHeight="1" x14ac:dyDescent="0.35">
      <c r="A100" s="71" t="s">
        <v>153</v>
      </c>
      <c r="B100" s="72" t="s">
        <v>153</v>
      </c>
      <c r="C100" s="17">
        <v>18</v>
      </c>
      <c r="D100" s="73">
        <f ca="1">((100/I91)*C100)/100</f>
        <v>1</v>
      </c>
      <c r="E100" s="74"/>
      <c r="F100" s="75"/>
      <c r="G100" s="75"/>
      <c r="H100" s="80"/>
      <c r="I100" s="81"/>
      <c r="J100" s="82"/>
      <c r="K100" s="4" t="s">
        <v>154</v>
      </c>
      <c r="L100" s="21">
        <f>(IF(B91&gt;3,(I91/(B91+2)+L99),0))</f>
        <v>0</v>
      </c>
    </row>
    <row r="101" spans="1:16" customFormat="1" ht="16.5" customHeight="1" x14ac:dyDescent="0.35">
      <c r="A101" s="71" t="s">
        <v>155</v>
      </c>
      <c r="B101" s="72"/>
      <c r="C101" s="17">
        <v>18</v>
      </c>
      <c r="D101" s="73">
        <f ca="1">((100/I91)*C101)/100</f>
        <v>1</v>
      </c>
      <c r="E101" s="74"/>
      <c r="F101" s="75"/>
      <c r="G101" s="75"/>
      <c r="H101" s="80"/>
      <c r="I101" s="81"/>
      <c r="J101" s="82"/>
      <c r="K101" s="4" t="s">
        <v>156</v>
      </c>
      <c r="L101" s="20">
        <f>(IF(B91&gt;4,(I91/(B91+2)+L100),0))</f>
        <v>0</v>
      </c>
    </row>
    <row r="102" spans="1:16" customFormat="1" ht="15.75" customHeight="1" x14ac:dyDescent="0.35">
      <c r="A102" s="71" t="s">
        <v>157</v>
      </c>
      <c r="B102" s="72" t="s">
        <v>157</v>
      </c>
      <c r="C102" s="17">
        <v>18</v>
      </c>
      <c r="D102" s="73">
        <f ca="1">((100/(I91))*C102)/100</f>
        <v>1</v>
      </c>
      <c r="E102" s="74"/>
      <c r="F102" s="75"/>
      <c r="G102" s="75"/>
      <c r="H102" s="80"/>
      <c r="I102" s="81"/>
      <c r="J102" s="82"/>
      <c r="K102" s="4" t="s">
        <v>97</v>
      </c>
      <c r="L102" s="20">
        <f ca="1">(IF(B91=1,(I91/(B91+3)+L97),IF(B91=0,(I91/4+L97),IF(B91&gt;1,0))))</f>
        <v>13.5</v>
      </c>
    </row>
    <row r="103" spans="1:16" customFormat="1" ht="16" thickBot="1" x14ac:dyDescent="0.4">
      <c r="A103" s="101" t="s">
        <v>158</v>
      </c>
      <c r="B103" s="102"/>
      <c r="C103" s="22">
        <v>18</v>
      </c>
      <c r="D103" s="103">
        <f ca="1">((100/(I91))*C103)/100</f>
        <v>1</v>
      </c>
      <c r="E103" s="104"/>
      <c r="F103" s="76"/>
      <c r="G103" s="76"/>
      <c r="H103" s="83"/>
      <c r="I103" s="84"/>
      <c r="J103" s="85"/>
      <c r="K103" s="5" t="s">
        <v>98</v>
      </c>
      <c r="L103" s="23">
        <f ca="1">(IF(B91&gt;1.5,(I91/(B91+2)+L97+MAX(0,L98-L97)+MAX(0,L99-L98)+MAX(0,L100-L99)+MAX(0,L101-L100)+MAX(0,L102-L101)),IF(B91=1,(I91/(B91+3)+L102),IF(B91=0,I91/4+L102))))</f>
        <v>18</v>
      </c>
    </row>
    <row r="104" spans="1:16" customFormat="1" hidden="1" x14ac:dyDescent="0.35">
      <c r="A104" s="55" t="s">
        <v>135</v>
      </c>
      <c r="B104" s="56"/>
      <c r="C104" s="57" t="s">
        <v>210</v>
      </c>
      <c r="D104" s="58"/>
      <c r="E104" s="58"/>
      <c r="F104" s="58"/>
      <c r="G104" s="58"/>
      <c r="H104" s="58"/>
      <c r="I104" s="58"/>
      <c r="J104" s="59"/>
      <c r="K104" s="2" t="str">
        <f ca="1">(IF(F108&gt;99%,"All work completed. Please provide OC.",IF(F108&gt;89.8%,"Plinth, RCC, Brick, Plaster, Flooring, Painting work Completed. Finishing work is in process.",IF(F108&lt;94%,(IF(C108=0,"Work not yet Started.",IF(D108=25%,"Piling work in process",IF(D108=50%,"Excavation work in process",IF(D108=100%,"Excavation work Completed. ","0")))&amp;(IF(C109=0%,"",IF(C109=L110,"Footing work is process",IF(C109=L111,"Footing work Completed",IF(C109=L112,"1st Basement Completed",IF(C109=L113,"1st &amp; 2nd Basement Completed",IF(C109=L114,"1st to 3rd Basement Completed",IF(C109=L115,"1st to 4th Basement Completed",IF(C109=L116,"Plinth work is process",IF(C109=L117,"Plinth work completed","0")))))))))))&amp;(IF(C110=(D105+G105+I105),", RCC Slab",IF(C110&gt;0,", RCC upto "&amp;C110&amp;" Slab",""))&amp;(IF(C111=I105,", Brickwork",IF(C111&gt;0,", Brickwork upto "&amp;C111&amp;" Floor",""))&amp;(IF(C112=I105,", Internal Plaster",IF(C112&gt;0,", Internal Plaster upto "&amp;C112&amp;" Floor",""))&amp;(IF(C113=I105,", External Plaster",IF(C113&gt;0,", External Plaster upto "&amp;C113&amp;" Floor",""))&amp;(IF(C114=I105,", Flooring",IF(C114&gt;0,", Flooring upto "&amp;C114&amp;" Floor",""))&amp;(IF(C115=I105,", Painting",IF(C115&gt;0,", Painting upto "&amp;C115&amp;" Floor",""))&amp;(IF(C116&gt;0,", Finishing upto "&amp;C116&amp;" Floor","")&amp;(IF(C110&gt;0.5," Completed",""))))))))))))))</f>
        <v>Excavation work Completed. Plinth work completed, RCC Slab, Brickwork, Internal Plaster, External Plaster upto 17 Floor, Flooring upto 15 Floor, Painting upto 15 Floor Completed</v>
      </c>
      <c r="L104" s="13"/>
    </row>
    <row r="105" spans="1:16" customFormat="1" ht="15.75" hidden="1" customHeight="1" x14ac:dyDescent="0.35">
      <c r="A105" s="8" t="s">
        <v>87</v>
      </c>
      <c r="B105" s="9">
        <v>0</v>
      </c>
      <c r="C105" s="9" t="s">
        <v>89</v>
      </c>
      <c r="D105" s="9">
        <v>1</v>
      </c>
      <c r="E105" s="60" t="s">
        <v>88</v>
      </c>
      <c r="F105" s="61"/>
      <c r="G105" s="9">
        <v>0</v>
      </c>
      <c r="H105" s="9" t="s">
        <v>136</v>
      </c>
      <c r="I105" s="60">
        <f ca="1">--TRIM(RIGHT(SUBSTITUTE(LEFT(C104,_xlfn.AGGREGATE(16,6,FIND({0,1,2,3,4,5,6,7,8,9},C104,ROW(INDIRECT("1:"&amp;LEN(C104)))),1))," ",REPT(" ",LEN(C104))),LEN(C104)))</f>
        <v>18</v>
      </c>
      <c r="J105" s="62"/>
      <c r="K105" s="3"/>
      <c r="L105" s="14"/>
    </row>
    <row r="106" spans="1:16" customFormat="1" ht="31.5" hidden="1" customHeight="1" x14ac:dyDescent="0.35">
      <c r="A106" s="63" t="s">
        <v>137</v>
      </c>
      <c r="B106" s="64"/>
      <c r="C106" s="65" t="str">
        <f ca="1">K104</f>
        <v>Excavation work Completed. Plinth work completed, RCC Slab, Brickwork, Internal Plaster, External Plaster upto 17 Floor, Flooring upto 15 Floor, Painting upto 15 Floor Completed</v>
      </c>
      <c r="D106" s="66"/>
      <c r="E106" s="66"/>
      <c r="F106" s="66"/>
      <c r="G106" s="66"/>
      <c r="H106" s="66"/>
      <c r="I106" s="66"/>
      <c r="J106" s="67"/>
      <c r="K106" s="3" t="s">
        <v>138</v>
      </c>
      <c r="L106" s="14"/>
    </row>
    <row r="107" spans="1:16" customFormat="1" hidden="1" x14ac:dyDescent="0.35">
      <c r="A107" s="68" t="s">
        <v>63</v>
      </c>
      <c r="B107" s="61"/>
      <c r="C107" s="15" t="s">
        <v>139</v>
      </c>
      <c r="D107" s="69" t="s">
        <v>140</v>
      </c>
      <c r="E107" s="69"/>
      <c r="F107" s="69" t="s">
        <v>141</v>
      </c>
      <c r="G107" s="69"/>
      <c r="H107" s="69" t="s">
        <v>142</v>
      </c>
      <c r="I107" s="69"/>
      <c r="J107" s="70"/>
      <c r="K107" s="4" t="s">
        <v>143</v>
      </c>
      <c r="L107" s="16">
        <f ca="1">I105*25%</f>
        <v>4.5</v>
      </c>
    </row>
    <row r="108" spans="1:16" customFormat="1" ht="15.75" hidden="1" customHeight="1" x14ac:dyDescent="0.35">
      <c r="A108" s="71" t="s">
        <v>144</v>
      </c>
      <c r="B108" s="72"/>
      <c r="C108" s="17">
        <f ca="1">L109</f>
        <v>18</v>
      </c>
      <c r="D108" s="73">
        <f ca="1">((100/I105)*C108)/100</f>
        <v>1</v>
      </c>
      <c r="E108" s="74"/>
      <c r="F108" s="75">
        <f ca="1">(((C109/I105*10)+(40/(D105+G105+I105)*C110)+(7.5/(I105)*C111)+(7.5/(I105)*C112)+(10/I105*C113)+(10/I105*C114)+(5/I105*C115)+(5/I105*C116)+(5/I105*C117))/100)</f>
        <v>0.86944444444444446</v>
      </c>
      <c r="G108" s="75"/>
      <c r="H108" s="77">
        <f ca="1">((((C108/I105)*20)+((C109/I105)*25)+(30/(I105+G105+D105)*C110)+(5/I105*C111)+(5/I105*C112)+(5/I105*C113)+(5/I105*C114)+(0/I105*C115)+(0/I105*C116)+(5/I105*C117))/100)</f>
        <v>0.93888888888888899</v>
      </c>
      <c r="I108" s="78"/>
      <c r="J108" s="79"/>
      <c r="K108" s="4" t="s">
        <v>93</v>
      </c>
      <c r="L108" s="18">
        <f ca="1">I105*50%</f>
        <v>9</v>
      </c>
      <c r="O108" s="38"/>
      <c r="P108" s="38"/>
    </row>
    <row r="109" spans="1:16" customFormat="1" ht="15.75" hidden="1" customHeight="1" x14ac:dyDescent="0.35">
      <c r="A109" s="71" t="s">
        <v>64</v>
      </c>
      <c r="B109" s="72"/>
      <c r="C109" s="19">
        <f ca="1">L117</f>
        <v>18</v>
      </c>
      <c r="D109" s="73">
        <f ca="1">((100/I105)*C109)/100</f>
        <v>1</v>
      </c>
      <c r="E109" s="74"/>
      <c r="F109" s="75"/>
      <c r="G109" s="75"/>
      <c r="H109" s="80"/>
      <c r="I109" s="81"/>
      <c r="J109" s="82"/>
      <c r="K109" s="4" t="s">
        <v>94</v>
      </c>
      <c r="L109" s="18">
        <f ca="1">I105</f>
        <v>18</v>
      </c>
    </row>
    <row r="110" spans="1:16" customFormat="1" ht="15.75" hidden="1" customHeight="1" x14ac:dyDescent="0.35">
      <c r="A110" s="71" t="s">
        <v>145</v>
      </c>
      <c r="B110" s="72"/>
      <c r="C110" s="19">
        <v>19</v>
      </c>
      <c r="D110" s="73">
        <f ca="1">((100/(D105+G105+I105))*C110)/100</f>
        <v>1</v>
      </c>
      <c r="E110" s="74"/>
      <c r="F110" s="75"/>
      <c r="G110" s="75"/>
      <c r="H110" s="80"/>
      <c r="I110" s="81"/>
      <c r="J110" s="82"/>
      <c r="K110" s="4" t="s">
        <v>95</v>
      </c>
      <c r="L110" s="20">
        <f ca="1">(IF(B105&gt;1,(I105/(B105+2)),I105/4))</f>
        <v>4.5</v>
      </c>
      <c r="M110" s="38" t="s">
        <v>178</v>
      </c>
      <c r="N110" s="38"/>
    </row>
    <row r="111" spans="1:16" customFormat="1" ht="15.75" hidden="1" customHeight="1" x14ac:dyDescent="0.35">
      <c r="A111" s="71" t="s">
        <v>146</v>
      </c>
      <c r="B111" s="72" t="s">
        <v>147</v>
      </c>
      <c r="C111" s="17">
        <v>18</v>
      </c>
      <c r="D111" s="73">
        <f ca="1">((100/I105)*C111)/100</f>
        <v>1</v>
      </c>
      <c r="E111" s="74"/>
      <c r="F111" s="75"/>
      <c r="G111" s="75"/>
      <c r="H111" s="80"/>
      <c r="I111" s="81"/>
      <c r="J111" s="82"/>
      <c r="K111" s="4" t="s">
        <v>96</v>
      </c>
      <c r="L111" s="20">
        <f ca="1">(IF(B105&gt;1,(I105/(B105+2)+L110),I105/4+L110))</f>
        <v>9</v>
      </c>
    </row>
    <row r="112" spans="1:16" customFormat="1" ht="15.75" hidden="1" customHeight="1" x14ac:dyDescent="0.35">
      <c r="A112" s="71" t="s">
        <v>148</v>
      </c>
      <c r="B112" s="72" t="s">
        <v>147</v>
      </c>
      <c r="C112" s="17">
        <v>18</v>
      </c>
      <c r="D112" s="73">
        <f ca="1">((100/I105)*C112)/100</f>
        <v>1</v>
      </c>
      <c r="E112" s="74"/>
      <c r="F112" s="75"/>
      <c r="G112" s="75"/>
      <c r="H112" s="80"/>
      <c r="I112" s="81"/>
      <c r="J112" s="82"/>
      <c r="K112" s="4" t="s">
        <v>149</v>
      </c>
      <c r="L112" s="20">
        <f>(IF(B105&gt;1,(I105/(B105+2)+L111),0))</f>
        <v>0</v>
      </c>
    </row>
    <row r="113" spans="1:12" customFormat="1" ht="15.75" hidden="1" customHeight="1" x14ac:dyDescent="0.35">
      <c r="A113" s="71" t="s">
        <v>150</v>
      </c>
      <c r="B113" s="72" t="s">
        <v>151</v>
      </c>
      <c r="C113" s="17">
        <v>17</v>
      </c>
      <c r="D113" s="73">
        <f ca="1">((100/(I105))*C113)/100</f>
        <v>0.94444444444444442</v>
      </c>
      <c r="E113" s="74"/>
      <c r="F113" s="75"/>
      <c r="G113" s="75"/>
      <c r="H113" s="80"/>
      <c r="I113" s="81"/>
      <c r="J113" s="82"/>
      <c r="K113" s="4" t="s">
        <v>152</v>
      </c>
      <c r="L113" s="20">
        <f>(IF(B105&gt;2,(I105/(B105+2)+L112),0))</f>
        <v>0</v>
      </c>
    </row>
    <row r="114" spans="1:12" customFormat="1" ht="15.75" hidden="1" customHeight="1" x14ac:dyDescent="0.35">
      <c r="A114" s="71" t="s">
        <v>153</v>
      </c>
      <c r="B114" s="72" t="s">
        <v>153</v>
      </c>
      <c r="C114" s="17">
        <v>15</v>
      </c>
      <c r="D114" s="73">
        <f ca="1">((100/I105)*C114)/100</f>
        <v>0.83333333333333326</v>
      </c>
      <c r="E114" s="74"/>
      <c r="F114" s="75"/>
      <c r="G114" s="75"/>
      <c r="H114" s="80"/>
      <c r="I114" s="81"/>
      <c r="J114" s="82"/>
      <c r="K114" s="4" t="s">
        <v>154</v>
      </c>
      <c r="L114" s="21">
        <f>(IF(B105&gt;3,(I105/(B105+2)+L113),0))</f>
        <v>0</v>
      </c>
    </row>
    <row r="115" spans="1:12" customFormat="1" ht="16.5" hidden="1" customHeight="1" x14ac:dyDescent="0.35">
      <c r="A115" s="71" t="s">
        <v>155</v>
      </c>
      <c r="B115" s="72"/>
      <c r="C115" s="17">
        <v>15</v>
      </c>
      <c r="D115" s="73">
        <f ca="1">((100/I105)*C115)/100</f>
        <v>0.83333333333333326</v>
      </c>
      <c r="E115" s="74"/>
      <c r="F115" s="75"/>
      <c r="G115" s="75"/>
      <c r="H115" s="80"/>
      <c r="I115" s="81"/>
      <c r="J115" s="82"/>
      <c r="K115" s="4" t="s">
        <v>156</v>
      </c>
      <c r="L115" s="20">
        <f>(IF(B105&gt;4,(I105/(B105+2)+L114),0))</f>
        <v>0</v>
      </c>
    </row>
    <row r="116" spans="1:12" customFormat="1" ht="15.75" hidden="1" customHeight="1" x14ac:dyDescent="0.35">
      <c r="A116" s="71" t="s">
        <v>157</v>
      </c>
      <c r="B116" s="72" t="s">
        <v>157</v>
      </c>
      <c r="C116" s="17">
        <v>0</v>
      </c>
      <c r="D116" s="73">
        <f ca="1">((100/(I105))*C116)/100</f>
        <v>0</v>
      </c>
      <c r="E116" s="74"/>
      <c r="F116" s="75"/>
      <c r="G116" s="75"/>
      <c r="H116" s="80"/>
      <c r="I116" s="81"/>
      <c r="J116" s="82"/>
      <c r="K116" s="4" t="s">
        <v>97</v>
      </c>
      <c r="L116" s="20">
        <f ca="1">(IF(B105=1,(I105/(B105+3)+L111),IF(B105=0,(I105/4+L111),IF(B105&gt;1,0))))</f>
        <v>13.5</v>
      </c>
    </row>
    <row r="117" spans="1:12" customFormat="1" ht="16" hidden="1" thickBot="1" x14ac:dyDescent="0.4">
      <c r="A117" s="101" t="s">
        <v>158</v>
      </c>
      <c r="B117" s="102"/>
      <c r="C117" s="22">
        <v>0</v>
      </c>
      <c r="D117" s="103">
        <f ca="1">((100/(I105))*C117)/100</f>
        <v>0</v>
      </c>
      <c r="E117" s="104"/>
      <c r="F117" s="76"/>
      <c r="G117" s="76"/>
      <c r="H117" s="83"/>
      <c r="I117" s="84"/>
      <c r="J117" s="85"/>
      <c r="K117" s="5" t="s">
        <v>98</v>
      </c>
      <c r="L117" s="23">
        <f ca="1">(IF(B105&gt;1.5,(I105/(B105+2)+L111+MAX(0,L112-L111)+MAX(0,L113-L112)+MAX(0,L114-L113)+MAX(0,L115-L114)+MAX(0,L116-L115)),IF(B105=1,(I105/(B105+3)+L116),IF(B105=0,I105/4+L116))))</f>
        <v>18</v>
      </c>
    </row>
    <row r="118" spans="1:12" customFormat="1" hidden="1" x14ac:dyDescent="0.35">
      <c r="A118" s="55" t="s">
        <v>135</v>
      </c>
      <c r="B118" s="56"/>
      <c r="C118" s="57" t="s">
        <v>211</v>
      </c>
      <c r="D118" s="58"/>
      <c r="E118" s="58"/>
      <c r="F118" s="58"/>
      <c r="G118" s="58"/>
      <c r="H118" s="58"/>
      <c r="I118" s="58"/>
      <c r="J118" s="59"/>
      <c r="K118" s="2" t="str">
        <f ca="1">(IF(F122&gt;99%,"All work completed. Please provide OC.",IF(F122&gt;89.8%,"Plinth, RCC, Brick, Plaster, Flooring, Painting work Completed. Finishing work is in process.",IF(F122&lt;94%,(IF(C122=0,"Work not yet Started.",IF(D122=25%,"Piling work in process",IF(D122=50%,"Excavation work in process",IF(D122=100%,"Excavation work Completed. ","0")))&amp;(IF(C123=0%,"",IF(C123=L124,"Footing work is process",IF(C123=L125,"Footing work Completed",IF(C123=L126,"1st Basement Completed",IF(C123=L127,"1st &amp; 2nd Basement Completed",IF(C123=L128,"1st to 3rd Basement Completed",IF(C123=L129,"1st to 4th Basement Completed",IF(C123=L130,"Plinth work is process",IF(C123=L131,"Plinth work completed","0")))))))))))&amp;(IF(C124=(D119+G119+I119),", RCC Slab",IF(C124&gt;0,", RCC upto "&amp;C124&amp;" Slab",""))&amp;(IF(C125=I119,", Brickwork",IF(C125&gt;0,", Brickwork upto "&amp;C125&amp;" Floor",""))&amp;(IF(C126=I119,", Internal Plaster",IF(C126&gt;0,", Internal Plaster upto "&amp;C126&amp;" Floor",""))&amp;(IF(C127=I119,", External Plaster",IF(C127&gt;0,", External Plaster upto "&amp;C127&amp;" Floor",""))&amp;(IF(C128=I119,", Flooring",IF(C128&gt;0,", Flooring upto "&amp;C128&amp;" Floor",""))&amp;(IF(C129=I119,", Painting",IF(C129&gt;0,", Painting upto "&amp;C129&amp;" Floor",""))&amp;(IF(C130&gt;0,", Finishing upto "&amp;C130&amp;" Floor","")&amp;(IF(C124&gt;0.5," Completed",""))))))))))))))</f>
        <v>Excavation work Completed. Plinth work completed, RCC Slab, Brickwork, Internal Plaster upto 17 Floor, External Plaster upto 17 Floor, Flooring upto 15 Floor, Painting upto 15 Floor Completed</v>
      </c>
      <c r="L118" s="13"/>
    </row>
    <row r="119" spans="1:12" customFormat="1" ht="15.75" hidden="1" customHeight="1" x14ac:dyDescent="0.35">
      <c r="A119" s="8" t="s">
        <v>87</v>
      </c>
      <c r="B119" s="9">
        <v>0</v>
      </c>
      <c r="C119" s="9" t="s">
        <v>89</v>
      </c>
      <c r="D119" s="9">
        <v>1</v>
      </c>
      <c r="E119" s="60" t="s">
        <v>88</v>
      </c>
      <c r="F119" s="61"/>
      <c r="G119" s="9">
        <v>0</v>
      </c>
      <c r="H119" s="9" t="s">
        <v>136</v>
      </c>
      <c r="I119" s="60">
        <f ca="1">--TRIM(RIGHT(SUBSTITUTE(LEFT(C118,_xlfn.AGGREGATE(16,6,FIND({0,1,2,3,4,5,6,7,8,9},C118,ROW(INDIRECT("1:"&amp;LEN(C118)))),1))," ",REPT(" ",LEN(C118))),LEN(C118)))</f>
        <v>18</v>
      </c>
      <c r="J119" s="62"/>
      <c r="K119" s="3"/>
      <c r="L119" s="14"/>
    </row>
    <row r="120" spans="1:12" customFormat="1" ht="32.25" hidden="1" customHeight="1" x14ac:dyDescent="0.35">
      <c r="A120" s="63" t="s">
        <v>137</v>
      </c>
      <c r="B120" s="64"/>
      <c r="C120" s="65" t="str">
        <f ca="1">K118</f>
        <v>Excavation work Completed. Plinth work completed, RCC Slab, Brickwork, Internal Plaster upto 17 Floor, External Plaster upto 17 Floor, Flooring upto 15 Floor, Painting upto 15 Floor Completed</v>
      </c>
      <c r="D120" s="66"/>
      <c r="E120" s="66"/>
      <c r="F120" s="66"/>
      <c r="G120" s="66"/>
      <c r="H120" s="66"/>
      <c r="I120" s="66"/>
      <c r="J120" s="67"/>
      <c r="K120" s="3" t="s">
        <v>138</v>
      </c>
      <c r="L120" s="14"/>
    </row>
    <row r="121" spans="1:12" customFormat="1" hidden="1" x14ac:dyDescent="0.35">
      <c r="A121" s="68" t="s">
        <v>63</v>
      </c>
      <c r="B121" s="61"/>
      <c r="C121" s="15" t="s">
        <v>139</v>
      </c>
      <c r="D121" s="69" t="s">
        <v>140</v>
      </c>
      <c r="E121" s="69"/>
      <c r="F121" s="69" t="s">
        <v>141</v>
      </c>
      <c r="G121" s="69"/>
      <c r="H121" s="69" t="s">
        <v>142</v>
      </c>
      <c r="I121" s="69"/>
      <c r="J121" s="70"/>
      <c r="K121" s="4" t="s">
        <v>143</v>
      </c>
      <c r="L121" s="16">
        <f ca="1">I119*25%</f>
        <v>4.5</v>
      </c>
    </row>
    <row r="122" spans="1:12" customFormat="1" ht="15.75" hidden="1" customHeight="1" x14ac:dyDescent="0.35">
      <c r="A122" s="71" t="s">
        <v>144</v>
      </c>
      <c r="B122" s="72"/>
      <c r="C122" s="17">
        <f ca="1">L123</f>
        <v>18</v>
      </c>
      <c r="D122" s="73">
        <f ca="1">((100/I119)*C122)/100</f>
        <v>1</v>
      </c>
      <c r="E122" s="74"/>
      <c r="F122" s="75">
        <f ca="1">(((C123/I119*10)+(40/(D119+G119+I119)*C124)+(7.5/(I119)*C125)+(7.5/(I119)*C126)+(10/I119*C127)+(10/I119*C128)+(5/I119*C129)+(5/I119*C130)+(5/I119*C131))/100)</f>
        <v>0.8652777777777777</v>
      </c>
      <c r="G122" s="75"/>
      <c r="H122" s="77">
        <f ca="1">((((C122/I119)*20)+((C123/I119)*25)+(30/(I119+G119+D119)*C124)+(5/I119*C125)+(5/I119*C126)+(5/I119*C127)+(5/I119*C128)+(0/I119*C129)+(0/I119*C130)+(5/I119*C131))/100)</f>
        <v>0.93611111111111134</v>
      </c>
      <c r="I122" s="78"/>
      <c r="J122" s="79"/>
      <c r="K122" s="4" t="s">
        <v>93</v>
      </c>
      <c r="L122" s="18">
        <f ca="1">I119*50%</f>
        <v>9</v>
      </c>
    </row>
    <row r="123" spans="1:12" customFormat="1" ht="15.75" hidden="1" customHeight="1" x14ac:dyDescent="0.35">
      <c r="A123" s="71" t="s">
        <v>64</v>
      </c>
      <c r="B123" s="72"/>
      <c r="C123" s="19">
        <f ca="1">L131</f>
        <v>18</v>
      </c>
      <c r="D123" s="73">
        <f ca="1">((100/I119)*C123)/100</f>
        <v>1</v>
      </c>
      <c r="E123" s="74"/>
      <c r="F123" s="75"/>
      <c r="G123" s="75"/>
      <c r="H123" s="80"/>
      <c r="I123" s="81"/>
      <c r="J123" s="82"/>
      <c r="K123" s="4" t="s">
        <v>94</v>
      </c>
      <c r="L123" s="18">
        <f ca="1">I119</f>
        <v>18</v>
      </c>
    </row>
    <row r="124" spans="1:12" customFormat="1" ht="15.75" hidden="1" customHeight="1" x14ac:dyDescent="0.35">
      <c r="A124" s="71" t="s">
        <v>145</v>
      </c>
      <c r="B124" s="72"/>
      <c r="C124" s="19">
        <v>19</v>
      </c>
      <c r="D124" s="73">
        <f ca="1">((100/(D119+G119+I119))*C124)/100</f>
        <v>1</v>
      </c>
      <c r="E124" s="74"/>
      <c r="F124" s="75"/>
      <c r="G124" s="75"/>
      <c r="H124" s="80"/>
      <c r="I124" s="81"/>
      <c r="J124" s="82"/>
      <c r="K124" s="4" t="s">
        <v>95</v>
      </c>
      <c r="L124" s="20">
        <f ca="1">(IF(B119&gt;1,(I119/(B119+2)),I119/4))</f>
        <v>4.5</v>
      </c>
    </row>
    <row r="125" spans="1:12" customFormat="1" ht="15.75" hidden="1" customHeight="1" x14ac:dyDescent="0.35">
      <c r="A125" s="71" t="s">
        <v>146</v>
      </c>
      <c r="B125" s="72" t="s">
        <v>147</v>
      </c>
      <c r="C125" s="17">
        <v>18</v>
      </c>
      <c r="D125" s="73">
        <f ca="1">((100/I119)*C125)/100</f>
        <v>1</v>
      </c>
      <c r="E125" s="74"/>
      <c r="F125" s="75"/>
      <c r="G125" s="75"/>
      <c r="H125" s="80"/>
      <c r="I125" s="81"/>
      <c r="J125" s="82"/>
      <c r="K125" s="4" t="s">
        <v>96</v>
      </c>
      <c r="L125" s="20">
        <f ca="1">(IF(B119&gt;1,(I119/(B119+2)+L124),I119/4+L124))</f>
        <v>9</v>
      </c>
    </row>
    <row r="126" spans="1:12" customFormat="1" ht="15.75" hidden="1" customHeight="1" x14ac:dyDescent="0.35">
      <c r="A126" s="71" t="s">
        <v>148</v>
      </c>
      <c r="B126" s="72" t="s">
        <v>147</v>
      </c>
      <c r="C126" s="17">
        <v>17</v>
      </c>
      <c r="D126" s="73">
        <f ca="1">((100/I119)*C126)/100</f>
        <v>0.94444444444444442</v>
      </c>
      <c r="E126" s="74"/>
      <c r="F126" s="75"/>
      <c r="G126" s="75"/>
      <c r="H126" s="80"/>
      <c r="I126" s="81"/>
      <c r="J126" s="82"/>
      <c r="K126" s="4" t="s">
        <v>149</v>
      </c>
      <c r="L126" s="20">
        <f>(IF(B119&gt;1,(I119/(B119+2)+L125),0))</f>
        <v>0</v>
      </c>
    </row>
    <row r="127" spans="1:12" customFormat="1" ht="15.75" hidden="1" customHeight="1" x14ac:dyDescent="0.35">
      <c r="A127" s="71" t="s">
        <v>150</v>
      </c>
      <c r="B127" s="72" t="s">
        <v>151</v>
      </c>
      <c r="C127" s="17">
        <v>17</v>
      </c>
      <c r="D127" s="73">
        <f ca="1">((100/(I119))*C127)/100</f>
        <v>0.94444444444444442</v>
      </c>
      <c r="E127" s="74"/>
      <c r="F127" s="75"/>
      <c r="G127" s="75"/>
      <c r="H127" s="80"/>
      <c r="I127" s="81"/>
      <c r="J127" s="82"/>
      <c r="K127" s="4" t="s">
        <v>152</v>
      </c>
      <c r="L127" s="20">
        <f>(IF(B119&gt;2,(I119/(B119+2)+L126),0))</f>
        <v>0</v>
      </c>
    </row>
    <row r="128" spans="1:12" customFormat="1" ht="15.75" hidden="1" customHeight="1" x14ac:dyDescent="0.35">
      <c r="A128" s="71" t="s">
        <v>153</v>
      </c>
      <c r="B128" s="72" t="s">
        <v>153</v>
      </c>
      <c r="C128" s="17">
        <v>15</v>
      </c>
      <c r="D128" s="73">
        <f ca="1">((100/I119)*C128)/100</f>
        <v>0.83333333333333326</v>
      </c>
      <c r="E128" s="74"/>
      <c r="F128" s="75"/>
      <c r="G128" s="75"/>
      <c r="H128" s="80"/>
      <c r="I128" s="81"/>
      <c r="J128" s="82"/>
      <c r="K128" s="4" t="s">
        <v>154</v>
      </c>
      <c r="L128" s="21">
        <f>(IF(B119&gt;3,(I119/(B119+2)+L127),0))</f>
        <v>0</v>
      </c>
    </row>
    <row r="129" spans="1:14" customFormat="1" ht="16.5" hidden="1" customHeight="1" x14ac:dyDescent="0.35">
      <c r="A129" s="71" t="s">
        <v>155</v>
      </c>
      <c r="B129" s="72"/>
      <c r="C129" s="17">
        <v>15</v>
      </c>
      <c r="D129" s="73">
        <f ca="1">((100/I119)*C129)/100</f>
        <v>0.83333333333333326</v>
      </c>
      <c r="E129" s="74"/>
      <c r="F129" s="75"/>
      <c r="G129" s="75"/>
      <c r="H129" s="80"/>
      <c r="I129" s="81"/>
      <c r="J129" s="82"/>
      <c r="K129" s="4" t="s">
        <v>156</v>
      </c>
      <c r="L129" s="20">
        <f>(IF(B119&gt;4,(I119/(B119+2)+L128),0))</f>
        <v>0</v>
      </c>
    </row>
    <row r="130" spans="1:14" hidden="1" x14ac:dyDescent="0.35">
      <c r="A130" s="71" t="s">
        <v>157</v>
      </c>
      <c r="B130" s="72" t="s">
        <v>157</v>
      </c>
      <c r="C130" s="17">
        <v>0</v>
      </c>
      <c r="D130" s="73">
        <f ca="1">((100/(I119))*C130)/100</f>
        <v>0</v>
      </c>
      <c r="E130" s="74"/>
      <c r="F130" s="75"/>
      <c r="G130" s="75"/>
      <c r="H130" s="80"/>
      <c r="I130" s="81"/>
      <c r="J130" s="82"/>
      <c r="K130" s="4" t="s">
        <v>97</v>
      </c>
      <c r="L130" s="20">
        <f ca="1">(IF(B119=1,(I119/(B119+3)+L125),IF(B119=0,(I119/4+L125),IF(B119&gt;1,0))))</f>
        <v>13.5</v>
      </c>
      <c r="M130"/>
      <c r="N130"/>
    </row>
    <row r="131" spans="1:14" ht="16" hidden="1" thickBot="1" x14ac:dyDescent="0.4">
      <c r="A131" s="101" t="s">
        <v>158</v>
      </c>
      <c r="B131" s="102"/>
      <c r="C131" s="22">
        <v>0</v>
      </c>
      <c r="D131" s="103">
        <f ca="1">((100/(I119))*C131)/100</f>
        <v>0</v>
      </c>
      <c r="E131" s="104"/>
      <c r="F131" s="76"/>
      <c r="G131" s="76"/>
      <c r="H131" s="83"/>
      <c r="I131" s="84"/>
      <c r="J131" s="85"/>
      <c r="K131" s="5" t="s">
        <v>98</v>
      </c>
      <c r="L131" s="23">
        <f ca="1">(IF(B119&gt;1.5,(I119/(B119+2)+L125+MAX(0,L126-L125)+MAX(0,L127-L126)+MAX(0,L128-L127)+MAX(0,L129-L128)+MAX(0,L130-L129)),IF(B119=1,(I119/(B119+3)+L130),IF(B119=0,I119/4+L130))))</f>
        <v>18</v>
      </c>
      <c r="M131"/>
      <c r="N131"/>
    </row>
    <row r="132" spans="1:14" ht="15" customHeight="1" x14ac:dyDescent="0.35">
      <c r="A132" s="55" t="s">
        <v>135</v>
      </c>
      <c r="B132" s="56"/>
      <c r="C132" s="57" t="s">
        <v>212</v>
      </c>
      <c r="D132" s="58"/>
      <c r="E132" s="58"/>
      <c r="F132" s="58"/>
      <c r="G132" s="58"/>
      <c r="H132" s="58"/>
      <c r="I132" s="58"/>
      <c r="J132" s="59"/>
      <c r="K132" s="2" t="str">
        <f ca="1">(IF(F136&gt;99%,"All work completed. Please provide OC.",IF(F136&gt;89.8%,"Plinth, RCC, Brick, Plaster, Flooring, Painting work Completed. Finishing work is in process.",IF(F136&lt;94%,(IF(C136=0,"Work not yet Started.",IF(D136=25%,"Piling work in process",IF(D136=50%,"Excavation work in process",IF(D136=100%,"Excavation work Completed. ","0")))&amp;(IF(C137=0%,"",IF(C137=L138,"Footing work is process",IF(C137=L139,"Footing work Completed",IF(C137=L140,"1st Basement Completed",IF(C137=L141,"1st &amp; 2nd Basement Completed",IF(C137=L142,"1st to 3rd Basement Completed",IF(C137=L143,"1st to 4th Basement Completed",IF(C137=L144,"Plinth work is process",IF(C137=L145,"Plinth work completed","0")))))))))))&amp;(IF(C138=(D133+G133+I133),", RCC Slab",IF(C138&gt;0,", RCC upto "&amp;C138&amp;" Slab",""))&amp;(IF(C139=I133,", Brickwork",IF(C139&gt;0,", Brickwork upto "&amp;C139&amp;" Floor",""))&amp;(IF(C140=I133,", Internal Plaster",IF(C140&gt;0,", Internal Plaster upto "&amp;C140&amp;" Floor",""))&amp;(IF(C141=I133,", External Plaster",IF(C141&gt;0,", External Plaster upto "&amp;C141&amp;" Floor",""))&amp;(IF(C142=I133,", Flooring",IF(C142&gt;0,", Flooring upto "&amp;C142&amp;" Floor",""))&amp;(IF(C143=I133,", Painting",IF(C143&gt;0,", Painting upto "&amp;C143&amp;" Floor",""))&amp;(IF(C144&gt;0,", Finishing upto "&amp;C144&amp;" Floor","")&amp;(IF(C138&gt;0.5," Completed",""))))))))))))))</f>
        <v>Excavation work Completed. Plinth work completed, RCC Slab, Brickwork, Internal Plaster, External Plaster upto 21 Floor, Flooring upto 16 Floor, Painting upto 16 Floor Completed</v>
      </c>
      <c r="L132" s="13"/>
      <c r="M132"/>
    </row>
    <row r="133" spans="1:14" x14ac:dyDescent="0.35">
      <c r="A133" s="49" t="s">
        <v>87</v>
      </c>
      <c r="B133" s="50">
        <v>0</v>
      </c>
      <c r="C133" s="50" t="s">
        <v>89</v>
      </c>
      <c r="D133" s="50">
        <v>1</v>
      </c>
      <c r="E133" s="60" t="s">
        <v>88</v>
      </c>
      <c r="F133" s="61"/>
      <c r="G133" s="50">
        <v>0</v>
      </c>
      <c r="H133" s="50" t="s">
        <v>136</v>
      </c>
      <c r="I133" s="60">
        <f ca="1">--TRIM(RIGHT(SUBSTITUTE(LEFT(C132,_xlfn.AGGREGATE(16,6,FIND({0,1,2,3,4,5,6,7,8,9},C132,ROW(INDIRECT("1:"&amp;LEN(C132)))),1))," ",REPT(" ",LEN(C132))),LEN(C132)))</f>
        <v>23</v>
      </c>
      <c r="J133" s="62"/>
      <c r="K133" s="3"/>
      <c r="L133" s="14"/>
      <c r="M133"/>
    </row>
    <row r="134" spans="1:14" ht="48.75" customHeight="1" x14ac:dyDescent="0.35">
      <c r="A134" s="63" t="s">
        <v>137</v>
      </c>
      <c r="B134" s="64"/>
      <c r="C134" s="65" t="str">
        <f ca="1">K132</f>
        <v>Excavation work Completed. Plinth work completed, RCC Slab, Brickwork, Internal Plaster, External Plaster upto 21 Floor, Flooring upto 16 Floor, Painting upto 16 Floor Completed</v>
      </c>
      <c r="D134" s="66"/>
      <c r="E134" s="66"/>
      <c r="F134" s="66"/>
      <c r="G134" s="66"/>
      <c r="H134" s="66"/>
      <c r="I134" s="66"/>
      <c r="J134" s="67"/>
      <c r="K134" s="3" t="s">
        <v>138</v>
      </c>
      <c r="L134" s="14"/>
      <c r="M134"/>
    </row>
    <row r="135" spans="1:14" x14ac:dyDescent="0.35">
      <c r="A135" s="68" t="s">
        <v>63</v>
      </c>
      <c r="B135" s="61"/>
      <c r="C135" s="48" t="s">
        <v>139</v>
      </c>
      <c r="D135" s="69" t="s">
        <v>140</v>
      </c>
      <c r="E135" s="69"/>
      <c r="F135" s="69" t="s">
        <v>141</v>
      </c>
      <c r="G135" s="69"/>
      <c r="H135" s="69" t="s">
        <v>142</v>
      </c>
      <c r="I135" s="69"/>
      <c r="J135" s="70"/>
      <c r="K135" s="4" t="s">
        <v>143</v>
      </c>
      <c r="L135" s="16">
        <f ca="1">I133*25%</f>
        <v>5.75</v>
      </c>
      <c r="M135"/>
    </row>
    <row r="136" spans="1:14" ht="15.75" customHeight="1" x14ac:dyDescent="0.35">
      <c r="A136" s="72" t="s">
        <v>144</v>
      </c>
      <c r="B136" s="72"/>
      <c r="C136" s="17">
        <f ca="1">L137</f>
        <v>23</v>
      </c>
      <c r="D136" s="75">
        <f ca="1">((100/I133)*C136)/100</f>
        <v>1</v>
      </c>
      <c r="E136" s="75"/>
      <c r="F136" s="75">
        <f ca="1">(((C137/I133*10)+(40/(D133+G133+I133)*C138)+(7.5/(I133)*C139)+(7.5/(I133)*C140)+(10/I133*C141)+(10/I133*C142)+(5/I133*C143)+(5/I133*C144)+(5/I133*C145))/100)</f>
        <v>0.84565217391304348</v>
      </c>
      <c r="G136" s="75"/>
      <c r="H136" s="75">
        <f ca="1">((((C136/I133)*20)+((C137/I133)*25)+(30/(I133+G133+D133)*C138)+(5/I133*C139)+(5/I133*C140)+(5/I133*C141)+(5/I133*C142)+(0/I133*C143)+(0/I133*C144)+(5/I133*C145))/100)</f>
        <v>0.93043478260869561</v>
      </c>
      <c r="I136" s="75"/>
      <c r="J136" s="75"/>
      <c r="K136" s="4" t="s">
        <v>93</v>
      </c>
      <c r="L136" s="18">
        <f ca="1">I133*50%</f>
        <v>11.5</v>
      </c>
      <c r="M136"/>
    </row>
    <row r="137" spans="1:14" x14ac:dyDescent="0.35">
      <c r="A137" s="72" t="s">
        <v>64</v>
      </c>
      <c r="B137" s="72"/>
      <c r="C137" s="19">
        <f ca="1">L145</f>
        <v>23</v>
      </c>
      <c r="D137" s="75">
        <f ca="1">((100/I133)*C137)/100</f>
        <v>1</v>
      </c>
      <c r="E137" s="75"/>
      <c r="F137" s="75"/>
      <c r="G137" s="75"/>
      <c r="H137" s="75"/>
      <c r="I137" s="75"/>
      <c r="J137" s="75"/>
      <c r="K137" s="4" t="s">
        <v>94</v>
      </c>
      <c r="L137" s="18">
        <f ca="1">I133</f>
        <v>23</v>
      </c>
      <c r="M137"/>
    </row>
    <row r="138" spans="1:14" x14ac:dyDescent="0.35">
      <c r="A138" s="72" t="s">
        <v>145</v>
      </c>
      <c r="B138" s="72"/>
      <c r="C138" s="19">
        <v>24</v>
      </c>
      <c r="D138" s="75">
        <f ca="1">((100/(D133+G133+I133))*C138)/100</f>
        <v>1</v>
      </c>
      <c r="E138" s="75"/>
      <c r="F138" s="75"/>
      <c r="G138" s="75"/>
      <c r="H138" s="75"/>
      <c r="I138" s="75"/>
      <c r="J138" s="75"/>
      <c r="K138" s="4" t="s">
        <v>95</v>
      </c>
      <c r="L138" s="20">
        <f ca="1">(IF(B133&gt;1,(I133/(B133+2)),I133/4))</f>
        <v>5.75</v>
      </c>
      <c r="M138"/>
    </row>
    <row r="139" spans="1:14" s="24" customFormat="1" ht="14.5" customHeight="1" x14ac:dyDescent="0.35">
      <c r="A139" s="72" t="s">
        <v>146</v>
      </c>
      <c r="B139" s="72" t="s">
        <v>147</v>
      </c>
      <c r="C139" s="17">
        <v>23</v>
      </c>
      <c r="D139" s="75">
        <f ca="1">((100/I133)*C139)/100</f>
        <v>1</v>
      </c>
      <c r="E139" s="75"/>
      <c r="F139" s="75"/>
      <c r="G139" s="75"/>
      <c r="H139" s="75"/>
      <c r="I139" s="75"/>
      <c r="J139" s="75"/>
      <c r="K139" s="4" t="s">
        <v>96</v>
      </c>
      <c r="L139" s="20">
        <f ca="1">(IF(B133&gt;1,(I133/(B133+2)+L138),I133/4+L138))</f>
        <v>11.5</v>
      </c>
      <c r="M139"/>
    </row>
    <row r="140" spans="1:14" s="25" customFormat="1" x14ac:dyDescent="0.35">
      <c r="A140" s="72" t="s">
        <v>148</v>
      </c>
      <c r="B140" s="72" t="s">
        <v>147</v>
      </c>
      <c r="C140" s="17">
        <v>23</v>
      </c>
      <c r="D140" s="75">
        <f ca="1">((100/I133)*C140)/100</f>
        <v>1</v>
      </c>
      <c r="E140" s="75"/>
      <c r="F140" s="75"/>
      <c r="G140" s="75"/>
      <c r="H140" s="75"/>
      <c r="I140" s="75"/>
      <c r="J140" s="75"/>
      <c r="K140" s="4" t="s">
        <v>149</v>
      </c>
      <c r="L140" s="20">
        <f>(IF(B133&gt;1,(I133/(B133+2)+L139),0))</f>
        <v>0</v>
      </c>
      <c r="M140"/>
    </row>
    <row r="141" spans="1:14" s="25" customFormat="1" x14ac:dyDescent="0.35">
      <c r="A141" s="72" t="s">
        <v>150</v>
      </c>
      <c r="B141" s="72" t="s">
        <v>151</v>
      </c>
      <c r="C141" s="17">
        <v>21</v>
      </c>
      <c r="D141" s="75">
        <f ca="1">((100/(I133))*C141)/100</f>
        <v>0.91304347826086951</v>
      </c>
      <c r="E141" s="75"/>
      <c r="F141" s="75"/>
      <c r="G141" s="75"/>
      <c r="H141" s="75"/>
      <c r="I141" s="75"/>
      <c r="J141" s="75"/>
      <c r="K141" s="4" t="s">
        <v>152</v>
      </c>
      <c r="L141" s="20">
        <f>(IF(B133&gt;2,(I133/(B133+2)+L140),0))</f>
        <v>0</v>
      </c>
      <c r="M141"/>
    </row>
    <row r="142" spans="1:14" s="25" customFormat="1" x14ac:dyDescent="0.35">
      <c r="A142" s="72" t="s">
        <v>153</v>
      </c>
      <c r="B142" s="72" t="s">
        <v>153</v>
      </c>
      <c r="C142" s="17">
        <v>16</v>
      </c>
      <c r="D142" s="75">
        <f ca="1">((100/I133)*C142)/100</f>
        <v>0.69565217391304346</v>
      </c>
      <c r="E142" s="75"/>
      <c r="F142" s="75"/>
      <c r="G142" s="75"/>
      <c r="H142" s="75"/>
      <c r="I142" s="75"/>
      <c r="J142" s="75"/>
      <c r="K142" s="4" t="s">
        <v>154</v>
      </c>
      <c r="L142" s="21">
        <f>(IF(B133&gt;3,(I133/(B133+2)+L141),0))</f>
        <v>0</v>
      </c>
      <c r="M142"/>
    </row>
    <row r="143" spans="1:14" s="25" customFormat="1" x14ac:dyDescent="0.35">
      <c r="A143" s="72" t="s">
        <v>155</v>
      </c>
      <c r="B143" s="72"/>
      <c r="C143" s="17">
        <v>16</v>
      </c>
      <c r="D143" s="75">
        <f ca="1">((100/I133)*C143)/100</f>
        <v>0.69565217391304346</v>
      </c>
      <c r="E143" s="75"/>
      <c r="F143" s="75"/>
      <c r="G143" s="75"/>
      <c r="H143" s="75"/>
      <c r="I143" s="75"/>
      <c r="J143" s="75"/>
      <c r="K143" s="4" t="s">
        <v>156</v>
      </c>
      <c r="L143" s="20">
        <f>(IF(B133&gt;4,(I133/(B133+2)+L142),0))</f>
        <v>0</v>
      </c>
      <c r="M143"/>
    </row>
    <row r="144" spans="1:14" s="25" customFormat="1" x14ac:dyDescent="0.35">
      <c r="A144" s="72" t="s">
        <v>157</v>
      </c>
      <c r="B144" s="72" t="s">
        <v>157</v>
      </c>
      <c r="C144" s="17">
        <v>0</v>
      </c>
      <c r="D144" s="75">
        <f ca="1">((100/(I133))*C144)/100</f>
        <v>0</v>
      </c>
      <c r="E144" s="75"/>
      <c r="F144" s="75"/>
      <c r="G144" s="75"/>
      <c r="H144" s="75"/>
      <c r="I144" s="75"/>
      <c r="J144" s="75"/>
      <c r="K144" s="4" t="s">
        <v>97</v>
      </c>
      <c r="L144" s="20">
        <f ca="1">(IF(B133=1,(I133/(B133+3)+L139),IF(B133=0,(I133/4+L139),IF(B133&gt;1,0))))</f>
        <v>17.25</v>
      </c>
      <c r="M144"/>
    </row>
    <row r="145" spans="1:13" s="25" customFormat="1" ht="16" thickBot="1" x14ac:dyDescent="0.4">
      <c r="A145" s="72" t="s">
        <v>158</v>
      </c>
      <c r="B145" s="72"/>
      <c r="C145" s="17">
        <v>0</v>
      </c>
      <c r="D145" s="75">
        <f ca="1">((100/(I133))*C145)/100</f>
        <v>0</v>
      </c>
      <c r="E145" s="75"/>
      <c r="F145" s="75"/>
      <c r="G145" s="75"/>
      <c r="H145" s="75"/>
      <c r="I145" s="75"/>
      <c r="J145" s="75"/>
      <c r="K145" s="5" t="s">
        <v>98</v>
      </c>
      <c r="L145" s="23">
        <f ca="1">(IF(B133&gt;1.5,(I133/(B133+2)+L139+MAX(0,L140-L139)+MAX(0,L141-L140)+MAX(0,L142-L141)+MAX(0,L143-L142)+MAX(0,L144-L143)),IF(B133=1,(I133/(B133+3)+L144),IF(B133=0,I133/4+L144))))</f>
        <v>23</v>
      </c>
      <c r="M145"/>
    </row>
    <row r="146" spans="1:13" s="25" customFormat="1" x14ac:dyDescent="0.35">
      <c r="A146" s="99" t="s">
        <v>121</v>
      </c>
      <c r="B146" s="99"/>
      <c r="C146" s="99"/>
      <c r="D146" s="99"/>
      <c r="E146" s="99"/>
      <c r="F146" s="99"/>
      <c r="G146" s="99"/>
      <c r="H146" s="99"/>
      <c r="I146" s="99"/>
      <c r="J146" s="99"/>
      <c r="K146" s="11"/>
      <c r="L146" s="11"/>
      <c r="M146" s="11"/>
    </row>
    <row r="147" spans="1:13" s="25" customFormat="1" x14ac:dyDescent="0.35">
      <c r="A147" s="127" t="s">
        <v>65</v>
      </c>
      <c r="B147" s="127"/>
      <c r="C147" s="127"/>
      <c r="D147" s="127"/>
      <c r="E147" s="127"/>
      <c r="F147" s="127"/>
      <c r="G147" s="127"/>
      <c r="H147" s="127"/>
      <c r="I147" s="127"/>
      <c r="J147" s="127"/>
      <c r="K147" s="11"/>
      <c r="L147" s="11"/>
      <c r="M147" s="11"/>
    </row>
    <row r="148" spans="1:13" s="24" customFormat="1" x14ac:dyDescent="0.35">
      <c r="A148" s="100" t="s">
        <v>91</v>
      </c>
      <c r="B148" s="100"/>
      <c r="C148" s="179" t="s">
        <v>92</v>
      </c>
      <c r="D148" s="179"/>
      <c r="E148" s="179"/>
      <c r="F148" s="179"/>
      <c r="G148" s="179"/>
      <c r="H148" s="179"/>
      <c r="I148" s="179"/>
      <c r="J148" s="179"/>
      <c r="K148" s="11"/>
      <c r="L148" s="11"/>
      <c r="M148" s="11"/>
    </row>
    <row r="149" spans="1:13" x14ac:dyDescent="0.35">
      <c r="A149" s="98" t="s">
        <v>66</v>
      </c>
      <c r="B149" s="98"/>
      <c r="C149" s="98"/>
      <c r="D149" s="98"/>
      <c r="E149" s="98"/>
      <c r="F149" s="98"/>
      <c r="G149" s="98"/>
      <c r="H149" s="98"/>
      <c r="I149" s="98"/>
      <c r="J149" s="98"/>
    </row>
    <row r="150" spans="1:13" x14ac:dyDescent="0.35">
      <c r="A150" s="99" t="s">
        <v>100</v>
      </c>
      <c r="B150" s="99"/>
      <c r="C150" s="99"/>
      <c r="D150" s="99"/>
      <c r="E150" s="99"/>
      <c r="F150" s="99"/>
      <c r="G150" s="100">
        <v>6600</v>
      </c>
      <c r="H150" s="100"/>
      <c r="I150" s="100"/>
      <c r="J150" s="100"/>
      <c r="K150" s="11" t="s">
        <v>241</v>
      </c>
      <c r="L150" s="11" t="s">
        <v>242</v>
      </c>
    </row>
    <row r="151" spans="1:13" x14ac:dyDescent="0.35">
      <c r="A151" s="160" t="s">
        <v>124</v>
      </c>
      <c r="B151" s="160"/>
      <c r="C151" s="160"/>
      <c r="D151" s="160"/>
      <c r="E151" s="160"/>
      <c r="F151" s="160"/>
      <c r="G151" s="160" t="s">
        <v>123</v>
      </c>
      <c r="H151" s="160"/>
      <c r="I151" s="160"/>
      <c r="J151" s="160"/>
    </row>
    <row r="152" spans="1:13" s="29" customFormat="1" x14ac:dyDescent="0.35">
      <c r="A152" s="160" t="s">
        <v>122</v>
      </c>
      <c r="B152" s="160"/>
      <c r="C152" s="160"/>
      <c r="D152" s="160"/>
      <c r="E152" s="160"/>
      <c r="F152" s="160"/>
      <c r="G152" s="160" t="s">
        <v>103</v>
      </c>
      <c r="H152" s="160"/>
      <c r="I152" s="160"/>
      <c r="J152" s="160"/>
      <c r="K152" s="11"/>
      <c r="L152" s="11"/>
      <c r="M152" s="11"/>
    </row>
    <row r="153" spans="1:13" s="29" customFormat="1" x14ac:dyDescent="0.35">
      <c r="A153" s="154" t="s">
        <v>165</v>
      </c>
      <c r="B153" s="155"/>
      <c r="C153" s="155"/>
      <c r="D153" s="155"/>
      <c r="E153" s="155"/>
      <c r="F153" s="156"/>
      <c r="G153" s="154" t="s">
        <v>164</v>
      </c>
      <c r="H153" s="155"/>
      <c r="I153" s="155"/>
      <c r="J153" s="156"/>
      <c r="K153" s="24"/>
      <c r="L153" s="24"/>
      <c r="M153" s="24"/>
    </row>
    <row r="154" spans="1:13" s="29" customFormat="1" x14ac:dyDescent="0.35">
      <c r="A154" s="119" t="s">
        <v>67</v>
      </c>
      <c r="B154" s="120"/>
      <c r="C154" s="120"/>
      <c r="D154" s="120"/>
      <c r="E154" s="120"/>
      <c r="F154" s="121"/>
      <c r="G154" s="154" t="s">
        <v>131</v>
      </c>
      <c r="H154" s="155"/>
      <c r="I154" s="155"/>
      <c r="J154" s="156"/>
      <c r="K154" s="25"/>
      <c r="L154" s="25"/>
      <c r="M154" s="25"/>
    </row>
    <row r="155" spans="1:13" s="29" customFormat="1" x14ac:dyDescent="0.35">
      <c r="A155" s="145" t="s">
        <v>68</v>
      </c>
      <c r="B155" s="146"/>
      <c r="C155" s="146"/>
      <c r="D155" s="146"/>
      <c r="E155" s="146"/>
      <c r="F155" s="147"/>
      <c r="G155" s="139">
        <f>G150*0.8</f>
        <v>5280</v>
      </c>
      <c r="H155" s="140"/>
      <c r="I155" s="140"/>
      <c r="J155" s="141"/>
      <c r="K155" s="25"/>
      <c r="L155" s="25"/>
      <c r="M155" s="25"/>
    </row>
    <row r="156" spans="1:13" s="29" customFormat="1" x14ac:dyDescent="0.35">
      <c r="A156" s="199" t="s">
        <v>222</v>
      </c>
      <c r="B156" s="200"/>
      <c r="C156" s="200"/>
      <c r="D156" s="200"/>
      <c r="E156" s="200"/>
      <c r="F156" s="200"/>
      <c r="G156" s="200"/>
      <c r="H156" s="200"/>
      <c r="I156" s="200"/>
      <c r="J156" s="201"/>
      <c r="K156" s="25"/>
      <c r="L156" s="25"/>
      <c r="M156" s="25"/>
    </row>
    <row r="157" spans="1:13" s="29" customFormat="1" x14ac:dyDescent="0.35">
      <c r="A157" s="105" t="s">
        <v>69</v>
      </c>
      <c r="B157" s="106"/>
      <c r="C157" s="26" t="s">
        <v>106</v>
      </c>
      <c r="D157" s="107" t="s">
        <v>70</v>
      </c>
      <c r="E157" s="108"/>
      <c r="F157" s="109"/>
      <c r="G157" s="105" t="s">
        <v>71</v>
      </c>
      <c r="H157" s="110"/>
      <c r="I157" s="110"/>
      <c r="J157" s="106"/>
      <c r="K157" s="25"/>
      <c r="L157" s="25"/>
      <c r="M157" s="25"/>
    </row>
    <row r="158" spans="1:13" s="29" customFormat="1" x14ac:dyDescent="0.35">
      <c r="A158" s="242" t="s">
        <v>225</v>
      </c>
      <c r="B158" s="37" t="s">
        <v>126</v>
      </c>
      <c r="C158" s="27">
        <f>COUNT(D178:D183)*11+COUNT(D185:D190)*4+COUNT(D193:D197)*2</f>
        <v>100</v>
      </c>
      <c r="D158" s="196">
        <f>SUM(D178:E183)*11+SUM(D185:E190)*4+SUM(D193:E197)*2</f>
        <v>55966.465601279997</v>
      </c>
      <c r="E158" s="197"/>
      <c r="F158" s="198"/>
      <c r="G158" s="196">
        <f>SUM(G178:G183)*11+SUM(G185:G190)*4+SUM(G193:G197)*2</f>
        <v>86748.021681983999</v>
      </c>
      <c r="H158" s="197"/>
      <c r="I158" s="197"/>
      <c r="J158" s="198"/>
      <c r="K158" s="25"/>
      <c r="L158" s="25"/>
      <c r="M158" s="25"/>
    </row>
    <row r="159" spans="1:13" s="29" customFormat="1" x14ac:dyDescent="0.35">
      <c r="A159" s="243"/>
      <c r="B159" s="37" t="s">
        <v>127</v>
      </c>
      <c r="C159" s="27">
        <f>COUNT(D201:D206)*11+COUNT(D208:D213)*4+COUNT(D216:D220)*2</f>
        <v>100</v>
      </c>
      <c r="D159" s="196">
        <f>SUM(D201:E206)*11+SUM(D208:E213)*4+SUM(D216:E220)*2</f>
        <v>55966.465601279997</v>
      </c>
      <c r="E159" s="197"/>
      <c r="F159" s="198"/>
      <c r="G159" s="196">
        <f>SUM(G201:G206)*11+SUM(G208:G213)*4+SUM(G216:G220)*2</f>
        <v>86748.021681983999</v>
      </c>
      <c r="H159" s="197"/>
      <c r="I159" s="197"/>
      <c r="J159" s="198"/>
      <c r="K159" s="25"/>
      <c r="L159" s="25"/>
      <c r="M159" s="25"/>
    </row>
    <row r="160" spans="1:13" s="29" customFormat="1" x14ac:dyDescent="0.35">
      <c r="A160" s="243"/>
      <c r="B160" s="37" t="s">
        <v>128</v>
      </c>
      <c r="C160" s="27">
        <f>COUNT(D224:D229)*11+COUNT(D231:D236)*4+COUNT(D239:D243)*2</f>
        <v>100</v>
      </c>
      <c r="D160" s="196">
        <f>SUM(D224:E229)*11+SUM(D231:E236)*4+SUM(D239:E243)*2</f>
        <v>55966.465601279997</v>
      </c>
      <c r="E160" s="197"/>
      <c r="F160" s="198"/>
      <c r="G160" s="196">
        <f>SUM(G224:G229)*11+SUM(G231:G236)*4+SUM(G239:G243)*2</f>
        <v>86748.021681983999</v>
      </c>
      <c r="H160" s="197"/>
      <c r="I160" s="197"/>
      <c r="J160" s="198"/>
      <c r="K160" s="25"/>
      <c r="L160" s="25"/>
      <c r="M160" s="25"/>
    </row>
    <row r="161" spans="1:13" s="29" customFormat="1" x14ac:dyDescent="0.35">
      <c r="A161" s="243"/>
      <c r="B161" s="37" t="s">
        <v>129</v>
      </c>
      <c r="C161" s="27">
        <f>COUNT(D247:D252)*11+COUNT(D254:D259)*4+COUNT(D262:D266)*2</f>
        <v>100</v>
      </c>
      <c r="D161" s="196">
        <f>SUM(D247:E252)*11+SUM(D254:E259)*4+SUM(D262:E266)*2</f>
        <v>55966.465601279997</v>
      </c>
      <c r="E161" s="197"/>
      <c r="F161" s="198"/>
      <c r="G161" s="196">
        <f>SUM(G247:G252)*11+SUM(G254:G259)*4+SUM(G262:G266)*2</f>
        <v>86748.021681983999</v>
      </c>
      <c r="H161" s="197"/>
      <c r="I161" s="197"/>
      <c r="J161" s="198"/>
      <c r="K161" s="25"/>
      <c r="L161" s="25"/>
      <c r="M161" s="25"/>
    </row>
    <row r="162" spans="1:13" s="29" customFormat="1" x14ac:dyDescent="0.35">
      <c r="A162" s="244"/>
      <c r="B162" s="37" t="s">
        <v>130</v>
      </c>
      <c r="C162" s="27">
        <f>COUNT(D270:D275)*11+COUNT(D277:D282)*4+COUNT(D285:D289)*2</f>
        <v>100</v>
      </c>
      <c r="D162" s="196">
        <f>SUM(D270:E275)*11+SUM(D277:E282)*4+SUM(D285:E289)*2</f>
        <v>55966.465601279997</v>
      </c>
      <c r="E162" s="197"/>
      <c r="F162" s="198"/>
      <c r="G162" s="210">
        <f>SUM(G270:G275)*11+SUM(G277:G282)*4+SUM(G285:G289)*2</f>
        <v>86748.021681983999</v>
      </c>
      <c r="H162" s="211"/>
      <c r="I162" s="211"/>
      <c r="J162" s="212"/>
      <c r="K162" s="24"/>
      <c r="L162" s="24"/>
      <c r="M162" s="24"/>
    </row>
    <row r="163" spans="1:13" s="29" customFormat="1" x14ac:dyDescent="0.35">
      <c r="A163" s="199" t="s">
        <v>72</v>
      </c>
      <c r="B163" s="200"/>
      <c r="C163" s="28">
        <f t="shared" ref="C163:G163" si="0">SUM(C158:C162)</f>
        <v>500</v>
      </c>
      <c r="D163" s="217">
        <f t="shared" si="0"/>
        <v>279832.32800639997</v>
      </c>
      <c r="E163" s="218"/>
      <c r="F163" s="219"/>
      <c r="G163" s="105">
        <f t="shared" si="0"/>
        <v>433740.10840992001</v>
      </c>
      <c r="H163" s="110"/>
      <c r="I163" s="110"/>
      <c r="J163" s="106"/>
      <c r="K163" s="24"/>
      <c r="L163" s="24"/>
      <c r="M163" s="24"/>
    </row>
    <row r="164" spans="1:13" s="29" customFormat="1" x14ac:dyDescent="0.35">
      <c r="A164" s="199" t="s">
        <v>223</v>
      </c>
      <c r="B164" s="200"/>
      <c r="C164" s="200"/>
      <c r="D164" s="200"/>
      <c r="E164" s="200"/>
      <c r="F164" s="200"/>
      <c r="G164" s="200"/>
      <c r="H164" s="200"/>
      <c r="I164" s="200"/>
      <c r="J164" s="201"/>
      <c r="K164" s="24"/>
      <c r="L164" s="24"/>
      <c r="M164" s="24"/>
    </row>
    <row r="165" spans="1:13" s="29" customFormat="1" x14ac:dyDescent="0.35">
      <c r="A165" s="105" t="s">
        <v>69</v>
      </c>
      <c r="B165" s="106"/>
      <c r="C165" s="26" t="s">
        <v>106</v>
      </c>
      <c r="D165" s="107" t="s">
        <v>70</v>
      </c>
      <c r="E165" s="108"/>
      <c r="F165" s="109"/>
      <c r="G165" s="105" t="s">
        <v>71</v>
      </c>
      <c r="H165" s="110"/>
      <c r="I165" s="110"/>
      <c r="J165" s="106"/>
      <c r="K165" s="24"/>
      <c r="L165" s="24"/>
      <c r="M165" s="24"/>
    </row>
    <row r="166" spans="1:13" s="29" customFormat="1" x14ac:dyDescent="0.35">
      <c r="A166" s="42" t="s">
        <v>226</v>
      </c>
      <c r="B166" s="37" t="s">
        <v>221</v>
      </c>
      <c r="C166" s="27">
        <f>COUNT(D294:E297)*20+COUNT(D299:E300,D302)*3</f>
        <v>89</v>
      </c>
      <c r="D166" s="245">
        <f>SUM(D294:E297)*20+SUM(D299:E300,D302)*3</f>
        <v>45961.957079999993</v>
      </c>
      <c r="E166" s="246"/>
      <c r="F166" s="247"/>
      <c r="G166" s="248">
        <f>SUM(E294:G297)*20+SUM(E299:G300,G302)*3</f>
        <v>71241.033473999996</v>
      </c>
      <c r="H166" s="249"/>
      <c r="I166" s="249"/>
      <c r="J166" s="250"/>
      <c r="K166" s="24"/>
      <c r="L166" s="24"/>
      <c r="M166" s="24"/>
    </row>
    <row r="167" spans="1:13" s="29" customFormat="1" x14ac:dyDescent="0.35">
      <c r="A167" s="199" t="s">
        <v>72</v>
      </c>
      <c r="B167" s="200"/>
      <c r="C167" s="28">
        <f t="shared" ref="C167:G167" si="1">SUM(C166)</f>
        <v>89</v>
      </c>
      <c r="D167" s="217">
        <f t="shared" si="1"/>
        <v>45961.957079999993</v>
      </c>
      <c r="E167" s="218"/>
      <c r="F167" s="219"/>
      <c r="G167" s="105">
        <f t="shared" si="1"/>
        <v>71241.033473999996</v>
      </c>
      <c r="H167" s="110"/>
      <c r="I167" s="110"/>
      <c r="J167" s="106"/>
      <c r="K167" s="11">
        <f>23*4-3</f>
        <v>89</v>
      </c>
      <c r="L167" s="11"/>
      <c r="M167" s="11"/>
    </row>
    <row r="168" spans="1:13" s="29" customFormat="1" x14ac:dyDescent="0.35">
      <c r="A168" s="199" t="s">
        <v>224</v>
      </c>
      <c r="B168" s="200"/>
      <c r="C168" s="28">
        <f>C163+C167</f>
        <v>589</v>
      </c>
      <c r="D168" s="217">
        <f>D163+D167</f>
        <v>325794.28508639999</v>
      </c>
      <c r="E168" s="218"/>
      <c r="F168" s="219"/>
      <c r="G168" s="105">
        <f>G163+G167</f>
        <v>504981.14188392001</v>
      </c>
      <c r="H168" s="110"/>
      <c r="I168" s="110"/>
      <c r="J168" s="106"/>
      <c r="K168" s="11"/>
      <c r="L168" s="11"/>
      <c r="M168" s="11"/>
    </row>
    <row r="169" spans="1:13" s="29" customFormat="1" x14ac:dyDescent="0.35">
      <c r="A169" s="136" t="s">
        <v>219</v>
      </c>
      <c r="B169" s="137"/>
      <c r="C169" s="137"/>
      <c r="D169" s="137"/>
      <c r="E169" s="137"/>
      <c r="F169" s="137"/>
      <c r="G169" s="137"/>
      <c r="H169" s="137"/>
      <c r="I169" s="137"/>
      <c r="J169" s="138"/>
      <c r="K169" s="11"/>
      <c r="L169" s="11"/>
      <c r="M169" s="11"/>
    </row>
    <row r="170" spans="1:13" s="29" customFormat="1" x14ac:dyDescent="0.35">
      <c r="A170" s="136" t="s">
        <v>220</v>
      </c>
      <c r="B170" s="137"/>
      <c r="C170" s="137"/>
      <c r="D170" s="137"/>
      <c r="E170" s="137"/>
      <c r="F170" s="137"/>
      <c r="G170" s="220"/>
      <c r="H170" s="137"/>
      <c r="I170" s="137"/>
      <c r="J170" s="138"/>
      <c r="K170" s="11"/>
      <c r="L170" s="11"/>
      <c r="M170" s="11"/>
    </row>
    <row r="171" spans="1:13" s="29" customFormat="1" ht="45" x14ac:dyDescent="0.35">
      <c r="A171" s="54" t="s">
        <v>101</v>
      </c>
      <c r="B171" s="54"/>
      <c r="C171" s="54" t="s">
        <v>73</v>
      </c>
      <c r="D171" s="54" t="s">
        <v>74</v>
      </c>
      <c r="E171" s="54"/>
      <c r="F171" s="192" t="s">
        <v>75</v>
      </c>
      <c r="G171" s="6" t="s">
        <v>162</v>
      </c>
      <c r="H171" s="53" t="s">
        <v>76</v>
      </c>
      <c r="I171" s="54"/>
      <c r="J171" s="54"/>
    </row>
    <row r="172" spans="1:13" s="29" customFormat="1" x14ac:dyDescent="0.35">
      <c r="A172" s="54"/>
      <c r="B172" s="54"/>
      <c r="C172" s="54"/>
      <c r="D172" s="54"/>
      <c r="E172" s="54"/>
      <c r="F172" s="192"/>
      <c r="G172" s="7">
        <v>0.55000000000000004</v>
      </c>
      <c r="H172" s="53"/>
      <c r="I172" s="54"/>
      <c r="J172" s="54"/>
    </row>
    <row r="173" spans="1:13" s="29" customFormat="1" x14ac:dyDescent="0.35">
      <c r="A173" s="202" t="s">
        <v>115</v>
      </c>
      <c r="B173" s="203"/>
      <c r="C173" s="203"/>
      <c r="D173" s="203"/>
      <c r="E173" s="203"/>
      <c r="F173" s="203"/>
      <c r="G173" s="204"/>
      <c r="H173" s="203"/>
      <c r="I173" s="203"/>
      <c r="J173" s="205"/>
      <c r="L173" s="30"/>
    </row>
    <row r="174" spans="1:13" s="29" customFormat="1" x14ac:dyDescent="0.35">
      <c r="A174" s="214" t="s">
        <v>217</v>
      </c>
      <c r="B174" s="215"/>
      <c r="C174" s="215"/>
      <c r="D174" s="215"/>
      <c r="E174" s="215"/>
      <c r="F174" s="215"/>
      <c r="G174" s="215"/>
      <c r="H174" s="215"/>
      <c r="I174" s="215"/>
      <c r="J174" s="216"/>
    </row>
    <row r="175" spans="1:13" s="29" customFormat="1" x14ac:dyDescent="0.35">
      <c r="A175" s="86" t="s">
        <v>126</v>
      </c>
      <c r="B175" s="87"/>
      <c r="C175" s="87"/>
      <c r="D175" s="87"/>
      <c r="E175" s="87"/>
      <c r="F175" s="87"/>
      <c r="G175" s="87"/>
      <c r="H175" s="87"/>
      <c r="I175" s="87"/>
      <c r="J175" s="88"/>
    </row>
    <row r="176" spans="1:13" s="29" customFormat="1" x14ac:dyDescent="0.35">
      <c r="A176" s="86" t="s">
        <v>116</v>
      </c>
      <c r="B176" s="87"/>
      <c r="C176" s="87"/>
      <c r="D176" s="87"/>
      <c r="E176" s="87"/>
      <c r="F176" s="87"/>
      <c r="G176" s="87"/>
      <c r="H176" s="87"/>
      <c r="I176" s="87"/>
      <c r="J176" s="88"/>
      <c r="K176" s="31"/>
      <c r="L176" s="36">
        <v>10.763999999999999</v>
      </c>
    </row>
    <row r="177" spans="1:12" s="29" customFormat="1" x14ac:dyDescent="0.35">
      <c r="A177" s="86" t="s">
        <v>170</v>
      </c>
      <c r="B177" s="87"/>
      <c r="C177" s="87"/>
      <c r="D177" s="87"/>
      <c r="E177" s="87"/>
      <c r="F177" s="87"/>
      <c r="G177" s="87"/>
      <c r="H177" s="87"/>
      <c r="I177" s="87"/>
      <c r="J177" s="88"/>
      <c r="K177" s="31"/>
    </row>
    <row r="178" spans="1:12" s="29" customFormat="1" x14ac:dyDescent="0.35">
      <c r="A178" s="51">
        <v>1</v>
      </c>
      <c r="B178" s="52"/>
      <c r="C178" s="1" t="s">
        <v>117</v>
      </c>
      <c r="D178" s="51">
        <f>(2.9*1.05+2.9*3.52+1*0.48+1.8*0.9+2.34*1.7+2.24*1.05+0.94*0.9+2.8*2.3+2.8*1.05+1.87*0.6+2*1.22+1.22*1.85+0.9*(2.9+2.24))*10.764</f>
        <v>455.89845599999995</v>
      </c>
      <c r="E178" s="52">
        <v>0</v>
      </c>
      <c r="F178" s="1">
        <v>0</v>
      </c>
      <c r="G178" s="1">
        <f>D178*($G$172+1)+F178</f>
        <v>706.64260679999995</v>
      </c>
      <c r="H178" s="89" t="str">
        <f>A177</f>
        <v>1st to 7th, 9th to 12th Floor for Residential</v>
      </c>
      <c r="I178" s="90"/>
      <c r="J178" s="91"/>
      <c r="K178" s="31"/>
    </row>
    <row r="179" spans="1:12" s="29" customFormat="1" x14ac:dyDescent="0.35">
      <c r="A179" s="51">
        <v>2</v>
      </c>
      <c r="B179" s="52"/>
      <c r="C179" s="1" t="s">
        <v>118</v>
      </c>
      <c r="D179" s="51">
        <f>(2.9*3.55+2.57*1.05*1*0.48+1.8*0.9+2.34*1.7+2.24*1.05+0.9*0.9+2.8*2.3+1.87*0.6+2.8*1.05+1.22*1.85+2*1.22+3.35*2.6+0.75*(2.8+3.35)+0.9*(2.24+2.9))*10.764</f>
        <v>575.85010391999992</v>
      </c>
      <c r="E179" s="52">
        <v>0</v>
      </c>
      <c r="F179" s="1">
        <v>0</v>
      </c>
      <c r="G179" s="1">
        <f t="shared" ref="G179:G183" si="2">D179*($G$172+1)+F179</f>
        <v>892.56766107599992</v>
      </c>
      <c r="H179" s="92"/>
      <c r="I179" s="93"/>
      <c r="J179" s="94"/>
      <c r="K179" s="31"/>
    </row>
    <row r="180" spans="1:12" s="29" customFormat="1" x14ac:dyDescent="0.35">
      <c r="A180" s="51">
        <v>3</v>
      </c>
      <c r="B180" s="52"/>
      <c r="C180" s="1" t="s">
        <v>118</v>
      </c>
      <c r="D180" s="51">
        <f>(2.9*3.55+1.35*3.39+2.9*2.34+1.05*3.17+2*1.25+2.05*1.67+3*1.66+0.75*0.4+1.22*1.9+2.8*3.35+0.9*2.9+0.9*(2.9+2.34)+0.75*(2.8+3))*10.764</f>
        <v>641.14151399999992</v>
      </c>
      <c r="E180" s="52">
        <v>0</v>
      </c>
      <c r="F180" s="1">
        <v>0</v>
      </c>
      <c r="G180" s="1">
        <f t="shared" si="2"/>
        <v>993.76934669999991</v>
      </c>
      <c r="H180" s="92"/>
      <c r="I180" s="93"/>
      <c r="J180" s="94"/>
      <c r="K180" s="31"/>
    </row>
    <row r="181" spans="1:12" s="29" customFormat="1" x14ac:dyDescent="0.35">
      <c r="A181" s="51">
        <v>4</v>
      </c>
      <c r="B181" s="52"/>
      <c r="C181" s="1" t="s">
        <v>118</v>
      </c>
      <c r="D181" s="51">
        <f>(2.9*3.55+1.35*3.39+2.9*2.34+1.05*3.17+2*1.25+2.05*1.67+3*1.66+0.75*0.4+1.22*1.9+2.8*3.35+0.9*2.9+0.9*(2.9+2.34)+0.75*(2.8+3))*10.764</f>
        <v>641.14151399999992</v>
      </c>
      <c r="E181" s="52">
        <v>0</v>
      </c>
      <c r="F181" s="1">
        <v>0</v>
      </c>
      <c r="G181" s="1">
        <f t="shared" si="2"/>
        <v>993.76934669999991</v>
      </c>
      <c r="H181" s="92"/>
      <c r="I181" s="93"/>
      <c r="J181" s="94"/>
      <c r="K181" s="31"/>
    </row>
    <row r="182" spans="1:12" s="29" customFormat="1" x14ac:dyDescent="0.35">
      <c r="A182" s="51">
        <v>5</v>
      </c>
      <c r="B182" s="52"/>
      <c r="C182" s="1" t="s">
        <v>118</v>
      </c>
      <c r="D182" s="51">
        <f>(2.9*3.55+2.57*1.05*1*0.48+1.8*0.9+2.34*1.7+2.24*1.05+0.9*0.9+2.8*2.3+1.87*0.6+2.8*1.05+1.22*1.85+2*1.22+3.35*2.6+0.75*(2.8+3.35)+0.9*(2.24+2.9))*10.764</f>
        <v>575.85010391999992</v>
      </c>
      <c r="E182" s="52">
        <v>0</v>
      </c>
      <c r="F182" s="1">
        <v>0</v>
      </c>
      <c r="G182" s="1">
        <f t="shared" si="2"/>
        <v>892.56766107599992</v>
      </c>
      <c r="H182" s="92"/>
      <c r="I182" s="93"/>
      <c r="J182" s="94"/>
    </row>
    <row r="183" spans="1:12" s="29" customFormat="1" x14ac:dyDescent="0.35">
      <c r="A183" s="51">
        <v>6</v>
      </c>
      <c r="B183" s="52"/>
      <c r="C183" s="1" t="s">
        <v>117</v>
      </c>
      <c r="D183" s="51">
        <f>(2.9*1.05+2.9*3.52+1*0.48+1.8*0.9+2.34*1.7+2.24*1.05+0.94*0.9+2.8*2.3+2.8*1.05+1.87*0.6+2*1.22+1.22*1.85+0.9*(2.9+2.24))*10.764</f>
        <v>455.89845599999995</v>
      </c>
      <c r="E183" s="52">
        <v>0</v>
      </c>
      <c r="F183" s="1">
        <v>0</v>
      </c>
      <c r="G183" s="1">
        <f t="shared" si="2"/>
        <v>706.64260679999995</v>
      </c>
      <c r="H183" s="95"/>
      <c r="I183" s="96"/>
      <c r="J183" s="97"/>
      <c r="K183" s="31"/>
    </row>
    <row r="184" spans="1:12" s="29" customFormat="1" x14ac:dyDescent="0.35">
      <c r="A184" s="86" t="s">
        <v>171</v>
      </c>
      <c r="B184" s="87"/>
      <c r="C184" s="87"/>
      <c r="D184" s="87"/>
      <c r="E184" s="87"/>
      <c r="F184" s="87"/>
      <c r="G184" s="87"/>
      <c r="H184" s="87"/>
      <c r="I184" s="87"/>
      <c r="J184" s="88"/>
      <c r="K184" s="31"/>
    </row>
    <row r="185" spans="1:12" s="29" customFormat="1" x14ac:dyDescent="0.35">
      <c r="A185" s="51">
        <v>1</v>
      </c>
      <c r="B185" s="52"/>
      <c r="C185" s="1" t="s">
        <v>117</v>
      </c>
      <c r="D185" s="51">
        <f>(2.9*1.05+2.9*3.52+1*0.48+1.8*0.9+2.34*1.7+2.24*1.05+0.94*0.9+2.8*2.3+2.8*1.05+1.87*0.6+2*1.22+1.22*1.85+0.9*(2.9+2.24))*10.764</f>
        <v>455.89845599999995</v>
      </c>
      <c r="E185" s="52">
        <v>0</v>
      </c>
      <c r="F185" s="1">
        <v>0</v>
      </c>
      <c r="G185" s="1">
        <f>D185*($G$172+1)+F185</f>
        <v>706.64260679999995</v>
      </c>
      <c r="H185" s="89" t="str">
        <f>A184</f>
        <v>14th to 17th Floor (15th to 18th Floor as per Builder)</v>
      </c>
      <c r="I185" s="90"/>
      <c r="J185" s="91"/>
      <c r="K185" s="31"/>
    </row>
    <row r="186" spans="1:12" s="29" customFormat="1" x14ac:dyDescent="0.35">
      <c r="A186" s="51">
        <v>2</v>
      </c>
      <c r="B186" s="52"/>
      <c r="C186" s="1" t="s">
        <v>118</v>
      </c>
      <c r="D186" s="51">
        <f>(2.9*3.55+2.57*1.05*1*0.48+1.8*0.9+2.34*1.7+2.24*1.05+0.9*0.9+2.8*2.3+1.87*0.6+2.8*1.05+1.22*1.85+2*1.22+3.35*2.6+0.75*(2.8+3.35)+0.9*(2.24+2.9))*10.764</f>
        <v>575.85010391999992</v>
      </c>
      <c r="E186" s="52">
        <v>0</v>
      </c>
      <c r="F186" s="1">
        <v>0</v>
      </c>
      <c r="G186" s="1">
        <f t="shared" ref="G186:G190" si="3">D186*($G$172+1)+F186</f>
        <v>892.56766107599992</v>
      </c>
      <c r="H186" s="92"/>
      <c r="I186" s="93"/>
      <c r="J186" s="94"/>
      <c r="K186" s="31"/>
      <c r="L186" s="29">
        <f>6*17</f>
        <v>102</v>
      </c>
    </row>
    <row r="187" spans="1:12" s="29" customFormat="1" x14ac:dyDescent="0.35">
      <c r="A187" s="51">
        <v>3</v>
      </c>
      <c r="B187" s="52"/>
      <c r="C187" s="1" t="s">
        <v>118</v>
      </c>
      <c r="D187" s="51">
        <f>(2.9*3.55+1.35*3.39+2.9*2.34+1.05*3.17+2*1.25+2.05*1.67+3*1.66+0.75*0.4+1.22*1.9+2.8*3.35+0.9*2.9+0.9*(2.9+2.34)+0.75*(2.8+3))*10.764</f>
        <v>641.14151399999992</v>
      </c>
      <c r="E187" s="52">
        <v>0</v>
      </c>
      <c r="F187" s="1">
        <v>0</v>
      </c>
      <c r="G187" s="1">
        <f t="shared" si="3"/>
        <v>993.76934669999991</v>
      </c>
      <c r="H187" s="92"/>
      <c r="I187" s="93"/>
      <c r="J187" s="94"/>
      <c r="K187" s="31"/>
    </row>
    <row r="188" spans="1:12" s="29" customFormat="1" x14ac:dyDescent="0.35">
      <c r="A188" s="51">
        <v>4</v>
      </c>
      <c r="B188" s="52"/>
      <c r="C188" s="1" t="s">
        <v>118</v>
      </c>
      <c r="D188" s="51">
        <f>(2.9*3.55+1.35*3.39+2.9*2.34+1.05*3.17+2*1.25+2.05*1.67+3*1.66+0.75*0.4+1.22*1.9+2.8*3.35+0.9*2.9+0.9*(2.9+2.34)+0.75*(2.8+3))*10.764</f>
        <v>641.14151399999992</v>
      </c>
      <c r="E188" s="52">
        <v>0</v>
      </c>
      <c r="F188" s="1">
        <v>0</v>
      </c>
      <c r="G188" s="1">
        <f t="shared" si="3"/>
        <v>993.76934669999991</v>
      </c>
      <c r="H188" s="92"/>
      <c r="I188" s="93"/>
      <c r="J188" s="94"/>
      <c r="K188" s="31"/>
    </row>
    <row r="189" spans="1:12" s="29" customFormat="1" x14ac:dyDescent="0.35">
      <c r="A189" s="51">
        <v>5</v>
      </c>
      <c r="B189" s="52"/>
      <c r="C189" s="1" t="s">
        <v>118</v>
      </c>
      <c r="D189" s="51">
        <f>(2.9*3.55+2.57*1.05*1*0.48+1.8*0.9+2.34*1.7+2.24*1.05+0.9*0.9+2.8*2.3+1.87*0.6+2.8*1.05+1.22*1.85+2*1.22+3.35*2.6+0.75*(2.8+3.35)+0.9*(2.24+2.9))*10.764</f>
        <v>575.85010391999992</v>
      </c>
      <c r="E189" s="52">
        <v>0</v>
      </c>
      <c r="F189" s="1">
        <v>0</v>
      </c>
      <c r="G189" s="1">
        <f t="shared" si="3"/>
        <v>892.56766107599992</v>
      </c>
      <c r="H189" s="92"/>
      <c r="I189" s="93"/>
      <c r="J189" s="94"/>
    </row>
    <row r="190" spans="1:12" s="29" customFormat="1" x14ac:dyDescent="0.35">
      <c r="A190" s="51">
        <v>6</v>
      </c>
      <c r="B190" s="52"/>
      <c r="C190" s="1" t="s">
        <v>117</v>
      </c>
      <c r="D190" s="51">
        <f>(2.9*1.05+2.9*3.52+1*0.48+1.8*0.9+2.34*1.7+2.24*1.05+0.94*0.9+2.8*2.3+2.8*1.05+1.87*0.6+2*1.22+1.22*1.85+0.9*(2.9+2.24))*10.764</f>
        <v>455.89845599999995</v>
      </c>
      <c r="E190" s="52">
        <v>0</v>
      </c>
      <c r="F190" s="1">
        <v>0</v>
      </c>
      <c r="G190" s="1">
        <f t="shared" si="3"/>
        <v>706.64260679999995</v>
      </c>
      <c r="H190" s="95"/>
      <c r="I190" s="96"/>
      <c r="J190" s="97"/>
    </row>
    <row r="191" spans="1:12" s="29" customFormat="1" x14ac:dyDescent="0.35">
      <c r="A191" s="111" t="s">
        <v>172</v>
      </c>
      <c r="B191" s="111"/>
      <c r="C191" s="111"/>
      <c r="D191" s="111"/>
      <c r="E191" s="111"/>
      <c r="F191" s="111"/>
      <c r="G191" s="111"/>
      <c r="H191" s="111"/>
      <c r="I191" s="111"/>
      <c r="J191" s="111"/>
    </row>
    <row r="192" spans="1:12" s="29" customFormat="1" x14ac:dyDescent="0.35">
      <c r="A192" s="112">
        <v>1</v>
      </c>
      <c r="B192" s="112"/>
      <c r="C192" s="112" t="s">
        <v>119</v>
      </c>
      <c r="D192" s="112"/>
      <c r="E192" s="112"/>
      <c r="F192" s="112"/>
      <c r="G192" s="112"/>
      <c r="H192" s="112" t="str">
        <f>A191</f>
        <v>8th Floor
13th Floor (14th Floor as per Builder)</v>
      </c>
      <c r="I192" s="112"/>
      <c r="J192" s="112"/>
    </row>
    <row r="193" spans="1:12" s="29" customFormat="1" x14ac:dyDescent="0.35">
      <c r="A193" s="112">
        <v>2</v>
      </c>
      <c r="B193" s="112"/>
      <c r="C193" s="47" t="s">
        <v>118</v>
      </c>
      <c r="D193" s="112">
        <f>(2.9*3.55+2.57*1.05*1*0.48+1.8*0.9+2.34*1.7+2.24*1.05+0.9*0.9+2.8*2.3+1.87*0.6+2.8*1.05+1.22*1.85+2*1.22+3.35*2.6+0.75*(2.8+3.35)+0.9*(2.24+2.9))*10.764</f>
        <v>575.85010391999992</v>
      </c>
      <c r="E193" s="112">
        <v>0</v>
      </c>
      <c r="F193" s="47">
        <v>0</v>
      </c>
      <c r="G193" s="47">
        <f t="shared" ref="G193:G197" si="4">D193*($G$172+1)+F193</f>
        <v>892.56766107599992</v>
      </c>
      <c r="H193" s="112"/>
      <c r="I193" s="112"/>
      <c r="J193" s="112"/>
    </row>
    <row r="194" spans="1:12" s="29" customFormat="1" x14ac:dyDescent="0.35">
      <c r="A194" s="112">
        <v>3</v>
      </c>
      <c r="B194" s="112"/>
      <c r="C194" s="47" t="s">
        <v>118</v>
      </c>
      <c r="D194" s="112">
        <f>(2.9*3.55+1.35*3.39+2.9*2.34+1.05*3.17+2*1.25+2.05*1.67+3*1.66+0.75*0.4+1.22*1.9+2.8*3.35+0.9*2.9+0.9*(2.9+2.34)+0.75*(2.8+3))*10.764</f>
        <v>641.14151399999992</v>
      </c>
      <c r="E194" s="112">
        <v>0</v>
      </c>
      <c r="F194" s="47">
        <v>0</v>
      </c>
      <c r="G194" s="47">
        <f t="shared" si="4"/>
        <v>993.76934669999991</v>
      </c>
      <c r="H194" s="112"/>
      <c r="I194" s="112"/>
      <c r="J194" s="112"/>
    </row>
    <row r="195" spans="1:12" s="29" customFormat="1" x14ac:dyDescent="0.35">
      <c r="A195" s="112">
        <v>4</v>
      </c>
      <c r="B195" s="112"/>
      <c r="C195" s="47" t="s">
        <v>118</v>
      </c>
      <c r="D195" s="112">
        <f>(2.9*3.55+1.35*3.39+2.9*2.34+1.05*3.17+2*1.25+2.05*1.67+3*1.66+0.75*0.4+1.22*1.9+2.8*3.35+0.9*2.9+0.9*(2.9+2.34)+0.75*(2.8+3))*10.764</f>
        <v>641.14151399999992</v>
      </c>
      <c r="E195" s="112">
        <v>0</v>
      </c>
      <c r="F195" s="47">
        <v>0</v>
      </c>
      <c r="G195" s="47">
        <f t="shared" si="4"/>
        <v>993.76934669999991</v>
      </c>
      <c r="H195" s="112"/>
      <c r="I195" s="112"/>
      <c r="J195" s="112"/>
    </row>
    <row r="196" spans="1:12" s="29" customFormat="1" x14ac:dyDescent="0.35">
      <c r="A196" s="112">
        <v>5</v>
      </c>
      <c r="B196" s="112"/>
      <c r="C196" s="47" t="s">
        <v>118</v>
      </c>
      <c r="D196" s="112">
        <f>(2.9*3.55+2.57*1.05*1*0.48+1.8*0.9+2.34*1.7+2.24*1.05+0.9*0.9+2.8*2.3+1.87*0.6+2.8*1.05+1.22*1.85+2*1.22+3.35*2.6+0.75*(2.8+3.35)+0.9*(2.24+2.9))*10.764</f>
        <v>575.85010391999992</v>
      </c>
      <c r="E196" s="112">
        <v>0</v>
      </c>
      <c r="F196" s="47">
        <v>0</v>
      </c>
      <c r="G196" s="47">
        <f t="shared" si="4"/>
        <v>892.56766107599992</v>
      </c>
      <c r="H196" s="112"/>
      <c r="I196" s="112"/>
      <c r="J196" s="112"/>
      <c r="L196" s="30"/>
    </row>
    <row r="197" spans="1:12" s="29" customFormat="1" x14ac:dyDescent="0.35">
      <c r="A197" s="112">
        <v>6</v>
      </c>
      <c r="B197" s="112"/>
      <c r="C197" s="47" t="s">
        <v>117</v>
      </c>
      <c r="D197" s="112">
        <f>(2.9*1.05+2.9*3.52+1*0.48+1.8*0.9+2.34*1.7+2.24*1.05+0.94*0.9+2.8*2.3+2.8*1.05+1.87*0.6+2*1.22+1.22*1.85+0.9*(2.9+2.24))*10.764</f>
        <v>455.89845599999995</v>
      </c>
      <c r="E197" s="112">
        <v>0</v>
      </c>
      <c r="F197" s="47">
        <v>0</v>
      </c>
      <c r="G197" s="47">
        <f t="shared" si="4"/>
        <v>706.64260679999995</v>
      </c>
      <c r="H197" s="112"/>
      <c r="I197" s="112"/>
      <c r="J197" s="112"/>
    </row>
    <row r="198" spans="1:12" s="29" customFormat="1" x14ac:dyDescent="0.35">
      <c r="A198" s="86" t="s">
        <v>127</v>
      </c>
      <c r="B198" s="87"/>
      <c r="C198" s="87"/>
      <c r="D198" s="87"/>
      <c r="E198" s="87"/>
      <c r="F198" s="87"/>
      <c r="G198" s="87"/>
      <c r="H198" s="87"/>
      <c r="I198" s="87"/>
      <c r="J198" s="88"/>
    </row>
    <row r="199" spans="1:12" s="29" customFormat="1" x14ac:dyDescent="0.35">
      <c r="A199" s="86" t="s">
        <v>116</v>
      </c>
      <c r="B199" s="87"/>
      <c r="C199" s="87"/>
      <c r="D199" s="87"/>
      <c r="E199" s="87"/>
      <c r="F199" s="87"/>
      <c r="G199" s="87"/>
      <c r="H199" s="87"/>
      <c r="I199" s="87"/>
      <c r="J199" s="88"/>
      <c r="K199" s="31"/>
      <c r="L199" s="36">
        <v>10.763999999999999</v>
      </c>
    </row>
    <row r="200" spans="1:12" s="29" customFormat="1" x14ac:dyDescent="0.35">
      <c r="A200" s="86" t="s">
        <v>170</v>
      </c>
      <c r="B200" s="87"/>
      <c r="C200" s="87"/>
      <c r="D200" s="87"/>
      <c r="E200" s="87"/>
      <c r="F200" s="87"/>
      <c r="G200" s="87"/>
      <c r="H200" s="87"/>
      <c r="I200" s="87"/>
      <c r="J200" s="88"/>
      <c r="K200" s="31"/>
    </row>
    <row r="201" spans="1:12" s="29" customFormat="1" x14ac:dyDescent="0.35">
      <c r="A201" s="51">
        <v>1</v>
      </c>
      <c r="B201" s="52"/>
      <c r="C201" s="1" t="s">
        <v>117</v>
      </c>
      <c r="D201" s="51">
        <f>(2.9*1.05+2.9*3.52+1*0.48+1.8*0.9+2.34*1.7+2.24*1.05+0.94*0.9+2.8*2.3+2.8*1.05+1.87*0.6+2*1.22+1.22*1.85+0.9*(2.9+2.24))*10.764</f>
        <v>455.89845599999995</v>
      </c>
      <c r="E201" s="52">
        <v>0</v>
      </c>
      <c r="F201" s="1">
        <v>0</v>
      </c>
      <c r="G201" s="1">
        <f>D201*($G$172+1)+F201</f>
        <v>706.64260679999995</v>
      </c>
      <c r="H201" s="89" t="str">
        <f>A200</f>
        <v>1st to 7th, 9th to 12th Floor for Residential</v>
      </c>
      <c r="I201" s="90"/>
      <c r="J201" s="91"/>
      <c r="K201" s="31"/>
    </row>
    <row r="202" spans="1:12" s="29" customFormat="1" x14ac:dyDescent="0.35">
      <c r="A202" s="51">
        <v>2</v>
      </c>
      <c r="B202" s="52"/>
      <c r="C202" s="1" t="s">
        <v>118</v>
      </c>
      <c r="D202" s="51">
        <f>(2.9*3.55+2.57*1.05*1*0.48+1.8*0.9+2.34*1.7+2.24*1.05+0.9*0.9+2.8*2.3+1.87*0.6+2.8*1.05+1.22*1.85+2*1.22+3.35*2.6+0.75*(2.8+3.35)+0.9*(2.24+2.9))*10.764</f>
        <v>575.85010391999992</v>
      </c>
      <c r="E202" s="52">
        <v>0</v>
      </c>
      <c r="F202" s="1">
        <v>0</v>
      </c>
      <c r="G202" s="1">
        <f t="shared" ref="G202:G206" si="5">D202*($G$172+1)+F202</f>
        <v>892.56766107599992</v>
      </c>
      <c r="H202" s="92"/>
      <c r="I202" s="93"/>
      <c r="J202" s="94"/>
      <c r="K202" s="31"/>
    </row>
    <row r="203" spans="1:12" s="29" customFormat="1" x14ac:dyDescent="0.35">
      <c r="A203" s="51">
        <v>3</v>
      </c>
      <c r="B203" s="52"/>
      <c r="C203" s="1" t="s">
        <v>118</v>
      </c>
      <c r="D203" s="51">
        <f>(2.9*3.55+1.35*3.39+2.9*2.34+1.05*3.17+2*1.25+2.05*1.67+3*1.66+0.75*0.4+1.22*1.9+2.8*3.35+0.9*2.9+0.9*(2.9+2.34)+0.75*(2.8+3))*10.764</f>
        <v>641.14151399999992</v>
      </c>
      <c r="E203" s="52">
        <v>0</v>
      </c>
      <c r="F203" s="1">
        <v>0</v>
      </c>
      <c r="G203" s="1">
        <f t="shared" si="5"/>
        <v>993.76934669999991</v>
      </c>
      <c r="H203" s="92"/>
      <c r="I203" s="93"/>
      <c r="J203" s="94"/>
      <c r="K203" s="31"/>
    </row>
    <row r="204" spans="1:12" s="29" customFormat="1" x14ac:dyDescent="0.35">
      <c r="A204" s="51">
        <v>4</v>
      </c>
      <c r="B204" s="52"/>
      <c r="C204" s="1" t="s">
        <v>118</v>
      </c>
      <c r="D204" s="51">
        <f>(2.9*3.55+1.35*3.39+2.9*2.34+1.05*3.17+2*1.25+2.05*1.67+3*1.66+0.75*0.4+1.22*1.9+2.8*3.35+0.9*2.9+0.9*(2.9+2.34)+0.75*(2.8+3))*10.764</f>
        <v>641.14151399999992</v>
      </c>
      <c r="E204" s="52">
        <v>0</v>
      </c>
      <c r="F204" s="1">
        <v>0</v>
      </c>
      <c r="G204" s="1">
        <f t="shared" si="5"/>
        <v>993.76934669999991</v>
      </c>
      <c r="H204" s="92"/>
      <c r="I204" s="93"/>
      <c r="J204" s="94"/>
      <c r="K204" s="31"/>
    </row>
    <row r="205" spans="1:12" s="29" customFormat="1" x14ac:dyDescent="0.35">
      <c r="A205" s="51">
        <v>5</v>
      </c>
      <c r="B205" s="52"/>
      <c r="C205" s="1" t="s">
        <v>118</v>
      </c>
      <c r="D205" s="51">
        <f>(2.9*3.55+2.57*1.05*1*0.48+1.8*0.9+2.34*1.7+2.24*1.05+0.9*0.9+2.8*2.3+1.87*0.6+2.8*1.05+1.22*1.85+2*1.22+3.35*2.6+0.75*(2.8+3.35)+0.9*(2.24+2.9))*10.764</f>
        <v>575.85010391999992</v>
      </c>
      <c r="E205" s="52">
        <v>0</v>
      </c>
      <c r="F205" s="1">
        <v>0</v>
      </c>
      <c r="G205" s="1">
        <f t="shared" si="5"/>
        <v>892.56766107599992</v>
      </c>
      <c r="H205" s="92"/>
      <c r="I205" s="93"/>
      <c r="J205" s="94"/>
    </row>
    <row r="206" spans="1:12" s="29" customFormat="1" x14ac:dyDescent="0.35">
      <c r="A206" s="51">
        <v>6</v>
      </c>
      <c r="B206" s="52"/>
      <c r="C206" s="1" t="s">
        <v>117</v>
      </c>
      <c r="D206" s="51">
        <f>(2.9*1.05+2.9*3.52+1*0.48+1.8*0.9+2.34*1.7+2.24*1.05+0.94*0.9+2.8*2.3+2.8*1.05+1.87*0.6+2*1.22+1.22*1.85+0.9*(2.9+2.24))*10.764</f>
        <v>455.89845599999995</v>
      </c>
      <c r="E206" s="52">
        <v>0</v>
      </c>
      <c r="F206" s="1">
        <v>0</v>
      </c>
      <c r="G206" s="1">
        <f t="shared" si="5"/>
        <v>706.64260679999995</v>
      </c>
      <c r="H206" s="95"/>
      <c r="I206" s="96"/>
      <c r="J206" s="97"/>
      <c r="K206" s="31"/>
    </row>
    <row r="207" spans="1:12" s="29" customFormat="1" x14ac:dyDescent="0.35">
      <c r="A207" s="86" t="s">
        <v>171</v>
      </c>
      <c r="B207" s="87"/>
      <c r="C207" s="87"/>
      <c r="D207" s="87"/>
      <c r="E207" s="87"/>
      <c r="F207" s="87"/>
      <c r="G207" s="87"/>
      <c r="H207" s="87"/>
      <c r="I207" s="87"/>
      <c r="J207" s="88"/>
      <c r="K207" s="31"/>
    </row>
    <row r="208" spans="1:12" s="29" customFormat="1" x14ac:dyDescent="0.35">
      <c r="A208" s="51">
        <v>1</v>
      </c>
      <c r="B208" s="52"/>
      <c r="C208" s="1" t="s">
        <v>117</v>
      </c>
      <c r="D208" s="51">
        <f>(2.9*1.05+2.9*3.52+1*0.48+1.8*0.9+2.34*1.7+2.24*1.05+0.94*0.9+2.8*2.3+2.8*1.05+1.87*0.6+2*1.22+1.22*1.85+0.9*(2.9+2.24))*10.764</f>
        <v>455.89845599999995</v>
      </c>
      <c r="E208" s="52">
        <v>0</v>
      </c>
      <c r="F208" s="1">
        <v>0</v>
      </c>
      <c r="G208" s="1">
        <f>D208*($G$172+1)+F208</f>
        <v>706.64260679999995</v>
      </c>
      <c r="H208" s="89" t="str">
        <f>A207</f>
        <v>14th to 17th Floor (15th to 18th Floor as per Builder)</v>
      </c>
      <c r="I208" s="90"/>
      <c r="J208" s="91"/>
      <c r="K208" s="31"/>
    </row>
    <row r="209" spans="1:12" s="29" customFormat="1" x14ac:dyDescent="0.35">
      <c r="A209" s="51">
        <v>2</v>
      </c>
      <c r="B209" s="52"/>
      <c r="C209" s="1" t="s">
        <v>118</v>
      </c>
      <c r="D209" s="51">
        <f>(2.9*3.55+2.57*1.05*1*0.48+1.8*0.9+2.34*1.7+2.24*1.05+0.9*0.9+2.8*2.3+1.87*0.6+2.8*1.05+1.22*1.85+2*1.22+3.35*2.6+0.75*(2.8+3.35)+0.9*(2.24+2.9))*10.764</f>
        <v>575.85010391999992</v>
      </c>
      <c r="E209" s="52">
        <v>0</v>
      </c>
      <c r="F209" s="1">
        <v>0</v>
      </c>
      <c r="G209" s="1">
        <f t="shared" ref="G209:G213" si="6">D209*($G$172+1)+F209</f>
        <v>892.56766107599992</v>
      </c>
      <c r="H209" s="92"/>
      <c r="I209" s="93"/>
      <c r="J209" s="94"/>
      <c r="K209" s="31"/>
    </row>
    <row r="210" spans="1:12" s="29" customFormat="1" x14ac:dyDescent="0.35">
      <c r="A210" s="51">
        <v>3</v>
      </c>
      <c r="B210" s="52"/>
      <c r="C210" s="1" t="s">
        <v>118</v>
      </c>
      <c r="D210" s="51">
        <f>(2.9*3.55+1.35*3.39+2.9*2.34+1.05*3.17+2*1.25+2.05*1.67+3*1.66+0.75*0.4+1.22*1.9+2.8*3.35+0.9*2.9+0.9*(2.9+2.34)+0.75*(2.8+3))*10.764</f>
        <v>641.14151399999992</v>
      </c>
      <c r="E210" s="52">
        <v>0</v>
      </c>
      <c r="F210" s="1">
        <v>0</v>
      </c>
      <c r="G210" s="1">
        <f t="shared" si="6"/>
        <v>993.76934669999991</v>
      </c>
      <c r="H210" s="92"/>
      <c r="I210" s="93"/>
      <c r="J210" s="94"/>
      <c r="K210" s="31"/>
    </row>
    <row r="211" spans="1:12" s="29" customFormat="1" x14ac:dyDescent="0.35">
      <c r="A211" s="51">
        <v>4</v>
      </c>
      <c r="B211" s="52"/>
      <c r="C211" s="1" t="s">
        <v>118</v>
      </c>
      <c r="D211" s="51">
        <f>(2.9*3.55+1.35*3.39+2.9*2.34+1.05*3.17+2*1.25+2.05*1.67+3*1.66+0.75*0.4+1.22*1.9+2.8*3.35+0.9*2.9+0.9*(2.9+2.34)+0.75*(2.8+3))*10.764</f>
        <v>641.14151399999992</v>
      </c>
      <c r="E211" s="52">
        <v>0</v>
      </c>
      <c r="F211" s="1">
        <v>0</v>
      </c>
      <c r="G211" s="1">
        <f t="shared" si="6"/>
        <v>993.76934669999991</v>
      </c>
      <c r="H211" s="92"/>
      <c r="I211" s="93"/>
      <c r="J211" s="94"/>
      <c r="K211" s="31"/>
    </row>
    <row r="212" spans="1:12" s="29" customFormat="1" x14ac:dyDescent="0.35">
      <c r="A212" s="51">
        <v>5</v>
      </c>
      <c r="B212" s="52"/>
      <c r="C212" s="1" t="s">
        <v>118</v>
      </c>
      <c r="D212" s="51">
        <f>(2.9*3.55+2.57*1.05*1*0.48+1.8*0.9+2.34*1.7+2.24*1.05+0.9*0.9+2.8*2.3+1.87*0.6+2.8*1.05+1.22*1.85+2*1.22+3.35*2.6+0.75*(2.8+3.35)+0.9*(2.24+2.9))*10.764</f>
        <v>575.85010391999992</v>
      </c>
      <c r="E212" s="52">
        <v>0</v>
      </c>
      <c r="F212" s="1">
        <v>0</v>
      </c>
      <c r="G212" s="1">
        <f t="shared" si="6"/>
        <v>892.56766107599992</v>
      </c>
      <c r="H212" s="92"/>
      <c r="I212" s="93"/>
      <c r="J212" s="94"/>
    </row>
    <row r="213" spans="1:12" s="29" customFormat="1" x14ac:dyDescent="0.35">
      <c r="A213" s="51">
        <v>6</v>
      </c>
      <c r="B213" s="52"/>
      <c r="C213" s="1" t="s">
        <v>117</v>
      </c>
      <c r="D213" s="51">
        <f>(2.9*1.05+2.9*3.52+1*0.48+1.8*0.9+2.34*1.7+2.24*1.05+0.94*0.9+2.8*2.3+2.8*1.05+1.87*0.6+2*1.22+1.22*1.85+0.9*(2.9+2.24))*10.764</f>
        <v>455.89845599999995</v>
      </c>
      <c r="E213" s="52">
        <v>0</v>
      </c>
      <c r="F213" s="1">
        <v>0</v>
      </c>
      <c r="G213" s="1">
        <f t="shared" si="6"/>
        <v>706.64260679999995</v>
      </c>
      <c r="H213" s="95"/>
      <c r="I213" s="96"/>
      <c r="J213" s="97"/>
    </row>
    <row r="214" spans="1:12" s="29" customFormat="1" x14ac:dyDescent="0.35">
      <c r="A214" s="86" t="s">
        <v>172</v>
      </c>
      <c r="B214" s="87"/>
      <c r="C214" s="87"/>
      <c r="D214" s="87"/>
      <c r="E214" s="87"/>
      <c r="F214" s="87"/>
      <c r="G214" s="87"/>
      <c r="H214" s="87"/>
      <c r="I214" s="87"/>
      <c r="J214" s="88"/>
    </row>
    <row r="215" spans="1:12" s="29" customFormat="1" x14ac:dyDescent="0.35">
      <c r="A215" s="51">
        <v>1</v>
      </c>
      <c r="B215" s="52"/>
      <c r="C215" s="51" t="s">
        <v>119</v>
      </c>
      <c r="D215" s="226"/>
      <c r="E215" s="226"/>
      <c r="F215" s="226"/>
      <c r="G215" s="52"/>
      <c r="H215" s="89" t="str">
        <f>A214</f>
        <v>8th Floor
13th Floor (14th Floor as per Builder)</v>
      </c>
      <c r="I215" s="90"/>
      <c r="J215" s="91"/>
    </row>
    <row r="216" spans="1:12" s="29" customFormat="1" x14ac:dyDescent="0.35">
      <c r="A216" s="51">
        <v>2</v>
      </c>
      <c r="B216" s="52"/>
      <c r="C216" s="1" t="s">
        <v>118</v>
      </c>
      <c r="D216" s="51">
        <f>(2.9*3.55+2.57*1.05*1*0.48+1.8*0.9+2.34*1.7+2.24*1.05+0.9*0.9+2.8*2.3+1.87*0.6+2.8*1.05+1.22*1.85+2*1.22+3.35*2.6+0.75*(2.8+3.35)+0.9*(2.24+2.9))*10.764</f>
        <v>575.85010391999992</v>
      </c>
      <c r="E216" s="52">
        <v>0</v>
      </c>
      <c r="F216" s="1">
        <v>0</v>
      </c>
      <c r="G216" s="1">
        <f t="shared" ref="G216:G220" si="7">D216*($G$172+1)+F216</f>
        <v>892.56766107599992</v>
      </c>
      <c r="H216" s="92"/>
      <c r="I216" s="93"/>
      <c r="J216" s="94"/>
    </row>
    <row r="217" spans="1:12" s="29" customFormat="1" x14ac:dyDescent="0.35">
      <c r="A217" s="51">
        <v>3</v>
      </c>
      <c r="B217" s="52"/>
      <c r="C217" s="1" t="s">
        <v>118</v>
      </c>
      <c r="D217" s="51">
        <f>(2.9*3.55+1.35*3.39+2.9*2.34+1.05*3.17+2*1.25+2.05*1.67+3*1.66+0.75*0.4+1.22*1.9+2.8*3.35+0.9*2.9+0.9*(2.9+2.34)+0.75*(2.8+3))*10.764</f>
        <v>641.14151399999992</v>
      </c>
      <c r="E217" s="52">
        <v>0</v>
      </c>
      <c r="F217" s="1">
        <v>0</v>
      </c>
      <c r="G217" s="1">
        <f t="shared" si="7"/>
        <v>993.76934669999991</v>
      </c>
      <c r="H217" s="92"/>
      <c r="I217" s="93"/>
      <c r="J217" s="94"/>
    </row>
    <row r="218" spans="1:12" s="29" customFormat="1" x14ac:dyDescent="0.35">
      <c r="A218" s="51">
        <v>4</v>
      </c>
      <c r="B218" s="52"/>
      <c r="C218" s="1" t="s">
        <v>118</v>
      </c>
      <c r="D218" s="51">
        <f>(2.9*3.55+1.35*3.39+2.9*2.34+1.05*3.17+2*1.25+2.05*1.67+3*1.66+0.75*0.4+1.22*1.9+2.8*3.35+0.9*2.9+0.9*(2.9+2.34)+0.75*(2.8+3))*10.764</f>
        <v>641.14151399999992</v>
      </c>
      <c r="E218" s="52">
        <v>0</v>
      </c>
      <c r="F218" s="1">
        <v>0</v>
      </c>
      <c r="G218" s="1">
        <f t="shared" si="7"/>
        <v>993.76934669999991</v>
      </c>
      <c r="H218" s="92"/>
      <c r="I218" s="93"/>
      <c r="J218" s="94"/>
    </row>
    <row r="219" spans="1:12" s="29" customFormat="1" x14ac:dyDescent="0.35">
      <c r="A219" s="51">
        <v>5</v>
      </c>
      <c r="B219" s="52"/>
      <c r="C219" s="1" t="s">
        <v>118</v>
      </c>
      <c r="D219" s="51">
        <f>(2.9*3.55+2.57*1.05*1*0.48+1.8*0.9+2.34*1.7+2.24*1.05+0.9*0.9+2.8*2.3+1.87*0.6+2.8*1.05+1.22*1.85+2*1.22+3.35*2.6+0.75*(2.8+3.35)+0.9*(2.24+2.9))*10.764</f>
        <v>575.85010391999992</v>
      </c>
      <c r="E219" s="52">
        <v>0</v>
      </c>
      <c r="F219" s="1">
        <v>0</v>
      </c>
      <c r="G219" s="1">
        <f t="shared" si="7"/>
        <v>892.56766107599992</v>
      </c>
      <c r="H219" s="92"/>
      <c r="I219" s="93"/>
      <c r="J219" s="94"/>
      <c r="L219" s="30"/>
    </row>
    <row r="220" spans="1:12" s="29" customFormat="1" x14ac:dyDescent="0.35">
      <c r="A220" s="51">
        <v>6</v>
      </c>
      <c r="B220" s="52"/>
      <c r="C220" s="1" t="s">
        <v>117</v>
      </c>
      <c r="D220" s="51">
        <f>(2.9*1.05+2.9*3.52+1*0.48+1.8*0.9+2.34*1.7+2.24*1.05+0.94*0.9+2.8*2.3+2.8*1.05+1.87*0.6+2*1.22+1.22*1.85+0.9*(2.9+2.24))*10.764</f>
        <v>455.89845599999995</v>
      </c>
      <c r="E220" s="52">
        <v>0</v>
      </c>
      <c r="F220" s="1">
        <v>0</v>
      </c>
      <c r="G220" s="1">
        <f t="shared" si="7"/>
        <v>706.64260679999995</v>
      </c>
      <c r="H220" s="95"/>
      <c r="I220" s="96"/>
      <c r="J220" s="97"/>
    </row>
    <row r="221" spans="1:12" s="29" customFormat="1" x14ac:dyDescent="0.35">
      <c r="A221" s="86" t="s">
        <v>128</v>
      </c>
      <c r="B221" s="87"/>
      <c r="C221" s="87"/>
      <c r="D221" s="87"/>
      <c r="E221" s="87"/>
      <c r="F221" s="87"/>
      <c r="G221" s="87"/>
      <c r="H221" s="87"/>
      <c r="I221" s="87"/>
      <c r="J221" s="88"/>
    </row>
    <row r="222" spans="1:12" s="29" customFormat="1" x14ac:dyDescent="0.35">
      <c r="A222" s="86" t="s">
        <v>116</v>
      </c>
      <c r="B222" s="87"/>
      <c r="C222" s="87"/>
      <c r="D222" s="87"/>
      <c r="E222" s="87"/>
      <c r="F222" s="87"/>
      <c r="G222" s="87"/>
      <c r="H222" s="87"/>
      <c r="I222" s="87"/>
      <c r="J222" s="88"/>
      <c r="K222" s="31"/>
      <c r="L222" s="36">
        <v>10.763999999999999</v>
      </c>
    </row>
    <row r="223" spans="1:12" s="29" customFormat="1" x14ac:dyDescent="0.35">
      <c r="A223" s="86" t="s">
        <v>170</v>
      </c>
      <c r="B223" s="87"/>
      <c r="C223" s="87"/>
      <c r="D223" s="87"/>
      <c r="E223" s="87"/>
      <c r="F223" s="87"/>
      <c r="G223" s="87"/>
      <c r="H223" s="87"/>
      <c r="I223" s="87"/>
      <c r="J223" s="88"/>
      <c r="K223" s="31"/>
    </row>
    <row r="224" spans="1:12" s="29" customFormat="1" x14ac:dyDescent="0.35">
      <c r="A224" s="51">
        <v>1</v>
      </c>
      <c r="B224" s="52"/>
      <c r="C224" s="1" t="s">
        <v>117</v>
      </c>
      <c r="D224" s="51">
        <f>(2.9*1.05+2.9*3.52+1*0.48+1.8*0.9+2.34*1.7+2.24*1.05+0.94*0.9+2.8*2.3+2.8*1.05+1.87*0.6+2*1.22+1.22*1.85+0.9*(2.9+2.24))*10.764</f>
        <v>455.89845599999995</v>
      </c>
      <c r="E224" s="52">
        <v>0</v>
      </c>
      <c r="F224" s="1">
        <v>0</v>
      </c>
      <c r="G224" s="1">
        <f>D224*($G$172+1)+F224</f>
        <v>706.64260679999995</v>
      </c>
      <c r="H224" s="89" t="str">
        <f>A223</f>
        <v>1st to 7th, 9th to 12th Floor for Residential</v>
      </c>
      <c r="I224" s="90"/>
      <c r="J224" s="91"/>
      <c r="K224" s="31"/>
    </row>
    <row r="225" spans="1:11" s="29" customFormat="1" x14ac:dyDescent="0.35">
      <c r="A225" s="51">
        <v>2</v>
      </c>
      <c r="B225" s="52"/>
      <c r="C225" s="1" t="s">
        <v>118</v>
      </c>
      <c r="D225" s="51">
        <f>(2.9*3.55+2.57*1.05*1*0.48+1.8*0.9+2.34*1.7+2.24*1.05+0.9*0.9+2.8*2.3+1.87*0.6+2.8*1.05+1.22*1.85+2*1.22+3.35*2.6+0.75*(2.8+3.35)+0.9*(2.24+2.9))*10.764</f>
        <v>575.85010391999992</v>
      </c>
      <c r="E225" s="52">
        <v>0</v>
      </c>
      <c r="F225" s="1">
        <v>0</v>
      </c>
      <c r="G225" s="1">
        <f t="shared" ref="G225:G229" si="8">D225*($G$172+1)+F225</f>
        <v>892.56766107599992</v>
      </c>
      <c r="H225" s="92"/>
      <c r="I225" s="93"/>
      <c r="J225" s="94"/>
      <c r="K225" s="31"/>
    </row>
    <row r="226" spans="1:11" s="29" customFormat="1" x14ac:dyDescent="0.35">
      <c r="A226" s="51">
        <v>3</v>
      </c>
      <c r="B226" s="52"/>
      <c r="C226" s="1" t="s">
        <v>118</v>
      </c>
      <c r="D226" s="51">
        <f>(2.9*3.55+1.35*3.39+2.9*2.34+1.05*3.17+2*1.25+2.05*1.67+3*1.66+0.75*0.4+1.22*1.9+2.8*3.35+0.9*2.9+0.9*(2.9+2.34)+0.75*(2.8+3))*10.764</f>
        <v>641.14151399999992</v>
      </c>
      <c r="E226" s="52">
        <v>0</v>
      </c>
      <c r="F226" s="1">
        <v>0</v>
      </c>
      <c r="G226" s="1">
        <f t="shared" si="8"/>
        <v>993.76934669999991</v>
      </c>
      <c r="H226" s="92"/>
      <c r="I226" s="93"/>
      <c r="J226" s="94"/>
      <c r="K226" s="31"/>
    </row>
    <row r="227" spans="1:11" s="29" customFormat="1" x14ac:dyDescent="0.35">
      <c r="A227" s="51">
        <v>4</v>
      </c>
      <c r="B227" s="52"/>
      <c r="C227" s="1" t="s">
        <v>118</v>
      </c>
      <c r="D227" s="51">
        <f>(2.9*3.55+1.35*3.39+2.9*2.34+1.05*3.17+2*1.25+2.05*1.67+3*1.66+0.75*0.4+1.22*1.9+2.8*3.35+0.9*2.9+0.9*(2.9+2.34)+0.75*(2.8+3))*10.764</f>
        <v>641.14151399999992</v>
      </c>
      <c r="E227" s="52">
        <v>0</v>
      </c>
      <c r="F227" s="1">
        <v>0</v>
      </c>
      <c r="G227" s="1">
        <f t="shared" si="8"/>
        <v>993.76934669999991</v>
      </c>
      <c r="H227" s="92"/>
      <c r="I227" s="93"/>
      <c r="J227" s="94"/>
      <c r="K227" s="31"/>
    </row>
    <row r="228" spans="1:11" s="29" customFormat="1" x14ac:dyDescent="0.35">
      <c r="A228" s="51">
        <v>5</v>
      </c>
      <c r="B228" s="52"/>
      <c r="C228" s="1" t="s">
        <v>118</v>
      </c>
      <c r="D228" s="51">
        <f>(2.9*3.55+2.57*1.05*1*0.48+1.8*0.9+2.34*1.7+2.24*1.05+0.9*0.9+2.8*2.3+1.87*0.6+2.8*1.05+1.22*1.85+2*1.22+3.35*2.6+0.75*(2.8+3.35)+0.9*(2.24+2.9))*10.764</f>
        <v>575.85010391999992</v>
      </c>
      <c r="E228" s="52">
        <v>0</v>
      </c>
      <c r="F228" s="1">
        <v>0</v>
      </c>
      <c r="G228" s="1">
        <f t="shared" si="8"/>
        <v>892.56766107599992</v>
      </c>
      <c r="H228" s="92"/>
      <c r="I228" s="93"/>
      <c r="J228" s="94"/>
    </row>
    <row r="229" spans="1:11" s="29" customFormat="1" x14ac:dyDescent="0.35">
      <c r="A229" s="51">
        <v>6</v>
      </c>
      <c r="B229" s="52"/>
      <c r="C229" s="1" t="s">
        <v>117</v>
      </c>
      <c r="D229" s="51">
        <f>(2.9*1.05+2.9*3.52+1*0.48+1.8*0.9+2.34*1.7+2.24*1.05+0.94*0.9+2.8*2.3+2.8*1.05+1.87*0.6+2*1.22+1.22*1.85+0.9*(2.9+2.24))*10.764</f>
        <v>455.89845599999995</v>
      </c>
      <c r="E229" s="52">
        <v>0</v>
      </c>
      <c r="F229" s="1">
        <v>0</v>
      </c>
      <c r="G229" s="1">
        <f t="shared" si="8"/>
        <v>706.64260679999995</v>
      </c>
      <c r="H229" s="95"/>
      <c r="I229" s="96"/>
      <c r="J229" s="97"/>
      <c r="K229" s="31"/>
    </row>
    <row r="230" spans="1:11" s="29" customFormat="1" x14ac:dyDescent="0.35">
      <c r="A230" s="86" t="s">
        <v>171</v>
      </c>
      <c r="B230" s="87"/>
      <c r="C230" s="87"/>
      <c r="D230" s="87"/>
      <c r="E230" s="87"/>
      <c r="F230" s="87"/>
      <c r="G230" s="87"/>
      <c r="H230" s="87"/>
      <c r="I230" s="87"/>
      <c r="J230" s="88"/>
      <c r="K230" s="31"/>
    </row>
    <row r="231" spans="1:11" s="29" customFormat="1" x14ac:dyDescent="0.35">
      <c r="A231" s="51">
        <v>1</v>
      </c>
      <c r="B231" s="52"/>
      <c r="C231" s="1" t="s">
        <v>117</v>
      </c>
      <c r="D231" s="51">
        <f>(2.9*1.05+2.9*3.52+1*0.48+1.8*0.9+2.34*1.7+2.24*1.05+0.94*0.9+2.8*2.3+2.8*1.05+1.87*0.6+2*1.22+1.22*1.85+0.9*(2.9+2.24))*10.764</f>
        <v>455.89845599999995</v>
      </c>
      <c r="E231" s="52">
        <v>0</v>
      </c>
      <c r="F231" s="1">
        <v>0</v>
      </c>
      <c r="G231" s="1">
        <f>D231*($G$172+1)+F231</f>
        <v>706.64260679999995</v>
      </c>
      <c r="H231" s="89" t="str">
        <f>A230</f>
        <v>14th to 17th Floor (15th to 18th Floor as per Builder)</v>
      </c>
      <c r="I231" s="90"/>
      <c r="J231" s="91"/>
      <c r="K231" s="31"/>
    </row>
    <row r="232" spans="1:11" s="29" customFormat="1" x14ac:dyDescent="0.35">
      <c r="A232" s="51">
        <v>2</v>
      </c>
      <c r="B232" s="52"/>
      <c r="C232" s="1" t="s">
        <v>118</v>
      </c>
      <c r="D232" s="51">
        <f>(2.9*3.55+2.57*1.05*1*0.48+1.8*0.9+2.34*1.7+2.24*1.05+0.9*0.9+2.8*2.3+1.87*0.6+2.8*1.05+1.22*1.85+2*1.22+3.35*2.6+0.75*(2.8+3.35)+0.9*(2.24+2.9))*10.764</f>
        <v>575.85010391999992</v>
      </c>
      <c r="E232" s="52">
        <v>0</v>
      </c>
      <c r="F232" s="1">
        <v>0</v>
      </c>
      <c r="G232" s="1">
        <f t="shared" ref="G232:G236" si="9">D232*($G$172+1)+F232</f>
        <v>892.56766107599992</v>
      </c>
      <c r="H232" s="92"/>
      <c r="I232" s="93"/>
      <c r="J232" s="94"/>
      <c r="K232" s="31"/>
    </row>
    <row r="233" spans="1:11" s="29" customFormat="1" x14ac:dyDescent="0.35">
      <c r="A233" s="51">
        <v>3</v>
      </c>
      <c r="B233" s="52"/>
      <c r="C233" s="1" t="s">
        <v>118</v>
      </c>
      <c r="D233" s="51">
        <f>(2.9*3.55+1.35*3.39+2.9*2.34+1.05*3.17+2*1.25+2.05*1.67+3*1.66+0.75*0.4+1.22*1.9+2.8*3.35+0.9*2.9+0.9*(2.9+2.34)+0.75*(2.8+3))*10.764</f>
        <v>641.14151399999992</v>
      </c>
      <c r="E233" s="52">
        <v>0</v>
      </c>
      <c r="F233" s="1">
        <v>0</v>
      </c>
      <c r="G233" s="1">
        <f t="shared" si="9"/>
        <v>993.76934669999991</v>
      </c>
      <c r="H233" s="92"/>
      <c r="I233" s="93"/>
      <c r="J233" s="94"/>
      <c r="K233" s="31"/>
    </row>
    <row r="234" spans="1:11" s="29" customFormat="1" x14ac:dyDescent="0.35">
      <c r="A234" s="51">
        <v>4</v>
      </c>
      <c r="B234" s="52"/>
      <c r="C234" s="1" t="s">
        <v>118</v>
      </c>
      <c r="D234" s="51">
        <f>(2.9*3.55+1.35*3.39+2.9*2.34+1.05*3.17+2*1.25+2.05*1.67+3*1.66+0.75*0.4+1.22*1.9+2.8*3.35+0.9*2.9+0.9*(2.9+2.34)+0.75*(2.8+3))*10.764</f>
        <v>641.14151399999992</v>
      </c>
      <c r="E234" s="52">
        <v>0</v>
      </c>
      <c r="F234" s="1">
        <v>0</v>
      </c>
      <c r="G234" s="1">
        <f t="shared" si="9"/>
        <v>993.76934669999991</v>
      </c>
      <c r="H234" s="92"/>
      <c r="I234" s="93"/>
      <c r="J234" s="94"/>
      <c r="K234" s="31"/>
    </row>
    <row r="235" spans="1:11" s="29" customFormat="1" x14ac:dyDescent="0.35">
      <c r="A235" s="51">
        <v>5</v>
      </c>
      <c r="B235" s="52"/>
      <c r="C235" s="1" t="s">
        <v>118</v>
      </c>
      <c r="D235" s="51">
        <f>(2.9*3.55+2.57*1.05*1*0.48+1.8*0.9+2.34*1.7+2.24*1.05+0.9*0.9+2.8*2.3+1.87*0.6+2.8*1.05+1.22*1.85+2*1.22+3.35*2.6+0.75*(2.8+3.35)+0.9*(2.24+2.9))*10.764</f>
        <v>575.85010391999992</v>
      </c>
      <c r="E235" s="52">
        <v>0</v>
      </c>
      <c r="F235" s="1">
        <v>0</v>
      </c>
      <c r="G235" s="1">
        <f t="shared" si="9"/>
        <v>892.56766107599992</v>
      </c>
      <c r="H235" s="92"/>
      <c r="I235" s="93"/>
      <c r="J235" s="94"/>
    </row>
    <row r="236" spans="1:11" s="29" customFormat="1" x14ac:dyDescent="0.35">
      <c r="A236" s="51">
        <v>6</v>
      </c>
      <c r="B236" s="52"/>
      <c r="C236" s="1" t="s">
        <v>117</v>
      </c>
      <c r="D236" s="51">
        <f>(2.9*1.05+2.9*3.52+1*0.48+1.8*0.9+2.34*1.7+2.24*1.05+0.94*0.9+2.8*2.3+2.8*1.05+1.87*0.6+2*1.22+1.22*1.85+0.9*(2.9+2.24))*10.764</f>
        <v>455.89845599999995</v>
      </c>
      <c r="E236" s="52">
        <v>0</v>
      </c>
      <c r="F236" s="1">
        <v>0</v>
      </c>
      <c r="G236" s="1">
        <f t="shared" si="9"/>
        <v>706.64260679999995</v>
      </c>
      <c r="H236" s="95"/>
      <c r="I236" s="96"/>
      <c r="J236" s="97"/>
    </row>
    <row r="237" spans="1:11" s="29" customFormat="1" x14ac:dyDescent="0.35">
      <c r="A237" s="111" t="s">
        <v>172</v>
      </c>
      <c r="B237" s="111"/>
      <c r="C237" s="111"/>
      <c r="D237" s="111"/>
      <c r="E237" s="111"/>
      <c r="F237" s="111"/>
      <c r="G237" s="111"/>
      <c r="H237" s="111"/>
      <c r="I237" s="111"/>
      <c r="J237" s="111"/>
    </row>
    <row r="238" spans="1:11" s="29" customFormat="1" x14ac:dyDescent="0.35">
      <c r="A238" s="112">
        <v>1</v>
      </c>
      <c r="B238" s="112"/>
      <c r="C238" s="112" t="s">
        <v>119</v>
      </c>
      <c r="D238" s="112"/>
      <c r="E238" s="112"/>
      <c r="F238" s="112"/>
      <c r="G238" s="112"/>
      <c r="H238" s="112" t="str">
        <f>A237</f>
        <v>8th Floor
13th Floor (14th Floor as per Builder)</v>
      </c>
      <c r="I238" s="112"/>
      <c r="J238" s="112"/>
    </row>
    <row r="239" spans="1:11" s="29" customFormat="1" x14ac:dyDescent="0.35">
      <c r="A239" s="112">
        <v>2</v>
      </c>
      <c r="B239" s="112"/>
      <c r="C239" s="47" t="s">
        <v>118</v>
      </c>
      <c r="D239" s="112">
        <f>(2.9*3.55+2.57*1.05*1*0.48+1.8*0.9+2.34*1.7+2.24*1.05+0.9*0.9+2.8*2.3+1.87*0.6+2.8*1.05+1.22*1.85+2*1.22+3.35*2.6+0.75*(2.8+3.35)+0.9*(2.24+2.9))*10.764</f>
        <v>575.85010391999992</v>
      </c>
      <c r="E239" s="112">
        <v>0</v>
      </c>
      <c r="F239" s="47">
        <v>0</v>
      </c>
      <c r="G239" s="47">
        <f t="shared" ref="G239:G243" si="10">D239*($G$172+1)+F239</f>
        <v>892.56766107599992</v>
      </c>
      <c r="H239" s="112"/>
      <c r="I239" s="112"/>
      <c r="J239" s="112"/>
    </row>
    <row r="240" spans="1:11" s="29" customFormat="1" x14ac:dyDescent="0.35">
      <c r="A240" s="112">
        <v>3</v>
      </c>
      <c r="B240" s="112"/>
      <c r="C240" s="47" t="s">
        <v>118</v>
      </c>
      <c r="D240" s="112">
        <f>(2.9*3.55+1.35*3.39+2.9*2.34+1.05*3.17+2*1.25+2.05*1.67+3*1.66+0.75*0.4+1.22*1.9+2.8*3.35+0.9*2.9+0.9*(2.9+2.34)+0.75*(2.8+3))*10.764</f>
        <v>641.14151399999992</v>
      </c>
      <c r="E240" s="112">
        <v>0</v>
      </c>
      <c r="F240" s="47">
        <v>0</v>
      </c>
      <c r="G240" s="47">
        <f t="shared" si="10"/>
        <v>993.76934669999991</v>
      </c>
      <c r="H240" s="112"/>
      <c r="I240" s="112"/>
      <c r="J240" s="112"/>
    </row>
    <row r="241" spans="1:12" s="29" customFormat="1" x14ac:dyDescent="0.35">
      <c r="A241" s="112">
        <v>4</v>
      </c>
      <c r="B241" s="112"/>
      <c r="C241" s="47" t="s">
        <v>118</v>
      </c>
      <c r="D241" s="112">
        <f>(2.9*3.55+1.35*3.39+2.9*2.34+1.05*3.17+2*1.25+2.05*1.67+3*1.66+0.75*0.4+1.22*1.9+2.8*3.35+0.9*2.9+0.9*(2.9+2.34)+0.75*(2.8+3))*10.764</f>
        <v>641.14151399999992</v>
      </c>
      <c r="E241" s="112">
        <v>0</v>
      </c>
      <c r="F241" s="47">
        <v>0</v>
      </c>
      <c r="G241" s="47">
        <f t="shared" si="10"/>
        <v>993.76934669999991</v>
      </c>
      <c r="H241" s="112"/>
      <c r="I241" s="112"/>
      <c r="J241" s="112"/>
    </row>
    <row r="242" spans="1:12" s="29" customFormat="1" x14ac:dyDescent="0.35">
      <c r="A242" s="112">
        <v>5</v>
      </c>
      <c r="B242" s="112"/>
      <c r="C242" s="47" t="s">
        <v>118</v>
      </c>
      <c r="D242" s="112">
        <f>(2.9*3.55+2.57*1.05*1*0.48+1.8*0.9+2.34*1.7+2.24*1.05+0.9*0.9+2.8*2.3+1.87*0.6+2.8*1.05+1.22*1.85+2*1.22+3.35*2.6+0.75*(2.8+3.35)+0.9*(2.24+2.9))*10.764</f>
        <v>575.85010391999992</v>
      </c>
      <c r="E242" s="112">
        <v>0</v>
      </c>
      <c r="F242" s="47">
        <v>0</v>
      </c>
      <c r="G242" s="47">
        <f t="shared" si="10"/>
        <v>892.56766107599992</v>
      </c>
      <c r="H242" s="112"/>
      <c r="I242" s="112"/>
      <c r="J242" s="112"/>
      <c r="L242" s="30"/>
    </row>
    <row r="243" spans="1:12" s="29" customFormat="1" x14ac:dyDescent="0.35">
      <c r="A243" s="112">
        <v>6</v>
      </c>
      <c r="B243" s="112"/>
      <c r="C243" s="47" t="s">
        <v>117</v>
      </c>
      <c r="D243" s="112">
        <f>(2.9*1.05+2.9*3.52+1*0.48+1.8*0.9+2.34*1.7+2.24*1.05+0.94*0.9+2.8*2.3+2.8*1.05+1.87*0.6+2*1.22+1.22*1.85+0.9*(2.9+2.24))*10.764</f>
        <v>455.89845599999995</v>
      </c>
      <c r="E243" s="112">
        <v>0</v>
      </c>
      <c r="F243" s="47">
        <v>0</v>
      </c>
      <c r="G243" s="47">
        <f t="shared" si="10"/>
        <v>706.64260679999995</v>
      </c>
      <c r="H243" s="112"/>
      <c r="I243" s="112"/>
      <c r="J243" s="112"/>
    </row>
    <row r="244" spans="1:12" s="29" customFormat="1" x14ac:dyDescent="0.35">
      <c r="A244" s="86" t="s">
        <v>129</v>
      </c>
      <c r="B244" s="87"/>
      <c r="C244" s="87"/>
      <c r="D244" s="87"/>
      <c r="E244" s="87"/>
      <c r="F244" s="87"/>
      <c r="G244" s="87"/>
      <c r="H244" s="87"/>
      <c r="I244" s="87"/>
      <c r="J244" s="88"/>
    </row>
    <row r="245" spans="1:12" s="29" customFormat="1" x14ac:dyDescent="0.35">
      <c r="A245" s="86" t="s">
        <v>116</v>
      </c>
      <c r="B245" s="87"/>
      <c r="C245" s="87"/>
      <c r="D245" s="87"/>
      <c r="E245" s="87"/>
      <c r="F245" s="87"/>
      <c r="G245" s="87"/>
      <c r="H245" s="87"/>
      <c r="I245" s="87"/>
      <c r="J245" s="88"/>
      <c r="K245" s="31"/>
      <c r="L245" s="36">
        <v>10.763999999999999</v>
      </c>
    </row>
    <row r="246" spans="1:12" s="29" customFormat="1" x14ac:dyDescent="0.35">
      <c r="A246" s="86" t="s">
        <v>170</v>
      </c>
      <c r="B246" s="87"/>
      <c r="C246" s="87"/>
      <c r="D246" s="87"/>
      <c r="E246" s="87"/>
      <c r="F246" s="87"/>
      <c r="G246" s="87"/>
      <c r="H246" s="87"/>
      <c r="I246" s="87"/>
      <c r="J246" s="88"/>
      <c r="K246" s="31"/>
    </row>
    <row r="247" spans="1:12" s="29" customFormat="1" x14ac:dyDescent="0.35">
      <c r="A247" s="51">
        <v>1</v>
      </c>
      <c r="B247" s="52"/>
      <c r="C247" s="1" t="s">
        <v>117</v>
      </c>
      <c r="D247" s="51">
        <f>(2.9*1.05+2.9*3.52+1*0.48+1.8*0.9+2.34*1.7+2.24*1.05+0.94*0.9+2.8*2.3+2.8*1.05+1.87*0.6+2*1.22+1.22*1.85+0.9*(2.9+2.24))*10.764</f>
        <v>455.89845599999995</v>
      </c>
      <c r="E247" s="52">
        <v>0</v>
      </c>
      <c r="F247" s="1">
        <v>0</v>
      </c>
      <c r="G247" s="1">
        <f>D247*($G$172+1)+F247</f>
        <v>706.64260679999995</v>
      </c>
      <c r="H247" s="89" t="str">
        <f>A246</f>
        <v>1st to 7th, 9th to 12th Floor for Residential</v>
      </c>
      <c r="I247" s="90"/>
      <c r="J247" s="91"/>
      <c r="K247" s="31"/>
    </row>
    <row r="248" spans="1:12" s="29" customFormat="1" x14ac:dyDescent="0.35">
      <c r="A248" s="51">
        <v>2</v>
      </c>
      <c r="B248" s="52"/>
      <c r="C248" s="1" t="s">
        <v>118</v>
      </c>
      <c r="D248" s="51">
        <f>(2.9*3.55+2.57*1.05*1*0.48+1.8*0.9+2.34*1.7+2.24*1.05+0.9*0.9+2.8*2.3+1.87*0.6+2.8*1.05+1.22*1.85+2*1.22+3.35*2.6+0.75*(2.8+3.35)+0.9*(2.24+2.9))*10.764</f>
        <v>575.85010391999992</v>
      </c>
      <c r="E248" s="52">
        <v>0</v>
      </c>
      <c r="F248" s="1">
        <v>0</v>
      </c>
      <c r="G248" s="1">
        <f t="shared" ref="G248:G252" si="11">D248*($G$172+1)+F248</f>
        <v>892.56766107599992</v>
      </c>
      <c r="H248" s="92"/>
      <c r="I248" s="93"/>
      <c r="J248" s="94"/>
      <c r="K248" s="31"/>
    </row>
    <row r="249" spans="1:12" s="29" customFormat="1" x14ac:dyDescent="0.35">
      <c r="A249" s="51">
        <v>3</v>
      </c>
      <c r="B249" s="52"/>
      <c r="C249" s="1" t="s">
        <v>118</v>
      </c>
      <c r="D249" s="51">
        <f>(2.9*3.55+1.35*3.39+2.9*2.34+1.05*3.17+2*1.25+2.05*1.67+3*1.66+0.75*0.4+1.22*1.9+2.8*3.35+0.9*2.9+0.9*(2.9+2.34)+0.75*(2.8+3))*10.764</f>
        <v>641.14151399999992</v>
      </c>
      <c r="E249" s="52">
        <v>0</v>
      </c>
      <c r="F249" s="1">
        <v>0</v>
      </c>
      <c r="G249" s="1">
        <f t="shared" si="11"/>
        <v>993.76934669999991</v>
      </c>
      <c r="H249" s="92"/>
      <c r="I249" s="93"/>
      <c r="J249" s="94"/>
      <c r="K249" s="31"/>
    </row>
    <row r="250" spans="1:12" s="29" customFormat="1" x14ac:dyDescent="0.35">
      <c r="A250" s="51">
        <v>4</v>
      </c>
      <c r="B250" s="52"/>
      <c r="C250" s="1" t="s">
        <v>118</v>
      </c>
      <c r="D250" s="51">
        <f>(2.9*3.55+1.35*3.39+2.9*2.34+1.05*3.17+2*1.25+2.05*1.67+3*1.66+0.75*0.4+1.22*1.9+2.8*3.35+0.9*2.9+0.9*(2.9+2.34)+0.75*(2.8+3))*10.764</f>
        <v>641.14151399999992</v>
      </c>
      <c r="E250" s="52">
        <v>0</v>
      </c>
      <c r="F250" s="1">
        <v>0</v>
      </c>
      <c r="G250" s="1">
        <f t="shared" si="11"/>
        <v>993.76934669999991</v>
      </c>
      <c r="H250" s="92"/>
      <c r="I250" s="93"/>
      <c r="J250" s="94"/>
      <c r="K250" s="31"/>
    </row>
    <row r="251" spans="1:12" s="29" customFormat="1" x14ac:dyDescent="0.35">
      <c r="A251" s="51">
        <v>5</v>
      </c>
      <c r="B251" s="52"/>
      <c r="C251" s="1" t="s">
        <v>118</v>
      </c>
      <c r="D251" s="51">
        <f>(2.9*3.55+2.57*1.05*1*0.48+1.8*0.9+2.34*1.7+2.24*1.05+0.9*0.9+2.8*2.3+1.87*0.6+2.8*1.05+1.22*1.85+2*1.22+3.35*2.6+0.75*(2.8+3.35)+0.9*(2.24+2.9))*10.764</f>
        <v>575.85010391999992</v>
      </c>
      <c r="E251" s="52">
        <v>0</v>
      </c>
      <c r="F251" s="1">
        <v>0</v>
      </c>
      <c r="G251" s="1">
        <f t="shared" si="11"/>
        <v>892.56766107599992</v>
      </c>
      <c r="H251" s="92"/>
      <c r="I251" s="93"/>
      <c r="J251" s="94"/>
    </row>
    <row r="252" spans="1:12" s="29" customFormat="1" x14ac:dyDescent="0.35">
      <c r="A252" s="51">
        <v>6</v>
      </c>
      <c r="B252" s="52"/>
      <c r="C252" s="1" t="s">
        <v>117</v>
      </c>
      <c r="D252" s="51">
        <f>(2.9*1.05+2.9*3.52+1*0.48+1.8*0.9+2.34*1.7+2.24*1.05+0.94*0.9+2.8*2.3+2.8*1.05+1.87*0.6+2*1.22+1.22*1.85+0.9*(2.9+2.24))*10.764</f>
        <v>455.89845599999995</v>
      </c>
      <c r="E252" s="52">
        <v>0</v>
      </c>
      <c r="F252" s="1">
        <v>0</v>
      </c>
      <c r="G252" s="1">
        <f t="shared" si="11"/>
        <v>706.64260679999995</v>
      </c>
      <c r="H252" s="95"/>
      <c r="I252" s="96"/>
      <c r="J252" s="97"/>
      <c r="K252" s="31"/>
    </row>
    <row r="253" spans="1:12" s="29" customFormat="1" x14ac:dyDescent="0.35">
      <c r="A253" s="86" t="s">
        <v>171</v>
      </c>
      <c r="B253" s="87"/>
      <c r="C253" s="87"/>
      <c r="D253" s="87"/>
      <c r="E253" s="87"/>
      <c r="F253" s="87"/>
      <c r="G253" s="87"/>
      <c r="H253" s="87"/>
      <c r="I253" s="87"/>
      <c r="J253" s="88"/>
      <c r="K253" s="31"/>
    </row>
    <row r="254" spans="1:12" s="29" customFormat="1" x14ac:dyDescent="0.35">
      <c r="A254" s="51">
        <v>1</v>
      </c>
      <c r="B254" s="52"/>
      <c r="C254" s="1" t="s">
        <v>117</v>
      </c>
      <c r="D254" s="51">
        <f>(2.9*1.05+2.9*3.52+1*0.48+1.8*0.9+2.34*1.7+2.24*1.05+0.94*0.9+2.8*2.3+2.8*1.05+1.87*0.6+2*1.22+1.22*1.85+0.9*(2.9+2.24))*10.764</f>
        <v>455.89845599999995</v>
      </c>
      <c r="E254" s="52">
        <v>0</v>
      </c>
      <c r="F254" s="1">
        <v>0</v>
      </c>
      <c r="G254" s="1">
        <f>D254*($G$172+1)+F254</f>
        <v>706.64260679999995</v>
      </c>
      <c r="H254" s="89" t="str">
        <f>A253</f>
        <v>14th to 17th Floor (15th to 18th Floor as per Builder)</v>
      </c>
      <c r="I254" s="90"/>
      <c r="J254" s="91"/>
      <c r="K254" s="31"/>
    </row>
    <row r="255" spans="1:12" s="29" customFormat="1" x14ac:dyDescent="0.35">
      <c r="A255" s="51">
        <v>2</v>
      </c>
      <c r="B255" s="52"/>
      <c r="C255" s="1" t="s">
        <v>118</v>
      </c>
      <c r="D255" s="51">
        <f>(2.9*3.55+2.57*1.05*1*0.48+1.8*0.9+2.34*1.7+2.24*1.05+0.9*0.9+2.8*2.3+1.87*0.6+2.8*1.05+1.22*1.85+2*1.22+3.35*2.6+0.75*(2.8+3.35)+0.9*(2.24+2.9))*10.764</f>
        <v>575.85010391999992</v>
      </c>
      <c r="E255" s="52">
        <v>0</v>
      </c>
      <c r="F255" s="1">
        <v>0</v>
      </c>
      <c r="G255" s="1">
        <f t="shared" ref="G255:G259" si="12">D255*($G$172+1)+F255</f>
        <v>892.56766107599992</v>
      </c>
      <c r="H255" s="92"/>
      <c r="I255" s="93"/>
      <c r="J255" s="94"/>
      <c r="K255" s="31"/>
    </row>
    <row r="256" spans="1:12" s="29" customFormat="1" x14ac:dyDescent="0.35">
      <c r="A256" s="51">
        <v>3</v>
      </c>
      <c r="B256" s="52"/>
      <c r="C256" s="1" t="s">
        <v>118</v>
      </c>
      <c r="D256" s="51">
        <f>(2.9*3.55+1.35*3.39+2.9*2.34+1.05*3.17+2*1.25+2.05*1.67+3*1.66+0.75*0.4+1.22*1.9+2.8*3.35+0.9*2.9+0.9*(2.9+2.34)+0.75*(2.8+3))*10.764</f>
        <v>641.14151399999992</v>
      </c>
      <c r="E256" s="52">
        <v>0</v>
      </c>
      <c r="F256" s="1">
        <v>0</v>
      </c>
      <c r="G256" s="1">
        <f t="shared" si="12"/>
        <v>993.76934669999991</v>
      </c>
      <c r="H256" s="92"/>
      <c r="I256" s="93"/>
      <c r="J256" s="94"/>
      <c r="K256" s="31"/>
    </row>
    <row r="257" spans="1:13" s="29" customFormat="1" x14ac:dyDescent="0.35">
      <c r="A257" s="51">
        <v>4</v>
      </c>
      <c r="B257" s="52"/>
      <c r="C257" s="1" t="s">
        <v>118</v>
      </c>
      <c r="D257" s="51">
        <f>(2.9*3.55+1.35*3.39+2.9*2.34+1.05*3.17+2*1.25+2.05*1.67+3*1.66+0.75*0.4+1.22*1.9+2.8*3.35+0.9*2.9+0.9*(2.9+2.34)+0.75*(2.8+3))*10.764</f>
        <v>641.14151399999992</v>
      </c>
      <c r="E257" s="52">
        <v>0</v>
      </c>
      <c r="F257" s="1">
        <v>0</v>
      </c>
      <c r="G257" s="1">
        <f t="shared" si="12"/>
        <v>993.76934669999991</v>
      </c>
      <c r="H257" s="92"/>
      <c r="I257" s="93"/>
      <c r="J257" s="94"/>
      <c r="K257" s="31"/>
    </row>
    <row r="258" spans="1:13" s="29" customFormat="1" x14ac:dyDescent="0.35">
      <c r="A258" s="51">
        <v>5</v>
      </c>
      <c r="B258" s="52"/>
      <c r="C258" s="1" t="s">
        <v>118</v>
      </c>
      <c r="D258" s="51">
        <f>(2.9*3.55+2.57*1.05*1*0.48+1.8*0.9+2.34*1.7+2.24*1.05+0.9*0.9+2.8*2.3+1.87*0.6+2.8*1.05+1.22*1.85+2*1.22+3.35*2.6+0.75*(2.8+3.35)+0.9*(2.24+2.9))*10.764</f>
        <v>575.85010391999992</v>
      </c>
      <c r="E258" s="52">
        <v>0</v>
      </c>
      <c r="F258" s="1">
        <v>0</v>
      </c>
      <c r="G258" s="1">
        <f t="shared" si="12"/>
        <v>892.56766107599992</v>
      </c>
      <c r="H258" s="92"/>
      <c r="I258" s="93"/>
      <c r="J258" s="94"/>
    </row>
    <row r="259" spans="1:13" s="29" customFormat="1" x14ac:dyDescent="0.35">
      <c r="A259" s="51">
        <v>6</v>
      </c>
      <c r="B259" s="52"/>
      <c r="C259" s="1" t="s">
        <v>117</v>
      </c>
      <c r="D259" s="51">
        <f>(2.9*1.05+2.9*3.52+1*0.48+1.8*0.9+2.34*1.7+2.24*1.05+0.94*0.9+2.8*2.3+2.8*1.05+1.87*0.6+2*1.22+1.22*1.85+0.9*(2.9+2.24))*10.764</f>
        <v>455.89845599999995</v>
      </c>
      <c r="E259" s="52">
        <v>0</v>
      </c>
      <c r="F259" s="1">
        <v>0</v>
      </c>
      <c r="G259" s="1">
        <f t="shared" si="12"/>
        <v>706.64260679999995</v>
      </c>
      <c r="H259" s="95"/>
      <c r="I259" s="96"/>
      <c r="J259" s="97"/>
    </row>
    <row r="260" spans="1:13" s="29" customFormat="1" x14ac:dyDescent="0.35">
      <c r="A260" s="86" t="s">
        <v>172</v>
      </c>
      <c r="B260" s="87"/>
      <c r="C260" s="87"/>
      <c r="D260" s="87"/>
      <c r="E260" s="87"/>
      <c r="F260" s="87"/>
      <c r="G260" s="87"/>
      <c r="H260" s="87"/>
      <c r="I260" s="87"/>
      <c r="J260" s="88"/>
    </row>
    <row r="261" spans="1:13" s="29" customFormat="1" x14ac:dyDescent="0.35">
      <c r="A261" s="51">
        <v>1</v>
      </c>
      <c r="B261" s="52"/>
      <c r="C261" s="51" t="s">
        <v>119</v>
      </c>
      <c r="D261" s="226"/>
      <c r="E261" s="226"/>
      <c r="F261" s="226"/>
      <c r="G261" s="52"/>
      <c r="H261" s="89" t="str">
        <f>A260</f>
        <v>8th Floor
13th Floor (14th Floor as per Builder)</v>
      </c>
      <c r="I261" s="90"/>
      <c r="J261" s="91"/>
    </row>
    <row r="262" spans="1:13" s="29" customFormat="1" x14ac:dyDescent="0.35">
      <c r="A262" s="51">
        <v>2</v>
      </c>
      <c r="B262" s="52"/>
      <c r="C262" s="1" t="s">
        <v>118</v>
      </c>
      <c r="D262" s="51">
        <f>(2.9*3.55+2.57*1.05*1*0.48+1.8*0.9+2.34*1.7+2.24*1.05+0.9*0.9+2.8*2.3+1.87*0.6+2.8*1.05+1.22*1.85+2*1.22+3.35*2.6+0.75*(2.8+3.35)+0.9*(2.24+2.9))*10.764</f>
        <v>575.85010391999992</v>
      </c>
      <c r="E262" s="52">
        <v>0</v>
      </c>
      <c r="F262" s="1">
        <v>0</v>
      </c>
      <c r="G262" s="1">
        <f t="shared" ref="G262:G266" si="13">D262*($G$172+1)+F262</f>
        <v>892.56766107599992</v>
      </c>
      <c r="H262" s="92"/>
      <c r="I262" s="93"/>
      <c r="J262" s="94"/>
    </row>
    <row r="263" spans="1:13" s="29" customFormat="1" x14ac:dyDescent="0.35">
      <c r="A263" s="51">
        <v>3</v>
      </c>
      <c r="B263" s="52"/>
      <c r="C263" s="1" t="s">
        <v>118</v>
      </c>
      <c r="D263" s="51">
        <f>(2.9*3.55+1.35*3.39+2.9*2.34+1.05*3.17+2*1.25+2.05*1.67+3*1.66+0.75*0.4+1.22*1.9+2.8*3.35+0.9*2.9+0.9*(2.9+2.34)+0.75*(2.8+3))*10.764</f>
        <v>641.14151399999992</v>
      </c>
      <c r="E263" s="52">
        <v>0</v>
      </c>
      <c r="F263" s="1">
        <v>0</v>
      </c>
      <c r="G263" s="1">
        <f t="shared" si="13"/>
        <v>993.76934669999991</v>
      </c>
      <c r="H263" s="92"/>
      <c r="I263" s="93"/>
      <c r="J263" s="94"/>
    </row>
    <row r="264" spans="1:13" s="29" customFormat="1" x14ac:dyDescent="0.35">
      <c r="A264" s="51">
        <v>4</v>
      </c>
      <c r="B264" s="52"/>
      <c r="C264" s="1" t="s">
        <v>118</v>
      </c>
      <c r="D264" s="51">
        <f>(2.9*3.55+1.35*3.39+2.9*2.34+1.05*3.17+2*1.25+2.05*1.67+3*1.66+0.75*0.4+1.22*1.9+2.8*3.35+0.9*2.9+0.9*(2.9+2.34)+0.75*(2.8+3))*10.764</f>
        <v>641.14151399999992</v>
      </c>
      <c r="E264" s="52">
        <v>0</v>
      </c>
      <c r="F264" s="1">
        <v>0</v>
      </c>
      <c r="G264" s="1">
        <f t="shared" si="13"/>
        <v>993.76934669999991</v>
      </c>
      <c r="H264" s="92"/>
      <c r="I264" s="93"/>
      <c r="J264" s="94"/>
    </row>
    <row r="265" spans="1:13" s="29" customFormat="1" x14ac:dyDescent="0.35">
      <c r="A265" s="51">
        <v>5</v>
      </c>
      <c r="B265" s="52"/>
      <c r="C265" s="1" t="s">
        <v>118</v>
      </c>
      <c r="D265" s="51">
        <f>(2.9*3.55+2.57*1.05*1*0.48+1.8*0.9+2.34*1.7+2.24*1.05+0.9*0.9+2.8*2.3+1.87*0.6+2.8*1.05+1.22*1.85+2*1.22+3.35*2.6+0.75*(2.8+3.35)+0.9*(2.24+2.9))*10.764</f>
        <v>575.85010391999992</v>
      </c>
      <c r="E265" s="52">
        <v>0</v>
      </c>
      <c r="F265" s="1">
        <v>0</v>
      </c>
      <c r="G265" s="1">
        <f t="shared" si="13"/>
        <v>892.56766107599992</v>
      </c>
      <c r="H265" s="92"/>
      <c r="I265" s="93"/>
      <c r="J265" s="94"/>
      <c r="L265" s="30"/>
    </row>
    <row r="266" spans="1:13" s="29" customFormat="1" x14ac:dyDescent="0.35">
      <c r="A266" s="51">
        <v>6</v>
      </c>
      <c r="B266" s="52"/>
      <c r="C266" s="1" t="s">
        <v>117</v>
      </c>
      <c r="D266" s="51">
        <f>(2.9*1.05+2.9*3.52+1*0.48+1.8*0.9+2.34*1.7+2.24*1.05+0.94*0.9+2.8*2.3+2.8*1.05+1.87*0.6+2*1.22+1.22*1.85+0.9*(2.9+2.24))*10.764</f>
        <v>455.89845599999995</v>
      </c>
      <c r="E266" s="52">
        <v>0</v>
      </c>
      <c r="F266" s="1">
        <v>0</v>
      </c>
      <c r="G266" s="1">
        <f t="shared" si="13"/>
        <v>706.64260679999995</v>
      </c>
      <c r="H266" s="95"/>
      <c r="I266" s="96"/>
      <c r="J266" s="97"/>
    </row>
    <row r="267" spans="1:13" s="29" customFormat="1" x14ac:dyDescent="0.35">
      <c r="A267" s="86" t="s">
        <v>130</v>
      </c>
      <c r="B267" s="87"/>
      <c r="C267" s="87"/>
      <c r="D267" s="87"/>
      <c r="E267" s="87"/>
      <c r="F267" s="87"/>
      <c r="G267" s="87"/>
      <c r="H267" s="87"/>
      <c r="I267" s="87"/>
      <c r="J267" s="88"/>
    </row>
    <row r="268" spans="1:13" s="29" customFormat="1" x14ac:dyDescent="0.35">
      <c r="A268" s="86" t="s">
        <v>116</v>
      </c>
      <c r="B268" s="87"/>
      <c r="C268" s="87"/>
      <c r="D268" s="87"/>
      <c r="E268" s="87"/>
      <c r="F268" s="87"/>
      <c r="G268" s="87"/>
      <c r="H268" s="87"/>
      <c r="I268" s="87"/>
      <c r="J268" s="88"/>
      <c r="K268" s="31"/>
      <c r="L268" s="241">
        <v>10.763999999999999</v>
      </c>
      <c r="M268" s="241"/>
    </row>
    <row r="269" spans="1:13" s="29" customFormat="1" x14ac:dyDescent="0.35">
      <c r="A269" s="86" t="s">
        <v>170</v>
      </c>
      <c r="B269" s="87"/>
      <c r="C269" s="87"/>
      <c r="D269" s="87"/>
      <c r="E269" s="87"/>
      <c r="F269" s="87"/>
      <c r="G269" s="87"/>
      <c r="H269" s="87"/>
      <c r="I269" s="87"/>
      <c r="J269" s="88"/>
      <c r="K269" s="31"/>
    </row>
    <row r="270" spans="1:13" s="29" customFormat="1" x14ac:dyDescent="0.35">
      <c r="A270" s="51">
        <v>1</v>
      </c>
      <c r="B270" s="52"/>
      <c r="C270" s="1" t="s">
        <v>117</v>
      </c>
      <c r="D270" s="51">
        <f>(2.9*1.05+2.9*3.52+1*0.48+1.8*0.9+2.34*1.7+2.24*1.05+0.94*0.9+2.8*2.3+2.8*1.05+1.87*0.6+2*1.22+1.22*1.85+0.9*(2.9+2.24))*10.764</f>
        <v>455.89845599999995</v>
      </c>
      <c r="E270" s="52">
        <v>0</v>
      </c>
      <c r="F270" s="1">
        <v>0</v>
      </c>
      <c r="G270" s="1">
        <f>D270*($G$172+1)+F270</f>
        <v>706.64260679999995</v>
      </c>
      <c r="H270" s="89" t="str">
        <f>A269</f>
        <v>1st to 7th, 9th to 12th Floor for Residential</v>
      </c>
      <c r="I270" s="90"/>
      <c r="J270" s="91"/>
      <c r="K270" s="31"/>
    </row>
    <row r="271" spans="1:13" s="29" customFormat="1" x14ac:dyDescent="0.35">
      <c r="A271" s="51">
        <v>2</v>
      </c>
      <c r="B271" s="52"/>
      <c r="C271" s="1" t="s">
        <v>118</v>
      </c>
      <c r="D271" s="51">
        <f>(2.9*3.55+2.57*1.05*1*0.48+1.8*0.9+2.34*1.7+2.24*1.05+0.9*0.9+2.8*2.3+1.87*0.6+2.8*1.05+1.22*1.85+2*1.22+3.35*2.6+0.75*(2.8+3.35)+0.9*(2.24+2.9))*10.764</f>
        <v>575.85010391999992</v>
      </c>
      <c r="E271" s="52">
        <v>0</v>
      </c>
      <c r="F271" s="1">
        <v>0</v>
      </c>
      <c r="G271" s="1">
        <f t="shared" ref="G271:G275" si="14">D271*($G$172+1)+F271</f>
        <v>892.56766107599992</v>
      </c>
      <c r="H271" s="92"/>
      <c r="I271" s="93"/>
      <c r="J271" s="94"/>
      <c r="K271" s="31"/>
    </row>
    <row r="272" spans="1:13" s="29" customFormat="1" x14ac:dyDescent="0.35">
      <c r="A272" s="51">
        <v>3</v>
      </c>
      <c r="B272" s="52"/>
      <c r="C272" s="1" t="s">
        <v>118</v>
      </c>
      <c r="D272" s="51">
        <f>(2.9*3.55+1.35*3.39+2.9*2.34+1.05*3.17+2*1.25+2.05*1.67+3*1.66+0.75*0.4+1.22*1.9+2.8*3.35+0.9*2.9+0.9*(2.9+2.34)+0.75*(2.8+3))*10.764</f>
        <v>641.14151399999992</v>
      </c>
      <c r="E272" s="52">
        <v>0</v>
      </c>
      <c r="F272" s="1">
        <v>0</v>
      </c>
      <c r="G272" s="1">
        <f t="shared" si="14"/>
        <v>993.76934669999991</v>
      </c>
      <c r="H272" s="92"/>
      <c r="I272" s="93"/>
      <c r="J272" s="94"/>
      <c r="K272" s="31"/>
    </row>
    <row r="273" spans="1:13" s="29" customFormat="1" x14ac:dyDescent="0.35">
      <c r="A273" s="51">
        <v>4</v>
      </c>
      <c r="B273" s="52"/>
      <c r="C273" s="1" t="s">
        <v>118</v>
      </c>
      <c r="D273" s="51">
        <f>(2.9*3.55+1.35*3.39+2.9*2.34+1.05*3.17+2*1.25+2.05*1.67+3*1.66+0.75*0.4+1.22*1.9+2.8*3.35+0.9*2.9+0.9*(2.9+2.34)+0.75*(2.8+3))*10.764</f>
        <v>641.14151399999992</v>
      </c>
      <c r="E273" s="52">
        <v>0</v>
      </c>
      <c r="F273" s="1">
        <v>0</v>
      </c>
      <c r="G273" s="1">
        <f t="shared" si="14"/>
        <v>993.76934669999991</v>
      </c>
      <c r="H273" s="92"/>
      <c r="I273" s="93"/>
      <c r="J273" s="94"/>
      <c r="K273" s="31"/>
    </row>
    <row r="274" spans="1:13" s="25" customFormat="1" x14ac:dyDescent="0.35">
      <c r="A274" s="51">
        <v>5</v>
      </c>
      <c r="B274" s="52"/>
      <c r="C274" s="1" t="s">
        <v>118</v>
      </c>
      <c r="D274" s="51">
        <f>(2.9*3.55+2.57*1.05*1*0.48+1.8*0.9+2.34*1.7+2.24*1.05+0.9*0.9+2.8*2.3+1.87*0.6+2.8*1.05+1.22*1.85+2*1.22+3.35*2.6+0.75*(2.8+3.35)+0.9*(2.24+2.9))*10.764</f>
        <v>575.85010391999992</v>
      </c>
      <c r="E274" s="52">
        <v>0</v>
      </c>
      <c r="F274" s="1">
        <v>0</v>
      </c>
      <c r="G274" s="1">
        <f t="shared" si="14"/>
        <v>892.56766107599992</v>
      </c>
      <c r="H274" s="92"/>
      <c r="I274" s="93"/>
      <c r="J274" s="94"/>
      <c r="K274" s="29"/>
      <c r="L274" s="29"/>
      <c r="M274" s="29"/>
    </row>
    <row r="275" spans="1:13" s="32" customFormat="1" x14ac:dyDescent="0.35">
      <c r="A275" s="51">
        <v>6</v>
      </c>
      <c r="B275" s="52"/>
      <c r="C275" s="1" t="s">
        <v>117</v>
      </c>
      <c r="D275" s="51">
        <f>(2.9*1.05+2.9*3.52+1*0.48+1.8*0.9+2.34*1.7+2.24*1.05+0.94*0.9+2.8*2.3+2.8*1.05+1.87*0.6+2*1.22+1.22*1.85+0.9*(2.9+2.24))*10.764</f>
        <v>455.89845599999995</v>
      </c>
      <c r="E275" s="52">
        <v>0</v>
      </c>
      <c r="F275" s="1">
        <v>0</v>
      </c>
      <c r="G275" s="1">
        <f t="shared" si="14"/>
        <v>706.64260679999995</v>
      </c>
      <c r="H275" s="95"/>
      <c r="I275" s="96"/>
      <c r="J275" s="97"/>
      <c r="K275" s="31"/>
      <c r="L275" s="29"/>
      <c r="M275" s="29"/>
    </row>
    <row r="276" spans="1:13" x14ac:dyDescent="0.35">
      <c r="A276" s="86" t="s">
        <v>171</v>
      </c>
      <c r="B276" s="87"/>
      <c r="C276" s="87"/>
      <c r="D276" s="87"/>
      <c r="E276" s="87"/>
      <c r="F276" s="87"/>
      <c r="G276" s="87"/>
      <c r="H276" s="87"/>
      <c r="I276" s="87"/>
      <c r="J276" s="88"/>
      <c r="K276" s="31"/>
      <c r="L276" s="29"/>
      <c r="M276" s="29"/>
    </row>
    <row r="277" spans="1:13" x14ac:dyDescent="0.35">
      <c r="A277" s="51">
        <v>1</v>
      </c>
      <c r="B277" s="52"/>
      <c r="C277" s="1" t="s">
        <v>117</v>
      </c>
      <c r="D277" s="51">
        <f>(2.9*1.05+2.9*3.52+1*0.48+1.8*0.9+2.34*1.7+2.24*1.05+0.94*0.9+2.8*2.3+2.8*1.05+1.87*0.6+2*1.22+1.22*1.85+0.9*(2.9+2.24))*10.764</f>
        <v>455.89845599999995</v>
      </c>
      <c r="E277" s="52">
        <v>0</v>
      </c>
      <c r="F277" s="1">
        <v>0</v>
      </c>
      <c r="G277" s="1">
        <f>D277*($G$172+1)+F277</f>
        <v>706.64260679999995</v>
      </c>
      <c r="H277" s="89" t="str">
        <f>A276</f>
        <v>14th to 17th Floor (15th to 18th Floor as per Builder)</v>
      </c>
      <c r="I277" s="90"/>
      <c r="J277" s="91"/>
      <c r="K277" s="31"/>
      <c r="L277" s="29"/>
      <c r="M277" s="29"/>
    </row>
    <row r="278" spans="1:13" ht="15.75" customHeight="1" x14ac:dyDescent="0.35">
      <c r="A278" s="51">
        <v>2</v>
      </c>
      <c r="B278" s="52"/>
      <c r="C278" s="1" t="s">
        <v>118</v>
      </c>
      <c r="D278" s="51">
        <f>(2.9*3.55+2.57*1.05*1*0.48+1.8*0.9+2.34*1.7+2.24*1.05+0.9*0.9+2.8*2.3+1.87*0.6+2.8*1.05+1.22*1.85+2*1.22+3.35*2.6+0.75*(2.8+3.35)+0.9*(2.24+2.9))*10.764</f>
        <v>575.85010391999992</v>
      </c>
      <c r="E278" s="52">
        <v>0</v>
      </c>
      <c r="F278" s="1">
        <v>0</v>
      </c>
      <c r="G278" s="1">
        <f t="shared" ref="G278:G282" si="15">D278*($G$172+1)+F278</f>
        <v>892.56766107599992</v>
      </c>
      <c r="H278" s="92"/>
      <c r="I278" s="93"/>
      <c r="J278" s="94"/>
      <c r="K278" s="31"/>
      <c r="L278" s="29"/>
      <c r="M278" s="29"/>
    </row>
    <row r="279" spans="1:13" x14ac:dyDescent="0.35">
      <c r="A279" s="51">
        <v>3</v>
      </c>
      <c r="B279" s="52"/>
      <c r="C279" s="1" t="s">
        <v>118</v>
      </c>
      <c r="D279" s="51">
        <f>(2.9*3.55+1.35*3.39+2.9*2.34+1.05*3.17+2*1.25+2.05*1.67+3*1.66+0.75*0.4+1.22*1.9+2.8*3.35+0.9*2.9+0.9*(2.9+2.34)+0.75*(2.8+3))*10.764</f>
        <v>641.14151399999992</v>
      </c>
      <c r="E279" s="52">
        <v>0</v>
      </c>
      <c r="F279" s="1">
        <v>0</v>
      </c>
      <c r="G279" s="1">
        <f t="shared" si="15"/>
        <v>993.76934669999991</v>
      </c>
      <c r="H279" s="92"/>
      <c r="I279" s="93"/>
      <c r="J279" s="94"/>
      <c r="K279" s="31"/>
      <c r="L279" s="29"/>
      <c r="M279" s="29"/>
    </row>
    <row r="280" spans="1:13" x14ac:dyDescent="0.35">
      <c r="A280" s="51">
        <v>4</v>
      </c>
      <c r="B280" s="52"/>
      <c r="C280" s="1" t="s">
        <v>118</v>
      </c>
      <c r="D280" s="51">
        <f>(2.9*3.55+1.35*3.39+2.9*2.34+1.05*3.17+2*1.25+2.05*1.67+3*1.66+0.75*0.4+1.22*1.9+2.8*3.35+0.9*2.9+0.9*(2.9+2.34)+0.75*(2.8+3))*10.764</f>
        <v>641.14151399999992</v>
      </c>
      <c r="E280" s="52">
        <v>0</v>
      </c>
      <c r="F280" s="1">
        <v>0</v>
      </c>
      <c r="G280" s="1">
        <f t="shared" si="15"/>
        <v>993.76934669999991</v>
      </c>
      <c r="H280" s="92"/>
      <c r="I280" s="93"/>
      <c r="J280" s="94"/>
      <c r="K280" s="31"/>
      <c r="L280" s="29"/>
      <c r="M280" s="29"/>
    </row>
    <row r="281" spans="1:13" x14ac:dyDescent="0.35">
      <c r="A281" s="51">
        <v>5</v>
      </c>
      <c r="B281" s="52"/>
      <c r="C281" s="1" t="s">
        <v>118</v>
      </c>
      <c r="D281" s="51">
        <f>(2.9*3.55+2.57*1.05*1*0.48+1.8*0.9+2.34*1.7+2.24*1.05+0.9*0.9+2.8*2.3+1.87*0.6+2.8*1.05+1.22*1.85+2*1.22+3.35*2.6+0.75*(2.8+3.35)+0.9*(2.24+2.9))*10.764</f>
        <v>575.85010391999992</v>
      </c>
      <c r="E281" s="52">
        <v>0</v>
      </c>
      <c r="F281" s="1">
        <v>0</v>
      </c>
      <c r="G281" s="1">
        <f t="shared" si="15"/>
        <v>892.56766107599992</v>
      </c>
      <c r="H281" s="92"/>
      <c r="I281" s="93"/>
      <c r="J281" s="94"/>
      <c r="K281" s="29"/>
      <c r="L281" s="29"/>
      <c r="M281" s="29"/>
    </row>
    <row r="282" spans="1:13" x14ac:dyDescent="0.35">
      <c r="A282" s="51">
        <v>6</v>
      </c>
      <c r="B282" s="52"/>
      <c r="C282" s="1" t="s">
        <v>117</v>
      </c>
      <c r="D282" s="51">
        <f>(2.9*1.05+2.9*3.52+1*0.48+1.8*0.9+2.34*1.7+2.24*1.05+0.94*0.9+2.8*2.3+2.8*1.05+1.87*0.6+2*1.22+1.22*1.85+0.9*(2.9+2.24))*10.764</f>
        <v>455.89845599999995</v>
      </c>
      <c r="E282" s="52">
        <v>0</v>
      </c>
      <c r="F282" s="1">
        <v>0</v>
      </c>
      <c r="G282" s="1">
        <f t="shared" si="15"/>
        <v>706.64260679999995</v>
      </c>
      <c r="H282" s="95"/>
      <c r="I282" s="96"/>
      <c r="J282" s="97"/>
      <c r="K282" s="29"/>
      <c r="L282" s="29"/>
      <c r="M282" s="29"/>
    </row>
    <row r="283" spans="1:13" x14ac:dyDescent="0.35">
      <c r="A283" s="111" t="s">
        <v>172</v>
      </c>
      <c r="B283" s="111"/>
      <c r="C283" s="111"/>
      <c r="D283" s="111"/>
      <c r="E283" s="111"/>
      <c r="F283" s="111"/>
      <c r="G283" s="111"/>
      <c r="H283" s="111"/>
      <c r="I283" s="111"/>
      <c r="J283" s="111"/>
      <c r="K283" s="29"/>
      <c r="L283" s="29"/>
      <c r="M283" s="29"/>
    </row>
    <row r="284" spans="1:13" x14ac:dyDescent="0.35">
      <c r="A284" s="112">
        <v>1</v>
      </c>
      <c r="B284" s="112"/>
      <c r="C284" s="112" t="s">
        <v>119</v>
      </c>
      <c r="D284" s="112"/>
      <c r="E284" s="112"/>
      <c r="F284" s="112"/>
      <c r="G284" s="112"/>
      <c r="H284" s="112" t="str">
        <f>A283</f>
        <v>8th Floor
13th Floor (14th Floor as per Builder)</v>
      </c>
      <c r="I284" s="112"/>
      <c r="J284" s="112"/>
      <c r="K284" s="29"/>
      <c r="L284" s="29"/>
      <c r="M284" s="29"/>
    </row>
    <row r="285" spans="1:13" x14ac:dyDescent="0.35">
      <c r="A285" s="112">
        <v>2</v>
      </c>
      <c r="B285" s="112"/>
      <c r="C285" s="47" t="s">
        <v>118</v>
      </c>
      <c r="D285" s="112">
        <f>(2.9*3.55+2.57*1.05*1*0.48+1.8*0.9+2.34*1.7+2.24*1.05+0.9*0.9+2.8*2.3+1.87*0.6+2.8*1.05+1.22*1.85+2*1.22+3.35*2.6+0.75*(2.8+3.35)+0.9*(2.24+2.9))*10.764</f>
        <v>575.85010391999992</v>
      </c>
      <c r="E285" s="112">
        <v>0</v>
      </c>
      <c r="F285" s="47">
        <v>0</v>
      </c>
      <c r="G285" s="47">
        <f t="shared" ref="G285:G289" si="16">D285*($G$172+1)+F285</f>
        <v>892.56766107599992</v>
      </c>
      <c r="H285" s="112"/>
      <c r="I285" s="112"/>
      <c r="J285" s="112"/>
      <c r="K285" s="29"/>
      <c r="L285" s="29"/>
      <c r="M285" s="29"/>
    </row>
    <row r="286" spans="1:13" x14ac:dyDescent="0.35">
      <c r="A286" s="112">
        <v>3</v>
      </c>
      <c r="B286" s="112"/>
      <c r="C286" s="47" t="s">
        <v>118</v>
      </c>
      <c r="D286" s="112">
        <f>(2.9*3.55+1.35*3.39+2.9*2.34+1.05*3.17+2*1.25+2.05*1.67+3*1.66+0.75*0.4+1.22*1.9+2.8*3.35+0.9*2.9+0.9*(2.9+2.34)+0.75*(2.8+3))*10.764</f>
        <v>641.14151399999992</v>
      </c>
      <c r="E286" s="112">
        <v>0</v>
      </c>
      <c r="F286" s="47">
        <v>0</v>
      </c>
      <c r="G286" s="47">
        <f t="shared" si="16"/>
        <v>993.76934669999991</v>
      </c>
      <c r="H286" s="112"/>
      <c r="I286" s="112"/>
      <c r="J286" s="112"/>
      <c r="K286" s="29"/>
      <c r="L286" s="29"/>
      <c r="M286" s="29"/>
    </row>
    <row r="287" spans="1:13" x14ac:dyDescent="0.35">
      <c r="A287" s="112">
        <v>4</v>
      </c>
      <c r="B287" s="112"/>
      <c r="C287" s="47" t="s">
        <v>118</v>
      </c>
      <c r="D287" s="112">
        <f>(2.9*3.55+1.35*3.39+2.9*2.34+1.05*3.17+2*1.25+2.05*1.67+3*1.66+0.75*0.4+1.22*1.9+2.8*3.35+0.9*2.9+0.9*(2.9+2.34)+0.75*(2.8+3))*10.764</f>
        <v>641.14151399999992</v>
      </c>
      <c r="E287" s="112">
        <v>0</v>
      </c>
      <c r="F287" s="47">
        <v>0</v>
      </c>
      <c r="G287" s="47">
        <f t="shared" si="16"/>
        <v>993.76934669999991</v>
      </c>
      <c r="H287" s="112"/>
      <c r="I287" s="112"/>
      <c r="J287" s="112"/>
      <c r="K287" s="29"/>
      <c r="L287" s="29"/>
      <c r="M287" s="29"/>
    </row>
    <row r="288" spans="1:13" x14ac:dyDescent="0.35">
      <c r="A288" s="112">
        <v>5</v>
      </c>
      <c r="B288" s="112"/>
      <c r="C288" s="47" t="s">
        <v>118</v>
      </c>
      <c r="D288" s="112">
        <f>(2.9*3.55+2.57*1.05*1*0.48+1.8*0.9+2.34*1.7+2.24*1.05+0.9*0.9+2.8*2.3+1.87*0.6+2.8*1.05+1.22*1.85+2*1.22+3.35*2.6+0.75*(2.8+3.35)+0.9*(2.24+2.9))*10.764</f>
        <v>575.85010391999992</v>
      </c>
      <c r="E288" s="112">
        <v>0</v>
      </c>
      <c r="F288" s="47">
        <v>0</v>
      </c>
      <c r="G288" s="47">
        <f t="shared" si="16"/>
        <v>892.56766107599992</v>
      </c>
      <c r="H288" s="112"/>
      <c r="I288" s="112"/>
      <c r="J288" s="112"/>
      <c r="K288" s="25"/>
      <c r="L288" s="25"/>
      <c r="M288" s="25"/>
    </row>
    <row r="289" spans="1:13" x14ac:dyDescent="0.35">
      <c r="A289" s="112">
        <v>6</v>
      </c>
      <c r="B289" s="112"/>
      <c r="C289" s="47" t="s">
        <v>117</v>
      </c>
      <c r="D289" s="112">
        <f>(2.9*1.05+2.9*3.52+1*0.48+1.8*0.9+2.34*1.7+2.24*1.05+0.94*0.9+2.8*2.3+2.8*1.05+1.87*0.6+2*1.22+1.22*1.85+0.9*(2.9+2.24))*10.764</f>
        <v>455.89845599999995</v>
      </c>
      <c r="E289" s="112">
        <v>0</v>
      </c>
      <c r="F289" s="47">
        <v>0</v>
      </c>
      <c r="G289" s="47">
        <f t="shared" si="16"/>
        <v>706.64260679999995</v>
      </c>
      <c r="H289" s="112"/>
      <c r="I289" s="112"/>
      <c r="J289" s="112"/>
      <c r="K289" s="32"/>
      <c r="L289" s="32"/>
      <c r="M289" s="32"/>
    </row>
    <row r="290" spans="1:13" ht="15" customHeight="1" x14ac:dyDescent="0.35">
      <c r="A290" s="214" t="s">
        <v>218</v>
      </c>
      <c r="B290" s="215"/>
      <c r="C290" s="215"/>
      <c r="D290" s="215"/>
      <c r="E290" s="215"/>
      <c r="F290" s="215"/>
      <c r="G290" s="215"/>
      <c r="H290" s="215"/>
      <c r="I290" s="215"/>
      <c r="J290" s="216"/>
    </row>
    <row r="291" spans="1:13" x14ac:dyDescent="0.35">
      <c r="A291" s="86" t="s">
        <v>214</v>
      </c>
      <c r="B291" s="87"/>
      <c r="C291" s="87"/>
      <c r="D291" s="87"/>
      <c r="E291" s="87"/>
      <c r="F291" s="87"/>
      <c r="G291" s="87"/>
      <c r="H291" s="87"/>
      <c r="I291" s="87"/>
      <c r="J291" s="88"/>
    </row>
    <row r="292" spans="1:13" x14ac:dyDescent="0.35">
      <c r="A292" s="86" t="s">
        <v>215</v>
      </c>
      <c r="B292" s="87"/>
      <c r="C292" s="87"/>
      <c r="D292" s="87"/>
      <c r="E292" s="87"/>
      <c r="F292" s="87"/>
      <c r="G292" s="87"/>
      <c r="H292" s="87"/>
      <c r="I292" s="87"/>
      <c r="J292" s="88"/>
    </row>
    <row r="293" spans="1:13" ht="38.25" customHeight="1" x14ac:dyDescent="0.35">
      <c r="A293" s="86" t="s">
        <v>232</v>
      </c>
      <c r="B293" s="87"/>
      <c r="C293" s="87"/>
      <c r="D293" s="87"/>
      <c r="E293" s="87"/>
      <c r="F293" s="87"/>
      <c r="G293" s="87"/>
      <c r="H293" s="87"/>
      <c r="I293" s="87"/>
      <c r="J293" s="88"/>
    </row>
    <row r="294" spans="1:13" x14ac:dyDescent="0.35">
      <c r="A294" s="51">
        <v>1</v>
      </c>
      <c r="B294" s="52"/>
      <c r="C294" s="1" t="s">
        <v>117</v>
      </c>
      <c r="D294" s="241">
        <f>(48.47)*10.764</f>
        <v>521.73107999999991</v>
      </c>
      <c r="E294" s="241"/>
      <c r="F294" s="1">
        <v>0</v>
      </c>
      <c r="G294" s="1">
        <f>D294*($G$172+1)+F294</f>
        <v>808.68317399999989</v>
      </c>
      <c r="H294" s="89" t="str">
        <f>A293</f>
        <v>1st to 7th, 9th to 12th Floor
14th to 17th, 19th to 23rd Floor (15th to 18th, 20th to 24th  Floor As Per Builder)For Residential</v>
      </c>
      <c r="I294" s="90"/>
      <c r="J294" s="91"/>
      <c r="K294" s="11">
        <f>4.3*3+2.35*1.2+2.1*3.2+3.9*3+1.35*0.9+1.2*1.95+2.05*1.2</f>
        <v>40.155000000000008</v>
      </c>
      <c r="L294" s="11">
        <f>2.1*0.95+3*0.9</f>
        <v>4.6950000000000003</v>
      </c>
      <c r="M294" s="41">
        <f>K294+L294</f>
        <v>44.850000000000009</v>
      </c>
    </row>
    <row r="295" spans="1:13" x14ac:dyDescent="0.35">
      <c r="A295" s="51">
        <v>2</v>
      </c>
      <c r="B295" s="52"/>
      <c r="C295" s="1" t="s">
        <v>117</v>
      </c>
      <c r="D295" s="241">
        <f>(48.47)*10.764</f>
        <v>521.73107999999991</v>
      </c>
      <c r="E295" s="241"/>
      <c r="F295" s="1">
        <v>0</v>
      </c>
      <c r="G295" s="1">
        <f>D295*($G$172+1)+F295</f>
        <v>808.68317399999989</v>
      </c>
      <c r="H295" s="92"/>
      <c r="I295" s="93"/>
      <c r="J295" s="94"/>
    </row>
    <row r="296" spans="1:13" x14ac:dyDescent="0.35">
      <c r="A296" s="51">
        <v>3</v>
      </c>
      <c r="B296" s="52"/>
      <c r="C296" s="1" t="s">
        <v>117</v>
      </c>
      <c r="D296" s="241">
        <f>(47.45)*10.764</f>
        <v>510.7518</v>
      </c>
      <c r="E296" s="241"/>
      <c r="F296" s="1">
        <v>0</v>
      </c>
      <c r="G296" s="1">
        <f>D296*($G$172+1)+F296</f>
        <v>791.66529000000003</v>
      </c>
      <c r="H296" s="92"/>
      <c r="I296" s="93"/>
      <c r="J296" s="94"/>
    </row>
    <row r="297" spans="1:13" x14ac:dyDescent="0.35">
      <c r="A297" s="51">
        <v>4</v>
      </c>
      <c r="B297" s="52"/>
      <c r="C297" s="1" t="s">
        <v>117</v>
      </c>
      <c r="D297" s="241">
        <f>(47.45)*10.764</f>
        <v>510.7518</v>
      </c>
      <c r="E297" s="241"/>
      <c r="F297" s="1">
        <v>0</v>
      </c>
      <c r="G297" s="1">
        <f>D297*($G$172+1)+F297</f>
        <v>791.66529000000003</v>
      </c>
      <c r="H297" s="92"/>
      <c r="I297" s="93"/>
      <c r="J297" s="94"/>
    </row>
    <row r="298" spans="1:13" ht="33.75" customHeight="1" x14ac:dyDescent="0.35">
      <c r="A298" s="86" t="s">
        <v>231</v>
      </c>
      <c r="B298" s="87"/>
      <c r="C298" s="87"/>
      <c r="D298" s="87"/>
      <c r="E298" s="87"/>
      <c r="F298" s="87"/>
      <c r="G298" s="87"/>
      <c r="H298" s="87"/>
      <c r="I298" s="87"/>
      <c r="J298" s="88"/>
    </row>
    <row r="299" spans="1:13" x14ac:dyDescent="0.35">
      <c r="A299" s="51">
        <v>1</v>
      </c>
      <c r="B299" s="52"/>
      <c r="C299" s="1" t="s">
        <v>117</v>
      </c>
      <c r="D299" s="241">
        <f>(48.47)*10.764</f>
        <v>521.73107999999991</v>
      </c>
      <c r="E299" s="241"/>
      <c r="F299" s="1">
        <v>0</v>
      </c>
      <c r="G299" s="1">
        <f>D299*($G$172+1)+F299</f>
        <v>808.68317399999989</v>
      </c>
      <c r="H299" s="112" t="str">
        <f>A298</f>
        <v>8th Floor
 13th &amp; 18th Floor (14th &amp; 19th Floor As Per Builder) (Part Refuge Area)</v>
      </c>
      <c r="I299" s="112"/>
      <c r="J299" s="112"/>
    </row>
    <row r="300" spans="1:13" x14ac:dyDescent="0.35">
      <c r="A300" s="51">
        <v>2</v>
      </c>
      <c r="B300" s="52"/>
      <c r="C300" s="1" t="s">
        <v>117</v>
      </c>
      <c r="D300" s="241">
        <f>(48.47)*10.764</f>
        <v>521.73107999999991</v>
      </c>
      <c r="E300" s="241"/>
      <c r="F300" s="1">
        <v>0</v>
      </c>
      <c r="G300" s="1">
        <f>D300*($G$172+1)+F300</f>
        <v>808.68317399999989</v>
      </c>
      <c r="H300" s="112"/>
      <c r="I300" s="112"/>
      <c r="J300" s="112"/>
    </row>
    <row r="301" spans="1:13" x14ac:dyDescent="0.35">
      <c r="A301" s="51">
        <v>3</v>
      </c>
      <c r="B301" s="52"/>
      <c r="C301" s="51" t="s">
        <v>216</v>
      </c>
      <c r="D301" s="226"/>
      <c r="E301" s="226"/>
      <c r="F301" s="226"/>
      <c r="G301" s="52"/>
      <c r="H301" s="112"/>
      <c r="I301" s="112"/>
      <c r="J301" s="112"/>
    </row>
    <row r="302" spans="1:13" x14ac:dyDescent="0.35">
      <c r="A302" s="51">
        <v>4</v>
      </c>
      <c r="B302" s="52"/>
      <c r="C302" s="1" t="s">
        <v>117</v>
      </c>
      <c r="D302" s="241">
        <f>(47.45)*10.764</f>
        <v>510.7518</v>
      </c>
      <c r="E302" s="241"/>
      <c r="F302" s="1">
        <v>0</v>
      </c>
      <c r="G302" s="1">
        <f>D302*($G$172+1)+F302</f>
        <v>791.66529000000003</v>
      </c>
      <c r="H302" s="112"/>
      <c r="I302" s="112"/>
      <c r="J302" s="112"/>
    </row>
    <row r="303" spans="1:13" x14ac:dyDescent="0.35">
      <c r="A303" s="95"/>
      <c r="B303" s="96"/>
      <c r="C303" s="96"/>
      <c r="D303" s="96"/>
      <c r="E303" s="96"/>
      <c r="F303" s="96"/>
      <c r="G303" s="96"/>
      <c r="H303" s="96"/>
      <c r="I303" s="96"/>
      <c r="J303" s="97"/>
    </row>
    <row r="304" spans="1:13" x14ac:dyDescent="0.35">
      <c r="A304" s="193" t="s">
        <v>86</v>
      </c>
      <c r="B304" s="194"/>
      <c r="C304" s="194"/>
      <c r="D304" s="194"/>
      <c r="E304" s="194"/>
      <c r="F304" s="194"/>
      <c r="G304" s="194"/>
      <c r="H304" s="194"/>
      <c r="I304" s="194"/>
      <c r="J304" s="195"/>
    </row>
    <row r="305" spans="1:11" ht="126.65" customHeight="1" x14ac:dyDescent="0.35">
      <c r="A305" s="206" t="s">
        <v>249</v>
      </c>
      <c r="B305" s="206"/>
      <c r="C305" s="206"/>
      <c r="D305" s="206"/>
      <c r="E305" s="206"/>
      <c r="F305" s="206"/>
      <c r="G305" s="206"/>
      <c r="H305" s="206"/>
      <c r="I305" s="206"/>
      <c r="J305" s="206"/>
      <c r="K305" s="43" t="s">
        <v>230</v>
      </c>
    </row>
    <row r="306" spans="1:11" ht="139.5" customHeight="1" x14ac:dyDescent="0.35">
      <c r="A306" s="206" t="s">
        <v>247</v>
      </c>
      <c r="B306" s="206"/>
      <c r="C306" s="206"/>
      <c r="D306" s="206"/>
      <c r="E306" s="206"/>
      <c r="F306" s="206"/>
      <c r="G306" s="206"/>
      <c r="H306" s="206"/>
      <c r="I306" s="206"/>
      <c r="J306" s="206"/>
      <c r="K306" s="43" t="s">
        <v>230</v>
      </c>
    </row>
    <row r="307" spans="1:11" x14ac:dyDescent="0.35">
      <c r="A307" s="44" t="s">
        <v>234</v>
      </c>
      <c r="B307" s="209" t="s">
        <v>235</v>
      </c>
      <c r="C307" s="209"/>
      <c r="D307" s="209"/>
      <c r="E307" s="209"/>
      <c r="F307" s="209" t="s">
        <v>236</v>
      </c>
      <c r="G307" s="209"/>
      <c r="H307" s="209"/>
      <c r="I307" s="209"/>
      <c r="J307" s="209"/>
    </row>
    <row r="308" spans="1:11" x14ac:dyDescent="0.35">
      <c r="A308" s="44">
        <v>1</v>
      </c>
      <c r="B308" s="209" t="s">
        <v>237</v>
      </c>
      <c r="C308" s="209"/>
      <c r="D308" s="209"/>
      <c r="E308" s="209"/>
      <c r="F308" s="209" t="s">
        <v>239</v>
      </c>
      <c r="G308" s="209"/>
      <c r="H308" s="209"/>
      <c r="I308" s="209"/>
      <c r="J308" s="209"/>
    </row>
    <row r="309" spans="1:11" x14ac:dyDescent="0.35">
      <c r="A309" s="44">
        <v>2</v>
      </c>
      <c r="B309" s="209" t="s">
        <v>238</v>
      </c>
      <c r="C309" s="209"/>
      <c r="D309" s="209"/>
      <c r="E309" s="209"/>
      <c r="F309" s="209" t="s">
        <v>240</v>
      </c>
      <c r="G309" s="209"/>
      <c r="H309" s="209"/>
      <c r="I309" s="209"/>
      <c r="J309" s="209"/>
    </row>
    <row r="310" spans="1:11" x14ac:dyDescent="0.35">
      <c r="A310" s="145" t="s">
        <v>243</v>
      </c>
      <c r="B310" s="146"/>
      <c r="C310" s="146"/>
      <c r="D310" s="146"/>
      <c r="E310" s="146"/>
      <c r="F310" s="146"/>
      <c r="G310" s="146"/>
      <c r="H310" s="146"/>
      <c r="I310" s="146"/>
      <c r="J310" s="147"/>
    </row>
    <row r="311" spans="1:11" x14ac:dyDescent="0.35">
      <c r="A311" s="254" t="s">
        <v>77</v>
      </c>
      <c r="B311" s="254"/>
      <c r="C311" s="254"/>
      <c r="D311" s="254"/>
      <c r="E311" s="254"/>
      <c r="F311" s="254"/>
      <c r="G311" s="254"/>
      <c r="H311" s="254"/>
      <c r="I311" s="254"/>
      <c r="J311" s="254"/>
    </row>
    <row r="312" spans="1:11" x14ac:dyDescent="0.35">
      <c r="A312" s="127" t="s">
        <v>78</v>
      </c>
      <c r="B312" s="127"/>
      <c r="C312" s="127"/>
      <c r="D312" s="127"/>
      <c r="E312" s="127"/>
      <c r="F312" s="127"/>
      <c r="G312" s="127"/>
      <c r="H312" s="127"/>
      <c r="I312" s="127"/>
      <c r="J312" s="127"/>
    </row>
    <row r="313" spans="1:11" x14ac:dyDescent="0.35">
      <c r="A313" s="254" t="s">
        <v>79</v>
      </c>
      <c r="B313" s="254"/>
      <c r="C313" s="254"/>
      <c r="D313" s="254"/>
      <c r="E313" s="254"/>
      <c r="F313" s="254"/>
      <c r="G313" s="254"/>
      <c r="H313" s="254"/>
      <c r="I313" s="254"/>
      <c r="J313" s="254"/>
    </row>
    <row r="314" spans="1:11" x14ac:dyDescent="0.35">
      <c r="A314" s="127" t="s">
        <v>80</v>
      </c>
      <c r="B314" s="127"/>
      <c r="C314" s="127"/>
      <c r="D314" s="127"/>
      <c r="E314" s="127"/>
      <c r="F314" s="127"/>
      <c r="G314" s="127"/>
      <c r="H314" s="127"/>
      <c r="I314" s="127"/>
      <c r="J314" s="127"/>
    </row>
    <row r="315" spans="1:11" x14ac:dyDescent="0.35">
      <c r="A315" s="127" t="s">
        <v>81</v>
      </c>
      <c r="B315" s="127"/>
      <c r="C315" s="127"/>
      <c r="D315" s="127"/>
      <c r="E315" s="127"/>
      <c r="F315" s="127"/>
      <c r="G315" s="127"/>
      <c r="H315" s="127"/>
      <c r="I315" s="127"/>
      <c r="J315" s="127"/>
    </row>
    <row r="316" spans="1:11" x14ac:dyDescent="0.35">
      <c r="A316" s="127" t="s">
        <v>82</v>
      </c>
      <c r="B316" s="127"/>
      <c r="C316" s="127"/>
      <c r="D316" s="127"/>
      <c r="E316" s="127"/>
      <c r="F316" s="127"/>
      <c r="G316" s="127"/>
      <c r="H316" s="127"/>
      <c r="I316" s="127"/>
      <c r="J316" s="127"/>
    </row>
    <row r="317" spans="1:11" x14ac:dyDescent="0.35">
      <c r="A317" s="125" t="s">
        <v>83</v>
      </c>
      <c r="B317" s="125"/>
      <c r="C317" s="125"/>
      <c r="D317" s="125"/>
      <c r="E317" s="125"/>
      <c r="F317" s="125"/>
      <c r="G317" s="125"/>
      <c r="H317" s="125"/>
      <c r="I317" s="125"/>
      <c r="J317" s="125"/>
    </row>
    <row r="318" spans="1:11" x14ac:dyDescent="0.35">
      <c r="A318" s="207" t="s">
        <v>104</v>
      </c>
      <c r="B318" s="207"/>
      <c r="C318" s="208" t="s">
        <v>251</v>
      </c>
      <c r="D318" s="208"/>
      <c r="E318" s="208" t="s">
        <v>105</v>
      </c>
      <c r="F318" s="208"/>
      <c r="G318" s="208"/>
      <c r="H318" s="208" t="s">
        <v>250</v>
      </c>
      <c r="I318" s="208"/>
      <c r="J318" s="208"/>
    </row>
    <row r="319" spans="1:11" x14ac:dyDescent="0.35">
      <c r="A319" s="255" t="s">
        <v>107</v>
      </c>
      <c r="B319" s="255"/>
      <c r="C319" s="255"/>
      <c r="D319" s="255"/>
      <c r="E319" s="255"/>
      <c r="F319" s="255"/>
      <c r="G319" s="255"/>
      <c r="H319" s="255"/>
      <c r="I319" s="255"/>
      <c r="J319" s="255"/>
    </row>
    <row r="320" spans="1:11" x14ac:dyDescent="0.35">
      <c r="A320" s="255"/>
      <c r="B320" s="255"/>
      <c r="C320" s="255"/>
      <c r="D320" s="255"/>
      <c r="E320" s="255"/>
      <c r="F320" s="255"/>
      <c r="G320" s="255"/>
      <c r="H320" s="255"/>
      <c r="I320" s="255"/>
      <c r="J320" s="255"/>
    </row>
    <row r="321" spans="1:10" x14ac:dyDescent="0.35">
      <c r="A321" s="255"/>
      <c r="B321" s="255"/>
      <c r="C321" s="255"/>
      <c r="D321" s="255"/>
      <c r="E321" s="255"/>
      <c r="F321" s="255"/>
      <c r="G321" s="255"/>
      <c r="H321" s="255"/>
      <c r="I321" s="255"/>
      <c r="J321" s="255"/>
    </row>
    <row r="322" spans="1:10" x14ac:dyDescent="0.35">
      <c r="A322" s="255"/>
      <c r="B322" s="255"/>
      <c r="C322" s="255"/>
      <c r="D322" s="255"/>
      <c r="E322" s="255"/>
      <c r="F322" s="255"/>
      <c r="G322" s="255"/>
      <c r="H322" s="255"/>
      <c r="I322" s="255"/>
      <c r="J322" s="255"/>
    </row>
    <row r="323" spans="1:10" x14ac:dyDescent="0.35">
      <c r="A323" s="33" t="s">
        <v>84</v>
      </c>
      <c r="B323" s="34"/>
      <c r="C323" s="34"/>
      <c r="D323" s="33" t="str">
        <f>F8</f>
        <v>Lodha Panacea II &amp; III</v>
      </c>
      <c r="G323" s="34"/>
      <c r="H323" s="34"/>
      <c r="I323" s="34"/>
      <c r="J323" s="34"/>
    </row>
    <row r="324" spans="1:10" x14ac:dyDescent="0.35">
      <c r="A324" s="34"/>
      <c r="B324" s="34"/>
      <c r="C324" s="34"/>
      <c r="D324" s="34"/>
      <c r="E324" s="34"/>
      <c r="F324" s="34"/>
      <c r="G324" s="34"/>
      <c r="H324" s="34"/>
      <c r="I324" s="34"/>
      <c r="J324" s="34"/>
    </row>
    <row r="368" spans="1:1" x14ac:dyDescent="0.35">
      <c r="A368" s="35" t="s">
        <v>233</v>
      </c>
    </row>
    <row r="369" spans="1:1" x14ac:dyDescent="0.35">
      <c r="A369" s="35"/>
    </row>
    <row r="370" spans="1:1" x14ac:dyDescent="0.35">
      <c r="A370" s="35"/>
    </row>
    <row r="371" spans="1:1" x14ac:dyDescent="0.35">
      <c r="A371" s="35"/>
    </row>
    <row r="372" spans="1:1" x14ac:dyDescent="0.35">
      <c r="A372" s="35"/>
    </row>
    <row r="373" spans="1:1" x14ac:dyDescent="0.35">
      <c r="A373" s="35"/>
    </row>
    <row r="412" spans="1:1" x14ac:dyDescent="0.35">
      <c r="A412" s="35"/>
    </row>
    <row r="414" spans="1:1" x14ac:dyDescent="0.35">
      <c r="A414" s="35" t="s">
        <v>185</v>
      </c>
    </row>
    <row r="415" spans="1:1" x14ac:dyDescent="0.35">
      <c r="A415" s="35"/>
    </row>
    <row r="416" spans="1:1" x14ac:dyDescent="0.35">
      <c r="A416" s="35"/>
    </row>
    <row r="417" spans="1:1" x14ac:dyDescent="0.35">
      <c r="A417" s="35"/>
    </row>
    <row r="418" spans="1:1" x14ac:dyDescent="0.35">
      <c r="A418" s="35"/>
    </row>
    <row r="419" spans="1:1" x14ac:dyDescent="0.35">
      <c r="A419" s="35"/>
    </row>
    <row r="458" spans="1:1" x14ac:dyDescent="0.35">
      <c r="A458" s="35"/>
    </row>
    <row r="460" spans="1:1" x14ac:dyDescent="0.35">
      <c r="A460" s="35" t="s">
        <v>85</v>
      </c>
    </row>
  </sheetData>
  <mergeCells count="650">
    <mergeCell ref="L268:M268"/>
    <mergeCell ref="A158:A162"/>
    <mergeCell ref="A164:J164"/>
    <mergeCell ref="D166:F166"/>
    <mergeCell ref="G166:J166"/>
    <mergeCell ref="D163:F163"/>
    <mergeCell ref="G163:J163"/>
    <mergeCell ref="A163:B163"/>
    <mergeCell ref="A168:B168"/>
    <mergeCell ref="D168:F168"/>
    <mergeCell ref="G168:J168"/>
    <mergeCell ref="A244:J244"/>
    <mergeCell ref="A245:J245"/>
    <mergeCell ref="D247:E247"/>
    <mergeCell ref="D254:E254"/>
    <mergeCell ref="A261:B261"/>
    <mergeCell ref="C261:G261"/>
    <mergeCell ref="H261:J266"/>
    <mergeCell ref="A262:B262"/>
    <mergeCell ref="D262:E262"/>
    <mergeCell ref="A265:B265"/>
    <mergeCell ref="D265:E265"/>
    <mergeCell ref="D266:E266"/>
    <mergeCell ref="A260:J260"/>
    <mergeCell ref="A303:J303"/>
    <mergeCell ref="A298:J298"/>
    <mergeCell ref="A299:B299"/>
    <mergeCell ref="D299:E299"/>
    <mergeCell ref="H299:J302"/>
    <mergeCell ref="A300:B300"/>
    <mergeCell ref="D300:E300"/>
    <mergeCell ref="A301:B301"/>
    <mergeCell ref="A302:B302"/>
    <mergeCell ref="D302:E302"/>
    <mergeCell ref="C301:G301"/>
    <mergeCell ref="A144:B144"/>
    <mergeCell ref="D144:E144"/>
    <mergeCell ref="A145:B145"/>
    <mergeCell ref="D145:E145"/>
    <mergeCell ref="A290:J290"/>
    <mergeCell ref="A291:J291"/>
    <mergeCell ref="A292:J292"/>
    <mergeCell ref="A293:J293"/>
    <mergeCell ref="A294:B294"/>
    <mergeCell ref="D294:E294"/>
    <mergeCell ref="H294:J297"/>
    <mergeCell ref="A295:B295"/>
    <mergeCell ref="D295:E295"/>
    <mergeCell ref="A296:B296"/>
    <mergeCell ref="D296:E296"/>
    <mergeCell ref="A297:B297"/>
    <mergeCell ref="D297:E297"/>
    <mergeCell ref="A283:J283"/>
    <mergeCell ref="A284:B284"/>
    <mergeCell ref="C284:G284"/>
    <mergeCell ref="H284:J289"/>
    <mergeCell ref="A285:B285"/>
    <mergeCell ref="D285:E285"/>
    <mergeCell ref="A286:B286"/>
    <mergeCell ref="A134:B134"/>
    <mergeCell ref="C134:J134"/>
    <mergeCell ref="A135:B135"/>
    <mergeCell ref="D135:E135"/>
    <mergeCell ref="F135:G135"/>
    <mergeCell ref="H135:J135"/>
    <mergeCell ref="A136:B136"/>
    <mergeCell ref="D136:E136"/>
    <mergeCell ref="F136:G145"/>
    <mergeCell ref="H136:J145"/>
    <mergeCell ref="A137:B137"/>
    <mergeCell ref="D137:E137"/>
    <mergeCell ref="A138:B138"/>
    <mergeCell ref="D138:E138"/>
    <mergeCell ref="A139:B139"/>
    <mergeCell ref="D139:E139"/>
    <mergeCell ref="A140:B140"/>
    <mergeCell ref="D140:E140"/>
    <mergeCell ref="A141:B141"/>
    <mergeCell ref="D141:E141"/>
    <mergeCell ref="A142:B142"/>
    <mergeCell ref="D142:E142"/>
    <mergeCell ref="A143:B143"/>
    <mergeCell ref="D143:E143"/>
    <mergeCell ref="D54:E54"/>
    <mergeCell ref="H54:J54"/>
    <mergeCell ref="B53:C54"/>
    <mergeCell ref="F53:G54"/>
    <mergeCell ref="A132:B132"/>
    <mergeCell ref="C132:J132"/>
    <mergeCell ref="E133:F133"/>
    <mergeCell ref="I133:J133"/>
    <mergeCell ref="C32:J32"/>
    <mergeCell ref="C47:F47"/>
    <mergeCell ref="H46:J46"/>
    <mergeCell ref="H47:J47"/>
    <mergeCell ref="C50:F50"/>
    <mergeCell ref="H50:J50"/>
    <mergeCell ref="C51:J51"/>
    <mergeCell ref="A50:B51"/>
    <mergeCell ref="A48:B49"/>
    <mergeCell ref="A33:B33"/>
    <mergeCell ref="C33:J33"/>
    <mergeCell ref="D125:E125"/>
    <mergeCell ref="A126:B126"/>
    <mergeCell ref="D126:E126"/>
    <mergeCell ref="C49:J49"/>
    <mergeCell ref="A122:B122"/>
    <mergeCell ref="D286:E286"/>
    <mergeCell ref="A287:B287"/>
    <mergeCell ref="D287:E287"/>
    <mergeCell ref="A288:B288"/>
    <mergeCell ref="D288:E288"/>
    <mergeCell ref="A289:B289"/>
    <mergeCell ref="D289:E289"/>
    <mergeCell ref="A276:J276"/>
    <mergeCell ref="A277:B277"/>
    <mergeCell ref="D277:E277"/>
    <mergeCell ref="H277:J282"/>
    <mergeCell ref="A278:B278"/>
    <mergeCell ref="D278:E278"/>
    <mergeCell ref="A279:B279"/>
    <mergeCell ref="D279:E279"/>
    <mergeCell ref="A280:B280"/>
    <mergeCell ref="D280:E280"/>
    <mergeCell ref="A281:B281"/>
    <mergeCell ref="D281:E281"/>
    <mergeCell ref="A282:B282"/>
    <mergeCell ref="D282:E282"/>
    <mergeCell ref="D263:E263"/>
    <mergeCell ref="A246:J246"/>
    <mergeCell ref="A247:B247"/>
    <mergeCell ref="H247:J252"/>
    <mergeCell ref="A248:B248"/>
    <mergeCell ref="D248:E248"/>
    <mergeCell ref="A249:B249"/>
    <mergeCell ref="D249:E249"/>
    <mergeCell ref="A250:B250"/>
    <mergeCell ref="D250:E250"/>
    <mergeCell ref="A251:B251"/>
    <mergeCell ref="D251:E251"/>
    <mergeCell ref="A252:B252"/>
    <mergeCell ref="D252:E252"/>
    <mergeCell ref="A253:J253"/>
    <mergeCell ref="A254:B254"/>
    <mergeCell ref="H254:J259"/>
    <mergeCell ref="A255:B255"/>
    <mergeCell ref="D255:E255"/>
    <mergeCell ref="A256:B256"/>
    <mergeCell ref="D256:E256"/>
    <mergeCell ref="A257:B257"/>
    <mergeCell ref="D257:E257"/>
    <mergeCell ref="A258:B258"/>
    <mergeCell ref="C215:G215"/>
    <mergeCell ref="H215:J220"/>
    <mergeCell ref="A216:B216"/>
    <mergeCell ref="D216:E216"/>
    <mergeCell ref="D217:E217"/>
    <mergeCell ref="A221:J221"/>
    <mergeCell ref="A222:J222"/>
    <mergeCell ref="D231:E231"/>
    <mergeCell ref="A238:B238"/>
    <mergeCell ref="C238:G238"/>
    <mergeCell ref="H238:J243"/>
    <mergeCell ref="A239:B239"/>
    <mergeCell ref="D239:E239"/>
    <mergeCell ref="A240:B240"/>
    <mergeCell ref="D240:E240"/>
    <mergeCell ref="A241:B241"/>
    <mergeCell ref="D241:E241"/>
    <mergeCell ref="A215:B215"/>
    <mergeCell ref="A237:J237"/>
    <mergeCell ref="A242:B242"/>
    <mergeCell ref="A243:B243"/>
    <mergeCell ref="D243:E243"/>
    <mergeCell ref="A226:B226"/>
    <mergeCell ref="D226:E226"/>
    <mergeCell ref="A214:J214"/>
    <mergeCell ref="A207:J207"/>
    <mergeCell ref="A200:J200"/>
    <mergeCell ref="A201:B201"/>
    <mergeCell ref="H201:J206"/>
    <mergeCell ref="A202:B202"/>
    <mergeCell ref="D202:E202"/>
    <mergeCell ref="A203:B203"/>
    <mergeCell ref="D203:E203"/>
    <mergeCell ref="A204:B204"/>
    <mergeCell ref="D204:E204"/>
    <mergeCell ref="A205:B205"/>
    <mergeCell ref="D205:E205"/>
    <mergeCell ref="A206:B206"/>
    <mergeCell ref="D206:E206"/>
    <mergeCell ref="A227:B227"/>
    <mergeCell ref="D227:E227"/>
    <mergeCell ref="A228:B228"/>
    <mergeCell ref="A123:B123"/>
    <mergeCell ref="D123:E123"/>
    <mergeCell ref="A124:B124"/>
    <mergeCell ref="A198:J198"/>
    <mergeCell ref="A199:J199"/>
    <mergeCell ref="D201:E201"/>
    <mergeCell ref="A208:B208"/>
    <mergeCell ref="D208:E208"/>
    <mergeCell ref="H208:J213"/>
    <mergeCell ref="A209:B209"/>
    <mergeCell ref="D209:E209"/>
    <mergeCell ref="D127:E127"/>
    <mergeCell ref="A128:B128"/>
    <mergeCell ref="D128:E128"/>
    <mergeCell ref="D129:E129"/>
    <mergeCell ref="A130:B130"/>
    <mergeCell ref="D130:E130"/>
    <mergeCell ref="A131:B131"/>
    <mergeCell ref="D131:E131"/>
    <mergeCell ref="D124:E124"/>
    <mergeCell ref="A125:B125"/>
    <mergeCell ref="A184:J184"/>
    <mergeCell ref="A185:B185"/>
    <mergeCell ref="D185:E185"/>
    <mergeCell ref="H185:J190"/>
    <mergeCell ref="A186:B186"/>
    <mergeCell ref="D186:E186"/>
    <mergeCell ref="A187:B187"/>
    <mergeCell ref="D187:E187"/>
    <mergeCell ref="A188:B188"/>
    <mergeCell ref="D188:E188"/>
    <mergeCell ref="A189:B189"/>
    <mergeCell ref="D189:E189"/>
    <mergeCell ref="A190:B190"/>
    <mergeCell ref="D190:E190"/>
    <mergeCell ref="D122:E122"/>
    <mergeCell ref="F122:G131"/>
    <mergeCell ref="H122:J131"/>
    <mergeCell ref="A103:B103"/>
    <mergeCell ref="D103:E103"/>
    <mergeCell ref="A129:B129"/>
    <mergeCell ref="A118:B118"/>
    <mergeCell ref="C118:J118"/>
    <mergeCell ref="E119:F119"/>
    <mergeCell ref="I119:J119"/>
    <mergeCell ref="A120:B120"/>
    <mergeCell ref="C120:J120"/>
    <mergeCell ref="A121:B121"/>
    <mergeCell ref="D121:E121"/>
    <mergeCell ref="F121:G121"/>
    <mergeCell ref="H121:J121"/>
    <mergeCell ref="A127:B127"/>
    <mergeCell ref="A112:B112"/>
    <mergeCell ref="D112:E112"/>
    <mergeCell ref="A113:B113"/>
    <mergeCell ref="D113:E113"/>
    <mergeCell ref="A114:B114"/>
    <mergeCell ref="D114:E114"/>
    <mergeCell ref="A115:B115"/>
    <mergeCell ref="A93:B93"/>
    <mergeCell ref="D93:E93"/>
    <mergeCell ref="F93:G93"/>
    <mergeCell ref="H93:J93"/>
    <mergeCell ref="A94:B94"/>
    <mergeCell ref="D94:E94"/>
    <mergeCell ref="F94:G103"/>
    <mergeCell ref="H94:J103"/>
    <mergeCell ref="A95:B95"/>
    <mergeCell ref="D95:E95"/>
    <mergeCell ref="A96:B96"/>
    <mergeCell ref="D96:E96"/>
    <mergeCell ref="A97:B97"/>
    <mergeCell ref="D97:E97"/>
    <mergeCell ref="A98:B98"/>
    <mergeCell ref="D98:E98"/>
    <mergeCell ref="A99:B99"/>
    <mergeCell ref="D99:E99"/>
    <mergeCell ref="A100:B100"/>
    <mergeCell ref="D100:E100"/>
    <mergeCell ref="A101:B101"/>
    <mergeCell ref="D101:E101"/>
    <mergeCell ref="A102:B102"/>
    <mergeCell ref="D102:E102"/>
    <mergeCell ref="A88:B88"/>
    <mergeCell ref="D88:E88"/>
    <mergeCell ref="A89:B89"/>
    <mergeCell ref="D89:E89"/>
    <mergeCell ref="A90:B90"/>
    <mergeCell ref="C90:J90"/>
    <mergeCell ref="E91:F91"/>
    <mergeCell ref="I91:J91"/>
    <mergeCell ref="A92:B92"/>
    <mergeCell ref="C92:J92"/>
    <mergeCell ref="A78:B78"/>
    <mergeCell ref="C78:J78"/>
    <mergeCell ref="A79:B79"/>
    <mergeCell ref="D79:E79"/>
    <mergeCell ref="F79:G79"/>
    <mergeCell ref="H79:J79"/>
    <mergeCell ref="A80:B80"/>
    <mergeCell ref="D80:E80"/>
    <mergeCell ref="F80:G89"/>
    <mergeCell ref="H80:J89"/>
    <mergeCell ref="A81:B81"/>
    <mergeCell ref="D81:E81"/>
    <mergeCell ref="A82:B82"/>
    <mergeCell ref="D82:E82"/>
    <mergeCell ref="A83:B83"/>
    <mergeCell ref="D83:E83"/>
    <mergeCell ref="A84:B84"/>
    <mergeCell ref="D84:E84"/>
    <mergeCell ref="A85:B85"/>
    <mergeCell ref="D85:E85"/>
    <mergeCell ref="A86:B86"/>
    <mergeCell ref="D86:E86"/>
    <mergeCell ref="A87:B87"/>
    <mergeCell ref="D87:E87"/>
    <mergeCell ref="A73:B73"/>
    <mergeCell ref="D73:E73"/>
    <mergeCell ref="A74:B74"/>
    <mergeCell ref="D74:E74"/>
    <mergeCell ref="A75:B75"/>
    <mergeCell ref="D75:E75"/>
    <mergeCell ref="A76:B76"/>
    <mergeCell ref="C76:J76"/>
    <mergeCell ref="E77:F77"/>
    <mergeCell ref="I77:J77"/>
    <mergeCell ref="A68:B68"/>
    <mergeCell ref="D68:E68"/>
    <mergeCell ref="A69:B69"/>
    <mergeCell ref="D69:E69"/>
    <mergeCell ref="A70:B70"/>
    <mergeCell ref="D70:E70"/>
    <mergeCell ref="A71:B71"/>
    <mergeCell ref="D71:E71"/>
    <mergeCell ref="A72:B72"/>
    <mergeCell ref="D72:E72"/>
    <mergeCell ref="H48:J48"/>
    <mergeCell ref="D162:F162"/>
    <mergeCell ref="G162:J162"/>
    <mergeCell ref="A179:B179"/>
    <mergeCell ref="D179:E179"/>
    <mergeCell ref="A62:B62"/>
    <mergeCell ref="C62:J62"/>
    <mergeCell ref="E63:F63"/>
    <mergeCell ref="I63:J63"/>
    <mergeCell ref="A64:B64"/>
    <mergeCell ref="A174:J174"/>
    <mergeCell ref="A175:J175"/>
    <mergeCell ref="A176:J176"/>
    <mergeCell ref="A177:J177"/>
    <mergeCell ref="A167:B167"/>
    <mergeCell ref="D167:F167"/>
    <mergeCell ref="G167:J167"/>
    <mergeCell ref="A169:J169"/>
    <mergeCell ref="A170:J170"/>
    <mergeCell ref="G157:J157"/>
    <mergeCell ref="D158:F158"/>
    <mergeCell ref="G158:J158"/>
    <mergeCell ref="G161:J161"/>
    <mergeCell ref="H178:J183"/>
    <mergeCell ref="A315:J315"/>
    <mergeCell ref="A316:J316"/>
    <mergeCell ref="A317:J317"/>
    <mergeCell ref="A305:J305"/>
    <mergeCell ref="A311:J311"/>
    <mergeCell ref="A312:J312"/>
    <mergeCell ref="A319:J322"/>
    <mergeCell ref="A318:B318"/>
    <mergeCell ref="E318:G318"/>
    <mergeCell ref="C318:D318"/>
    <mergeCell ref="H318:J318"/>
    <mergeCell ref="A313:J313"/>
    <mergeCell ref="A314:J314"/>
    <mergeCell ref="B307:E307"/>
    <mergeCell ref="F307:J307"/>
    <mergeCell ref="B308:E308"/>
    <mergeCell ref="F308:J308"/>
    <mergeCell ref="B309:E309"/>
    <mergeCell ref="F309:J309"/>
    <mergeCell ref="A310:J310"/>
    <mergeCell ref="A306:J306"/>
    <mergeCell ref="A43:E43"/>
    <mergeCell ref="F43:J43"/>
    <mergeCell ref="A44:J44"/>
    <mergeCell ref="D182:E182"/>
    <mergeCell ref="A180:B180"/>
    <mergeCell ref="D180:E180"/>
    <mergeCell ref="A181:B181"/>
    <mergeCell ref="D181:E181"/>
    <mergeCell ref="D194:E194"/>
    <mergeCell ref="A57:B57"/>
    <mergeCell ref="A59:C59"/>
    <mergeCell ref="D59:J59"/>
    <mergeCell ref="A183:B183"/>
    <mergeCell ref="D183:E183"/>
    <mergeCell ref="A182:B182"/>
    <mergeCell ref="G159:J159"/>
    <mergeCell ref="D160:F160"/>
    <mergeCell ref="G160:J160"/>
    <mergeCell ref="D159:F159"/>
    <mergeCell ref="A156:J156"/>
    <mergeCell ref="A157:B157"/>
    <mergeCell ref="D157:F157"/>
    <mergeCell ref="A173:J173"/>
    <mergeCell ref="D161:F161"/>
    <mergeCell ref="D195:E195"/>
    <mergeCell ref="D196:E196"/>
    <mergeCell ref="D197:E197"/>
    <mergeCell ref="A178:B178"/>
    <mergeCell ref="D178:E178"/>
    <mergeCell ref="A275:B275"/>
    <mergeCell ref="D275:E275"/>
    <mergeCell ref="A270:B270"/>
    <mergeCell ref="A271:B271"/>
    <mergeCell ref="D271:E271"/>
    <mergeCell ref="A266:B266"/>
    <mergeCell ref="A274:B274"/>
    <mergeCell ref="D274:E274"/>
    <mergeCell ref="A267:J267"/>
    <mergeCell ref="A268:J268"/>
    <mergeCell ref="A269:J269"/>
    <mergeCell ref="D270:E270"/>
    <mergeCell ref="A272:B272"/>
    <mergeCell ref="D272:E272"/>
    <mergeCell ref="A273:B273"/>
    <mergeCell ref="D273:E273"/>
    <mergeCell ref="A264:B264"/>
    <mergeCell ref="D264:E264"/>
    <mergeCell ref="A263:B263"/>
    <mergeCell ref="A304:J304"/>
    <mergeCell ref="D242:E242"/>
    <mergeCell ref="A213:B213"/>
    <mergeCell ref="D213:E213"/>
    <mergeCell ref="A211:B211"/>
    <mergeCell ref="D211:E211"/>
    <mergeCell ref="A212:B212"/>
    <mergeCell ref="D212:E212"/>
    <mergeCell ref="A210:B210"/>
    <mergeCell ref="D210:E210"/>
    <mergeCell ref="H270:J275"/>
    <mergeCell ref="A217:B217"/>
    <mergeCell ref="A218:B218"/>
    <mergeCell ref="D218:E218"/>
    <mergeCell ref="A219:B219"/>
    <mergeCell ref="D219:E219"/>
    <mergeCell ref="A220:B220"/>
    <mergeCell ref="D220:E220"/>
    <mergeCell ref="A223:J223"/>
    <mergeCell ref="A224:B224"/>
    <mergeCell ref="D224:E224"/>
    <mergeCell ref="H224:J229"/>
    <mergeCell ref="A225:B225"/>
    <mergeCell ref="D225:E225"/>
    <mergeCell ref="A171:B172"/>
    <mergeCell ref="C171:C172"/>
    <mergeCell ref="D171:E172"/>
    <mergeCell ref="F171:F172"/>
    <mergeCell ref="A152:F152"/>
    <mergeCell ref="G152:J152"/>
    <mergeCell ref="A153:F153"/>
    <mergeCell ref="G153:J153"/>
    <mergeCell ref="A154:F154"/>
    <mergeCell ref="G154:J154"/>
    <mergeCell ref="A155:F155"/>
    <mergeCell ref="G155:J155"/>
    <mergeCell ref="A151:F151"/>
    <mergeCell ref="G151:J151"/>
    <mergeCell ref="A147:J147"/>
    <mergeCell ref="A148:B148"/>
    <mergeCell ref="C148:J148"/>
    <mergeCell ref="A146:J146"/>
    <mergeCell ref="A55:J55"/>
    <mergeCell ref="A56:C56"/>
    <mergeCell ref="D56:E56"/>
    <mergeCell ref="F56:G56"/>
    <mergeCell ref="H56:J56"/>
    <mergeCell ref="A60:J60"/>
    <mergeCell ref="A61:J61"/>
    <mergeCell ref="A58:B58"/>
    <mergeCell ref="C58:J58"/>
    <mergeCell ref="C64:J64"/>
    <mergeCell ref="A65:B65"/>
    <mergeCell ref="D65:E65"/>
    <mergeCell ref="F65:G65"/>
    <mergeCell ref="H65:J65"/>
    <mergeCell ref="A66:B66"/>
    <mergeCell ref="D66:E66"/>
    <mergeCell ref="F66:G75"/>
    <mergeCell ref="H66:J75"/>
    <mergeCell ref="A67:B67"/>
    <mergeCell ref="D67:E67"/>
    <mergeCell ref="A37:J37"/>
    <mergeCell ref="H52:J52"/>
    <mergeCell ref="A52:B52"/>
    <mergeCell ref="C52:F52"/>
    <mergeCell ref="D53:E53"/>
    <mergeCell ref="H53:J53"/>
    <mergeCell ref="A38:E38"/>
    <mergeCell ref="F38:J38"/>
    <mergeCell ref="H45:J45"/>
    <mergeCell ref="A46:B46"/>
    <mergeCell ref="C46:F46"/>
    <mergeCell ref="C48:F48"/>
    <mergeCell ref="A45:B45"/>
    <mergeCell ref="C45:F45"/>
    <mergeCell ref="A40:E40"/>
    <mergeCell ref="F40:J40"/>
    <mergeCell ref="A41:E41"/>
    <mergeCell ref="F41:J41"/>
    <mergeCell ref="A42:E42"/>
    <mergeCell ref="F42:J42"/>
    <mergeCell ref="A47:B47"/>
    <mergeCell ref="C57:J57"/>
    <mergeCell ref="A16:B16"/>
    <mergeCell ref="C16:E16"/>
    <mergeCell ref="F16:G16"/>
    <mergeCell ref="H16:J16"/>
    <mergeCell ref="A24:E24"/>
    <mergeCell ref="A25:E25"/>
    <mergeCell ref="F25:J25"/>
    <mergeCell ref="F24:J24"/>
    <mergeCell ref="A26:E26"/>
    <mergeCell ref="F26:J26"/>
    <mergeCell ref="A23:E23"/>
    <mergeCell ref="F23:J23"/>
    <mergeCell ref="A18:B18"/>
    <mergeCell ref="C18:E18"/>
    <mergeCell ref="F18:G18"/>
    <mergeCell ref="H18:J18"/>
    <mergeCell ref="A19:B19"/>
    <mergeCell ref="C19:E19"/>
    <mergeCell ref="F19:G19"/>
    <mergeCell ref="H19:J19"/>
    <mergeCell ref="A20:E21"/>
    <mergeCell ref="F20:J21"/>
    <mergeCell ref="A22:E22"/>
    <mergeCell ref="F22:J22"/>
    <mergeCell ref="A11:E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9:E9"/>
    <mergeCell ref="F9:J9"/>
    <mergeCell ref="G11:J11"/>
    <mergeCell ref="A1:J1"/>
    <mergeCell ref="A2:J2"/>
    <mergeCell ref="A3:E3"/>
    <mergeCell ref="F3:J3"/>
    <mergeCell ref="A4:E4"/>
    <mergeCell ref="A8:E8"/>
    <mergeCell ref="F8:J8"/>
    <mergeCell ref="A10:E10"/>
    <mergeCell ref="F10:J10"/>
    <mergeCell ref="F4:J4"/>
    <mergeCell ref="A17:B17"/>
    <mergeCell ref="C17:E17"/>
    <mergeCell ref="F17:G17"/>
    <mergeCell ref="H17:J17"/>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D115:E115"/>
    <mergeCell ref="A116:B116"/>
    <mergeCell ref="D116:E116"/>
    <mergeCell ref="A149:J149"/>
    <mergeCell ref="A150:F150"/>
    <mergeCell ref="G150:J150"/>
    <mergeCell ref="D228:E228"/>
    <mergeCell ref="A229:B229"/>
    <mergeCell ref="D229:E229"/>
    <mergeCell ref="A117:B117"/>
    <mergeCell ref="D117:E117"/>
    <mergeCell ref="A165:B165"/>
    <mergeCell ref="D165:F165"/>
    <mergeCell ref="G165:J165"/>
    <mergeCell ref="A191:J191"/>
    <mergeCell ref="A192:B192"/>
    <mergeCell ref="H192:J197"/>
    <mergeCell ref="A193:B193"/>
    <mergeCell ref="D193:E193"/>
    <mergeCell ref="A194:B194"/>
    <mergeCell ref="A195:B195"/>
    <mergeCell ref="A196:B196"/>
    <mergeCell ref="A197:B197"/>
    <mergeCell ref="C192:G192"/>
    <mergeCell ref="A230:J230"/>
    <mergeCell ref="A231:B231"/>
    <mergeCell ref="H231:J236"/>
    <mergeCell ref="A232:B232"/>
    <mergeCell ref="D232:E232"/>
    <mergeCell ref="A233:B233"/>
    <mergeCell ref="D233:E233"/>
    <mergeCell ref="A234:B234"/>
    <mergeCell ref="D234:E234"/>
    <mergeCell ref="A235:B235"/>
    <mergeCell ref="D235:E235"/>
    <mergeCell ref="A236:B236"/>
    <mergeCell ref="D236:E236"/>
    <mergeCell ref="D258:E258"/>
    <mergeCell ref="A259:B259"/>
    <mergeCell ref="D259:E259"/>
    <mergeCell ref="H171:J172"/>
    <mergeCell ref="A104:B104"/>
    <mergeCell ref="C104:J104"/>
    <mergeCell ref="E105:F105"/>
    <mergeCell ref="I105:J105"/>
    <mergeCell ref="A106:B106"/>
    <mergeCell ref="C106:J106"/>
    <mergeCell ref="A107:B107"/>
    <mergeCell ref="D107:E107"/>
    <mergeCell ref="F107:G107"/>
    <mergeCell ref="H107:J107"/>
    <mergeCell ref="A108:B108"/>
    <mergeCell ref="D108:E108"/>
    <mergeCell ref="F108:G117"/>
    <mergeCell ref="H108:J117"/>
    <mergeCell ref="A109:B109"/>
    <mergeCell ref="D109:E109"/>
    <mergeCell ref="A110:B110"/>
    <mergeCell ref="D110:E110"/>
    <mergeCell ref="A111:B111"/>
    <mergeCell ref="D111:E111"/>
  </mergeCells>
  <hyperlinks>
    <hyperlink ref="C33" r:id="rId1"/>
  </hyperlinks>
  <printOptions horizontalCentered="1"/>
  <pageMargins left="0.39370078740157499" right="0.39370078740157499" top="0.78740157480314998" bottom="0.78740157480314998" header="0.196850393700787" footer="0.196850393700787"/>
  <pageSetup paperSize="2" scale="93" fitToHeight="0" orientation="portrait" r:id="rId2"/>
  <headerFooter>
    <oddHeader>&amp;C&amp;G</oddHeader>
    <oddFooter>&amp;L&amp;"Times New Roman,Bold"&amp;12Ref No: &amp;F&amp;C&amp;G&amp;R&amp;"Times New Roman,Bold"&amp;12&amp;P</oddFooter>
  </headerFooter>
  <rowBreaks count="6" manualBreakCount="6">
    <brk id="33" max="9" man="1"/>
    <brk id="61" max="16383" man="1"/>
    <brk id="322" max="9" man="1"/>
    <brk id="367" max="9" man="1"/>
    <brk id="413" max="9" man="1"/>
    <brk id="459" max="9" man="1"/>
  </rowBreaks>
  <colBreaks count="1" manualBreakCount="1">
    <brk id="1" max="418" man="1"/>
  </col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A7" sqref="A7:E19"/>
    </sheetView>
  </sheetViews>
  <sheetFormatPr defaultRowHeight="14.5" x14ac:dyDescent="0.35"/>
  <cols>
    <col min="1" max="1" width="14" customWidth="1"/>
  </cols>
  <sheetData>
    <row r="1" spans="1:5" x14ac:dyDescent="0.35">
      <c r="A1" t="s">
        <v>132</v>
      </c>
      <c r="B1" t="s">
        <v>133</v>
      </c>
      <c r="D1" t="s">
        <v>134</v>
      </c>
    </row>
    <row r="7" spans="1:5" x14ac:dyDescent="0.35">
      <c r="A7" s="251" t="s">
        <v>173</v>
      </c>
      <c r="B7" s="251"/>
      <c r="C7" s="251"/>
      <c r="D7" s="251"/>
      <c r="E7" s="251"/>
    </row>
    <row r="8" spans="1:5" x14ac:dyDescent="0.35">
      <c r="A8" s="251"/>
      <c r="B8" s="251"/>
      <c r="C8" s="251"/>
      <c r="D8" s="251"/>
      <c r="E8" s="251"/>
    </row>
    <row r="9" spans="1:5" x14ac:dyDescent="0.35">
      <c r="A9" s="251"/>
      <c r="B9" s="251"/>
      <c r="C9" s="251"/>
      <c r="D9" s="251"/>
      <c r="E9" s="251"/>
    </row>
    <row r="10" spans="1:5" x14ac:dyDescent="0.35">
      <c r="A10" s="251"/>
      <c r="B10" s="251"/>
      <c r="C10" s="251"/>
      <c r="D10" s="251"/>
      <c r="E10" s="251"/>
    </row>
    <row r="11" spans="1:5" x14ac:dyDescent="0.35">
      <c r="A11" s="251"/>
      <c r="B11" s="251"/>
      <c r="C11" s="251"/>
      <c r="D11" s="251"/>
      <c r="E11" s="251"/>
    </row>
    <row r="12" spans="1:5" x14ac:dyDescent="0.35">
      <c r="A12" s="251"/>
      <c r="B12" s="251"/>
      <c r="C12" s="251"/>
      <c r="D12" s="251"/>
      <c r="E12" s="251"/>
    </row>
    <row r="13" spans="1:5" x14ac:dyDescent="0.35">
      <c r="A13" s="251"/>
      <c r="B13" s="251"/>
      <c r="C13" s="251"/>
      <c r="D13" s="251"/>
      <c r="E13" s="251"/>
    </row>
    <row r="14" spans="1:5" x14ac:dyDescent="0.35">
      <c r="A14" s="251"/>
      <c r="B14" s="251"/>
      <c r="C14" s="251"/>
      <c r="D14" s="251"/>
      <c r="E14" s="251"/>
    </row>
    <row r="15" spans="1:5" x14ac:dyDescent="0.35">
      <c r="A15" s="251"/>
      <c r="B15" s="251"/>
      <c r="C15" s="251"/>
      <c r="D15" s="251"/>
      <c r="E15" s="251"/>
    </row>
    <row r="16" spans="1:5" x14ac:dyDescent="0.35">
      <c r="A16" s="251"/>
      <c r="B16" s="251"/>
      <c r="C16" s="251"/>
      <c r="D16" s="251"/>
      <c r="E16" s="251"/>
    </row>
    <row r="17" spans="1:5" x14ac:dyDescent="0.35">
      <c r="A17" s="251"/>
      <c r="B17" s="251"/>
      <c r="C17" s="251"/>
      <c r="D17" s="251"/>
      <c r="E17" s="251"/>
    </row>
    <row r="18" spans="1:5" x14ac:dyDescent="0.35">
      <c r="A18" s="251"/>
      <c r="B18" s="251"/>
      <c r="C18" s="251"/>
      <c r="D18" s="251"/>
      <c r="E18" s="251"/>
    </row>
    <row r="19" spans="1:5" x14ac:dyDescent="0.35">
      <c r="A19" s="251"/>
      <c r="B19" s="251"/>
      <c r="C19" s="251"/>
      <c r="D19" s="251"/>
      <c r="E19" s="251"/>
    </row>
  </sheetData>
  <mergeCells count="1">
    <mergeCell ref="A7:E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 (2)</vt:lpstr>
      <vt:lpstr>Note</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2025-06-06T05:14:44Z</cp:lastPrinted>
  <dcterms:created xsi:type="dcterms:W3CDTF">2019-07-16T09:29:46Z</dcterms:created>
  <dcterms:modified xsi:type="dcterms:W3CDTF">2025-09-11T10:57:35Z</dcterms:modified>
</cp:coreProperties>
</file>