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1" i="1" l="1"/>
  <c r="L110" i="1" l="1"/>
  <c r="I218" i="1" l="1"/>
  <c r="G228" i="1"/>
  <c r="D226" i="1"/>
  <c r="F226" i="1" s="1"/>
  <c r="D225" i="1"/>
  <c r="F225" i="1" s="1"/>
  <c r="I226" i="1"/>
  <c r="D222" i="1"/>
  <c r="F222" i="1" s="1"/>
  <c r="G225" i="1"/>
  <c r="G222" i="1"/>
  <c r="D219" i="1"/>
  <c r="F219" i="1" s="1"/>
  <c r="D220" i="1"/>
  <c r="F220" i="1" s="1"/>
  <c r="G219" i="1"/>
  <c r="C118" i="1"/>
  <c r="C153" i="1" l="1"/>
  <c r="E153" i="1"/>
  <c r="G153" i="1"/>
  <c r="J126" i="1"/>
  <c r="J125" i="1"/>
  <c r="J124" i="1"/>
  <c r="J123" i="1"/>
  <c r="C126" i="1"/>
  <c r="C127" i="1" s="1"/>
  <c r="I133" i="1" l="1"/>
  <c r="D173" i="1"/>
  <c r="D172" i="1"/>
  <c r="D171" i="1"/>
  <c r="D170" i="1"/>
  <c r="D169" i="1"/>
  <c r="D167" i="1"/>
  <c r="D166" i="1"/>
  <c r="D161" i="1"/>
  <c r="D62" i="1"/>
  <c r="E43" i="1"/>
  <c r="G169" i="1" l="1"/>
  <c r="I163" i="1"/>
  <c r="D163" i="1"/>
  <c r="I160" i="1"/>
  <c r="I158" i="1"/>
  <c r="G161" i="1"/>
  <c r="J158" i="1"/>
  <c r="D164" i="1"/>
  <c r="F161" i="1" l="1"/>
  <c r="K158" i="1"/>
  <c r="C83" i="1"/>
  <c r="C85" i="1" l="1"/>
  <c r="C84" i="1"/>
  <c r="G176" i="1"/>
  <c r="F173" i="1"/>
  <c r="F172" i="1"/>
  <c r="F171" i="1"/>
  <c r="F170" i="1"/>
  <c r="F169" i="1"/>
  <c r="D165" i="1"/>
  <c r="D214" i="1"/>
  <c r="D211" i="1"/>
  <c r="D204" i="1"/>
  <c r="D206" i="1"/>
  <c r="D212" i="1"/>
  <c r="D209" i="1"/>
  <c r="D207" i="1"/>
  <c r="D203" i="1"/>
  <c r="D202" i="1"/>
  <c r="D201" i="1"/>
  <c r="D199" i="1"/>
  <c r="D198" i="1"/>
  <c r="D197" i="1"/>
  <c r="D196" i="1"/>
  <c r="D194" i="1"/>
  <c r="D188" i="1"/>
  <c r="D191" i="1"/>
  <c r="D190" i="1"/>
  <c r="D186" i="1"/>
  <c r="D185" i="1"/>
  <c r="D183" i="1"/>
  <c r="D181" i="1"/>
  <c r="D180" i="1"/>
  <c r="D179" i="1"/>
  <c r="D178" i="1"/>
  <c r="D176" i="1"/>
  <c r="J173" i="1"/>
  <c r="I173" i="1"/>
  <c r="E150" i="1" l="1"/>
  <c r="C150" i="1"/>
  <c r="E152" i="1"/>
  <c r="E151" i="1"/>
  <c r="C151" i="1"/>
  <c r="C152" i="1"/>
  <c r="F167" i="1"/>
  <c r="J163" i="1"/>
  <c r="F164" i="1"/>
  <c r="F166" i="1"/>
  <c r="J160" i="1"/>
  <c r="G163" i="1"/>
  <c r="C76" i="1"/>
  <c r="J84" i="1"/>
  <c r="J83" i="1"/>
  <c r="J82" i="1"/>
  <c r="J81" i="1"/>
  <c r="J112" i="1"/>
  <c r="J111" i="1"/>
  <c r="J110" i="1"/>
  <c r="J109" i="1"/>
  <c r="J98" i="1"/>
  <c r="J97" i="1"/>
  <c r="J96" i="1"/>
  <c r="J95" i="1"/>
  <c r="H77" i="1"/>
  <c r="C154" i="1" l="1"/>
  <c r="E154" i="1"/>
  <c r="K160" i="1"/>
  <c r="K163" i="1"/>
  <c r="F165" i="1"/>
  <c r="F163" i="1"/>
  <c r="D85" i="1"/>
  <c r="J77" i="1"/>
  <c r="D82" i="1"/>
  <c r="J76" i="1"/>
  <c r="D88" i="1"/>
  <c r="D86" i="1"/>
  <c r="D83" i="1"/>
  <c r="J78" i="1"/>
  <c r="C80" i="1" s="1"/>
  <c r="D80" i="1" s="1"/>
  <c r="D84" i="1"/>
  <c r="D89" i="1"/>
  <c r="D87" i="1"/>
  <c r="J79" i="1"/>
  <c r="J80" i="1" s="1"/>
  <c r="J85" i="1" s="1"/>
  <c r="J86" i="1" s="1"/>
  <c r="C81" i="1" s="1"/>
  <c r="D81" i="1" s="1"/>
  <c r="F214" i="1"/>
  <c r="F212" i="1"/>
  <c r="I184" i="1"/>
  <c r="G211" i="1"/>
  <c r="F211" i="1"/>
  <c r="F209" i="1"/>
  <c r="F207" i="1"/>
  <c r="I179" i="1"/>
  <c r="G206" i="1"/>
  <c r="F206" i="1"/>
  <c r="F204" i="1"/>
  <c r="F203" i="1"/>
  <c r="F202" i="1"/>
  <c r="I174" i="1"/>
  <c r="G201" i="1"/>
  <c r="F201" i="1"/>
  <c r="F188" i="1"/>
  <c r="F191" i="1"/>
  <c r="F190" i="1"/>
  <c r="G188" i="1"/>
  <c r="G150" i="1" l="1"/>
  <c r="E80" i="1"/>
  <c r="I73" i="1" s="1"/>
  <c r="C78" i="1" s="1"/>
  <c r="G80" i="1"/>
  <c r="K169" i="1"/>
  <c r="L155" i="1"/>
  <c r="K168" i="1"/>
  <c r="L154" i="1" s="1"/>
  <c r="L129" i="1" l="1"/>
  <c r="C97" i="1"/>
  <c r="F199" i="1" l="1"/>
  <c r="F197" i="1"/>
  <c r="F196" i="1"/>
  <c r="F198" i="1"/>
  <c r="G196" i="1"/>
  <c r="F194" i="1"/>
  <c r="G194" i="1"/>
  <c r="C104" i="1"/>
  <c r="G152" i="1" l="1"/>
  <c r="F186" i="1"/>
  <c r="F185" i="1"/>
  <c r="F183" i="1"/>
  <c r="F181" i="1"/>
  <c r="F180" i="1"/>
  <c r="F179" i="1"/>
  <c r="F178" i="1"/>
  <c r="F176" i="1"/>
  <c r="G183" i="1"/>
  <c r="G178" i="1"/>
  <c r="G151" i="1" l="1"/>
  <c r="G154" i="1" s="1"/>
  <c r="E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3" i="1"/>
  <c r="B232" i="1"/>
  <c r="F142" i="1"/>
  <c r="C90" i="1"/>
  <c r="D70" i="1"/>
  <c r="E44" i="1"/>
  <c r="E45" i="1" s="1"/>
  <c r="E31" i="1"/>
  <c r="E28" i="1"/>
  <c r="E26" i="1"/>
  <c r="C17" i="1"/>
  <c r="H91" i="1"/>
  <c r="J90" i="1" l="1"/>
  <c r="J93" i="1"/>
  <c r="J94" i="1" s="1"/>
  <c r="J99" i="1" s="1"/>
  <c r="J100" i="1" s="1"/>
  <c r="J92" i="1"/>
  <c r="C94" i="1" s="1"/>
  <c r="J91" i="1"/>
  <c r="D101" i="1"/>
  <c r="D97" i="1"/>
  <c r="D102" i="1"/>
  <c r="D100" i="1"/>
  <c r="D96" i="1"/>
  <c r="D103" i="1"/>
  <c r="D98" i="1"/>
  <c r="D99" i="1"/>
  <c r="D95" i="1" l="1"/>
  <c r="D94" i="1"/>
  <c r="H105" i="1"/>
  <c r="J104" i="1" l="1"/>
  <c r="J107" i="1"/>
  <c r="J108" i="1" s="1"/>
  <c r="J113" i="1" s="1"/>
  <c r="J106" i="1"/>
  <c r="C108" i="1" s="1"/>
  <c r="J105" i="1"/>
  <c r="D117" i="1"/>
  <c r="D115" i="1"/>
  <c r="D113" i="1"/>
  <c r="D111" i="1"/>
  <c r="D116" i="1"/>
  <c r="D114" i="1"/>
  <c r="D110" i="1"/>
  <c r="D112" i="1"/>
  <c r="G94" i="1"/>
  <c r="D74" i="1" s="1"/>
  <c r="D75" i="1" s="1"/>
  <c r="E94" i="1"/>
  <c r="J114" i="1" l="1"/>
  <c r="C109" i="1" s="1"/>
  <c r="D108" i="1"/>
  <c r="I87" i="1"/>
  <c r="C92" i="1" s="1"/>
  <c r="F75" i="1"/>
  <c r="H119" i="1"/>
  <c r="D126" i="1" l="1"/>
  <c r="D131" i="1"/>
  <c r="D129" i="1"/>
  <c r="D127" i="1"/>
  <c r="J121" i="1"/>
  <c r="J122" i="1" s="1"/>
  <c r="J127" i="1" s="1"/>
  <c r="J128" i="1" s="1"/>
  <c r="D124" i="1"/>
  <c r="J119" i="1"/>
  <c r="C122" i="1" s="1"/>
  <c r="D130" i="1"/>
  <c r="D128" i="1"/>
  <c r="D125" i="1"/>
  <c r="J120" i="1"/>
  <c r="J118" i="1"/>
  <c r="E108" i="1"/>
  <c r="D109" i="1"/>
  <c r="G108" i="1"/>
  <c r="E122" i="1" l="1"/>
  <c r="D123" i="1"/>
  <c r="G122" i="1"/>
  <c r="D122" i="1"/>
  <c r="I101" i="1"/>
  <c r="C106" i="1" s="1"/>
  <c r="I115" i="1" l="1"/>
  <c r="C120" i="1" s="1"/>
</calcChain>
</file>

<file path=xl/sharedStrings.xml><?xml version="1.0" encoding="utf-8"?>
<sst xmlns="http://schemas.openxmlformats.org/spreadsheetml/2006/main" count="483" uniqueCount="272">
  <si>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</si>
  <si>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</si>
  <si>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</si>
  <si>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</si>
  <si>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</si>
  <si>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</si>
  <si>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</si>
  <si>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</si>
  <si>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</si>
  <si>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</si>
  <si>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</si>
  <si>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</si>
  <si>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</si>
  <si>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</si>
  <si>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</si>
  <si>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</si>
  <si>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</si>
  <si>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</si>
  <si>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</si>
  <si>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</si>
  <si>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</si>
  <si>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</si>
  <si>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</si>
  <si>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</si>
  <si>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</si>
  <si>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</si>
  <si>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</si>
  <si>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</si>
  <si>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</si>
  <si>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</si>
  <si>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</si>
  <si>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</si>
  <si>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</si>
  <si>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</si>
  <si>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</si>
  <si>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</si>
  <si>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</si>
  <si>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</si>
  <si>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</si>
  <si>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</si>
  <si>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</si>
  <si>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</si>
  <si>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</si>
  <si>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</si>
  <si>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</si>
  <si>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</si>
  <si>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</si>
  <si>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</si>
  <si>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</si>
  <si>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</si>
  <si>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</si>
  <si>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</si>
  <si>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</si>
  <si>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</si>
  <si>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</si>
  <si>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</si>
  <si>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</si>
  <si>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</si>
  <si>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</si>
  <si>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</si>
  <si>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</si>
  <si>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</si>
  <si>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</si>
  <si>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</si>
  <si>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</si>
  <si>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</si>
  <si>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</si>
  <si>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</si>
  <si>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</si>
  <si>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</si>
  <si>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</si>
  <si>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</si>
  <si>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</si>
  <si>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</si>
  <si>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</si>
  <si>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</si>
  <si>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</si>
  <si>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</si>
  <si>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</si>
  <si>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</si>
  <si>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</si>
  <si>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</si>
  <si>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</si>
  <si>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</si>
  <si>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</si>
  <si>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</si>
  <si>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</si>
  <si>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</si>
  <si>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</si>
  <si>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</si>
  <si>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</si>
  <si>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</si>
  <si>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</si>
  <si>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</si>
  <si>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</si>
  <si>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</si>
  <si>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</si>
  <si>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</si>
  <si>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</si>
  <si>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</si>
  <si>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</si>
  <si>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</si>
  <si>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</si>
  <si>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</si>
  <si>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</si>
  <si>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</si>
  <si>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</si>
  <si>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</si>
  <si>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</si>
  <si>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</si>
  <si>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</si>
  <si>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</si>
  <si>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</si>
  <si>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</si>
  <si>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</si>
  <si>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</si>
  <si>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</si>
  <si>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</si>
  <si>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</si>
  <si>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</si>
  <si>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</si>
  <si>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</si>
  <si>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</si>
  <si>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</si>
  <si>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</si>
  <si>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</si>
  <si>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</si>
  <si>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</si>
  <si>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</si>
  <si>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</si>
  <si>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</si>
  <si>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</si>
  <si>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</si>
  <si>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</si>
  <si>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</si>
  <si>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</si>
  <si>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</si>
  <si>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</si>
  <si>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</si>
  <si>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</si>
  <si>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</si>
  <si>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</si>
  <si>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</si>
  <si>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</si>
  <si>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</si>
  <si>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</si>
  <si>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</si>
  <si>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</si>
  <si>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</si>
  <si>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</si>
  <si>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</si>
  <si>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</si>
  <si>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</si>
  <si>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</si>
  <si>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</si>
  <si>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should be considered as all inclusive rate if other charges are not mentioned. (Excluding GST &amp; other government Taxes)</t>
  </si>
  <si>
    <t>M/s. Macrotech Developers Limited</t>
  </si>
  <si>
    <t>Mumbai</t>
  </si>
  <si>
    <t>Old CTS. No</t>
  </si>
  <si>
    <t>Borivali</t>
  </si>
  <si>
    <t>Akurli</t>
  </si>
  <si>
    <t>White City</t>
  </si>
  <si>
    <t>Akurli Road</t>
  </si>
  <si>
    <t>Open Plot</t>
  </si>
  <si>
    <t>174C &amp; New CTS No. 174/C1, 174/C/2, 174/C/3 &amp; 174/C/4</t>
  </si>
  <si>
    <t>Rahul Salve</t>
  </si>
  <si>
    <t>3BHK</t>
  </si>
  <si>
    <t>2BHK</t>
  </si>
  <si>
    <t>Refuge Area</t>
  </si>
  <si>
    <t>4.3 KM from Kandivali Railway Station</t>
  </si>
  <si>
    <t xml:space="preserve">Municipal Corporation of Greater Mumbai (MCGM) </t>
  </si>
  <si>
    <t>Latitude &amp; Longitude</t>
  </si>
  <si>
    <t>Location Link</t>
  </si>
  <si>
    <t>https://goo.gl/maps/Pkde9rMC5bdWgVLu5</t>
  </si>
  <si>
    <t>Tower 7 (Wing 7) = Gr + 1st to 22nd Floor</t>
  </si>
  <si>
    <t>Tower 7 (Wing 7)</t>
  </si>
  <si>
    <t>Axis Goregaon</t>
  </si>
  <si>
    <t>Layout :</t>
  </si>
  <si>
    <t>Tower 8 (Wing 8)</t>
  </si>
  <si>
    <t>Office No. 1031, Wing J, Akshar Business Park, Plot No. 03 Sector 25, Near APMC Market,
Vashi, Navi Mumbai, Maharashtra 400703 TEL: 022-46090378/79/80                                                                                                                         Email : vsjcapf@gmail.com. Web site : www.vsjadon.com</t>
  </si>
  <si>
    <t>1st</t>
  </si>
  <si>
    <t>2.5BHK</t>
  </si>
  <si>
    <t>1st Floor For Residential</t>
  </si>
  <si>
    <t>Site Meet Person Contact Details ( Name &amp; Contact No.)</t>
  </si>
  <si>
    <t>We have updated latest approved floor plans &amp; CC for Tower 7 &amp; 8 (On 23/12/2023).</t>
  </si>
  <si>
    <t>Mr. Rajendra Giri 9820248856</t>
  </si>
  <si>
    <t>Provisional Building Common Area Maintenance (CAM) Charges for 18 months*</t>
  </si>
  <si>
    <t>Provisional Federation Common Area Maintenance (CAM) Charges for 60 months*</t>
  </si>
  <si>
    <t>Building protection deposit*</t>
  </si>
  <si>
    <t>Utility/Infrastructure/Other charges</t>
  </si>
  <si>
    <t>Other Charges add by</t>
  </si>
  <si>
    <t>smith</t>
  </si>
  <si>
    <t>16000 to 16500</t>
  </si>
  <si>
    <t>smith sir</t>
  </si>
  <si>
    <t>Lodha Group</t>
  </si>
  <si>
    <t>As per Layout</t>
  </si>
  <si>
    <t>19.201436,72.878226</t>
  </si>
  <si>
    <t>Amenity Space</t>
  </si>
  <si>
    <t>MLCP Wing</t>
  </si>
  <si>
    <t>Wing A &amp; B</t>
  </si>
  <si>
    <t>Approved Builtup Area of Tower 6, 7 &amp; 8 (Sq.Mt)</t>
  </si>
  <si>
    <t>Wing 5, R.G &amp; Fiteness Center</t>
  </si>
  <si>
    <t>Parking, Swimming Pool, Gym, CCTV System, Designer Floor Lobby, 2/3 No. High Speed Lifts, Fire Fighting System, Kid's Play Area/Creche, Library Lounge/ Café, Jogging Track, Internal Road etc.</t>
  </si>
  <si>
    <t>https://housing.com/in/buy/projects/page/279759-lodha-woods-tower-7-by-lodha-group-in-kandivali-west</t>
  </si>
  <si>
    <t>Tower 6 (Wing 6) = Gr + 1st to 22nd Floor</t>
  </si>
  <si>
    <t>Tower 6 (Wing 6)</t>
  </si>
  <si>
    <t>Ground Floor For Entrance Lobby, Society Office, Meter Room &amp; Parking</t>
  </si>
  <si>
    <t>Kandivali East</t>
  </si>
  <si>
    <t>We have added Tower 6 &amp; updated approved latest approved CC on 10/05/2024</t>
  </si>
  <si>
    <t>Recommended Rates/Other Charges of the Property have been revised on 05/01/2024.</t>
  </si>
  <si>
    <t>CHE/A-4300/BP(WS)/AR/337/7/Amend</t>
  </si>
  <si>
    <t xml:space="preserve">Commencement Certificate No.
Valid Up to: </t>
  </si>
  <si>
    <t>Building Details Floor Wise</t>
  </si>
  <si>
    <t>Ground Floor For Residential, Parking, Society Office, Meter &amp; Panel Room</t>
  </si>
  <si>
    <t>Ground Floor For Residential, Parking, Entrance Lobby, Meter &amp; Panel Room</t>
  </si>
  <si>
    <t>We considered Gross carpet area = Net carpet + Verandah + Deck Area + Utility Area.</t>
  </si>
  <si>
    <t>Tower 8 (Wing 8) = Gr + 1st to 22nd Floor</t>
  </si>
  <si>
    <t>We have updated latest approved floor plans for Tower 7 &amp; 8 from MCGM site on 21/06/2024</t>
  </si>
  <si>
    <t>We have updated latest approved layout plan &amp; floor plan for Tower 6 on 21/06/2024</t>
  </si>
  <si>
    <t>We have updated CC from MCGM site on 15/01/2025.</t>
  </si>
  <si>
    <t xml:space="preserve">Fire NOC No.
Valid Up to: </t>
  </si>
  <si>
    <t>CHE/A-4300/BP(WS)/AR/CFO/1/New</t>
  </si>
  <si>
    <t>Wing 6, 7 &amp; 8 = Gr + 1st to 22nd Floor (Total Height = 69.90 mtrs.)</t>
  </si>
  <si>
    <t>We have updated revised CC on 28/02/2025.</t>
  </si>
  <si>
    <t>CHE/A-4300/BP(WS)/AR/337/9/Amend</t>
  </si>
  <si>
    <t xml:space="preserve">Approved Floor plan No.  (Tower 7 &amp; 8)
</t>
  </si>
  <si>
    <t>We have updated latest approved floor plans for Tower 6 from MCGM site on 13/03/2025.</t>
  </si>
  <si>
    <t>1st to 6th, 8th, 10th, 12th Floor
 14th, 16th, 18th, 20th &amp; 22nd Floor (15th, 17th, 19th, 21st &amp; 23rd Floor As per Builder)</t>
  </si>
  <si>
    <t>8th Floor 
15th Floor (16th Floor as per Builder) (Part Refuge Area)</t>
  </si>
  <si>
    <t>22nd Floor  (23rd Floor as per Builder)
 (Part Refuge Area)</t>
  </si>
  <si>
    <t>1st to 7th, 9th to 12th
13th 14th, 16th to 21st Floor (14th, 15th, 17th to 22nd Floor as per Builder)</t>
  </si>
  <si>
    <t xml:space="preserve">7th, 9th, 11th Floor 
13th, 15th, 17th, 19th &amp; 21st Floor (14th, 16th, 18th, 20th &amp; 22nd Floor as per Builder)
 (For Refuge Area at Mid Landing) </t>
  </si>
  <si>
    <t>As per the approved latest floor plan dtd.07/03/2025 of Wing 6, all flat (i.e 110 Nos.) are "I to R" flats. Please check from your end.</t>
  </si>
  <si>
    <t>Lodha Woods Tower 6, 7, 8 &amp; 9</t>
  </si>
  <si>
    <t>Tower 6 (Wing 6)
Tower 7 (Wing 7)
Tower 8 (Wing 8)
Tower 9 (Wing 9)</t>
  </si>
  <si>
    <t>RERA Name &amp; No.</t>
  </si>
  <si>
    <t>Lodha Woods - Tower 7
(P51800046118)</t>
  </si>
  <si>
    <t>Tower 7</t>
  </si>
  <si>
    <t>Lodha Woods- Tower 8
(P51800046114)</t>
  </si>
  <si>
    <t xml:space="preserve">
Tower 8
</t>
  </si>
  <si>
    <t>Kandivali Project
(P51800056457)</t>
  </si>
  <si>
    <t>Tower 9</t>
  </si>
  <si>
    <t>Tower 6</t>
  </si>
  <si>
    <t xml:space="preserve">Approved Floor plan No.
(Tower 6 &amp; 9)  
</t>
  </si>
  <si>
    <t>04 Wings</t>
  </si>
  <si>
    <t>Tower 6 (Wing 6) = Gr +1st to 22nd Floor
Tower 7 (Wing 7) = Gr + 1st to 22nd Floor
Tower 8 (Wing 8) = Gr + 1st to 22nd Floor
Tower 9 (Wing 9) = Gr + Service Floor + 1st to 18th Floor</t>
  </si>
  <si>
    <t>Tower 9 (Wing 9) = Gr + Service Floor + 1st to 18th Floor</t>
  </si>
  <si>
    <t>As per RERA -Tower 6 = 30/11/2026
                      Tower 7 = 31/07/2027
                       Tower 8 = 30/11/2027
                       Tower 9 = 31/12/2028</t>
  </si>
  <si>
    <t>We have added Tower 9 on 25/03/2025</t>
  </si>
  <si>
    <t>Tower 9 (Wing 9)</t>
  </si>
  <si>
    <t xml:space="preserve">Ground Floor For Double Height Entrance Looby, Meter Room, Substation &amp; Service Lobby </t>
  </si>
  <si>
    <t>4BHK</t>
  </si>
  <si>
    <t xml:space="preserve">5th &amp; 12th Floor (Part Refuge Area) </t>
  </si>
  <si>
    <t>5BHK</t>
  </si>
  <si>
    <t>5BHK Duplex With 18th Floor</t>
  </si>
  <si>
    <t>5BHK Duplex With 17th Floor</t>
  </si>
  <si>
    <t>17th Floor (18th Floor As per Builder)</t>
  </si>
  <si>
    <t xml:space="preserve">1st to 4th, 6th to 11th Floor
 13th to 16th Floor (14th to 17th Floor As per Builder)
For Residential </t>
  </si>
  <si>
    <t>18th Floor (19th Floor As per Builder)</t>
  </si>
  <si>
    <t>Flats - 315</t>
  </si>
  <si>
    <t>Lodha Woods - Tower 6
(P51800046327)</t>
  </si>
  <si>
    <t>Service Floor Between Ground &amp; 1st Floor</t>
  </si>
  <si>
    <t xml:space="preserve">Environmental Clearance Certificate (EC) No
Valid Up for: </t>
  </si>
  <si>
    <t>SIA/MH/INFRA2/402907/2022</t>
  </si>
  <si>
    <t>CTS No. 174/C1, 174/C/2, 174/C/3 &amp; 174/C/4
Proposed BUA = 232966.96 Sq.m
Wing 6 to 9 = Gr +1st to 22nd Floor</t>
  </si>
  <si>
    <t>We have updated approved Environmental Clearance Certificate on 29/03/2025</t>
  </si>
  <si>
    <t>Approved Plans, CC &amp; EC</t>
  </si>
  <si>
    <t>CHE/A-4300/BP(WS)/AR/FCC/13/Amend</t>
  </si>
  <si>
    <r>
      <t xml:space="preserve">This C.C. is granted for work upto Plinth level of </t>
    </r>
    <r>
      <rPr>
        <b/>
        <sz val="12"/>
        <rFont val="Times New Roman"/>
        <family val="1"/>
      </rPr>
      <t>Wing 9</t>
    </r>
    <r>
      <rPr>
        <sz val="12"/>
        <rFont val="Times New Roman"/>
        <family val="1"/>
      </rPr>
      <t xml:space="preserve">, extension of FCC for </t>
    </r>
    <r>
      <rPr>
        <b/>
        <sz val="12"/>
        <rFont val="Times New Roman"/>
        <family val="1"/>
      </rPr>
      <t>Wing 6</t>
    </r>
    <r>
      <rPr>
        <sz val="12"/>
        <rFont val="Times New Roman"/>
        <family val="1"/>
      </rPr>
      <t xml:space="preserve"> comprising of Ground + 1st to 22nd upper floors + LMR + OHT &amp; to re-endorse FCC for Wing 1 comprising of Ground + 1st to 40th upper floors + LMR &amp; OHT, </t>
    </r>
    <r>
      <rPr>
        <b/>
        <sz val="12"/>
        <rFont val="Times New Roman"/>
        <family val="1"/>
      </rPr>
      <t>Wing 8</t>
    </r>
    <r>
      <rPr>
        <sz val="12"/>
        <rFont val="Times New Roman"/>
        <family val="1"/>
      </rPr>
      <t xml:space="preserve"> comprising of 1st to 21st + 22nd (Pt) upper floors + LMR + OHT, Multi-level car
parking (MLCP) Wing - comprising of 2 level basements + LG for parking + UG for parking + 1st to 10th floors for parking + LMR &amp; OHT and for Fitness Center for entire work, </t>
    </r>
    <r>
      <rPr>
        <b/>
        <sz val="12"/>
        <rFont val="Times New Roman"/>
        <family val="1"/>
      </rPr>
      <t>Wing 5 &amp; 7</t>
    </r>
    <r>
      <rPr>
        <sz val="12"/>
        <rFont val="Times New Roman"/>
        <family val="1"/>
      </rPr>
      <t xml:space="preserve"> comprising of Gr + 1st to 22nd (Pt) upper floors + LMR &amp; OHT as per approved amended plans dtd. 07.03.2025.</t>
    </r>
  </si>
  <si>
    <t>We have updated latest CC (On 20/06/2025).</t>
  </si>
  <si>
    <t>Pooja</t>
  </si>
  <si>
    <t>Tower 6, 7 &amp; 8 = Construction work is process at the time of Visit. Internal Visit not allowed.
Tower 9 = Construction Stage is same as last visit dtd.21/03/2025.
Construction Details taken from Mr. Rajendra Giri.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</si>
</sst>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  <font>
      <sz val="11"/>
      <color rgb="FF27272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69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7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23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vertical="center"/>
    </xf>
    <xf numFmtId="0" fontId="12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10" fillId="0" borderId="0" xfId="1" applyFont="1" applyProtection="1"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4" fontId="16" fillId="0" borderId="0" xfId="1" applyNumberFormat="1" applyFont="1"/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left" vertical="top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26" xfId="1" applyFont="1" applyBorder="1" applyAlignment="1" applyProtection="1">
      <alignment vertical="top" wrapText="1"/>
      <protection locked="0"/>
    </xf>
    <xf numFmtId="0" fontId="8" fillId="0" borderId="26" xfId="1" applyFont="1" applyBorder="1" applyAlignment="1" applyProtection="1">
      <alignment vertical="top"/>
      <protection locked="0"/>
    </xf>
    <xf numFmtId="0" fontId="24" fillId="0" borderId="0" xfId="10"/>
    <xf numFmtId="164" fontId="7" fillId="0" borderId="0" xfId="1" applyNumberFormat="1" applyFont="1" applyAlignment="1">
      <alignment horizontal="center" vertical="center"/>
    </xf>
    <xf numFmtId="1" fontId="6" fillId="0" borderId="1" xfId="2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0" xfId="0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2" applyNumberFormat="1" applyFont="1" applyBorder="1" applyAlignment="1">
      <alignment horizontal="center" vertical="center"/>
    </xf>
    <xf numFmtId="168" fontId="16" fillId="0" borderId="0" xfId="1" applyNumberFormat="1" applyFont="1"/>
    <xf numFmtId="0" fontId="7" fillId="0" borderId="0" xfId="1" applyFont="1" applyAlignment="1">
      <alignment horizontal="center" vertical="center"/>
    </xf>
    <xf numFmtId="1" fontId="25" fillId="0" borderId="9" xfId="0" applyNumberFormat="1" applyFont="1" applyBorder="1" applyAlignment="1" applyProtection="1">
      <alignment vertical="top"/>
      <protection locked="0"/>
    </xf>
    <xf numFmtId="1" fontId="25" fillId="0" borderId="23" xfId="0" applyNumberFormat="1" applyFont="1" applyBorder="1" applyAlignment="1" applyProtection="1">
      <alignment vertical="top"/>
      <protection locked="0"/>
    </xf>
    <xf numFmtId="1" fontId="25" fillId="0" borderId="10" xfId="0" applyNumberFormat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25" fillId="0" borderId="0" xfId="0" applyNumberFormat="1" applyFont="1" applyBorder="1" applyAlignment="1" applyProtection="1">
      <alignment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center" vertical="top" wrapText="1"/>
      <protection locked="0"/>
    </xf>
    <xf numFmtId="0" fontId="12" fillId="0" borderId="10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13" fillId="0" borderId="9" xfId="0" applyNumberFormat="1" applyFont="1" applyBorder="1" applyAlignment="1" applyProtection="1">
      <alignment vertical="top"/>
      <protection locked="0"/>
    </xf>
    <xf numFmtId="1" fontId="13" fillId="0" borderId="23" xfId="0" applyNumberFormat="1" applyFont="1" applyBorder="1" applyAlignment="1" applyProtection="1">
      <alignment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8" fillId="0" borderId="24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center" vertical="top"/>
      <protection locked="0"/>
    </xf>
    <xf numFmtId="0" fontId="12" fillId="0" borderId="26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center" vertical="top"/>
      <protection locked="0"/>
    </xf>
    <xf numFmtId="0" fontId="12" fillId="0" borderId="22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68" fontId="12" fillId="0" borderId="1" xfId="9" applyNumberFormat="1" applyFont="1" applyFill="1" applyBorder="1" applyAlignment="1" applyProtection="1">
      <alignment horizontal="left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center" vertical="top" wrapText="1"/>
      <protection locked="0"/>
    </xf>
    <xf numFmtId="0" fontId="13" fillId="0" borderId="26" xfId="1" applyFont="1" applyBorder="1" applyAlignment="1" applyProtection="1">
      <alignment horizontal="center" vertical="top" wrapText="1"/>
      <protection locked="0"/>
    </xf>
    <xf numFmtId="0" fontId="13" fillId="0" borderId="20" xfId="1" applyFont="1" applyBorder="1" applyAlignment="1" applyProtection="1">
      <alignment horizontal="center" vertical="top" wrapText="1"/>
      <protection locked="0"/>
    </xf>
    <xf numFmtId="0" fontId="13" fillId="0" borderId="27" xfId="1" applyFont="1" applyBorder="1" applyAlignment="1" applyProtection="1">
      <alignment horizontal="center" vertical="top" wrapText="1"/>
      <protection locked="0"/>
    </xf>
    <xf numFmtId="0" fontId="13" fillId="0" borderId="0" xfId="1" applyFont="1" applyAlignment="1" applyProtection="1">
      <alignment horizontal="center" vertical="top" wrapText="1"/>
      <protection locked="0"/>
    </xf>
    <xf numFmtId="0" fontId="13" fillId="0" borderId="28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center" vertical="top" wrapText="1"/>
      <protection locked="0"/>
    </xf>
    <xf numFmtId="0" fontId="13" fillId="0" borderId="2" xfId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center" vertical="top" wrapText="1"/>
      <protection locked="0"/>
    </xf>
    <xf numFmtId="0" fontId="14" fillId="0" borderId="9" xfId="1" applyFont="1" applyBorder="1" applyAlignment="1" applyProtection="1">
      <alignment horizontal="center" vertical="center" wrapText="1"/>
      <protection locked="0"/>
    </xf>
    <xf numFmtId="0" fontId="14" fillId="0" borderId="10" xfId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3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6" fillId="0" borderId="23" xfId="1" applyFont="1" applyBorder="1" applyAlignment="1" applyProtection="1">
      <alignment horizontal="left" vertical="top"/>
      <protection locked="0"/>
    </xf>
    <xf numFmtId="0" fontId="6" fillId="0" borderId="10" xfId="1" applyFont="1" applyBorder="1" applyAlignment="1" applyProtection="1">
      <alignment horizontal="left" vertical="top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0" fontId="8" fillId="0" borderId="9" xfId="1" applyFont="1" applyBorder="1" applyAlignment="1" applyProtection="1">
      <alignment vertical="top"/>
      <protection locked="0"/>
    </xf>
    <xf numFmtId="0" fontId="8" fillId="0" borderId="23" xfId="1" applyFont="1" applyBorder="1" applyAlignment="1" applyProtection="1">
      <alignment vertical="top"/>
      <protection locked="0"/>
    </xf>
    <xf numFmtId="0" fontId="8" fillId="0" borderId="10" xfId="1" applyFont="1" applyBorder="1" applyAlignment="1" applyProtection="1">
      <alignment vertical="top"/>
      <protection locked="0"/>
    </xf>
    <xf numFmtId="0" fontId="6" fillId="0" borderId="9" xfId="1" applyFont="1" applyBorder="1" applyAlignment="1" applyProtection="1">
      <alignment vertical="top"/>
      <protection locked="0"/>
    </xf>
    <xf numFmtId="0" fontId="6" fillId="0" borderId="23" xfId="1" applyFont="1" applyBorder="1" applyAlignment="1" applyProtection="1">
      <alignment vertical="top"/>
      <protection locked="0"/>
    </xf>
    <xf numFmtId="0" fontId="6" fillId="0" borderId="10" xfId="1" applyFont="1" applyBorder="1" applyAlignment="1" applyProtection="1">
      <alignment vertical="top"/>
      <protection locked="0"/>
    </xf>
    <xf numFmtId="1" fontId="13" fillId="0" borderId="10" xfId="0" applyNumberFormat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9" fontId="12" fillId="0" borderId="5" xfId="1" applyNumberFormat="1" applyFont="1" applyBorder="1" applyAlignment="1" applyProtection="1">
      <alignment horizontal="center" vertical="center" wrapText="1"/>
      <protection hidden="1"/>
    </xf>
    <xf numFmtId="9" fontId="12" fillId="0" borderId="8" xfId="1" applyNumberFormat="1" applyFont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23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9" xfId="1" applyFont="1" applyBorder="1" applyAlignment="1" applyProtection="1">
      <alignment horizontal="center" vertical="center" wrapText="1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6" fillId="0" borderId="19" xfId="1" applyFont="1" applyBorder="1" applyAlignment="1" applyProtection="1">
      <alignment horizontal="left" vertical="top"/>
      <protection locked="0"/>
    </xf>
    <xf numFmtId="0" fontId="6" fillId="0" borderId="26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/>
      <protection locked="0"/>
    </xf>
    <xf numFmtId="0" fontId="6" fillId="0" borderId="27" xfId="1" applyFont="1" applyBorder="1" applyAlignment="1" applyProtection="1">
      <alignment horizontal="left" vertical="top"/>
      <protection locked="0"/>
    </xf>
    <xf numFmtId="0" fontId="6" fillId="0" borderId="0" xfId="1" applyFont="1" applyBorder="1" applyAlignment="1" applyProtection="1">
      <alignment horizontal="left" vertical="top"/>
      <protection locked="0"/>
    </xf>
    <xf numFmtId="0" fontId="6" fillId="0" borderId="28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6" fillId="0" borderId="22" xfId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3" fillId="0" borderId="10" xfId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1" fontId="12" fillId="0" borderId="9" xfId="0" applyNumberFormat="1" applyFont="1" applyBorder="1" applyAlignment="1" applyProtection="1">
      <alignment horizontal="center" vertical="center"/>
      <protection locked="0"/>
    </xf>
    <xf numFmtId="1" fontId="12" fillId="0" borderId="10" xfId="0" applyNumberFormat="1" applyFont="1" applyBorder="1" applyAlignment="1" applyProtection="1">
      <alignment horizontal="center" vertical="center"/>
      <protection locked="0"/>
    </xf>
    <xf numFmtId="1" fontId="13" fillId="0" borderId="0" xfId="0" applyNumberFormat="1" applyFont="1" applyBorder="1" applyAlignment="1" applyProtection="1">
      <alignment vertical="top"/>
      <protection locked="0"/>
    </xf>
    <xf numFmtId="0" fontId="9" fillId="0" borderId="1" xfId="5" applyFont="1" applyBorder="1" applyAlignment="1">
      <alignment horizontal="left"/>
    </xf>
    <xf numFmtId="0" fontId="10" fillId="0" borderId="1" xfId="1" applyFont="1" applyBorder="1" applyAlignment="1" applyProtection="1">
      <alignment horizontal="left"/>
      <protection locked="0"/>
    </xf>
    <xf numFmtId="0" fontId="24" fillId="0" borderId="1" xfId="10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0" xfId="1" applyFont="1" applyBorder="1" applyAlignment="1" applyProtection="1">
      <alignment horizontal="left" vertical="top" wrapText="1"/>
      <protection locked="0"/>
    </xf>
    <xf numFmtId="1" fontId="13" fillId="0" borderId="31" xfId="0" applyNumberFormat="1" applyFont="1" applyBorder="1" applyAlignment="1" applyProtection="1">
      <alignment horizontal="center" vertical="center" wrapText="1"/>
      <protection locked="0"/>
    </xf>
    <xf numFmtId="1" fontId="13" fillId="0" borderId="32" xfId="0" applyNumberFormat="1" applyFont="1" applyBorder="1" applyAlignment="1" applyProtection="1">
      <alignment horizontal="center" vertical="center" wrapText="1"/>
      <protection locked="0"/>
    </xf>
    <xf numFmtId="1" fontId="13" fillId="0" borderId="32" xfId="0" applyNumberFormat="1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1" fontId="13" fillId="0" borderId="32" xfId="0" applyNumberFormat="1" applyFont="1" applyBorder="1" applyAlignment="1" applyProtection="1">
      <alignment horizontal="center" vertical="top" wrapText="1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1" fontId="13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752234</xdr:colOff>
      <xdr:row>348</xdr:row>
      <xdr:rowOff>44823</xdr:rowOff>
    </xdr:from>
    <xdr:to>
      <xdr:col>7</xdr:col>
      <xdr:colOff>152400</xdr:colOff>
      <xdr:row>366</xdr:row>
      <xdr:rowOff>84825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2234" y="70444098"/>
          <a:ext cx="5124691" cy="36404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482974</xdr:colOff>
      <xdr:row>12</xdr:row>
      <xdr:rowOff>637054</xdr:rowOff>
    </xdr:from>
    <xdr:to>
      <xdr:col>15</xdr:col>
      <xdr:colOff>103278</xdr:colOff>
      <xdr:row>15</xdr:row>
      <xdr:rowOff>313074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38415" y="3875554"/>
          <a:ext cx="5346510" cy="1170616"/>
        </a:xfrm>
        <a:prstGeom prst="rect">
          <a:avLst/>
        </a:prstGeom>
      </xdr:spPr>
    </xdr:pic>
    <xdr:clientData/>
  </xdr:twoCellAnchor>
  <xdr:twoCellAnchor editAs="oneCell">
    <xdr:from>
      <xdr:col>2</xdr:col>
      <xdr:colOff>239379</xdr:colOff>
      <xdr:row>303</xdr:row>
      <xdr:rowOff>192141</xdr:rowOff>
    </xdr:from>
    <xdr:to>
      <xdr:col>5</xdr:col>
      <xdr:colOff>742950</xdr:colOff>
      <xdr:row>320</xdr:row>
      <xdr:rowOff>178908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1479" y="73267941"/>
          <a:ext cx="3103896" cy="338719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548381</xdr:colOff>
      <xdr:row>321</xdr:row>
      <xdr:rowOff>104775</xdr:rowOff>
    </xdr:from>
    <xdr:to>
      <xdr:col>6</xdr:col>
      <xdr:colOff>560277</xdr:colOff>
      <xdr:row>344</xdr:row>
      <xdr:rowOff>119820</xdr:rowOff>
    </xdr:to>
    <xdr:grpSp>
      <xdr:nvGrpSpPr>
        <xdr:cNvPr id="15" name="Group 14"/>
        <xdr:cNvGrpSpPr/>
      </xdr:nvGrpSpPr>
      <xdr:grpSpPr>
        <a:xfrm>
          <a:off x="1348481" y="74298175"/>
          <a:ext cx="4399746" cy="4542595"/>
          <a:chOff x="2339081" y="77304900"/>
          <a:chExt cx="4193371" cy="4615620"/>
        </a:xfrm>
      </xdr:grpSpPr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339081" y="77304900"/>
            <a:ext cx="4193371" cy="461562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grpSp>
        <xdr:nvGrpSpPr>
          <xdr:cNvPr id="9" name="Group 8"/>
          <xdr:cNvGrpSpPr/>
        </xdr:nvGrpSpPr>
        <xdr:grpSpPr>
          <a:xfrm>
            <a:off x="2614493" y="77370241"/>
            <a:ext cx="3193505" cy="4034570"/>
            <a:chOff x="2818268" y="55795218"/>
            <a:chExt cx="3187939" cy="4243843"/>
          </a:xfrm>
        </xdr:grpSpPr>
        <xdr:grpSp>
          <xdr:nvGrpSpPr>
            <xdr:cNvPr id="7" name="Group 6"/>
            <xdr:cNvGrpSpPr/>
          </xdr:nvGrpSpPr>
          <xdr:grpSpPr>
            <a:xfrm>
              <a:off x="2818268" y="56095444"/>
              <a:ext cx="2823562" cy="3943617"/>
              <a:chOff x="2806333" y="52711889"/>
              <a:chExt cx="2724698" cy="3855257"/>
            </a:xfrm>
          </xdr:grpSpPr>
          <xdr:sp macro="" textlink="">
            <xdr:nvSpPr>
              <xdr:cNvPr id="4" name="TextBox 3"/>
              <xdr:cNvSpPr txBox="1"/>
            </xdr:nvSpPr>
            <xdr:spPr>
              <a:xfrm>
                <a:off x="4685564" y="56165191"/>
                <a:ext cx="597294" cy="4019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IN" sz="1050" b="1">
                    <a:solidFill>
                      <a:srgbClr val="FF0000"/>
                    </a:solidFill>
                  </a:rPr>
                  <a:t>Wing</a:t>
                </a:r>
                <a:r>
                  <a:rPr lang="en-IN" sz="1050" b="1" baseline="0">
                    <a:solidFill>
                      <a:srgbClr val="FF0000"/>
                    </a:solidFill>
                  </a:rPr>
                  <a:t> </a:t>
                </a:r>
                <a:r>
                  <a:rPr lang="en-IN" sz="1050" b="1">
                    <a:solidFill>
                      <a:srgbClr val="FF0000"/>
                    </a:solidFill>
                  </a:rPr>
                  <a:t>1</a:t>
                </a:r>
              </a:p>
            </xdr:txBody>
          </xdr:sp>
          <xdr:sp macro="" textlink="">
            <xdr:nvSpPr>
              <xdr:cNvPr id="17" name="TextBox 16"/>
              <xdr:cNvSpPr txBox="1"/>
            </xdr:nvSpPr>
            <xdr:spPr>
              <a:xfrm>
                <a:off x="3840806" y="56092784"/>
                <a:ext cx="535584" cy="25589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lang="en-IN" sz="1000" b="1">
                    <a:solidFill>
                      <a:srgbClr val="FF0000"/>
                    </a:solidFill>
                    <a:effectLst/>
                    <a:latin typeface="+mn-lt"/>
                    <a:ea typeface="+mn-ea"/>
                    <a:cs typeface="+mn-cs"/>
                  </a:rPr>
                  <a:t>Wing</a:t>
                </a:r>
                <a:r>
                  <a:rPr lang="en-IN" sz="1000" b="1" baseline="0">
                    <a:solidFill>
                      <a:srgbClr val="FF0000"/>
                    </a:solidFill>
                    <a:effectLst/>
                    <a:latin typeface="+mn-lt"/>
                    <a:ea typeface="+mn-ea"/>
                    <a:cs typeface="+mn-cs"/>
                  </a:rPr>
                  <a:t> 2</a:t>
                </a:r>
                <a:endParaRPr lang="en-IN" sz="1100" b="1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18" name="TextBox 17"/>
              <xdr:cNvSpPr txBox="1"/>
            </xdr:nvSpPr>
            <xdr:spPr>
              <a:xfrm rot="2769127">
                <a:off x="3086929" y="56038275"/>
                <a:ext cx="590843" cy="24731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lang="en-IN" sz="1050" b="1">
                    <a:solidFill>
                      <a:srgbClr val="FF0000"/>
                    </a:solidFill>
                    <a:effectLst/>
                    <a:latin typeface="+mn-lt"/>
                    <a:ea typeface="+mn-ea"/>
                    <a:cs typeface="+mn-cs"/>
                  </a:rPr>
                  <a:t>Wing 3</a:t>
                </a:r>
                <a:endParaRPr lang="en-IN" sz="1200" b="1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19" name="TextBox 18"/>
              <xdr:cNvSpPr txBox="1"/>
            </xdr:nvSpPr>
            <xdr:spPr>
              <a:xfrm rot="16200000">
                <a:off x="2578640" y="53787515"/>
                <a:ext cx="714808" cy="25942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r>
                  <a:rPr lang="en-IN" sz="1200" b="1">
                    <a:solidFill>
                      <a:srgbClr val="FF0000"/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Wing</a:t>
                </a:r>
                <a:r>
                  <a:rPr lang="en-IN" sz="1200" b="1" baseline="0">
                    <a:solidFill>
                      <a:srgbClr val="FF0000"/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 6</a:t>
                </a:r>
                <a:endParaRPr lang="en-IN" sz="1600" b="1">
                  <a:solidFill>
                    <a:srgbClr val="FF0000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0" name="TextBox 19"/>
              <xdr:cNvSpPr txBox="1"/>
            </xdr:nvSpPr>
            <xdr:spPr>
              <a:xfrm rot="16200000">
                <a:off x="2999599" y="54573078"/>
                <a:ext cx="571721" cy="239719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lang="en-IN" sz="1000" b="1">
                    <a:solidFill>
                      <a:srgbClr val="FF0000"/>
                    </a:solidFill>
                    <a:effectLst/>
                    <a:latin typeface="+mn-lt"/>
                    <a:ea typeface="+mn-ea"/>
                    <a:cs typeface="+mn-cs"/>
                  </a:rPr>
                  <a:t>Wing</a:t>
                </a:r>
                <a:r>
                  <a:rPr lang="en-IN" sz="1000" b="1" baseline="0">
                    <a:solidFill>
                      <a:srgbClr val="FF0000"/>
                    </a:solidFill>
                    <a:effectLst/>
                    <a:latin typeface="+mn-lt"/>
                    <a:ea typeface="+mn-ea"/>
                    <a:cs typeface="+mn-cs"/>
                  </a:rPr>
                  <a:t> 5</a:t>
                </a:r>
                <a:endParaRPr lang="en-IN" sz="1100">
                  <a:solidFill>
                    <a:srgbClr val="FF0000"/>
                  </a:solidFill>
                  <a:effectLst/>
                </a:endParaRPr>
              </a:p>
            </xdr:txBody>
          </xdr:sp>
          <xdr:sp macro="" textlink="">
            <xdr:nvSpPr>
              <xdr:cNvPr id="21" name="TextBox 20"/>
              <xdr:cNvSpPr txBox="1"/>
            </xdr:nvSpPr>
            <xdr:spPr>
              <a:xfrm rot="16200000">
                <a:off x="2979793" y="55155403"/>
                <a:ext cx="661510" cy="22464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r>
                  <a:rPr lang="en-IN" sz="900" b="1">
                    <a:solidFill>
                      <a:srgbClr val="FF0000"/>
                    </a:solidFill>
                    <a:effectLst/>
                    <a:latin typeface="+mn-lt"/>
                    <a:ea typeface="+mn-ea"/>
                    <a:cs typeface="+mn-cs"/>
                  </a:rPr>
                  <a:t>Wing 4</a:t>
                </a:r>
                <a:endParaRPr lang="en-IN" sz="1050" b="1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22" name="TextBox 21"/>
              <xdr:cNvSpPr txBox="1"/>
            </xdr:nvSpPr>
            <xdr:spPr>
              <a:xfrm>
                <a:off x="4394096" y="53462515"/>
                <a:ext cx="638128" cy="27692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eaLnBrk="1" fontAlgn="auto" latinLnBrk="0" hangingPunct="1"/>
                <a:r>
                  <a:rPr lang="en-IN" sz="1200" b="1">
                    <a:solidFill>
                      <a:srgbClr val="FF0000"/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Wing</a:t>
                </a:r>
                <a:r>
                  <a:rPr lang="en-IN" sz="1200" b="1" baseline="0">
                    <a:solidFill>
                      <a:srgbClr val="FF0000"/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 8</a:t>
                </a:r>
                <a:endParaRPr lang="en-IN" sz="1600">
                  <a:solidFill>
                    <a:srgbClr val="FF0000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3" name="TextBox 22"/>
              <xdr:cNvSpPr txBox="1"/>
            </xdr:nvSpPr>
            <xdr:spPr>
              <a:xfrm>
                <a:off x="3810991" y="53463222"/>
                <a:ext cx="638128" cy="27692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marL="0" marR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IN" sz="1200" b="1">
                    <a:solidFill>
                      <a:srgbClr val="FF0000"/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Wing</a:t>
                </a:r>
                <a:r>
                  <a:rPr lang="en-IN" sz="1200" b="1" baseline="0">
                    <a:solidFill>
                      <a:srgbClr val="FF0000"/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 </a:t>
                </a:r>
                <a:r>
                  <a:rPr lang="en-IN" sz="12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7</a:t>
                </a:r>
              </a:p>
            </xdr:txBody>
          </xdr:sp>
          <xdr:sp macro="" textlink="">
            <xdr:nvSpPr>
              <xdr:cNvPr id="76" name="TextBox 75"/>
              <xdr:cNvSpPr txBox="1"/>
            </xdr:nvSpPr>
            <xdr:spPr>
              <a:xfrm rot="3622526">
                <a:off x="5060727" y="52922771"/>
                <a:ext cx="681185" cy="25942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eaLnBrk="1" fontAlgn="auto" latinLnBrk="0" hangingPunct="1"/>
                <a:r>
                  <a:rPr lang="en-IN" sz="1200" b="1">
                    <a:solidFill>
                      <a:srgbClr val="FF0000"/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Wing</a:t>
                </a:r>
                <a:r>
                  <a:rPr lang="en-IN" sz="1200" b="1" baseline="0">
                    <a:solidFill>
                      <a:srgbClr val="FF0000"/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 9</a:t>
                </a:r>
                <a:endParaRPr lang="en-IN" sz="1600">
                  <a:solidFill>
                    <a:srgbClr val="FF0000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xdr:grpSp>
        <xdr:sp macro="" textlink="">
          <xdr:nvSpPr>
            <xdr:cNvPr id="8" name="Rectangle 7"/>
            <xdr:cNvSpPr/>
          </xdr:nvSpPr>
          <xdr:spPr>
            <a:xfrm>
              <a:off x="4465607" y="57101675"/>
              <a:ext cx="629354" cy="499475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24" name="Rectangle 23"/>
            <xdr:cNvSpPr/>
          </xdr:nvSpPr>
          <xdr:spPr>
            <a:xfrm>
              <a:off x="3772132" y="57103681"/>
              <a:ext cx="690928" cy="499474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38" name="Rectangle 37"/>
            <xdr:cNvSpPr/>
          </xdr:nvSpPr>
          <xdr:spPr>
            <a:xfrm rot="5400000">
              <a:off x="2961530" y="57066922"/>
              <a:ext cx="695159" cy="511372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75" name="Rectangle 74"/>
            <xdr:cNvSpPr/>
          </xdr:nvSpPr>
          <xdr:spPr>
            <a:xfrm rot="3353039">
              <a:off x="5366090" y="55961318"/>
              <a:ext cx="806217" cy="474017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</xdr:grpSp>
    </xdr:grpSp>
    <xdr:clientData/>
  </xdr:twoCellAnchor>
  <xdr:twoCellAnchor>
    <xdr:from>
      <xdr:col>0</xdr:col>
      <xdr:colOff>503225</xdr:colOff>
      <xdr:row>367</xdr:row>
      <xdr:rowOff>27937</xdr:rowOff>
    </xdr:from>
    <xdr:to>
      <xdr:col>7</xdr:col>
      <xdr:colOff>433667</xdr:colOff>
      <xdr:row>389</xdr:row>
      <xdr:rowOff>130549</xdr:rowOff>
    </xdr:to>
    <xdr:grpSp>
      <xdr:nvGrpSpPr>
        <xdr:cNvPr id="14" name="Group 13"/>
        <xdr:cNvGrpSpPr/>
      </xdr:nvGrpSpPr>
      <xdr:grpSpPr>
        <a:xfrm>
          <a:off x="503225" y="83276437"/>
          <a:ext cx="5937542" cy="4433312"/>
          <a:chOff x="366434" y="65957023"/>
          <a:chExt cx="5768761" cy="4691276"/>
        </a:xfrm>
      </xdr:grpSpPr>
      <xdr:grpSp>
        <xdr:nvGrpSpPr>
          <xdr:cNvPr id="12" name="Group 11"/>
          <xdr:cNvGrpSpPr/>
        </xdr:nvGrpSpPr>
        <xdr:grpSpPr>
          <a:xfrm>
            <a:off x="366434" y="65957023"/>
            <a:ext cx="5768761" cy="4691276"/>
            <a:chOff x="332816" y="65453559"/>
            <a:chExt cx="5798376" cy="4636046"/>
          </a:xfrm>
        </xdr:grpSpPr>
        <xdr:pic>
          <xdr:nvPicPr>
            <xdr:cNvPr id="10" name="Picture 9"/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332816" y="65453559"/>
              <a:ext cx="5798376" cy="4636046"/>
            </a:xfrm>
            <a:prstGeom prst="rect">
              <a:avLst/>
            </a:prstGeom>
            <a:ln>
              <a:solidFill>
                <a:sysClr val="windowText" lastClr="000000"/>
              </a:solidFill>
            </a:ln>
          </xdr:spPr>
        </xdr:pic>
        <xdr:sp macro="" textlink="">
          <xdr:nvSpPr>
            <xdr:cNvPr id="39" name="Rectangle 38"/>
            <xdr:cNvSpPr/>
          </xdr:nvSpPr>
          <xdr:spPr>
            <a:xfrm>
              <a:off x="3104029" y="67268912"/>
              <a:ext cx="1064560" cy="369794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77" name="Rectangle 76"/>
            <xdr:cNvSpPr/>
          </xdr:nvSpPr>
          <xdr:spPr>
            <a:xfrm rot="4994090">
              <a:off x="4173860" y="66798801"/>
              <a:ext cx="565046" cy="469490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</xdr:grpSp>
      <xdr:sp macro="" textlink="">
        <xdr:nvSpPr>
          <xdr:cNvPr id="13" name="TextBox 12"/>
          <xdr:cNvSpPr txBox="1"/>
        </xdr:nvSpPr>
        <xdr:spPr>
          <a:xfrm>
            <a:off x="2979963" y="67340950"/>
            <a:ext cx="1378324" cy="5202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2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Lodha Woods Tower 6, 7 &amp; 8</a:t>
            </a:r>
          </a:p>
        </xdr:txBody>
      </xdr:sp>
      <xdr:sp macro="" textlink="">
        <xdr:nvSpPr>
          <xdr:cNvPr id="78" name="TextBox 77"/>
          <xdr:cNvSpPr txBox="1"/>
        </xdr:nvSpPr>
        <xdr:spPr>
          <a:xfrm>
            <a:off x="3665641" y="66819899"/>
            <a:ext cx="1378324" cy="5202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2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Lodha Woods Tower </a:t>
            </a:r>
            <a:r>
              <a:rPr lang="en-IN" sz="1200" b="1" baseline="0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9</a:t>
            </a:r>
            <a:endParaRPr lang="en-IN" sz="12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9</xdr:col>
      <xdr:colOff>142875</xdr:colOff>
      <xdr:row>194</xdr:row>
      <xdr:rowOff>133350</xdr:rowOff>
    </xdr:from>
    <xdr:to>
      <xdr:col>14</xdr:col>
      <xdr:colOff>133891</xdr:colOff>
      <xdr:row>206</xdr:row>
      <xdr:rowOff>125865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67675" y="49320450"/>
          <a:ext cx="3877216" cy="2573791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276224</xdr:colOff>
      <xdr:row>46</xdr:row>
      <xdr:rowOff>137001</xdr:rowOff>
    </xdr:from>
    <xdr:to>
      <xdr:col>15</xdr:col>
      <xdr:colOff>208228</xdr:colOff>
      <xdr:row>48</xdr:row>
      <xdr:rowOff>304854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29424" y="10681176"/>
          <a:ext cx="5637479" cy="567904"/>
        </a:xfrm>
        <a:prstGeom prst="rect">
          <a:avLst/>
        </a:prstGeom>
      </xdr:spPr>
    </xdr:pic>
    <xdr:clientData/>
  </xdr:twoCellAnchor>
  <xdr:twoCellAnchor editAs="oneCell">
    <xdr:from>
      <xdr:col>10</xdr:col>
      <xdr:colOff>403225</xdr:colOff>
      <xdr:row>54</xdr:row>
      <xdr:rowOff>1513114</xdr:rowOff>
    </xdr:from>
    <xdr:to>
      <xdr:col>17</xdr:col>
      <xdr:colOff>260401</xdr:colOff>
      <xdr:row>60</xdr:row>
      <xdr:rowOff>171962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15475" y="15616464"/>
          <a:ext cx="5267376" cy="1700498"/>
        </a:xfrm>
        <a:prstGeom prst="rect">
          <a:avLst/>
        </a:prstGeom>
      </xdr:spPr>
    </xdr:pic>
    <xdr:clientData/>
  </xdr:twoCellAnchor>
  <xdr:twoCellAnchor editAs="oneCell">
    <xdr:from>
      <xdr:col>8</xdr:col>
      <xdr:colOff>895350</xdr:colOff>
      <xdr:row>49</xdr:row>
      <xdr:rowOff>85725</xdr:rowOff>
    </xdr:from>
    <xdr:to>
      <xdr:col>13</xdr:col>
      <xdr:colOff>456729</xdr:colOff>
      <xdr:row>50</xdr:row>
      <xdr:rowOff>171413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48550" y="11458575"/>
          <a:ext cx="3771429" cy="285714"/>
        </a:xfrm>
        <a:prstGeom prst="rect">
          <a:avLst/>
        </a:prstGeom>
      </xdr:spPr>
    </xdr:pic>
    <xdr:clientData/>
  </xdr:twoCellAnchor>
  <xdr:twoCellAnchor editAs="oneCell">
    <xdr:from>
      <xdr:col>8</xdr:col>
      <xdr:colOff>441999</xdr:colOff>
      <xdr:row>146</xdr:row>
      <xdr:rowOff>49840</xdr:rowOff>
    </xdr:from>
    <xdr:to>
      <xdr:col>12</xdr:col>
      <xdr:colOff>657347</xdr:colOff>
      <xdr:row>153</xdr:row>
      <xdr:rowOff>85022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93542" y="31813644"/>
          <a:ext cx="3627783" cy="1287245"/>
        </a:xfrm>
        <a:prstGeom prst="rect">
          <a:avLst/>
        </a:prstGeom>
      </xdr:spPr>
    </xdr:pic>
    <xdr:clientData/>
  </xdr:twoCellAnchor>
  <xdr:twoCellAnchor editAs="oneCell">
    <xdr:from>
      <xdr:col>9</xdr:col>
      <xdr:colOff>100497</xdr:colOff>
      <xdr:row>157</xdr:row>
      <xdr:rowOff>170584</xdr:rowOff>
    </xdr:from>
    <xdr:to>
      <xdr:col>13</xdr:col>
      <xdr:colOff>550332</xdr:colOff>
      <xdr:row>169</xdr:row>
      <xdr:rowOff>169069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807088" y="42929175"/>
          <a:ext cx="3515153" cy="3183299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172</xdr:row>
      <xdr:rowOff>114300</xdr:rowOff>
    </xdr:from>
    <xdr:to>
      <xdr:col>14</xdr:col>
      <xdr:colOff>190052</xdr:colOff>
      <xdr:row>184</xdr:row>
      <xdr:rowOff>144177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210550" y="39471600"/>
          <a:ext cx="3580952" cy="2980952"/>
        </a:xfrm>
        <a:prstGeom prst="rect">
          <a:avLst/>
        </a:prstGeom>
      </xdr:spPr>
    </xdr:pic>
    <xdr:clientData/>
  </xdr:twoCellAnchor>
  <xdr:twoCellAnchor editAs="oneCell">
    <xdr:from>
      <xdr:col>8</xdr:col>
      <xdr:colOff>729615</xdr:colOff>
      <xdr:row>176</xdr:row>
      <xdr:rowOff>82924</xdr:rowOff>
    </xdr:from>
    <xdr:to>
      <xdr:col>15</xdr:col>
      <xdr:colOff>535031</xdr:colOff>
      <xdr:row>192</xdr:row>
      <xdr:rowOff>170153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85056" y="39090600"/>
          <a:ext cx="5531622" cy="4186390"/>
        </a:xfrm>
        <a:prstGeom prst="rect">
          <a:avLst/>
        </a:prstGeom>
      </xdr:spPr>
    </xdr:pic>
    <xdr:clientData/>
  </xdr:twoCellAnchor>
  <xdr:twoCellAnchor editAs="oneCell">
    <xdr:from>
      <xdr:col>8</xdr:col>
      <xdr:colOff>974912</xdr:colOff>
      <xdr:row>60</xdr:row>
      <xdr:rowOff>313765</xdr:rowOff>
    </xdr:from>
    <xdr:to>
      <xdr:col>13</xdr:col>
      <xdr:colOff>322668</xdr:colOff>
      <xdr:row>66</xdr:row>
      <xdr:rowOff>34974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530353" y="18657794"/>
          <a:ext cx="3572374" cy="1695687"/>
        </a:xfrm>
        <a:prstGeom prst="rect">
          <a:avLst/>
        </a:prstGeom>
      </xdr:spPr>
    </xdr:pic>
    <xdr:clientData/>
  </xdr:twoCellAnchor>
  <xdr:twoCellAnchor editAs="oneCell">
    <xdr:from>
      <xdr:col>8</xdr:col>
      <xdr:colOff>312964</xdr:colOff>
      <xdr:row>142</xdr:row>
      <xdr:rowOff>81642</xdr:rowOff>
    </xdr:from>
    <xdr:to>
      <xdr:col>15</xdr:col>
      <xdr:colOff>327369</xdr:colOff>
      <xdr:row>157</xdr:row>
      <xdr:rowOff>75196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8000" y="38440178"/>
          <a:ext cx="5715798" cy="2553056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260</xdr:row>
      <xdr:rowOff>0</xdr:rowOff>
    </xdr:from>
    <xdr:to>
      <xdr:col>11</xdr:col>
      <xdr:colOff>110822</xdr:colOff>
      <xdr:row>261</xdr:row>
      <xdr:rowOff>154331</xdr:rowOff>
    </xdr:to>
    <xdr:sp macro="" textlink="">
      <xdr:nvSpPr>
        <xdr:cNvPr id="67" name="TextBox 66"/>
        <xdr:cNvSpPr txBox="1"/>
      </xdr:nvSpPr>
      <xdr:spPr>
        <a:xfrm>
          <a:off x="9112250" y="62464950"/>
          <a:ext cx="936322" cy="3511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6</a:t>
          </a:r>
        </a:p>
      </xdr:txBody>
    </xdr:sp>
    <xdr:clientData/>
  </xdr:twoCellAnchor>
  <xdr:twoCellAnchor>
    <xdr:from>
      <xdr:col>10</xdr:col>
      <xdr:colOff>468161</xdr:colOff>
      <xdr:row>261</xdr:row>
      <xdr:rowOff>154331</xdr:rowOff>
    </xdr:from>
    <xdr:to>
      <xdr:col>10</xdr:col>
      <xdr:colOff>741677</xdr:colOff>
      <xdr:row>263</xdr:row>
      <xdr:rowOff>100621</xdr:rowOff>
    </xdr:to>
    <xdr:cxnSp macro="">
      <xdr:nvCxnSpPr>
        <xdr:cNvPr id="68" name="Straight Arrow Connector 67"/>
        <xdr:cNvCxnSpPr>
          <a:stCxn id="67" idx="2"/>
        </xdr:cNvCxnSpPr>
      </xdr:nvCxnSpPr>
      <xdr:spPr>
        <a:xfrm>
          <a:off x="9580411" y="62816131"/>
          <a:ext cx="273516" cy="33999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264</xdr:row>
      <xdr:rowOff>44450</xdr:rowOff>
    </xdr:from>
    <xdr:to>
      <xdr:col>16</xdr:col>
      <xdr:colOff>593911</xdr:colOff>
      <xdr:row>302</xdr:row>
      <xdr:rowOff>78066</xdr:rowOff>
    </xdr:to>
    <xdr:grpSp>
      <xdr:nvGrpSpPr>
        <xdr:cNvPr id="69" name="Group 68"/>
        <xdr:cNvGrpSpPr/>
      </xdr:nvGrpSpPr>
      <xdr:grpSpPr>
        <a:xfrm>
          <a:off x="8636000" y="63017400"/>
          <a:ext cx="5839011" cy="7513916"/>
          <a:chOff x="529476" y="297620"/>
          <a:chExt cx="5255371" cy="8539916"/>
        </a:xfrm>
      </xdr:grpSpPr>
      <xdr:pic>
        <xdr:nvPicPr>
          <xdr:cNvPr id="70" name="Picture 69" descr="https://vsjcllp.vsjadon.com/upload/insp-23679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09562" y="6677536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1" name="Picture 70" descr="https://vsjcllp.vsjadon.com/upload/insp-236798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78236" y="4380169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2" name="Picture 71" descr="https://vsjcllp.vsjadon.com/upload/insp-236798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476" y="297620"/>
            <a:ext cx="5255371" cy="39451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3" name="Picture 72" descr="https://vsjcllp.vsjadon.com/upload/insp-236798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9697" y="4380169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4" name="Picture 73" descr="https://vsjcllp.vsjadon.com/upload/insp-236798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38849" y="6677536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463550</xdr:colOff>
      <xdr:row>263</xdr:row>
      <xdr:rowOff>82550</xdr:rowOff>
    </xdr:from>
    <xdr:to>
      <xdr:col>7</xdr:col>
      <xdr:colOff>560044</xdr:colOff>
      <xdr:row>298</xdr:row>
      <xdr:rowOff>175074</xdr:rowOff>
    </xdr:to>
    <xdr:grpSp>
      <xdr:nvGrpSpPr>
        <xdr:cNvPr id="28" name="Group 27"/>
        <xdr:cNvGrpSpPr/>
      </xdr:nvGrpSpPr>
      <xdr:grpSpPr>
        <a:xfrm>
          <a:off x="463550" y="62858650"/>
          <a:ext cx="6103594" cy="6982274"/>
          <a:chOff x="463550" y="62858650"/>
          <a:chExt cx="6103594" cy="6982274"/>
        </a:xfrm>
      </xdr:grpSpPr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3550" y="66960924"/>
            <a:ext cx="216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3550" y="6285865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97144" y="66960924"/>
            <a:ext cx="216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97144" y="6285865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</xdr:col>
      <xdr:colOff>76200</xdr:colOff>
      <xdr:row>267</xdr:row>
      <xdr:rowOff>82550</xdr:rowOff>
    </xdr:from>
    <xdr:to>
      <xdr:col>1</xdr:col>
      <xdr:colOff>749300</xdr:colOff>
      <xdr:row>269</xdr:row>
      <xdr:rowOff>40031</xdr:rowOff>
    </xdr:to>
    <xdr:sp macro="" textlink="">
      <xdr:nvSpPr>
        <xdr:cNvPr id="58" name="TextBox 57"/>
        <xdr:cNvSpPr txBox="1"/>
      </xdr:nvSpPr>
      <xdr:spPr>
        <a:xfrm>
          <a:off x="876300" y="63646050"/>
          <a:ext cx="673100" cy="3511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6</a:t>
          </a:r>
        </a:p>
      </xdr:txBody>
    </xdr:sp>
    <xdr:clientData/>
  </xdr:twoCellAnchor>
  <xdr:twoCellAnchor>
    <xdr:from>
      <xdr:col>1</xdr:col>
      <xdr:colOff>654050</xdr:colOff>
      <xdr:row>265</xdr:row>
      <xdr:rowOff>82550</xdr:rowOff>
    </xdr:from>
    <xdr:to>
      <xdr:col>2</xdr:col>
      <xdr:colOff>488950</xdr:colOff>
      <xdr:row>267</xdr:row>
      <xdr:rowOff>40031</xdr:rowOff>
    </xdr:to>
    <xdr:sp macro="" textlink="">
      <xdr:nvSpPr>
        <xdr:cNvPr id="59" name="TextBox 58"/>
        <xdr:cNvSpPr txBox="1"/>
      </xdr:nvSpPr>
      <xdr:spPr>
        <a:xfrm>
          <a:off x="1454150" y="63252350"/>
          <a:ext cx="673100" cy="3511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7</a:t>
          </a:r>
        </a:p>
      </xdr:txBody>
    </xdr:sp>
    <xdr:clientData/>
  </xdr:twoCellAnchor>
  <xdr:twoCellAnchor>
    <xdr:from>
      <xdr:col>2</xdr:col>
      <xdr:colOff>596900</xdr:colOff>
      <xdr:row>269</xdr:row>
      <xdr:rowOff>107950</xdr:rowOff>
    </xdr:from>
    <xdr:to>
      <xdr:col>3</xdr:col>
      <xdr:colOff>381000</xdr:colOff>
      <xdr:row>271</xdr:row>
      <xdr:rowOff>65431</xdr:rowOff>
    </xdr:to>
    <xdr:sp macro="" textlink="">
      <xdr:nvSpPr>
        <xdr:cNvPr id="60" name="TextBox 59"/>
        <xdr:cNvSpPr txBox="1"/>
      </xdr:nvSpPr>
      <xdr:spPr>
        <a:xfrm>
          <a:off x="2235200" y="64065150"/>
          <a:ext cx="673100" cy="3511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8</a:t>
          </a:r>
        </a:p>
      </xdr:txBody>
    </xdr:sp>
    <xdr:clientData/>
  </xdr:twoCellAnchor>
  <xdr:twoCellAnchor>
    <xdr:from>
      <xdr:col>5</xdr:col>
      <xdr:colOff>241300</xdr:colOff>
      <xdr:row>263</xdr:row>
      <xdr:rowOff>69850</xdr:rowOff>
    </xdr:from>
    <xdr:to>
      <xdr:col>6</xdr:col>
      <xdr:colOff>95250</xdr:colOff>
      <xdr:row>265</xdr:row>
      <xdr:rowOff>27331</xdr:rowOff>
    </xdr:to>
    <xdr:sp macro="" textlink="">
      <xdr:nvSpPr>
        <xdr:cNvPr id="61" name="TextBox 60"/>
        <xdr:cNvSpPr txBox="1"/>
      </xdr:nvSpPr>
      <xdr:spPr>
        <a:xfrm>
          <a:off x="4610100" y="62845950"/>
          <a:ext cx="673100" cy="3511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 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using.com/in/buy/projects/page/279759-lodha-woods-tower-7-by-lodha-group-in-kandivali-west" TargetMode="External"/><Relationship Id="rId1" Type="http://schemas.openxmlformats.org/officeDocument/2006/relationships/hyperlink" Target="https://goo.gl/maps/Pkde9rMC5bdWgVLu5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48"/>
  <sheetViews>
    <sheetView tabSelected="1" showWhiteSpace="0" view="pageBreakPreview" topLeftCell="A94" zoomScaleNormal="100" zoomScaleSheetLayoutView="100" zoomScalePageLayoutView="40" workbookViewId="0">
      <selection activeCell="E9" sqref="E9:H9"/>
    </sheetView>
  </sheetViews>
  <sheetFormatPr defaultColWidth="9.1796875" defaultRowHeight="15.5" x14ac:dyDescent="0.35"/>
  <cols>
    <col min="1" max="1" width="11.453125" style="8" customWidth="1"/>
    <col min="2" max="2" width="12" style="8" customWidth="1"/>
    <col min="3" max="3" width="12.7265625" style="8" customWidth="1"/>
    <col min="4" max="4" width="14.1796875" style="8" customWidth="1"/>
    <col min="5" max="5" width="12.1796875" style="8" customWidth="1"/>
    <col min="6" max="7" width="11.7265625" style="8" customWidth="1"/>
    <col min="8" max="8" width="15.54296875" style="8" customWidth="1"/>
    <col min="9" max="9" width="17.453125" style="3" customWidth="1"/>
    <col min="10" max="10" width="11.453125" style="3" customWidth="1"/>
    <col min="11" max="11" width="11.81640625" style="3" bestFit="1" customWidth="1"/>
    <col min="12" max="12" width="10.54296875" style="3" customWidth="1"/>
    <col min="13" max="13" width="11.81640625" style="3" customWidth="1"/>
    <col min="14" max="14" width="12.54296875" style="3" customWidth="1"/>
    <col min="15" max="15" width="9.81640625" style="3" customWidth="1"/>
    <col min="16" max="16" width="11.7265625" style="3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214" t="s">
        <v>179</v>
      </c>
      <c r="B1" s="214"/>
      <c r="C1" s="214"/>
      <c r="D1" s="214"/>
      <c r="E1" s="214"/>
      <c r="F1" s="214"/>
      <c r="G1" s="214"/>
      <c r="H1" s="214"/>
    </row>
    <row r="2" spans="1:8" ht="16.5" customHeight="1" x14ac:dyDescent="0.35">
      <c r="A2" s="140" t="s">
        <v>0</v>
      </c>
      <c r="B2" s="140"/>
      <c r="C2" s="140"/>
      <c r="D2" s="140"/>
      <c r="E2" s="140"/>
      <c r="F2" s="140"/>
      <c r="G2" s="140"/>
      <c r="H2" s="140"/>
    </row>
    <row r="3" spans="1:8" x14ac:dyDescent="0.35">
      <c r="A3" s="117" t="s">
        <v>1</v>
      </c>
      <c r="B3" s="117"/>
      <c r="C3" s="117"/>
      <c r="D3" s="117"/>
      <c r="E3" s="215" t="str">
        <f ca="1">TEXT(TODAY(),"DD/MM/YYYY")</f>
        <v>19/09/2025</v>
      </c>
      <c r="F3" s="215"/>
      <c r="G3" s="215"/>
      <c r="H3" s="215"/>
    </row>
    <row r="4" spans="1:8" ht="15" customHeight="1" x14ac:dyDescent="0.35">
      <c r="A4" s="117" t="s">
        <v>2</v>
      </c>
      <c r="B4" s="117"/>
      <c r="C4" s="117"/>
      <c r="D4" s="117"/>
      <c r="E4" s="216" t="s">
        <v>176</v>
      </c>
      <c r="F4" s="216"/>
      <c r="G4" s="216"/>
      <c r="H4" s="216"/>
    </row>
    <row r="5" spans="1:8" x14ac:dyDescent="0.35">
      <c r="A5" s="117" t="s">
        <v>3</v>
      </c>
      <c r="B5" s="117"/>
      <c r="C5" s="117"/>
      <c r="D5" s="117"/>
      <c r="E5" s="215">
        <v>45909</v>
      </c>
      <c r="F5" s="215"/>
      <c r="G5" s="215"/>
      <c r="H5" s="215"/>
    </row>
    <row r="6" spans="1:8" ht="16.5" customHeight="1" x14ac:dyDescent="0.35">
      <c r="A6" s="117" t="s">
        <v>4</v>
      </c>
      <c r="B6" s="117"/>
      <c r="C6" s="117"/>
      <c r="D6" s="117"/>
      <c r="E6" s="210" t="s">
        <v>194</v>
      </c>
      <c r="F6" s="210"/>
      <c r="G6" s="210"/>
      <c r="H6" s="210"/>
    </row>
    <row r="7" spans="1:8" ht="15" customHeight="1" x14ac:dyDescent="0.35">
      <c r="A7" s="117" t="s">
        <v>5</v>
      </c>
      <c r="B7" s="117"/>
      <c r="C7" s="117"/>
      <c r="D7" s="117"/>
      <c r="E7" s="210" t="s">
        <v>156</v>
      </c>
      <c r="F7" s="210"/>
      <c r="G7" s="210"/>
      <c r="H7" s="210"/>
    </row>
    <row r="8" spans="1:8" x14ac:dyDescent="0.35">
      <c r="A8" s="117" t="s">
        <v>6</v>
      </c>
      <c r="B8" s="117"/>
      <c r="C8" s="117"/>
      <c r="D8" s="117"/>
      <c r="E8" s="208" t="s">
        <v>233</v>
      </c>
      <c r="F8" s="116"/>
      <c r="G8" s="116"/>
      <c r="H8" s="116"/>
    </row>
    <row r="9" spans="1:8" x14ac:dyDescent="0.35">
      <c r="A9" s="117" t="s">
        <v>120</v>
      </c>
      <c r="B9" s="117"/>
      <c r="C9" s="117"/>
      <c r="D9" s="117"/>
      <c r="E9" s="217" t="s">
        <v>185</v>
      </c>
      <c r="F9" s="218"/>
      <c r="G9" s="218"/>
      <c r="H9" s="219"/>
    </row>
    <row r="10" spans="1:8" x14ac:dyDescent="0.35">
      <c r="A10" s="117" t="s">
        <v>183</v>
      </c>
      <c r="B10" s="117"/>
      <c r="C10" s="117"/>
      <c r="D10" s="117"/>
      <c r="E10" s="217" t="s">
        <v>185</v>
      </c>
      <c r="F10" s="218"/>
      <c r="G10" s="218"/>
      <c r="H10" s="219"/>
    </row>
    <row r="11" spans="1:8" ht="62.25" customHeight="1" x14ac:dyDescent="0.35">
      <c r="A11" s="114" t="s">
        <v>7</v>
      </c>
      <c r="B11" s="114"/>
      <c r="C11" s="114"/>
      <c r="D11" s="114"/>
      <c r="E11" s="168" t="s">
        <v>234</v>
      </c>
      <c r="F11" s="114"/>
      <c r="G11" s="114"/>
      <c r="H11" s="114"/>
    </row>
    <row r="12" spans="1:8" x14ac:dyDescent="0.35">
      <c r="A12" s="117" t="s">
        <v>8</v>
      </c>
      <c r="B12" s="117"/>
      <c r="C12" s="117"/>
      <c r="D12" s="117"/>
      <c r="E12" s="168" t="s">
        <v>266</v>
      </c>
      <c r="F12" s="168"/>
      <c r="G12" s="168"/>
      <c r="H12" s="168"/>
    </row>
    <row r="13" spans="1:8" ht="33" customHeight="1" x14ac:dyDescent="0.35">
      <c r="A13" s="224" t="s">
        <v>235</v>
      </c>
      <c r="B13" s="225"/>
      <c r="C13" s="225"/>
      <c r="D13" s="226"/>
      <c r="E13" s="118" t="s">
        <v>260</v>
      </c>
      <c r="F13" s="119"/>
      <c r="G13" s="222" t="s">
        <v>242</v>
      </c>
      <c r="H13" s="223"/>
    </row>
    <row r="14" spans="1:8" ht="37.5" customHeight="1" x14ac:dyDescent="0.35">
      <c r="A14" s="227"/>
      <c r="B14" s="228"/>
      <c r="C14" s="228"/>
      <c r="D14" s="229"/>
      <c r="E14" s="118" t="s">
        <v>236</v>
      </c>
      <c r="F14" s="119"/>
      <c r="G14" s="222" t="s">
        <v>237</v>
      </c>
      <c r="H14" s="223"/>
    </row>
    <row r="15" spans="1:8" ht="30" customHeight="1" x14ac:dyDescent="0.35">
      <c r="A15" s="227"/>
      <c r="B15" s="228"/>
      <c r="C15" s="228"/>
      <c r="D15" s="229"/>
      <c r="E15" s="118" t="s">
        <v>238</v>
      </c>
      <c r="F15" s="119"/>
      <c r="G15" s="222" t="s">
        <v>239</v>
      </c>
      <c r="H15" s="223"/>
    </row>
    <row r="16" spans="1:8" ht="37.5" customHeight="1" x14ac:dyDescent="0.35">
      <c r="A16" s="230"/>
      <c r="B16" s="231"/>
      <c r="C16" s="231"/>
      <c r="D16" s="232"/>
      <c r="E16" s="222" t="s">
        <v>240</v>
      </c>
      <c r="F16" s="223"/>
      <c r="G16" s="222" t="s">
        <v>241</v>
      </c>
      <c r="H16" s="223"/>
    </row>
    <row r="17" spans="1:8" ht="48.75" customHeight="1" x14ac:dyDescent="0.35">
      <c r="A17" s="210" t="s">
        <v>9</v>
      </c>
      <c r="B17" s="210"/>
      <c r="C17" s="210" t="str">
        <f>CONCATENATE((IF(OR(E8="",E8="NA"),"",E8)),", ",(IF(OR(A18="",A18="NA"),"",A18)),".",(IF(OR(C18="",C18="NA"),"",C18)),", near ",(IF(OR(C22="",C22="NA"),"",C22)),", ",(IF(OR(C19="",C19="NA"),"",C19)),", ",(IF(OR(G19="",G19="NA"),"",G19)),", ",(IF(OR(C20="",C20="NA"),"",C20)),", ",(IF(OR(C21="",C21="NA"),"",C21)),", ",(IF(OR(G20="",G20="NA"),"",G20))," - ",(IF(OR(G21="",G21="NA"),"",G21)),".")</f>
        <v>Lodha Woods Tower 6, 7, 8 &amp; 9, Old CTS. No.174C &amp; New CTS No. 174/C1, 174/C/2, 174/C/3 &amp; 174/C/4, near White City, Akurli Road, Akurli, Kandivali East, Borivali, Mumbai - 400101.</v>
      </c>
      <c r="D17" s="210"/>
      <c r="E17" s="210"/>
      <c r="F17" s="210"/>
      <c r="G17" s="210"/>
      <c r="H17" s="210"/>
    </row>
    <row r="18" spans="1:8" ht="18" customHeight="1" x14ac:dyDescent="0.35">
      <c r="A18" s="210" t="s">
        <v>158</v>
      </c>
      <c r="B18" s="210"/>
      <c r="C18" s="168" t="s">
        <v>164</v>
      </c>
      <c r="D18" s="168"/>
      <c r="E18" s="168"/>
      <c r="F18" s="168"/>
      <c r="G18" s="168"/>
      <c r="H18" s="168"/>
    </row>
    <row r="19" spans="1:8" ht="15.75" customHeight="1" x14ac:dyDescent="0.35">
      <c r="A19" s="210" t="s">
        <v>10</v>
      </c>
      <c r="B19" s="210"/>
      <c r="C19" s="114" t="s">
        <v>162</v>
      </c>
      <c r="D19" s="114"/>
      <c r="E19" s="210" t="s">
        <v>73</v>
      </c>
      <c r="F19" s="210"/>
      <c r="G19" s="168" t="s">
        <v>160</v>
      </c>
      <c r="H19" s="168"/>
    </row>
    <row r="20" spans="1:8" x14ac:dyDescent="0.35">
      <c r="A20" s="117" t="s">
        <v>12</v>
      </c>
      <c r="B20" s="117"/>
      <c r="C20" s="168" t="s">
        <v>207</v>
      </c>
      <c r="D20" s="168"/>
      <c r="E20" s="210" t="s">
        <v>11</v>
      </c>
      <c r="F20" s="210"/>
      <c r="G20" s="213" t="s">
        <v>157</v>
      </c>
      <c r="H20" s="213"/>
    </row>
    <row r="21" spans="1:8" x14ac:dyDescent="0.35">
      <c r="A21" s="117" t="s">
        <v>74</v>
      </c>
      <c r="B21" s="117"/>
      <c r="C21" s="168" t="s">
        <v>159</v>
      </c>
      <c r="D21" s="168"/>
      <c r="E21" s="210" t="s">
        <v>13</v>
      </c>
      <c r="F21" s="210"/>
      <c r="G21" s="168">
        <v>400101</v>
      </c>
      <c r="H21" s="168"/>
    </row>
    <row r="22" spans="1:8" ht="32.25" customHeight="1" x14ac:dyDescent="0.35">
      <c r="A22" s="117" t="s">
        <v>122</v>
      </c>
      <c r="B22" s="117"/>
      <c r="C22" s="210" t="s">
        <v>161</v>
      </c>
      <c r="D22" s="210"/>
      <c r="E22" s="210" t="s">
        <v>14</v>
      </c>
      <c r="F22" s="210"/>
      <c r="G22" s="168" t="s">
        <v>169</v>
      </c>
      <c r="H22" s="168"/>
    </row>
    <row r="23" spans="1:8" ht="15" customHeight="1" x14ac:dyDescent="0.35">
      <c r="A23" s="210" t="s">
        <v>77</v>
      </c>
      <c r="B23" s="210"/>
      <c r="C23" s="210"/>
      <c r="D23" s="210"/>
      <c r="E23" s="114" t="s">
        <v>15</v>
      </c>
      <c r="F23" s="114"/>
      <c r="G23" s="114"/>
      <c r="H23" s="114"/>
    </row>
    <row r="24" spans="1:8" ht="18.75" customHeight="1" x14ac:dyDescent="0.35">
      <c r="A24" s="210"/>
      <c r="B24" s="210"/>
      <c r="C24" s="210"/>
      <c r="D24" s="210"/>
      <c r="E24" s="114"/>
      <c r="F24" s="114"/>
      <c r="G24" s="114"/>
      <c r="H24" s="114"/>
    </row>
    <row r="25" spans="1:8" ht="15" customHeight="1" x14ac:dyDescent="0.35">
      <c r="A25" s="210" t="s">
        <v>16</v>
      </c>
      <c r="B25" s="210"/>
      <c r="C25" s="210"/>
      <c r="D25" s="210"/>
      <c r="E25" s="168" t="s">
        <v>17</v>
      </c>
      <c r="F25" s="168"/>
      <c r="G25" s="168"/>
      <c r="H25" s="168"/>
    </row>
    <row r="26" spans="1:8" ht="15" customHeight="1" x14ac:dyDescent="0.35">
      <c r="A26" s="117" t="s">
        <v>18</v>
      </c>
      <c r="B26" s="117"/>
      <c r="C26" s="117"/>
      <c r="D26" s="117"/>
      <c r="E26" s="168" t="str">
        <f>IF(AND(G20="Mumbai"),"Upper Class","Middle Class")</f>
        <v>Upper Class</v>
      </c>
      <c r="F26" s="168"/>
      <c r="G26" s="168"/>
      <c r="H26" s="168"/>
    </row>
    <row r="27" spans="1:8" x14ac:dyDescent="0.35">
      <c r="A27" s="117" t="s">
        <v>19</v>
      </c>
      <c r="B27" s="117"/>
      <c r="C27" s="117"/>
      <c r="D27" s="117"/>
      <c r="E27" s="168" t="s">
        <v>20</v>
      </c>
      <c r="F27" s="168"/>
      <c r="G27" s="168"/>
      <c r="H27" s="168"/>
    </row>
    <row r="28" spans="1:8" ht="15.75" customHeight="1" x14ac:dyDescent="0.35">
      <c r="A28" s="117" t="s">
        <v>21</v>
      </c>
      <c r="B28" s="117"/>
      <c r="C28" s="117"/>
      <c r="D28" s="117"/>
      <c r="E28" s="168" t="str">
        <f>IF(AND(G20="Mumbai"),"Developed","Developing")</f>
        <v>Developed</v>
      </c>
      <c r="F28" s="168"/>
      <c r="G28" s="168"/>
      <c r="H28" s="168"/>
    </row>
    <row r="29" spans="1:8" x14ac:dyDescent="0.35">
      <c r="A29" s="117" t="s">
        <v>22</v>
      </c>
      <c r="B29" s="117"/>
      <c r="C29" s="117"/>
      <c r="D29" s="117"/>
      <c r="E29" s="168" t="s">
        <v>23</v>
      </c>
      <c r="F29" s="168"/>
      <c r="G29" s="168"/>
      <c r="H29" s="168"/>
    </row>
    <row r="30" spans="1:8" x14ac:dyDescent="0.35">
      <c r="A30" s="117" t="s">
        <v>82</v>
      </c>
      <c r="B30" s="117"/>
      <c r="C30" s="117"/>
      <c r="D30" s="117"/>
      <c r="E30" s="168" t="s">
        <v>83</v>
      </c>
      <c r="F30" s="168"/>
      <c r="G30" s="168"/>
      <c r="H30" s="168"/>
    </row>
    <row r="31" spans="1:8" ht="15" customHeight="1" x14ac:dyDescent="0.35">
      <c r="A31" s="210" t="s">
        <v>31</v>
      </c>
      <c r="B31" s="210"/>
      <c r="C31" s="210"/>
      <c r="D31" s="210"/>
      <c r="E31" s="216" t="str">
        <f>IF(ISNUMBER(SEARCH("Shop",D63)),"Residential + Commercial",IF(ISNUMBER(SEARCH("Office",D63)),"Residential + Commercial",IF(SEARCH("Flats",D63),"Residential","")))</f>
        <v>Residential</v>
      </c>
      <c r="F31" s="216"/>
      <c r="G31" s="216"/>
      <c r="H31" s="216"/>
    </row>
    <row r="32" spans="1:8" x14ac:dyDescent="0.35">
      <c r="A32" s="210" t="s">
        <v>93</v>
      </c>
      <c r="B32" s="210"/>
      <c r="C32" s="210"/>
      <c r="D32" s="210"/>
      <c r="E32" s="210" t="s">
        <v>32</v>
      </c>
      <c r="F32" s="210"/>
      <c r="G32" s="210"/>
      <c r="H32" s="210"/>
    </row>
    <row r="33" spans="1:12" s="6" customFormat="1" x14ac:dyDescent="0.35">
      <c r="A33" s="211" t="s">
        <v>94</v>
      </c>
      <c r="B33" s="211"/>
      <c r="C33" s="220" t="s">
        <v>195</v>
      </c>
      <c r="D33" s="220"/>
      <c r="E33" s="220"/>
      <c r="F33" s="220" t="s">
        <v>29</v>
      </c>
      <c r="G33" s="220"/>
      <c r="H33" s="220"/>
    </row>
    <row r="34" spans="1:12" s="6" customFormat="1" x14ac:dyDescent="0.35">
      <c r="A34" s="221" t="s">
        <v>24</v>
      </c>
      <c r="B34" s="221" t="s">
        <v>28</v>
      </c>
      <c r="C34" s="212" t="s">
        <v>198</v>
      </c>
      <c r="D34" s="212"/>
      <c r="E34" s="212"/>
      <c r="F34" s="212" t="s">
        <v>163</v>
      </c>
      <c r="G34" s="212"/>
      <c r="H34" s="212"/>
    </row>
    <row r="35" spans="1:12" x14ac:dyDescent="0.35">
      <c r="A35" s="221" t="s">
        <v>25</v>
      </c>
      <c r="B35" s="221" t="s">
        <v>28</v>
      </c>
      <c r="C35" s="212" t="s">
        <v>199</v>
      </c>
      <c r="D35" s="212"/>
      <c r="E35" s="212"/>
      <c r="F35" s="212" t="s">
        <v>161</v>
      </c>
      <c r="G35" s="212"/>
      <c r="H35" s="212"/>
    </row>
    <row r="36" spans="1:12" s="6" customFormat="1" x14ac:dyDescent="0.35">
      <c r="A36" s="221" t="s">
        <v>27</v>
      </c>
      <c r="B36" s="221" t="s">
        <v>28</v>
      </c>
      <c r="C36" s="212" t="s">
        <v>197</v>
      </c>
      <c r="D36" s="212"/>
      <c r="E36" s="212"/>
      <c r="F36" s="212" t="s">
        <v>163</v>
      </c>
      <c r="G36" s="212"/>
      <c r="H36" s="212"/>
    </row>
    <row r="37" spans="1:12" x14ac:dyDescent="0.35">
      <c r="A37" s="221" t="s">
        <v>26</v>
      </c>
      <c r="B37" s="221" t="s">
        <v>28</v>
      </c>
      <c r="C37" s="212" t="s">
        <v>201</v>
      </c>
      <c r="D37" s="212"/>
      <c r="E37" s="212"/>
      <c r="F37" s="212" t="s">
        <v>163</v>
      </c>
      <c r="G37" s="212"/>
      <c r="H37" s="212"/>
    </row>
    <row r="38" spans="1:12" x14ac:dyDescent="0.35">
      <c r="A38" s="117" t="s">
        <v>30</v>
      </c>
      <c r="B38" s="117"/>
      <c r="C38" s="117"/>
      <c r="D38" s="117"/>
      <c r="E38" s="117"/>
      <c r="F38" s="117"/>
      <c r="G38" s="117"/>
      <c r="H38" s="117"/>
    </row>
    <row r="39" spans="1:12" ht="15.75" customHeight="1" x14ac:dyDescent="0.35">
      <c r="A39" s="117" t="s">
        <v>171</v>
      </c>
      <c r="B39" s="117"/>
      <c r="C39" s="249" t="s">
        <v>196</v>
      </c>
      <c r="D39" s="249"/>
      <c r="E39" s="249"/>
      <c r="F39" s="249"/>
      <c r="G39" s="249"/>
      <c r="H39" s="249"/>
    </row>
    <row r="40" spans="1:12" ht="15.75" customHeight="1" x14ac:dyDescent="0.35">
      <c r="A40" s="117" t="s">
        <v>172</v>
      </c>
      <c r="B40" s="117"/>
      <c r="C40" s="250" t="s">
        <v>173</v>
      </c>
      <c r="D40" s="251"/>
      <c r="E40" s="251"/>
      <c r="F40" s="251"/>
      <c r="G40" s="251"/>
      <c r="H40" s="251"/>
    </row>
    <row r="41" spans="1:12" x14ac:dyDescent="0.35">
      <c r="A41" s="242" t="s">
        <v>33</v>
      </c>
      <c r="B41" s="242"/>
      <c r="C41" s="242"/>
      <c r="D41" s="242"/>
      <c r="E41" s="242"/>
      <c r="F41" s="242"/>
      <c r="G41" s="242"/>
      <c r="H41" s="242"/>
    </row>
    <row r="42" spans="1:12" x14ac:dyDescent="0.35">
      <c r="A42" s="114" t="s">
        <v>34</v>
      </c>
      <c r="B42" s="114"/>
      <c r="C42" s="114"/>
      <c r="D42" s="114"/>
      <c r="E42" s="123">
        <v>34911.01</v>
      </c>
      <c r="F42" s="123"/>
      <c r="G42" s="123"/>
      <c r="H42" s="123"/>
      <c r="I42" s="123">
        <v>35947.58</v>
      </c>
      <c r="J42" s="123"/>
      <c r="K42" s="123"/>
      <c r="L42" s="123"/>
    </row>
    <row r="43" spans="1:12" x14ac:dyDescent="0.35">
      <c r="A43" s="114" t="s">
        <v>35</v>
      </c>
      <c r="B43" s="114"/>
      <c r="C43" s="114"/>
      <c r="D43" s="114"/>
      <c r="E43" s="241">
        <f>34911.01/E42</f>
        <v>1</v>
      </c>
      <c r="F43" s="241"/>
      <c r="G43" s="241"/>
      <c r="H43" s="241"/>
    </row>
    <row r="44" spans="1:12" x14ac:dyDescent="0.35">
      <c r="A44" s="114" t="s">
        <v>36</v>
      </c>
      <c r="B44" s="114"/>
      <c r="C44" s="114"/>
      <c r="D44" s="114"/>
      <c r="E44" s="241">
        <f>E46/E42-E43</f>
        <v>2.5228889109767949</v>
      </c>
      <c r="F44" s="241"/>
      <c r="G44" s="241"/>
      <c r="H44" s="241"/>
    </row>
    <row r="45" spans="1:12" x14ac:dyDescent="0.35">
      <c r="A45" s="114" t="s">
        <v>37</v>
      </c>
      <c r="B45" s="114"/>
      <c r="C45" s="114"/>
      <c r="D45" s="114"/>
      <c r="E45" s="241">
        <f>E43+E44</f>
        <v>3.5228889109767949</v>
      </c>
      <c r="F45" s="241"/>
      <c r="G45" s="241"/>
      <c r="H45" s="241"/>
    </row>
    <row r="46" spans="1:12" x14ac:dyDescent="0.35">
      <c r="A46" s="114" t="s">
        <v>92</v>
      </c>
      <c r="B46" s="114"/>
      <c r="C46" s="114"/>
      <c r="D46" s="114"/>
      <c r="E46" s="124">
        <v>122987.61</v>
      </c>
      <c r="F46" s="124"/>
      <c r="G46" s="124"/>
      <c r="H46" s="124"/>
      <c r="I46" s="124">
        <v>117516.65</v>
      </c>
      <c r="J46" s="124"/>
      <c r="K46" s="124"/>
      <c r="L46" s="124"/>
    </row>
    <row r="47" spans="1:12" x14ac:dyDescent="0.35">
      <c r="A47" s="114" t="s">
        <v>38</v>
      </c>
      <c r="B47" s="114"/>
      <c r="C47" s="114"/>
      <c r="D47" s="114"/>
      <c r="E47" s="114" t="s">
        <v>244</v>
      </c>
      <c r="F47" s="114"/>
      <c r="G47" s="114"/>
      <c r="H47" s="114"/>
    </row>
    <row r="48" spans="1:12" x14ac:dyDescent="0.35">
      <c r="A48" s="242" t="s">
        <v>39</v>
      </c>
      <c r="B48" s="242"/>
      <c r="C48" s="242"/>
      <c r="D48" s="242"/>
      <c r="E48" s="242"/>
      <c r="F48" s="242"/>
      <c r="G48" s="242"/>
      <c r="H48" s="242"/>
    </row>
    <row r="49" spans="1:14" ht="33.75" customHeight="1" x14ac:dyDescent="0.35">
      <c r="A49" s="181" t="s">
        <v>151</v>
      </c>
      <c r="B49" s="183"/>
      <c r="C49" s="235" t="s">
        <v>170</v>
      </c>
      <c r="D49" s="236"/>
      <c r="E49" s="236"/>
      <c r="F49" s="236"/>
      <c r="G49" s="236"/>
      <c r="H49" s="237"/>
    </row>
    <row r="50" spans="1:14" x14ac:dyDescent="0.35">
      <c r="A50" s="210" t="s">
        <v>40</v>
      </c>
      <c r="B50" s="210"/>
      <c r="C50" s="233" t="s">
        <v>224</v>
      </c>
      <c r="D50" s="233"/>
      <c r="E50" s="233"/>
      <c r="F50" s="40" t="s">
        <v>41</v>
      </c>
      <c r="G50" s="238">
        <v>45723</v>
      </c>
      <c r="H50" s="238"/>
    </row>
    <row r="51" spans="1:14" s="5" customFormat="1" ht="32.25" customHeight="1" x14ac:dyDescent="0.35">
      <c r="A51" s="168" t="s">
        <v>243</v>
      </c>
      <c r="B51" s="114"/>
      <c r="C51" s="233" t="s">
        <v>224</v>
      </c>
      <c r="D51" s="233"/>
      <c r="E51" s="233"/>
      <c r="F51" s="59" t="s">
        <v>41</v>
      </c>
      <c r="G51" s="238">
        <v>45723</v>
      </c>
      <c r="H51" s="238"/>
    </row>
    <row r="52" spans="1:14" s="5" customFormat="1" ht="31.5" customHeight="1" x14ac:dyDescent="0.35">
      <c r="A52" s="168" t="s">
        <v>225</v>
      </c>
      <c r="B52" s="114"/>
      <c r="C52" s="233" t="s">
        <v>210</v>
      </c>
      <c r="D52" s="233"/>
      <c r="E52" s="233"/>
      <c r="F52" s="74" t="s">
        <v>41</v>
      </c>
      <c r="G52" s="238">
        <v>45462</v>
      </c>
      <c r="H52" s="238"/>
    </row>
    <row r="53" spans="1:14" s="5" customFormat="1" x14ac:dyDescent="0.35">
      <c r="A53" s="145" t="s">
        <v>211</v>
      </c>
      <c r="B53" s="146"/>
      <c r="C53" s="154" t="s">
        <v>267</v>
      </c>
      <c r="D53" s="155"/>
      <c r="E53" s="156"/>
      <c r="F53" s="43" t="s">
        <v>41</v>
      </c>
      <c r="G53" s="238">
        <v>45811</v>
      </c>
      <c r="H53" s="238"/>
    </row>
    <row r="54" spans="1:14" s="5" customFormat="1" ht="31" x14ac:dyDescent="0.35">
      <c r="A54" s="147"/>
      <c r="B54" s="148"/>
      <c r="C54" s="157"/>
      <c r="D54" s="158"/>
      <c r="E54" s="159"/>
      <c r="F54" s="44" t="s">
        <v>121</v>
      </c>
      <c r="G54" s="238">
        <v>46010</v>
      </c>
      <c r="H54" s="238"/>
    </row>
    <row r="55" spans="1:14" s="5" customFormat="1" ht="127.5" customHeight="1" x14ac:dyDescent="0.35">
      <c r="A55" s="149"/>
      <c r="B55" s="150"/>
      <c r="C55" s="151" t="s">
        <v>268</v>
      </c>
      <c r="D55" s="152"/>
      <c r="E55" s="152"/>
      <c r="F55" s="152"/>
      <c r="G55" s="152"/>
      <c r="H55" s="153"/>
    </row>
    <row r="56" spans="1:14" x14ac:dyDescent="0.35">
      <c r="A56" s="168" t="s">
        <v>220</v>
      </c>
      <c r="B56" s="168"/>
      <c r="C56" s="114" t="s">
        <v>221</v>
      </c>
      <c r="D56" s="114"/>
      <c r="E56" s="114"/>
      <c r="F56" s="43" t="s">
        <v>41</v>
      </c>
      <c r="G56" s="238">
        <v>45652</v>
      </c>
      <c r="H56" s="238"/>
    </row>
    <row r="57" spans="1:14" x14ac:dyDescent="0.35">
      <c r="A57" s="168"/>
      <c r="B57" s="168"/>
      <c r="C57" s="151" t="s">
        <v>222</v>
      </c>
      <c r="D57" s="152"/>
      <c r="E57" s="152"/>
      <c r="F57" s="152"/>
      <c r="G57" s="152"/>
      <c r="H57" s="153"/>
      <c r="I57" s="28"/>
    </row>
    <row r="58" spans="1:14" x14ac:dyDescent="0.35">
      <c r="A58" s="168" t="s">
        <v>262</v>
      </c>
      <c r="B58" s="168"/>
      <c r="C58" s="114" t="s">
        <v>263</v>
      </c>
      <c r="D58" s="114"/>
      <c r="E58" s="114"/>
      <c r="F58" s="43" t="s">
        <v>41</v>
      </c>
      <c r="G58" s="238">
        <v>44980</v>
      </c>
      <c r="H58" s="238"/>
    </row>
    <row r="59" spans="1:14" ht="50.25" customHeight="1" x14ac:dyDescent="0.35">
      <c r="A59" s="168"/>
      <c r="B59" s="168"/>
      <c r="C59" s="151" t="s">
        <v>264</v>
      </c>
      <c r="D59" s="152"/>
      <c r="E59" s="152"/>
      <c r="F59" s="152"/>
      <c r="G59" s="152"/>
      <c r="H59" s="153"/>
      <c r="I59" s="28"/>
    </row>
    <row r="60" spans="1:14" x14ac:dyDescent="0.35">
      <c r="A60" s="208" t="s">
        <v>42</v>
      </c>
      <c r="B60" s="208"/>
      <c r="C60" s="208" t="s">
        <v>104</v>
      </c>
      <c r="D60" s="116"/>
      <c r="E60" s="116" t="s">
        <v>43</v>
      </c>
      <c r="F60" s="39" t="s">
        <v>41</v>
      </c>
      <c r="G60" s="234" t="s">
        <v>28</v>
      </c>
      <c r="H60" s="234"/>
    </row>
    <row r="61" spans="1:14" x14ac:dyDescent="0.35">
      <c r="A61" s="243" t="s">
        <v>45</v>
      </c>
      <c r="B61" s="243"/>
      <c r="C61" s="243"/>
      <c r="D61" s="243"/>
      <c r="E61" s="243"/>
      <c r="F61" s="243"/>
      <c r="G61" s="243"/>
      <c r="H61" s="243"/>
    </row>
    <row r="62" spans="1:14" ht="15.75" customHeight="1" x14ac:dyDescent="0.35">
      <c r="A62" s="210" t="s">
        <v>200</v>
      </c>
      <c r="B62" s="210"/>
      <c r="C62" s="210"/>
      <c r="D62" s="114">
        <f>7654.37+7040.6+7039.07</f>
        <v>21734.04</v>
      </c>
      <c r="E62" s="114"/>
      <c r="F62" s="114"/>
      <c r="G62" s="114"/>
      <c r="H62" s="114"/>
    </row>
    <row r="63" spans="1:14" ht="15.75" customHeight="1" x14ac:dyDescent="0.35">
      <c r="A63" s="168" t="s">
        <v>46</v>
      </c>
      <c r="B63" s="114"/>
      <c r="C63" s="114"/>
      <c r="D63" s="114" t="s">
        <v>259</v>
      </c>
      <c r="E63" s="114"/>
      <c r="F63" s="114"/>
      <c r="G63" s="114"/>
      <c r="H63" s="114"/>
    </row>
    <row r="64" spans="1:14" ht="66.75" customHeight="1" x14ac:dyDescent="0.35">
      <c r="A64" s="168" t="s">
        <v>47</v>
      </c>
      <c r="B64" s="168"/>
      <c r="C64" s="168"/>
      <c r="D64" s="168" t="s">
        <v>245</v>
      </c>
      <c r="E64" s="114"/>
      <c r="F64" s="114"/>
      <c r="G64" s="114"/>
      <c r="H64" s="114"/>
      <c r="J64" s="27"/>
      <c r="K64" s="28"/>
      <c r="N64" s="28"/>
    </row>
    <row r="65" spans="1:14" x14ac:dyDescent="0.35">
      <c r="A65" s="168" t="s">
        <v>90</v>
      </c>
      <c r="B65" s="168"/>
      <c r="C65" s="168"/>
      <c r="D65" s="168" t="s">
        <v>204</v>
      </c>
      <c r="E65" s="114"/>
      <c r="F65" s="114"/>
      <c r="G65" s="114"/>
      <c r="H65" s="114"/>
      <c r="J65" s="27"/>
      <c r="K65" s="28"/>
      <c r="N65" s="28"/>
    </row>
    <row r="66" spans="1:14" x14ac:dyDescent="0.35">
      <c r="A66" s="168"/>
      <c r="B66" s="168"/>
      <c r="C66" s="168"/>
      <c r="D66" s="114" t="s">
        <v>174</v>
      </c>
      <c r="E66" s="114"/>
      <c r="F66" s="114"/>
      <c r="G66" s="114"/>
      <c r="H66" s="114"/>
      <c r="N66" s="28"/>
    </row>
    <row r="67" spans="1:14" ht="15.75" customHeight="1" x14ac:dyDescent="0.35">
      <c r="A67" s="168"/>
      <c r="B67" s="168"/>
      <c r="C67" s="168"/>
      <c r="D67" s="114" t="s">
        <v>216</v>
      </c>
      <c r="E67" s="114"/>
      <c r="F67" s="114"/>
      <c r="G67" s="114"/>
      <c r="H67" s="114"/>
      <c r="J67" s="9"/>
      <c r="K67" s="9"/>
    </row>
    <row r="68" spans="1:14" x14ac:dyDescent="0.35">
      <c r="A68" s="168"/>
      <c r="B68" s="168"/>
      <c r="C68" s="168"/>
      <c r="D68" s="114" t="s">
        <v>246</v>
      </c>
      <c r="E68" s="114"/>
      <c r="F68" s="114"/>
      <c r="G68" s="114"/>
      <c r="H68" s="114"/>
    </row>
    <row r="69" spans="1:14" ht="66" customHeight="1" x14ac:dyDescent="0.35">
      <c r="A69" s="117" t="s">
        <v>44</v>
      </c>
      <c r="B69" s="117"/>
      <c r="C69" s="117"/>
      <c r="D69" s="168" t="s">
        <v>247</v>
      </c>
      <c r="E69" s="168"/>
      <c r="F69" s="168"/>
      <c r="G69" s="168"/>
      <c r="H69" s="168"/>
      <c r="I69" s="67" t="s">
        <v>203</v>
      </c>
      <c r="J69" s="37"/>
      <c r="K69" s="37"/>
      <c r="L69" s="37"/>
      <c r="M69" s="37"/>
      <c r="N69" s="37"/>
    </row>
    <row r="70" spans="1:14" ht="15.75" customHeight="1" x14ac:dyDescent="0.35">
      <c r="A70" s="117" t="s">
        <v>88</v>
      </c>
      <c r="B70" s="117"/>
      <c r="C70" s="117"/>
      <c r="D70" s="120" t="str">
        <f>(IF(G60="NA","60 Years After Completion",IF(G60&lt;&gt;"NA",""&amp;60-ROUNDDOWN((E3-G60)/360,0)&amp;" Years"," ")))</f>
        <v>60 Years After Completion</v>
      </c>
      <c r="E70" s="120"/>
      <c r="F70" s="120"/>
      <c r="G70" s="120"/>
      <c r="H70" s="120"/>
      <c r="J70" s="9"/>
    </row>
    <row r="71" spans="1:14" x14ac:dyDescent="0.35">
      <c r="A71" s="117" t="s">
        <v>89</v>
      </c>
      <c r="B71" s="117"/>
      <c r="C71" s="117"/>
      <c r="D71" s="210" t="s">
        <v>23</v>
      </c>
      <c r="E71" s="210"/>
      <c r="F71" s="210"/>
      <c r="G71" s="210"/>
      <c r="H71" s="210"/>
    </row>
    <row r="72" spans="1:14" ht="49.5" customHeight="1" thickBot="1" x14ac:dyDescent="0.4">
      <c r="A72" s="117" t="s">
        <v>75</v>
      </c>
      <c r="B72" s="117"/>
      <c r="C72" s="117"/>
      <c r="D72" s="168" t="s">
        <v>202</v>
      </c>
      <c r="E72" s="210"/>
      <c r="F72" s="210"/>
      <c r="G72" s="210"/>
      <c r="H72" s="210"/>
    </row>
    <row r="73" spans="1:14" x14ac:dyDescent="0.35">
      <c r="A73" s="210" t="s">
        <v>148</v>
      </c>
      <c r="B73" s="210"/>
      <c r="C73" s="210"/>
      <c r="D73" s="210" t="s">
        <v>28</v>
      </c>
      <c r="E73" s="210"/>
      <c r="F73" s="210"/>
      <c r="G73" s="210"/>
      <c r="H73" s="210"/>
      <c r="I73" s="30" t="str">
        <f ca="1">(IF(E80&gt;99%,"All work completed. Please provide OC.",IF(E80&gt;89.8%,"Plinth, RCC, Brick, Plaster, Flooring, Painting work Completed. Finishing work is in process.",IF(E80&lt;94%,(IF(C80=0,"Work not yet Started.",IF(D80=25%,"Piling work in process",IF(D80=50%,"Excavation work in process",IF(D80=100%,"Excavation work Completed. ","0")))&amp;(IF(C81=0%,"",IF(C81=J79,"Footing work is process",IF(C81=J80,"Footing work Completed",IF(C81=J81,"1st Basement Completed",IF(C81=J82,"1st &amp; 2nd Basement Completed",IF(C81=J83,"1st to 3rd Basement Completed",IF(C81=J84,"1st to 4th Basement Completed",IF(C81=J85,"Plinth work is process",IF(C81=J86,"Plinth work completed","0")))))))))))&amp;(IF(C82=(D77+F77+H77),", RCC Slab Completed",IF(C82&gt;0,", RCC upto "&amp;C82&amp;" Slab Completed",""))&amp;(IF(C83=H77,", Brickwork Completed",IF(C83&gt;0,", Brickwork upto "&amp;C83&amp;" Floor Completed",""))&amp;(IF(C84=H77,", Internal Plaster Completed",IF(C84&gt;0,", Internal Plaster upto "&amp;C84&amp;" Floor Completed",""))&amp;(IF(C85=H77,", External Plaster Completed",IF(C85&gt;0,", External Plaster upto "&amp;C85&amp;" Floor Completed",""))&amp;(IF(C86=H77,", Flooring Completed",IF(C86&gt;0,", Flooring upto "&amp;C86&amp;" Floor Completed",""))&amp;(IF(C87=H77,", Painting Completed",IF(C87&gt;0,", Painting upto "&amp;C87&amp;" Floor Completed",""))&amp;(IF(C88&gt;0,", Finishing upto "&amp;C88&amp;" Floor Completed","")&amp;(IF(C82&gt;0.5,".",""))))))))))))))</f>
        <v>Excavation work Completed. Plinth work completed, RCC upto 19 Slab Completed, Brickwork upto 18 Floor Completed, Internal Plaster upto 17.1 Floor Completed, External Plaster upto 15.3 Floor Completed.</v>
      </c>
      <c r="J73" s="10"/>
    </row>
    <row r="74" spans="1:14" x14ac:dyDescent="0.35">
      <c r="A74" s="239" t="s">
        <v>87</v>
      </c>
      <c r="B74" s="239"/>
      <c r="C74" s="239"/>
      <c r="D74" s="240" t="str">
        <f ca="1">(IF(G94&gt;95%,"Nothing",IF(G94&gt;0%,"Cement, Aggregate, Steel, etc",IF(G94=0%,"Work not yet Started"))))</f>
        <v>Cement, Aggregate, Steel, etc</v>
      </c>
      <c r="E74" s="240"/>
      <c r="F74" s="240"/>
      <c r="G74" s="240"/>
      <c r="H74" s="240"/>
      <c r="I74" s="9"/>
      <c r="J74" s="11"/>
    </row>
    <row r="75" spans="1:14" ht="33.75" customHeight="1" thickBot="1" x14ac:dyDescent="0.4">
      <c r="A75" s="244" t="s">
        <v>117</v>
      </c>
      <c r="B75" s="244"/>
      <c r="C75" s="244"/>
      <c r="D75" s="240" t="str">
        <f ca="1">(IF(D74="Nothing","Yes",IF(D74="Cement, Aggregate, Steel, etc","Under Construction",IF(D74="Work not yet Started","Work not yet Started"))))</f>
        <v>Under Construction</v>
      </c>
      <c r="E75" s="240"/>
      <c r="F75" s="240" t="str">
        <f ca="1">(IF(D74="Nothing","Yes",IF(D74="Cement, Aggregate, Steel, etc","Under Construction",IF(D74="Work not yet Started","Work not yet Started"))))</f>
        <v>Under Construction</v>
      </c>
      <c r="G75" s="240"/>
      <c r="H75" s="240"/>
      <c r="I75" s="9" t="s">
        <v>103</v>
      </c>
      <c r="J75" s="11"/>
    </row>
    <row r="76" spans="1:14" x14ac:dyDescent="0.35">
      <c r="A76" s="126" t="s">
        <v>140</v>
      </c>
      <c r="B76" s="127"/>
      <c r="C76" s="128" t="str">
        <f>D65</f>
        <v>Tower 6 (Wing 6) = Gr + 1st to 22nd Floor</v>
      </c>
      <c r="D76" s="129"/>
      <c r="E76" s="129"/>
      <c r="F76" s="129"/>
      <c r="G76" s="129"/>
      <c r="H76" s="130"/>
      <c r="I76" s="26" t="s">
        <v>141</v>
      </c>
      <c r="J76" s="12">
        <f ca="1">H77*25%</f>
        <v>5.5</v>
      </c>
    </row>
    <row r="77" spans="1:14" x14ac:dyDescent="0.35">
      <c r="A77" s="35" t="s">
        <v>142</v>
      </c>
      <c r="B77" s="63">
        <v>0</v>
      </c>
      <c r="C77" s="63" t="s">
        <v>72</v>
      </c>
      <c r="D77" s="63">
        <v>1</v>
      </c>
      <c r="E77" s="63" t="s">
        <v>71</v>
      </c>
      <c r="F77" s="63">
        <v>0</v>
      </c>
      <c r="G77" s="63" t="s">
        <v>81</v>
      </c>
      <c r="H77" s="36">
        <f ca="1">--TRIM(RIGHT(SUBSTITUTE(LEFT(C76,_xlfn.AGGREGATE(16,6,FIND({0,1,2,3,4,5,6,7,8,9},C76,ROW(INDIRECT("1:"&amp;LEN(C76)))),1))," ",REPT(" ",LEN(C76))),LEN(C76)))</f>
        <v>22</v>
      </c>
      <c r="I77" s="26" t="s">
        <v>98</v>
      </c>
      <c r="J77" s="29">
        <f ca="1">H77*50%</f>
        <v>11</v>
      </c>
    </row>
    <row r="78" spans="1:14" ht="48" customHeight="1" x14ac:dyDescent="0.35">
      <c r="A78" s="115" t="s">
        <v>91</v>
      </c>
      <c r="B78" s="116"/>
      <c r="C78" s="208" t="str">
        <f ca="1">(IF($G$60="NA",I73,"All work Completed. OC Received."))</f>
        <v>Excavation work Completed. Plinth work completed, RCC upto 19 Slab Completed, Brickwork upto 18 Floor Completed, Internal Plaster upto 17.1 Floor Completed, External Plaster upto 15.3 Floor Completed.</v>
      </c>
      <c r="D78" s="208"/>
      <c r="E78" s="208"/>
      <c r="F78" s="208"/>
      <c r="G78" s="208"/>
      <c r="H78" s="209"/>
      <c r="I78" s="26" t="s">
        <v>99</v>
      </c>
      <c r="J78" s="29">
        <f ca="1">H77</f>
        <v>22</v>
      </c>
    </row>
    <row r="79" spans="1:14" ht="15.75" customHeight="1" x14ac:dyDescent="0.35">
      <c r="A79" s="131" t="s">
        <v>48</v>
      </c>
      <c r="B79" s="132"/>
      <c r="C79" s="62" t="s">
        <v>139</v>
      </c>
      <c r="D79" s="62" t="s">
        <v>84</v>
      </c>
      <c r="E79" s="132" t="s">
        <v>86</v>
      </c>
      <c r="F79" s="132"/>
      <c r="G79" s="132" t="s">
        <v>85</v>
      </c>
      <c r="H79" s="137"/>
      <c r="I79" s="26" t="s">
        <v>100</v>
      </c>
      <c r="J79" s="32">
        <f ca="1">(IF(B77&gt;1,(H77/(B77+2)),H77/4))</f>
        <v>5.5</v>
      </c>
    </row>
    <row r="80" spans="1:14" ht="15.75" customHeight="1" x14ac:dyDescent="0.35">
      <c r="A80" s="131" t="s">
        <v>128</v>
      </c>
      <c r="B80" s="132"/>
      <c r="C80" s="45">
        <f ca="1">J78</f>
        <v>22</v>
      </c>
      <c r="D80" s="60">
        <f ca="1">((100/H77)*C80)/100</f>
        <v>1.0000000000000002</v>
      </c>
      <c r="E80" s="201">
        <f ca="1">(((C81/H77*10)+(40/(D77+F77+H77)*C82)+(7.5/(H77)*C83)+(7.5/(H77)*C84)+(10/H77*C85)+(10/H77*C86)+(5/H77*C87)+(5/H77*C88)+(5/H77*C89))/100)</f>
        <v>0.61963932806324107</v>
      </c>
      <c r="F80" s="201"/>
      <c r="G80" s="201">
        <f ca="1">((((C80/H77)*20)+((C81/H77)*25)+(30/(H77+F77+D77)*C82)+(5/H77*C83)+(5/H77*C84)+(5/H77*C85)+(5/H77*C86)+(0/H77*C87)+(0/H77*C88)+(5/H77*C89))/100)</f>
        <v>0.81237154150197644</v>
      </c>
      <c r="H80" s="203"/>
      <c r="I80" s="26" t="s">
        <v>101</v>
      </c>
      <c r="J80" s="32">
        <f ca="1">(IF(B77&gt;1,(H77/(B77+2)+J79),H77/4+J79))</f>
        <v>11</v>
      </c>
    </row>
    <row r="81" spans="1:10" ht="15" customHeight="1" x14ac:dyDescent="0.35">
      <c r="A81" s="131" t="s">
        <v>49</v>
      </c>
      <c r="B81" s="132"/>
      <c r="C81" s="46">
        <f ca="1">J86</f>
        <v>22</v>
      </c>
      <c r="D81" s="60">
        <f ca="1">((100/H77)*C81)/100</f>
        <v>1.0000000000000002</v>
      </c>
      <c r="E81" s="201"/>
      <c r="F81" s="201"/>
      <c r="G81" s="201"/>
      <c r="H81" s="203"/>
      <c r="I81" s="26" t="s">
        <v>146</v>
      </c>
      <c r="J81" s="32">
        <f>(IF(B77&gt;1,(H77/(B77+2)+J80),0))</f>
        <v>0</v>
      </c>
    </row>
    <row r="82" spans="1:10" ht="15.75" customHeight="1" x14ac:dyDescent="0.35">
      <c r="A82" s="131" t="s">
        <v>129</v>
      </c>
      <c r="B82" s="132"/>
      <c r="C82" s="46">
        <v>19</v>
      </c>
      <c r="D82" s="60">
        <f ca="1">((100/(D77+F77+H77))*C82)/100</f>
        <v>0.82608695652173902</v>
      </c>
      <c r="E82" s="201"/>
      <c r="F82" s="201"/>
      <c r="G82" s="201"/>
      <c r="H82" s="203"/>
      <c r="I82" s="26" t="s">
        <v>143</v>
      </c>
      <c r="J82" s="32">
        <f>(IF(B77&gt;2,(H77/(B77+2)+J81),0))</f>
        <v>0</v>
      </c>
    </row>
    <row r="83" spans="1:10" ht="15.75" customHeight="1" x14ac:dyDescent="0.35">
      <c r="A83" s="131" t="s">
        <v>136</v>
      </c>
      <c r="B83" s="132" t="s">
        <v>130</v>
      </c>
      <c r="C83" s="46">
        <f>C82-1</f>
        <v>18</v>
      </c>
      <c r="D83" s="60">
        <f ca="1">((100/H77)*C83)/100</f>
        <v>0.81818181818181823</v>
      </c>
      <c r="E83" s="201"/>
      <c r="F83" s="201"/>
      <c r="G83" s="201"/>
      <c r="H83" s="203"/>
      <c r="I83" s="26" t="s">
        <v>144</v>
      </c>
      <c r="J83" s="33">
        <f>(IF(B77&gt;3,(H77/(B77+2)+J82),0))</f>
        <v>0</v>
      </c>
    </row>
    <row r="84" spans="1:10" ht="15.75" customHeight="1" x14ac:dyDescent="0.35">
      <c r="A84" s="131" t="s">
        <v>137</v>
      </c>
      <c r="B84" s="132" t="s">
        <v>130</v>
      </c>
      <c r="C84" s="46">
        <f>C83*0.95</f>
        <v>17.099999999999998</v>
      </c>
      <c r="D84" s="60">
        <f ca="1">((100/H77)*C84)/100</f>
        <v>0.77727272727272723</v>
      </c>
      <c r="E84" s="201"/>
      <c r="F84" s="201"/>
      <c r="G84" s="201"/>
      <c r="H84" s="203"/>
      <c r="I84" s="26" t="s">
        <v>145</v>
      </c>
      <c r="J84" s="32">
        <f>(IF(B77&gt;4,(H77/(B77+2)+J83),0))</f>
        <v>0</v>
      </c>
    </row>
    <row r="85" spans="1:10" x14ac:dyDescent="0.35">
      <c r="A85" s="131" t="s">
        <v>135</v>
      </c>
      <c r="B85" s="132" t="s">
        <v>132</v>
      </c>
      <c r="C85" s="46">
        <f>C83*0.85</f>
        <v>15.299999999999999</v>
      </c>
      <c r="D85" s="60">
        <f ca="1">((100/(H77))*C85)/100</f>
        <v>0.69545454545454544</v>
      </c>
      <c r="E85" s="201"/>
      <c r="F85" s="201"/>
      <c r="G85" s="201"/>
      <c r="H85" s="203"/>
      <c r="I85" s="26" t="s">
        <v>147</v>
      </c>
      <c r="J85" s="32">
        <f ca="1">(IF(B77=1,(H77/(B77+3)+J80),IF(B77=0,(H77/4+J80),IF(B77&gt;1,0))))</f>
        <v>16.5</v>
      </c>
    </row>
    <row r="86" spans="1:10" ht="15.75" customHeight="1" thickBot="1" x14ac:dyDescent="0.4">
      <c r="A86" s="131" t="s">
        <v>131</v>
      </c>
      <c r="B86" s="132" t="s">
        <v>131</v>
      </c>
      <c r="C86" s="45">
        <v>0</v>
      </c>
      <c r="D86" s="60">
        <f ca="1">((100/H77)*C86)/100</f>
        <v>0</v>
      </c>
      <c r="E86" s="201"/>
      <c r="F86" s="201"/>
      <c r="G86" s="201"/>
      <c r="H86" s="203"/>
      <c r="I86" s="31" t="s">
        <v>102</v>
      </c>
      <c r="J86" s="34">
        <f ca="1">(IF(B77&gt;1.5,(H77/(B77+2)+J80+MAX(0,J81-J80)+MAX(0,J82-J81)+MAX(0,J83-J82)+MAX(0,J84-J83)+MAX(0,J85-J84)),IF(B77=1,(H77/(B77+3)+J85),IF(B77=0,H77/4+J85))))</f>
        <v>22</v>
      </c>
    </row>
    <row r="87" spans="1:10" x14ac:dyDescent="0.35">
      <c r="A87" s="131" t="s">
        <v>138</v>
      </c>
      <c r="B87" s="132"/>
      <c r="C87" s="45">
        <v>0</v>
      </c>
      <c r="D87" s="60">
        <f ca="1">((100/H77)*C87)/100</f>
        <v>0</v>
      </c>
      <c r="E87" s="201"/>
      <c r="F87" s="201"/>
      <c r="G87" s="201"/>
      <c r="H87" s="203"/>
      <c r="I87" s="30" t="str">
        <f ca="1">(IF(E94&gt;99%,"All work completed. Please provide OC.",IF(E94&gt;89.8%,"Plinth, RCC, Brick, Plaster, Flooring, Painting work Completed. Finishing work is in process.",IF(E94&lt;94%,(IF(C94=0,"Work not yet Started.",IF(D94=25%,"Piling work in process",IF(D94=50%,"Excavation work in process",IF(D94=100%,"Excavation work Completed. ","0")))&amp;(IF(C95=0%,"",IF(C95=J93,"Footing work is process",IF(C95=J94,"Footing work Completed",IF(C95=J95,"1st Basement Completed",IF(C95=J96,"1st &amp; 2nd Basement Completed",IF(C95=J97,"1st to 3rd Basement Completed",IF(C95=J98,"1st to 4th Basement Completed",IF(C95=J99,"Plinth work is process",IF(C95=J100,"Plinth work completed","0")))))))))))&amp;(IF(C96=(D91+F91+H91),", RCC Slab Completed",IF(C96&gt;0,", RCC upto "&amp;C96&amp;" Slab Completed",""))&amp;(IF(C97=H91,", Brickwork Completed",IF(C97&gt;0,", Brickwork upto "&amp;C97&amp;" Floor Completed",""))&amp;(IF(C98=H91,", Internal Plaster Completed",IF(C98&gt;0,", Internal Plaster upto "&amp;C98&amp;" Floor Completed",""))&amp;(IF(C99=H91,", External Plaster Completed",IF(C99&gt;0,", External Plaster upto "&amp;C99&amp;" Floor Completed",""))&amp;(IF(C100=H91,", Flooring Completed",IF(C100&gt;0,", Flooring upto "&amp;C100&amp;" Floor Completed",""))&amp;(IF(C101=H91,", Painting Completed",IF(C101&gt;0,", Painting upto "&amp;C101&amp;" Floor Completed",""))&amp;(IF(C102&gt;0,", Finishing upto "&amp;C102&amp;" Floor Completed","")&amp;(IF(C96&gt;0.5,".",""))))))))))))))</f>
        <v>Excavation work Completed. Plinth work completed, RCC Slab Completed, Brickwork Completed, Internal Plaster Completed, External Plaster Completed, Flooring upto 15 Floor Completed, Painting upto 15 Floor Completed.</v>
      </c>
      <c r="J87" s="10"/>
    </row>
    <row r="88" spans="1:10" x14ac:dyDescent="0.35">
      <c r="A88" s="131" t="s">
        <v>133</v>
      </c>
      <c r="B88" s="132" t="s">
        <v>133</v>
      </c>
      <c r="C88" s="45">
        <v>0</v>
      </c>
      <c r="D88" s="60">
        <f ca="1">((100/(H77))*C88)/100</f>
        <v>0</v>
      </c>
      <c r="E88" s="201"/>
      <c r="F88" s="201"/>
      <c r="G88" s="201"/>
      <c r="H88" s="203"/>
      <c r="I88" s="9"/>
      <c r="J88" s="11"/>
    </row>
    <row r="89" spans="1:10" ht="16" thickBot="1" x14ac:dyDescent="0.4">
      <c r="A89" s="205" t="s">
        <v>134</v>
      </c>
      <c r="B89" s="206"/>
      <c r="C89" s="47">
        <v>0</v>
      </c>
      <c r="D89" s="61">
        <f ca="1">((100/(H77))*C89)/100</f>
        <v>0</v>
      </c>
      <c r="E89" s="202"/>
      <c r="F89" s="202"/>
      <c r="G89" s="202"/>
      <c r="H89" s="204"/>
      <c r="I89" s="9" t="s">
        <v>103</v>
      </c>
      <c r="J89" s="11"/>
    </row>
    <row r="90" spans="1:10" x14ac:dyDescent="0.35">
      <c r="A90" s="126" t="s">
        <v>140</v>
      </c>
      <c r="B90" s="127"/>
      <c r="C90" s="128" t="str">
        <f>D66</f>
        <v>Tower 7 (Wing 7) = Gr + 1st to 22nd Floor</v>
      </c>
      <c r="D90" s="129"/>
      <c r="E90" s="129"/>
      <c r="F90" s="129"/>
      <c r="G90" s="129"/>
      <c r="H90" s="130"/>
      <c r="I90" s="26" t="s">
        <v>141</v>
      </c>
      <c r="J90" s="12">
        <f ca="1">H91*25%</f>
        <v>5.5</v>
      </c>
    </row>
    <row r="91" spans="1:10" x14ac:dyDescent="0.35">
      <c r="A91" s="35" t="s">
        <v>142</v>
      </c>
      <c r="B91" s="41">
        <v>0</v>
      </c>
      <c r="C91" s="41" t="s">
        <v>72</v>
      </c>
      <c r="D91" s="41">
        <v>1</v>
      </c>
      <c r="E91" s="41" t="s">
        <v>71</v>
      </c>
      <c r="F91" s="41">
        <v>0</v>
      </c>
      <c r="G91" s="41" t="s">
        <v>81</v>
      </c>
      <c r="H91" s="36">
        <f ca="1">--TRIM(RIGHT(SUBSTITUTE(LEFT(C90,_xlfn.AGGREGATE(16,6,FIND({0,1,2,3,4,5,6,7,8,9},C90,ROW(INDIRECT("1:"&amp;LEN(C90)))),1))," ",REPT(" ",LEN(C90))),LEN(C90)))</f>
        <v>22</v>
      </c>
      <c r="I91" s="26" t="s">
        <v>98</v>
      </c>
      <c r="J91" s="29">
        <f ca="1">H91*50%</f>
        <v>11</v>
      </c>
    </row>
    <row r="92" spans="1:10" ht="47" customHeight="1" x14ac:dyDescent="0.35">
      <c r="A92" s="116" t="s">
        <v>91</v>
      </c>
      <c r="B92" s="116"/>
      <c r="C92" s="208" t="str">
        <f ca="1">(IF($G$60="NA",I87,"All work Completed. OC Received."))</f>
        <v>Excavation work Completed. Plinth work completed, RCC Slab Completed, Brickwork Completed, Internal Plaster Completed, External Plaster Completed, Flooring upto 15 Floor Completed, Painting upto 15 Floor Completed.</v>
      </c>
      <c r="D92" s="208"/>
      <c r="E92" s="208"/>
      <c r="F92" s="208"/>
      <c r="G92" s="208"/>
      <c r="H92" s="208"/>
      <c r="I92" s="26" t="s">
        <v>99</v>
      </c>
      <c r="J92" s="29">
        <f ca="1">H91</f>
        <v>22</v>
      </c>
    </row>
    <row r="93" spans="1:10" ht="15.75" customHeight="1" x14ac:dyDescent="0.35">
      <c r="A93" s="132" t="s">
        <v>48</v>
      </c>
      <c r="B93" s="132"/>
      <c r="C93" s="95" t="s">
        <v>139</v>
      </c>
      <c r="D93" s="95" t="s">
        <v>84</v>
      </c>
      <c r="E93" s="132" t="s">
        <v>86</v>
      </c>
      <c r="F93" s="132"/>
      <c r="G93" s="132" t="s">
        <v>85</v>
      </c>
      <c r="H93" s="132"/>
      <c r="I93" s="26" t="s">
        <v>100</v>
      </c>
      <c r="J93" s="32">
        <f ca="1">(IF(B91&gt;1,(H91/(B91+2)),H91/4))</f>
        <v>5.5</v>
      </c>
    </row>
    <row r="94" spans="1:10" ht="15.75" customHeight="1" x14ac:dyDescent="0.35">
      <c r="A94" s="132" t="s">
        <v>128</v>
      </c>
      <c r="B94" s="132"/>
      <c r="C94" s="45">
        <f ca="1">J92</f>
        <v>22</v>
      </c>
      <c r="D94" s="94">
        <f ca="1">((100/H91)*C94)/100</f>
        <v>1.0000000000000002</v>
      </c>
      <c r="E94" s="201">
        <f ca="1">(((C95/H91*10)+(40/(D91+F91+H91)*C96)+(7.5/(H91)*C97)+(7.5/(H91)*C98)+(10/H91*C99)+(10/H91*C100)+(5/H91*C101)+(5/H91*C102)+(5/H91*C103))/100)</f>
        <v>0.85227272727272718</v>
      </c>
      <c r="F94" s="201"/>
      <c r="G94" s="201">
        <f ca="1">((((C94/H91)*20)+((C95/H91)*25)+(30/(H91+F91+D91)*C96)+(5/H91*C97)+(5/H91*C98)+(5/H91*C99)+(5/H91*C100)+(0/H91*C101)+(0/H91*C102)+(5/H91*C103))/100)</f>
        <v>0.93409090909090908</v>
      </c>
      <c r="H94" s="201"/>
      <c r="I94" s="26" t="s">
        <v>101</v>
      </c>
      <c r="J94" s="32">
        <f ca="1">(IF(B91&gt;1,(H91/(B91+2)+J93),H91/4+J93))</f>
        <v>11</v>
      </c>
    </row>
    <row r="95" spans="1:10" ht="15" customHeight="1" x14ac:dyDescent="0.35">
      <c r="A95" s="132" t="s">
        <v>49</v>
      </c>
      <c r="B95" s="132"/>
      <c r="C95" s="46">
        <v>22</v>
      </c>
      <c r="D95" s="94">
        <f ca="1">((100/H91)*C95)/100</f>
        <v>1.0000000000000002</v>
      </c>
      <c r="E95" s="201"/>
      <c r="F95" s="201"/>
      <c r="G95" s="201"/>
      <c r="H95" s="201"/>
      <c r="I95" s="26" t="s">
        <v>146</v>
      </c>
      <c r="J95" s="32">
        <f>(IF(B91&gt;1,(H91/(B91+2)+J94),0))</f>
        <v>0</v>
      </c>
    </row>
    <row r="96" spans="1:10" ht="15.75" customHeight="1" x14ac:dyDescent="0.35">
      <c r="A96" s="132" t="s">
        <v>129</v>
      </c>
      <c r="B96" s="132"/>
      <c r="C96" s="46">
        <v>23</v>
      </c>
      <c r="D96" s="94">
        <f ca="1">((100/(D91+F91+H91))*C96)/100</f>
        <v>1</v>
      </c>
      <c r="E96" s="201"/>
      <c r="F96" s="201"/>
      <c r="G96" s="201"/>
      <c r="H96" s="201"/>
      <c r="I96" s="26" t="s">
        <v>143</v>
      </c>
      <c r="J96" s="32">
        <f>(IF(B91&gt;2,(H91/(B91+2)+J95),0))</f>
        <v>0</v>
      </c>
    </row>
    <row r="97" spans="1:12" ht="15.75" customHeight="1" x14ac:dyDescent="0.35">
      <c r="A97" s="132" t="s">
        <v>136</v>
      </c>
      <c r="B97" s="132" t="s">
        <v>130</v>
      </c>
      <c r="C97" s="46">
        <f>C96-1</f>
        <v>22</v>
      </c>
      <c r="D97" s="94">
        <f ca="1">((100/H91)*C97)/100</f>
        <v>1.0000000000000002</v>
      </c>
      <c r="E97" s="201"/>
      <c r="F97" s="201"/>
      <c r="G97" s="201"/>
      <c r="H97" s="201"/>
      <c r="I97" s="26" t="s">
        <v>144</v>
      </c>
      <c r="J97" s="33">
        <f>(IF(B91&gt;3,(H91/(B91+2)+J96),0))</f>
        <v>0</v>
      </c>
    </row>
    <row r="98" spans="1:12" ht="15.75" customHeight="1" x14ac:dyDescent="0.35">
      <c r="A98" s="132" t="s">
        <v>137</v>
      </c>
      <c r="B98" s="132" t="s">
        <v>130</v>
      </c>
      <c r="C98" s="46">
        <v>22</v>
      </c>
      <c r="D98" s="94">
        <f ca="1">((100/H91)*C98)/100</f>
        <v>1.0000000000000002</v>
      </c>
      <c r="E98" s="201"/>
      <c r="F98" s="201"/>
      <c r="G98" s="201"/>
      <c r="H98" s="201"/>
      <c r="I98" s="26" t="s">
        <v>145</v>
      </c>
      <c r="J98" s="32">
        <f>(IF(B91&gt;4,(H91/(B91+2)+J97),0))</f>
        <v>0</v>
      </c>
    </row>
    <row r="99" spans="1:12" x14ac:dyDescent="0.35">
      <c r="A99" s="132" t="s">
        <v>135</v>
      </c>
      <c r="B99" s="132" t="s">
        <v>132</v>
      </c>
      <c r="C99" s="46">
        <v>22</v>
      </c>
      <c r="D99" s="94">
        <f ca="1">((100/(H91))*C99)/100</f>
        <v>1.0000000000000002</v>
      </c>
      <c r="E99" s="201"/>
      <c r="F99" s="201"/>
      <c r="G99" s="201"/>
      <c r="H99" s="201"/>
      <c r="I99" s="26" t="s">
        <v>147</v>
      </c>
      <c r="J99" s="32">
        <f ca="1">(IF(B91=1,(H91/(B91+3)+J94),IF(B91=0,(H91/4+J94),IF(B91&gt;1,0))))</f>
        <v>16.5</v>
      </c>
    </row>
    <row r="100" spans="1:12" ht="16" thickBot="1" x14ac:dyDescent="0.4">
      <c r="A100" s="132" t="s">
        <v>131</v>
      </c>
      <c r="B100" s="132" t="s">
        <v>131</v>
      </c>
      <c r="C100" s="45">
        <v>15</v>
      </c>
      <c r="D100" s="94">
        <f ca="1">((100/H91)*C100)/100</f>
        <v>0.68181818181818188</v>
      </c>
      <c r="E100" s="201"/>
      <c r="F100" s="201"/>
      <c r="G100" s="201"/>
      <c r="H100" s="201"/>
      <c r="I100" s="31" t="s">
        <v>102</v>
      </c>
      <c r="J100" s="34">
        <f ca="1">(IF(B91&gt;1.5,(H91/(B91+2)+J94+MAX(0,J95-J94)+MAX(0,J96-J95)+MAX(0,J97-J96)+MAX(0,J98-J97)+MAX(0,J99-J98)),IF(B91=1,(H91/(B91+3)+J99),IF(B91=0,H91/4+J99))))</f>
        <v>22</v>
      </c>
    </row>
    <row r="101" spans="1:12" ht="15.75" customHeight="1" x14ac:dyDescent="0.35">
      <c r="A101" s="132" t="s">
        <v>138</v>
      </c>
      <c r="B101" s="132"/>
      <c r="C101" s="45">
        <v>15</v>
      </c>
      <c r="D101" s="94">
        <f ca="1">((100/H91)*C101)/100</f>
        <v>0.68181818181818188</v>
      </c>
      <c r="E101" s="201"/>
      <c r="F101" s="201"/>
      <c r="G101" s="201"/>
      <c r="H101" s="201"/>
      <c r="I101" s="30" t="str">
        <f ca="1">(IF(E108&gt;99%,"All work completed. Please provide OC.",IF(E108&gt;89.8%,"Plinth, RCC, Brick, Plaster, Flooring, Painting work Completed. Finishing work is in process.",IF(E108&lt;94%,(IF(C108=0,"Work not yet Started.",IF(D108=25%,"Piling work in process",IF(D108=50%,"Excavation work in process",IF(D108=100%,"Excavation work Completed. ","0")))&amp;(IF(C109=0%,"",IF(C109=J107,"Footing work is process",IF(C109=J108,"Footing work Completed",IF(C109=J109,"1st Basement Completed",IF(C109=J110,"1st &amp; 2nd Basement Completed",IF(C109=J111,"1st to 3rd Basement Completed",IF(C109=J112,"1st to 4th Basement Completed",IF(C109=J113,"Plinth work is process",IF(C109=J114,"Plinth work completed","0")))))))))))&amp;(IF(C110=(D105+F105+H105),", RCC Slab Completed",IF(C110&gt;0,", RCC upto "&amp;C110&amp;" Slab Completed",""))&amp;(IF(C111=H105,", Brickwork Completed",IF(C111&gt;0,", Brickwork upto "&amp;C111&amp;" Floor Completed",""))&amp;(IF(C112=H105,", Internal Plaster Completed",IF(C112&gt;0,", Internal Plaster upto "&amp;C112&amp;" Floor Completed",""))&amp;(IF(C113=H105,", External Plaster Completed",IF(C113&gt;0,", External Plaster upto "&amp;C113&amp;" Floor Completed",""))&amp;(IF(C114=H105,", Flooring Completed",IF(C114&gt;0,", Flooring upto "&amp;C114&amp;" Floor Completed",""))&amp;(IF(C115=H105,", Painting Completed",IF(C115&gt;0,", Painting upto "&amp;C115&amp;" Floor Completed",""))&amp;(IF(C116&gt;0,", Finishing upto "&amp;C116&amp;" Floor Completed","")&amp;(IF(C110&gt;0.5,".",""))))))))))))))</f>
        <v>Excavation work Completed. Plinth work completed, RCC upto 10 Slab Completed, Brickwork upto 9 Floor Completed.</v>
      </c>
      <c r="J101" s="10"/>
    </row>
    <row r="102" spans="1:12" s="7" customFormat="1" x14ac:dyDescent="0.35">
      <c r="A102" s="132" t="s">
        <v>133</v>
      </c>
      <c r="B102" s="132" t="s">
        <v>133</v>
      </c>
      <c r="C102" s="45">
        <v>0</v>
      </c>
      <c r="D102" s="94">
        <f ca="1">((100/(H91))*C102)/100</f>
        <v>0</v>
      </c>
      <c r="E102" s="201"/>
      <c r="F102" s="201"/>
      <c r="G102" s="201"/>
      <c r="H102" s="201"/>
      <c r="I102" s="9"/>
      <c r="J102" s="11"/>
      <c r="K102" s="3"/>
    </row>
    <row r="103" spans="1:12" s="7" customFormat="1" ht="15.75" customHeight="1" x14ac:dyDescent="0.35">
      <c r="A103" s="132" t="s">
        <v>134</v>
      </c>
      <c r="B103" s="132"/>
      <c r="C103" s="45">
        <v>0</v>
      </c>
      <c r="D103" s="94">
        <f ca="1">((100/(H91))*C103)/100</f>
        <v>0</v>
      </c>
      <c r="E103" s="201"/>
      <c r="F103" s="201"/>
      <c r="G103" s="201"/>
      <c r="H103" s="201"/>
      <c r="I103" s="9" t="s">
        <v>103</v>
      </c>
      <c r="J103" s="11"/>
      <c r="K103" s="3"/>
    </row>
    <row r="104" spans="1:12" s="7" customFormat="1" ht="15.75" customHeight="1" x14ac:dyDescent="0.35">
      <c r="A104" s="252" t="s">
        <v>140</v>
      </c>
      <c r="B104" s="252"/>
      <c r="C104" s="208" t="str">
        <f>D67</f>
        <v>Tower 8 (Wing 8) = Gr + 1st to 22nd Floor</v>
      </c>
      <c r="D104" s="208"/>
      <c r="E104" s="208"/>
      <c r="F104" s="208"/>
      <c r="G104" s="208"/>
      <c r="H104" s="208"/>
      <c r="I104" s="26" t="s">
        <v>141</v>
      </c>
      <c r="J104" s="12">
        <f ca="1">H105*25%</f>
        <v>5.5</v>
      </c>
      <c r="K104" s="3"/>
    </row>
    <row r="105" spans="1:12" s="7" customFormat="1" x14ac:dyDescent="0.35">
      <c r="A105" s="96" t="s">
        <v>142</v>
      </c>
      <c r="B105" s="96">
        <v>0</v>
      </c>
      <c r="C105" s="96" t="s">
        <v>72</v>
      </c>
      <c r="D105" s="96">
        <v>1</v>
      </c>
      <c r="E105" s="96" t="s">
        <v>71</v>
      </c>
      <c r="F105" s="96">
        <v>0</v>
      </c>
      <c r="G105" s="96" t="s">
        <v>81</v>
      </c>
      <c r="H105" s="96">
        <f ca="1">--TRIM(RIGHT(SUBSTITUTE(LEFT(C104,_xlfn.AGGREGATE(16,6,FIND({0,1,2,3,4,5,6,7,8,9},C104,ROW(INDIRECT("1:"&amp;LEN(C104)))),1))," ",REPT(" ",LEN(C104))),LEN(C104)))</f>
        <v>22</v>
      </c>
      <c r="I105" s="26" t="s">
        <v>98</v>
      </c>
      <c r="J105" s="29">
        <f ca="1">H105*50%</f>
        <v>11</v>
      </c>
      <c r="K105" s="3"/>
    </row>
    <row r="106" spans="1:12" s="7" customFormat="1" x14ac:dyDescent="0.35">
      <c r="A106" s="116" t="s">
        <v>91</v>
      </c>
      <c r="B106" s="116"/>
      <c r="C106" s="208" t="str">
        <f ca="1">(IF($G$60="NA",I101,"All work Completed. OC Received."))</f>
        <v>Excavation work Completed. Plinth work completed, RCC upto 10 Slab Completed, Brickwork upto 9 Floor Completed.</v>
      </c>
      <c r="D106" s="208"/>
      <c r="E106" s="208"/>
      <c r="F106" s="208"/>
      <c r="G106" s="208"/>
      <c r="H106" s="208"/>
      <c r="I106" s="26" t="s">
        <v>99</v>
      </c>
      <c r="J106" s="29">
        <f ca="1">H105</f>
        <v>22</v>
      </c>
      <c r="K106" s="3"/>
    </row>
    <row r="107" spans="1:12" s="7" customFormat="1" ht="15.75" customHeight="1" x14ac:dyDescent="0.35">
      <c r="A107" s="132" t="s">
        <v>48</v>
      </c>
      <c r="B107" s="132"/>
      <c r="C107" s="95" t="s">
        <v>139</v>
      </c>
      <c r="D107" s="95" t="s">
        <v>84</v>
      </c>
      <c r="E107" s="132" t="s">
        <v>86</v>
      </c>
      <c r="F107" s="132"/>
      <c r="G107" s="132" t="s">
        <v>85</v>
      </c>
      <c r="H107" s="132"/>
      <c r="I107" s="26" t="s">
        <v>100</v>
      </c>
      <c r="J107" s="32">
        <f ca="1">(IF(B105&gt;1,(H105/(B105+2)),H105/4))</f>
        <v>5.5</v>
      </c>
      <c r="K107" s="3"/>
    </row>
    <row r="108" spans="1:12" s="7" customFormat="1" ht="15.75" customHeight="1" x14ac:dyDescent="0.35">
      <c r="A108" s="132" t="s">
        <v>128</v>
      </c>
      <c r="B108" s="132"/>
      <c r="C108" s="45">
        <f ca="1">J106</f>
        <v>22</v>
      </c>
      <c r="D108" s="94">
        <f ca="1">((100/H105)*C108)/100</f>
        <v>1.0000000000000002</v>
      </c>
      <c r="E108" s="201">
        <f ca="1">(((C109/H105*10)+(40/(D105+F105+H105)*C110)+(7.5/(H105)*C111)+(7.5/(H105)*C112)+(10/H105*C113)+(10/H105*C114)+(5/H105*C115)+(5/H105*C116)+(5/H105*C117))/100)</f>
        <v>0.30459486166007904</v>
      </c>
      <c r="F108" s="201"/>
      <c r="G108" s="201">
        <f ca="1">((((C108/H105)*20)+((C109/H105)*25)+(30/(H105+F105+D105)*C110)+(5/H105*C111)+(5/H105*C112)+(5/H105*C113)+(5/H105*C114)+(0/H105*C115)+(0/H105*C116)+(5/H105*C117))/100)</f>
        <v>0.60088932806324113</v>
      </c>
      <c r="H108" s="201"/>
      <c r="I108" s="26" t="s">
        <v>101</v>
      </c>
      <c r="J108" s="32">
        <f ca="1">(IF(B105&gt;1,(H105/(B105+2)+J107),H105/4+J107))</f>
        <v>11</v>
      </c>
      <c r="K108" s="3"/>
    </row>
    <row r="109" spans="1:12" ht="15.75" customHeight="1" x14ac:dyDescent="0.35">
      <c r="A109" s="132" t="s">
        <v>49</v>
      </c>
      <c r="B109" s="132"/>
      <c r="C109" s="46">
        <f ca="1">J114</f>
        <v>22</v>
      </c>
      <c r="D109" s="94">
        <f ca="1">((100/H105)*C109)/100</f>
        <v>1.0000000000000002</v>
      </c>
      <c r="E109" s="201"/>
      <c r="F109" s="201"/>
      <c r="G109" s="201"/>
      <c r="H109" s="201"/>
      <c r="I109" s="26" t="s">
        <v>146</v>
      </c>
      <c r="J109" s="32">
        <f>(IF(B105&gt;1,(H105/(B105+2)+J108),0))</f>
        <v>0</v>
      </c>
    </row>
    <row r="110" spans="1:12" s="4" customFormat="1" ht="15.75" customHeight="1" x14ac:dyDescent="0.35">
      <c r="A110" s="132" t="s">
        <v>129</v>
      </c>
      <c r="B110" s="132"/>
      <c r="C110" s="46">
        <v>10</v>
      </c>
      <c r="D110" s="94">
        <f ca="1">((100/(D105+F105+H105))*C110)/100</f>
        <v>0.43478260869565216</v>
      </c>
      <c r="E110" s="201"/>
      <c r="F110" s="201"/>
      <c r="G110" s="201"/>
      <c r="H110" s="201"/>
      <c r="I110" s="26" t="s">
        <v>143</v>
      </c>
      <c r="J110" s="32">
        <f>(IF(B105&gt;2,(H105/(B105+2)+J109),0))</f>
        <v>0</v>
      </c>
      <c r="K110" s="3"/>
      <c r="L110" s="4">
        <f>0.05*23</f>
        <v>1.1500000000000001</v>
      </c>
    </row>
    <row r="111" spans="1:12" s="1" customFormat="1" ht="15.75" customHeight="1" x14ac:dyDescent="0.35">
      <c r="A111" s="132" t="s">
        <v>136</v>
      </c>
      <c r="B111" s="132" t="s">
        <v>130</v>
      </c>
      <c r="C111" s="46">
        <f>C110-1</f>
        <v>9</v>
      </c>
      <c r="D111" s="94">
        <f ca="1">((100/H105)*C111)/100</f>
        <v>0.40909090909090912</v>
      </c>
      <c r="E111" s="201"/>
      <c r="F111" s="201"/>
      <c r="G111" s="201"/>
      <c r="H111" s="201"/>
      <c r="I111" s="26" t="s">
        <v>144</v>
      </c>
      <c r="J111" s="33">
        <f>(IF(B105&gt;3,(H105/(B105+2)+J110),0))</f>
        <v>0</v>
      </c>
      <c r="K111" s="3"/>
    </row>
    <row r="112" spans="1:12" s="1" customFormat="1" ht="15.75" customHeight="1" x14ac:dyDescent="0.35">
      <c r="A112" s="132" t="s">
        <v>137</v>
      </c>
      <c r="B112" s="132" t="s">
        <v>130</v>
      </c>
      <c r="C112" s="45">
        <v>0</v>
      </c>
      <c r="D112" s="94">
        <f ca="1">((100/H105)*C112)/100</f>
        <v>0</v>
      </c>
      <c r="E112" s="201"/>
      <c r="F112" s="201"/>
      <c r="G112" s="201"/>
      <c r="H112" s="201"/>
      <c r="I112" s="26" t="s">
        <v>145</v>
      </c>
      <c r="J112" s="32">
        <f>(IF(B105&gt;4,(H105/(B105+2)+J111),0))</f>
        <v>0</v>
      </c>
      <c r="K112" s="3"/>
    </row>
    <row r="113" spans="1:13" s="1" customFormat="1" ht="15.75" customHeight="1" x14ac:dyDescent="0.35">
      <c r="A113" s="132" t="s">
        <v>135</v>
      </c>
      <c r="B113" s="132" t="s">
        <v>132</v>
      </c>
      <c r="C113" s="45">
        <v>0</v>
      </c>
      <c r="D113" s="94">
        <f ca="1">((100/(H105))*C113)/100</f>
        <v>0</v>
      </c>
      <c r="E113" s="201"/>
      <c r="F113" s="201"/>
      <c r="G113" s="201"/>
      <c r="H113" s="201"/>
      <c r="I113" s="26" t="s">
        <v>147</v>
      </c>
      <c r="J113" s="32">
        <f ca="1">(IF(B105=1,(H105/(B105+3)+J108),IF(B105=0,(H105/4+J108),IF(B105&gt;1,0))))</f>
        <v>16.5</v>
      </c>
      <c r="K113" s="3"/>
    </row>
    <row r="114" spans="1:13" s="1" customFormat="1" ht="16" thickBot="1" x14ac:dyDescent="0.4">
      <c r="A114" s="132" t="s">
        <v>131</v>
      </c>
      <c r="B114" s="132" t="s">
        <v>131</v>
      </c>
      <c r="C114" s="45">
        <v>0</v>
      </c>
      <c r="D114" s="94">
        <f ca="1">((100/H105)*C114)/100</f>
        <v>0</v>
      </c>
      <c r="E114" s="201"/>
      <c r="F114" s="201"/>
      <c r="G114" s="201"/>
      <c r="H114" s="201"/>
      <c r="I114" s="31" t="s">
        <v>102</v>
      </c>
      <c r="J114" s="34">
        <f ca="1">(IF(B105&gt;1.5,(H105/(B105+2)+J108+MAX(0,J109-J108)+MAX(0,J110-J109)+MAX(0,J111-J110)+MAX(0,J112-J111)+MAX(0,J113-J112)),IF(B105=1,(H105/(B105+3)+J113),IF(B105=0,H105/4+J113))))</f>
        <v>22</v>
      </c>
      <c r="K114" s="3"/>
    </row>
    <row r="115" spans="1:13" s="1" customFormat="1" x14ac:dyDescent="0.35">
      <c r="A115" s="132" t="s">
        <v>138</v>
      </c>
      <c r="B115" s="132"/>
      <c r="C115" s="45">
        <v>0</v>
      </c>
      <c r="D115" s="94">
        <f ca="1">((100/H105)*C115)/100</f>
        <v>0</v>
      </c>
      <c r="E115" s="201"/>
      <c r="F115" s="201"/>
      <c r="G115" s="201"/>
      <c r="H115" s="201"/>
      <c r="I115" s="30" t="str">
        <f ca="1">(IF(E122&gt;99%,"All work completed. Please provide OC.",IF(E122&gt;89.8%,"Plinth, RCC, Brick, Plaster, Flooring, Painting work Completed. Finishing work is in process.",IF(E122&lt;94%,(IF(C122=0,"Work not yet Started.",IF(D122=25%,"Piling work in process",IF(D122=50%,"Excavation work in process",IF(D122=100%,"Excavation work Completed. ","0")))&amp;(IF(C123=0%,"",IF(C123=J121,"Footing work is process",IF(C123=J122,"Footing work Completed",IF(C123=J123,"1st Basement Completed",IF(C123=J124,"1st &amp; 2nd Basement Completed",IF(C123=J125,"1st to 3rd Basement Completed",IF(C123=J126,"1st to 4th Basement Completed",IF(C123=J127,"Plinth work is process",IF(C123=J128,"Plinth work completed","0")))))))))))&amp;(IF(C124=(D119+F119+H119),", RCC Slab Completed",IF(C124&gt;0,", RCC upto "&amp;C124&amp;" Slab Completed",""))&amp;(IF(C125=H119,", Brickwork Completed",IF(C125&gt;0,", Brickwork upto "&amp;C125&amp;" Floor Completed",""))&amp;(IF(C126=H119,", Internal Plaster Completed",IF(C126&gt;0,", Internal Plaster upto "&amp;C126&amp;" Floor Completed",""))&amp;(IF(C127=H119,", External Plaster Completed",IF(C127&gt;0,", External Plaster upto "&amp;C127&amp;" Floor Completed",""))&amp;(IF(C128=H119,", Flooring Completed",IF(C128&gt;0,", Flooring upto "&amp;C128&amp;" Floor Completed",""))&amp;(IF(C129=H119,", Painting Completed",IF(C129&gt;0,", Painting upto "&amp;C129&amp;" Floor Completed",""))&amp;(IF(C130&gt;0,", Finishing upto "&amp;C130&amp;" Floor Completed","")&amp;(IF(C124&gt;0.5,".",""))))))))))))))</f>
        <v>Excavation work in process</v>
      </c>
      <c r="J115" s="10"/>
      <c r="K115" s="3"/>
    </row>
    <row r="116" spans="1:13" s="1" customFormat="1" x14ac:dyDescent="0.35">
      <c r="A116" s="132" t="s">
        <v>133</v>
      </c>
      <c r="B116" s="132"/>
      <c r="C116" s="45">
        <v>0</v>
      </c>
      <c r="D116" s="94">
        <f ca="1">((100/(H105))*C116)/100</f>
        <v>0</v>
      </c>
      <c r="E116" s="201"/>
      <c r="F116" s="201"/>
      <c r="G116" s="201"/>
      <c r="H116" s="201"/>
      <c r="I116" s="9"/>
      <c r="J116" s="11"/>
      <c r="K116" s="3"/>
    </row>
    <row r="117" spans="1:13" s="1" customFormat="1" ht="15.75" customHeight="1" x14ac:dyDescent="0.35">
      <c r="A117" s="132" t="s">
        <v>134</v>
      </c>
      <c r="B117" s="132"/>
      <c r="C117" s="45">
        <v>0</v>
      </c>
      <c r="D117" s="94">
        <f ca="1">((100/(H105))*C117)/100</f>
        <v>0</v>
      </c>
      <c r="E117" s="201"/>
      <c r="F117" s="201"/>
      <c r="G117" s="201"/>
      <c r="H117" s="201"/>
      <c r="I117" s="9" t="s">
        <v>103</v>
      </c>
      <c r="J117" s="11"/>
      <c r="K117" s="3"/>
    </row>
    <row r="118" spans="1:13" s="1" customFormat="1" x14ac:dyDescent="0.35">
      <c r="A118" s="253" t="s">
        <v>140</v>
      </c>
      <c r="B118" s="254"/>
      <c r="C118" s="255" t="str">
        <f>D68</f>
        <v>Tower 9 (Wing 9) = Gr + Service Floor + 1st to 18th Floor</v>
      </c>
      <c r="D118" s="256"/>
      <c r="E118" s="256"/>
      <c r="F118" s="256"/>
      <c r="G118" s="256"/>
      <c r="H118" s="257"/>
      <c r="I118" s="26" t="s">
        <v>141</v>
      </c>
      <c r="J118" s="12">
        <f ca="1">H119*25%</f>
        <v>4.5</v>
      </c>
      <c r="K118" s="3"/>
    </row>
    <row r="119" spans="1:13" s="1" customFormat="1" x14ac:dyDescent="0.35">
      <c r="A119" s="35" t="s">
        <v>142</v>
      </c>
      <c r="B119" s="92">
        <v>0</v>
      </c>
      <c r="C119" s="92" t="s">
        <v>72</v>
      </c>
      <c r="D119" s="92">
        <v>1</v>
      </c>
      <c r="E119" s="92" t="s">
        <v>71</v>
      </c>
      <c r="F119" s="92">
        <v>0</v>
      </c>
      <c r="G119" s="92" t="s">
        <v>81</v>
      </c>
      <c r="H119" s="36">
        <f ca="1">--TRIM(RIGHT(SUBSTITUTE(LEFT(C118,_xlfn.AGGREGATE(16,6,FIND({0,1,2,3,4,5,6,7,8,9},C118,ROW(INDIRECT("1:"&amp;LEN(C118)))),1))," ",REPT(" ",LEN(C118))),LEN(C118)))</f>
        <v>18</v>
      </c>
      <c r="I119" s="26" t="s">
        <v>98</v>
      </c>
      <c r="J119" s="29">
        <f ca="1">H119*50%</f>
        <v>9</v>
      </c>
      <c r="K119" s="3"/>
    </row>
    <row r="120" spans="1:13" s="1" customFormat="1" x14ac:dyDescent="0.35">
      <c r="A120" s="115" t="s">
        <v>91</v>
      </c>
      <c r="B120" s="116"/>
      <c r="C120" s="208" t="str">
        <f ca="1">(IF($G$60="NA",I115,"All work Completed. OC Received."))</f>
        <v>Excavation work in process</v>
      </c>
      <c r="D120" s="208"/>
      <c r="E120" s="208"/>
      <c r="F120" s="208"/>
      <c r="G120" s="208"/>
      <c r="H120" s="209"/>
      <c r="I120" s="26" t="s">
        <v>99</v>
      </c>
      <c r="J120" s="29">
        <f ca="1">H119</f>
        <v>18</v>
      </c>
      <c r="K120" s="3"/>
      <c r="L120" s="3" t="s">
        <v>193</v>
      </c>
    </row>
    <row r="121" spans="1:13" s="4" customFormat="1" x14ac:dyDescent="0.35">
      <c r="A121" s="131" t="s">
        <v>48</v>
      </c>
      <c r="B121" s="132"/>
      <c r="C121" s="90" t="s">
        <v>139</v>
      </c>
      <c r="D121" s="90" t="s">
        <v>84</v>
      </c>
      <c r="E121" s="132" t="s">
        <v>86</v>
      </c>
      <c r="F121" s="132"/>
      <c r="G121" s="132" t="s">
        <v>85</v>
      </c>
      <c r="H121" s="137"/>
      <c r="I121" s="26" t="s">
        <v>100</v>
      </c>
      <c r="J121" s="32">
        <f ca="1">(IF(B119&gt;1,(H119/(B119+2)),H119/4))</f>
        <v>4.5</v>
      </c>
      <c r="K121" s="3"/>
    </row>
    <row r="122" spans="1:13" x14ac:dyDescent="0.35">
      <c r="A122" s="132" t="s">
        <v>128</v>
      </c>
      <c r="B122" s="132"/>
      <c r="C122" s="45">
        <f ca="1">J119</f>
        <v>9</v>
      </c>
      <c r="D122" s="93">
        <f ca="1">((100/H119)*C122)/100</f>
        <v>0.5</v>
      </c>
      <c r="E122" s="201">
        <f ca="1">(((C123/H119*10)+(40/(D119+F119+H119)*C124)+(7.5/(H119)*C125)+(7.5/(H119)*C126)+(10/H119*C127)+(10/H119*C128)+(5/H119*C129)+(5/H119*C130)+(5/H119*C131))/100)</f>
        <v>0</v>
      </c>
      <c r="F122" s="201"/>
      <c r="G122" s="201">
        <f ca="1">((((C122/H119)*20)+((C123/H119)*25)+(30/(H119+F119+D119)*C124)+(5/H119*C125)+(5/H119*C126)+(5/H119*C127)+(5/H119*C128)+(0/H119*C129)+(0/H119*C130)+(5/H119*C131))/100)</f>
        <v>0.1</v>
      </c>
      <c r="H122" s="201"/>
      <c r="I122" s="26" t="s">
        <v>101</v>
      </c>
      <c r="J122" s="32">
        <f ca="1">(IF(B119&gt;1,(H119/(B119+2)+J121),H119/4+J121))</f>
        <v>9</v>
      </c>
    </row>
    <row r="123" spans="1:13" x14ac:dyDescent="0.35">
      <c r="A123" s="132" t="s">
        <v>49</v>
      </c>
      <c r="B123" s="132"/>
      <c r="C123" s="46">
        <v>0</v>
      </c>
      <c r="D123" s="93">
        <f ca="1">((100/H119)*C123)/100</f>
        <v>0</v>
      </c>
      <c r="E123" s="201"/>
      <c r="F123" s="201"/>
      <c r="G123" s="201"/>
      <c r="H123" s="201"/>
      <c r="I123" s="26" t="s">
        <v>146</v>
      </c>
      <c r="J123" s="32">
        <f>(IF(B119&gt;1,(H119/(B119+2)+J122),0))</f>
        <v>0</v>
      </c>
    </row>
    <row r="124" spans="1:13" s="2" customFormat="1" x14ac:dyDescent="0.35">
      <c r="A124" s="132" t="s">
        <v>129</v>
      </c>
      <c r="B124" s="132"/>
      <c r="C124" s="46">
        <v>0</v>
      </c>
      <c r="D124" s="93">
        <f ca="1">((100/(D119+F119+H119))*C124)/100</f>
        <v>0</v>
      </c>
      <c r="E124" s="201"/>
      <c r="F124" s="201"/>
      <c r="G124" s="201"/>
      <c r="H124" s="201"/>
      <c r="I124" s="26" t="s">
        <v>143</v>
      </c>
      <c r="J124" s="32">
        <f>(IF(B119&gt;2,(H119/(B119+2)+J123),0))</f>
        <v>0</v>
      </c>
      <c r="K124" s="3"/>
    </row>
    <row r="125" spans="1:13" s="4" customFormat="1" x14ac:dyDescent="0.35">
      <c r="A125" s="132" t="s">
        <v>136</v>
      </c>
      <c r="B125" s="132" t="s">
        <v>130</v>
      </c>
      <c r="C125" s="46">
        <v>0</v>
      </c>
      <c r="D125" s="93">
        <f ca="1">((100/H119)*C125)/100</f>
        <v>0</v>
      </c>
      <c r="E125" s="201"/>
      <c r="F125" s="201"/>
      <c r="G125" s="201"/>
      <c r="H125" s="201"/>
      <c r="I125" s="26" t="s">
        <v>144</v>
      </c>
      <c r="J125" s="33">
        <f>(IF(B119&gt;3,(H119/(B119+2)+J124),0))</f>
        <v>0</v>
      </c>
      <c r="K125" s="3"/>
    </row>
    <row r="126" spans="1:13" s="51" customFormat="1" ht="15.75" customHeight="1" x14ac:dyDescent="0.35">
      <c r="A126" s="132" t="s">
        <v>137</v>
      </c>
      <c r="B126" s="132" t="s">
        <v>130</v>
      </c>
      <c r="C126" s="46">
        <f>C125*0.75</f>
        <v>0</v>
      </c>
      <c r="D126" s="93">
        <f ca="1">((100/H119)*C126)/100</f>
        <v>0</v>
      </c>
      <c r="E126" s="201"/>
      <c r="F126" s="201"/>
      <c r="G126" s="201"/>
      <c r="H126" s="201"/>
      <c r="I126" s="26" t="s">
        <v>145</v>
      </c>
      <c r="J126" s="32">
        <f>(IF(B119&gt;4,(H119/(B119+2)+J125),0))</f>
        <v>0</v>
      </c>
      <c r="K126" s="3"/>
      <c r="L126" s="125"/>
      <c r="M126" s="125"/>
    </row>
    <row r="127" spans="1:13" s="51" customFormat="1" x14ac:dyDescent="0.35">
      <c r="A127" s="132" t="s">
        <v>135</v>
      </c>
      <c r="B127" s="132" t="s">
        <v>132</v>
      </c>
      <c r="C127" s="46">
        <f>C126</f>
        <v>0</v>
      </c>
      <c r="D127" s="93">
        <f ca="1">((100/(H119))*C127)/100</f>
        <v>0</v>
      </c>
      <c r="E127" s="201"/>
      <c r="F127" s="201"/>
      <c r="G127" s="201"/>
      <c r="H127" s="201"/>
      <c r="I127" s="26" t="s">
        <v>147</v>
      </c>
      <c r="J127" s="32">
        <f ca="1">(IF(B119=1,(H119/(B119+3)+J122),IF(B119=0,(H119/4+J122),IF(B119&gt;1,0))))</f>
        <v>13.5</v>
      </c>
      <c r="K127" s="3"/>
    </row>
    <row r="128" spans="1:13" s="51" customFormat="1" ht="15.75" customHeight="1" thickBot="1" x14ac:dyDescent="0.4">
      <c r="A128" s="132" t="s">
        <v>131</v>
      </c>
      <c r="B128" s="132" t="s">
        <v>131</v>
      </c>
      <c r="C128" s="45">
        <v>0</v>
      </c>
      <c r="D128" s="93">
        <f ca="1">((100/H119)*C128)/100</f>
        <v>0</v>
      </c>
      <c r="E128" s="201"/>
      <c r="F128" s="201"/>
      <c r="G128" s="201"/>
      <c r="H128" s="201"/>
      <c r="I128" s="31" t="s">
        <v>102</v>
      </c>
      <c r="J128" s="34">
        <f ca="1">(IF(B119&gt;1.5,(H119/(B119+2)+J122+MAX(0,J123-J122)+MAX(0,J124-J123)+MAX(0,J125-J124)+MAX(0,J126-J125)+MAX(0,J127-J126)),IF(B119=1,(H119/(B119+3)+J127),IF(B119=0,H119/4+J127))))</f>
        <v>18</v>
      </c>
      <c r="K128" s="3"/>
      <c r="L128" s="125"/>
      <c r="M128" s="125"/>
    </row>
    <row r="129" spans="1:13" s="51" customFormat="1" ht="15.75" customHeight="1" x14ac:dyDescent="0.35">
      <c r="A129" s="132" t="s">
        <v>138</v>
      </c>
      <c r="B129" s="132"/>
      <c r="C129" s="45">
        <v>0</v>
      </c>
      <c r="D129" s="93">
        <f ca="1">((100/H119)*C129)/100</f>
        <v>0</v>
      </c>
      <c r="E129" s="201"/>
      <c r="F129" s="201"/>
      <c r="G129" s="201"/>
      <c r="H129" s="201"/>
      <c r="I129" s="3"/>
      <c r="J129" s="3"/>
      <c r="K129" s="3"/>
      <c r="L129" s="51">
        <f>K169+L155</f>
        <v>66.458699999999993</v>
      </c>
    </row>
    <row r="130" spans="1:13" s="51" customFormat="1" ht="15.75" customHeight="1" x14ac:dyDescent="0.35">
      <c r="A130" s="132" t="s">
        <v>133</v>
      </c>
      <c r="B130" s="132" t="s">
        <v>133</v>
      </c>
      <c r="C130" s="45">
        <v>0</v>
      </c>
      <c r="D130" s="93">
        <f ca="1">((100/(H119))*C130)/100</f>
        <v>0</v>
      </c>
      <c r="E130" s="201"/>
      <c r="F130" s="201"/>
      <c r="G130" s="201"/>
      <c r="H130" s="201"/>
      <c r="I130" s="7"/>
      <c r="J130" s="7"/>
      <c r="K130" s="7"/>
    </row>
    <row r="131" spans="1:13" s="51" customFormat="1" ht="15.75" customHeight="1" x14ac:dyDescent="0.35">
      <c r="A131" s="132" t="s">
        <v>134</v>
      </c>
      <c r="B131" s="132"/>
      <c r="C131" s="45">
        <v>0</v>
      </c>
      <c r="D131" s="93">
        <f ca="1">((100/(H119))*C131)/100</f>
        <v>0</v>
      </c>
      <c r="E131" s="201"/>
      <c r="F131" s="201"/>
      <c r="G131" s="201"/>
      <c r="H131" s="201"/>
      <c r="I131" s="7"/>
      <c r="J131" s="7"/>
      <c r="K131" s="7"/>
    </row>
    <row r="132" spans="1:13" s="51" customFormat="1" ht="15.75" customHeight="1" x14ac:dyDescent="0.3">
      <c r="A132" s="116" t="s">
        <v>50</v>
      </c>
      <c r="B132" s="116"/>
      <c r="C132" s="116"/>
      <c r="D132" s="116"/>
      <c r="E132" s="116"/>
      <c r="F132" s="116"/>
      <c r="G132" s="116"/>
      <c r="H132" s="116"/>
      <c r="I132" s="7"/>
      <c r="J132" s="7"/>
      <c r="K132" s="7"/>
    </row>
    <row r="133" spans="1:13" s="58" customFormat="1" ht="15.75" customHeight="1" x14ac:dyDescent="0.3">
      <c r="A133" s="114" t="s">
        <v>154</v>
      </c>
      <c r="B133" s="114"/>
      <c r="C133" s="114"/>
      <c r="D133" s="114"/>
      <c r="E133" s="114"/>
      <c r="F133" s="136">
        <v>16500</v>
      </c>
      <c r="G133" s="136"/>
      <c r="H133" s="136"/>
      <c r="I133" s="81">
        <f>F136+F137+F138+F139</f>
        <v>760000</v>
      </c>
      <c r="J133" s="7"/>
      <c r="K133" s="7"/>
    </row>
    <row r="134" spans="1:13" s="51" customFormat="1" ht="15.75" hidden="1" customHeight="1" x14ac:dyDescent="0.35">
      <c r="A134" s="114" t="s">
        <v>95</v>
      </c>
      <c r="B134" s="114"/>
      <c r="C134" s="114"/>
      <c r="D134" s="114"/>
      <c r="E134" s="114"/>
      <c r="F134" s="167"/>
      <c r="G134" s="167"/>
      <c r="H134" s="167"/>
      <c r="I134" s="7"/>
      <c r="J134" s="3" t="s">
        <v>192</v>
      </c>
      <c r="K134" s="27">
        <v>45296</v>
      </c>
      <c r="L134" s="125"/>
      <c r="M134" s="125"/>
    </row>
    <row r="135" spans="1:13" s="51" customFormat="1" ht="15.75" hidden="1" customHeight="1" x14ac:dyDescent="0.3">
      <c r="A135" s="114" t="s">
        <v>96</v>
      </c>
      <c r="B135" s="114"/>
      <c r="C135" s="114"/>
      <c r="D135" s="114"/>
      <c r="E135" s="114"/>
      <c r="F135" s="167"/>
      <c r="G135" s="167"/>
      <c r="H135" s="167"/>
      <c r="I135" s="7"/>
      <c r="J135" s="7"/>
      <c r="K135" s="7"/>
    </row>
    <row r="136" spans="1:13" s="51" customFormat="1" ht="35.25" customHeight="1" x14ac:dyDescent="0.3">
      <c r="A136" s="168" t="s">
        <v>186</v>
      </c>
      <c r="B136" s="168"/>
      <c r="C136" s="168"/>
      <c r="D136" s="168"/>
      <c r="E136" s="168"/>
      <c r="F136" s="165">
        <v>70000</v>
      </c>
      <c r="G136" s="165"/>
      <c r="H136" s="165"/>
      <c r="I136" s="7" t="s">
        <v>190</v>
      </c>
      <c r="J136" s="7" t="s">
        <v>191</v>
      </c>
      <c r="K136" s="57">
        <v>45293</v>
      </c>
    </row>
    <row r="137" spans="1:13" s="51" customFormat="1" ht="34.5" customHeight="1" x14ac:dyDescent="0.35">
      <c r="A137" s="168" t="s">
        <v>187</v>
      </c>
      <c r="B137" s="168"/>
      <c r="C137" s="168"/>
      <c r="D137" s="168"/>
      <c r="E137" s="168"/>
      <c r="F137" s="165">
        <v>300000</v>
      </c>
      <c r="G137" s="165"/>
      <c r="H137" s="165"/>
      <c r="I137" s="3"/>
      <c r="J137" s="3"/>
      <c r="K137" s="3"/>
    </row>
    <row r="138" spans="1:13" s="51" customFormat="1" ht="15.75" customHeight="1" x14ac:dyDescent="0.35">
      <c r="A138" s="114" t="s">
        <v>188</v>
      </c>
      <c r="B138" s="114"/>
      <c r="C138" s="114"/>
      <c r="D138" s="114"/>
      <c r="E138" s="114"/>
      <c r="F138" s="167">
        <v>40000</v>
      </c>
      <c r="G138" s="167"/>
      <c r="H138" s="167"/>
      <c r="I138" s="4"/>
      <c r="J138" s="4"/>
      <c r="K138" s="4"/>
    </row>
    <row r="139" spans="1:13" s="56" customFormat="1" x14ac:dyDescent="0.35">
      <c r="A139" s="114" t="s">
        <v>189</v>
      </c>
      <c r="B139" s="114"/>
      <c r="C139" s="114"/>
      <c r="D139" s="114"/>
      <c r="E139" s="114"/>
      <c r="F139" s="167">
        <v>350000</v>
      </c>
      <c r="G139" s="167"/>
      <c r="H139" s="167"/>
      <c r="I139" s="1"/>
      <c r="J139" s="1"/>
      <c r="K139" s="1"/>
      <c r="L139" s="125"/>
      <c r="M139" s="125"/>
    </row>
    <row r="140" spans="1:13" s="56" customFormat="1" ht="15.75" hidden="1" customHeight="1" x14ac:dyDescent="0.35">
      <c r="A140" s="114" t="s">
        <v>97</v>
      </c>
      <c r="B140" s="114"/>
      <c r="C140" s="114"/>
      <c r="D140" s="114"/>
      <c r="E140" s="114"/>
      <c r="F140" s="167"/>
      <c r="G140" s="167"/>
      <c r="H140" s="167"/>
      <c r="I140" s="1"/>
      <c r="J140" s="1"/>
      <c r="K140" s="1"/>
    </row>
    <row r="141" spans="1:13" s="56" customFormat="1" ht="15.75" customHeight="1" x14ac:dyDescent="0.35">
      <c r="A141" s="114" t="s">
        <v>51</v>
      </c>
      <c r="B141" s="114"/>
      <c r="C141" s="114"/>
      <c r="D141" s="114"/>
      <c r="E141" s="114"/>
      <c r="F141" s="167">
        <v>800000</v>
      </c>
      <c r="G141" s="167"/>
      <c r="H141" s="167"/>
      <c r="I141" s="1"/>
      <c r="J141" s="1"/>
      <c r="K141" s="1"/>
    </row>
    <row r="142" spans="1:13" s="56" customFormat="1" ht="15.75" customHeight="1" x14ac:dyDescent="0.35">
      <c r="A142" s="116" t="s">
        <v>52</v>
      </c>
      <c r="B142" s="116"/>
      <c r="C142" s="116"/>
      <c r="D142" s="116"/>
      <c r="E142" s="116"/>
      <c r="F142" s="167">
        <f>F133*0.8</f>
        <v>13200</v>
      </c>
      <c r="G142" s="167"/>
      <c r="H142" s="167"/>
      <c r="I142" s="1"/>
      <c r="J142" s="1"/>
      <c r="K142" s="1"/>
    </row>
    <row r="143" spans="1:13" s="75" customFormat="1" ht="15.75" hidden="1" customHeight="1" x14ac:dyDescent="0.35">
      <c r="A143" s="166" t="s">
        <v>76</v>
      </c>
      <c r="B143" s="166"/>
      <c r="C143" s="166"/>
      <c r="D143" s="166"/>
      <c r="E143" s="166"/>
      <c r="F143" s="166"/>
      <c r="G143" s="166"/>
      <c r="H143" s="166"/>
      <c r="I143" s="1"/>
      <c r="J143" s="1"/>
      <c r="K143" s="1"/>
      <c r="L143" s="125"/>
      <c r="M143" s="125"/>
    </row>
    <row r="144" spans="1:13" s="4" customFormat="1" ht="36.75" hidden="1" customHeight="1" x14ac:dyDescent="0.35">
      <c r="A144" s="144" t="s">
        <v>53</v>
      </c>
      <c r="B144" s="144"/>
      <c r="C144" s="141" t="s">
        <v>79</v>
      </c>
      <c r="D144" s="141"/>
      <c r="E144" s="142" t="s">
        <v>54</v>
      </c>
      <c r="F144" s="142"/>
      <c r="G144" s="144" t="s">
        <v>55</v>
      </c>
      <c r="H144" s="144"/>
      <c r="I144" s="1"/>
      <c r="J144" s="1"/>
      <c r="K144" s="1"/>
    </row>
    <row r="145" spans="1:13" s="53" customFormat="1" ht="15.75" hidden="1" customHeight="1" x14ac:dyDescent="0.35">
      <c r="A145" s="162"/>
      <c r="B145" s="162"/>
      <c r="C145" s="163"/>
      <c r="D145" s="163"/>
      <c r="E145" s="161"/>
      <c r="F145" s="161"/>
      <c r="G145" s="207"/>
      <c r="H145" s="207"/>
      <c r="I145" s="1"/>
      <c r="J145" s="1"/>
      <c r="K145" s="1"/>
      <c r="L145" s="125"/>
      <c r="M145" s="125"/>
    </row>
    <row r="146" spans="1:13" s="53" customFormat="1" hidden="1" x14ac:dyDescent="0.35">
      <c r="A146" s="162"/>
      <c r="B146" s="162"/>
      <c r="C146" s="163"/>
      <c r="D146" s="163"/>
      <c r="E146" s="161"/>
      <c r="F146" s="161"/>
      <c r="G146" s="207"/>
      <c r="H146" s="207"/>
      <c r="I146" s="1"/>
      <c r="J146" s="1"/>
      <c r="K146" s="1"/>
    </row>
    <row r="147" spans="1:13" s="53" customFormat="1" ht="15.75" hidden="1" customHeight="1" x14ac:dyDescent="0.35">
      <c r="A147" s="166" t="s">
        <v>150</v>
      </c>
      <c r="B147" s="166"/>
      <c r="C147" s="141"/>
      <c r="D147" s="141"/>
      <c r="E147" s="142"/>
      <c r="F147" s="142"/>
      <c r="G147" s="144"/>
      <c r="H147" s="144"/>
      <c r="I147" s="1"/>
      <c r="J147" s="1"/>
      <c r="K147" s="1"/>
      <c r="L147" s="125"/>
      <c r="M147" s="125"/>
    </row>
    <row r="148" spans="1:13" s="53" customFormat="1" ht="15.75" customHeight="1" x14ac:dyDescent="0.35">
      <c r="A148" s="143" t="s">
        <v>70</v>
      </c>
      <c r="B148" s="143"/>
      <c r="C148" s="143"/>
      <c r="D148" s="143"/>
      <c r="E148" s="143"/>
      <c r="F148" s="143"/>
      <c r="G148" s="143"/>
      <c r="H148" s="143"/>
      <c r="I148" s="1"/>
      <c r="J148" s="1"/>
      <c r="K148" s="1"/>
    </row>
    <row r="149" spans="1:13" s="53" customFormat="1" ht="15.75" customHeight="1" x14ac:dyDescent="0.35">
      <c r="A149" s="144" t="s">
        <v>53</v>
      </c>
      <c r="B149" s="144"/>
      <c r="C149" s="141" t="s">
        <v>79</v>
      </c>
      <c r="D149" s="141"/>
      <c r="E149" s="142" t="s">
        <v>54</v>
      </c>
      <c r="F149" s="142"/>
      <c r="G149" s="144" t="s">
        <v>55</v>
      </c>
      <c r="H149" s="144"/>
      <c r="I149" s="1"/>
      <c r="J149" s="1"/>
      <c r="K149" s="1"/>
    </row>
    <row r="150" spans="1:13" s="53" customFormat="1" x14ac:dyDescent="0.35">
      <c r="A150" s="133" t="s">
        <v>205</v>
      </c>
      <c r="B150" s="133"/>
      <c r="C150" s="245">
        <f>COUNT(D161)+COUNT(D163:D167)*14+COUNT(D169:D173)*8</f>
        <v>111</v>
      </c>
      <c r="D150" s="246"/>
      <c r="E150" s="245">
        <f>SUM(D161)+SUM(D163:D167)*14+SUM(D169:D173)*8</f>
        <v>72857.933740799985</v>
      </c>
      <c r="F150" s="246"/>
      <c r="G150" s="245">
        <f>SUM(F161)+SUM(F163:F167)*14+SUM(F169:F173)*8</f>
        <v>116572.69398528</v>
      </c>
      <c r="H150" s="246"/>
      <c r="I150" s="4"/>
      <c r="J150" s="4"/>
      <c r="K150" s="4"/>
    </row>
    <row r="151" spans="1:13" s="56" customFormat="1" ht="15.75" customHeight="1" x14ac:dyDescent="0.35">
      <c r="A151" s="133" t="s">
        <v>175</v>
      </c>
      <c r="B151" s="133"/>
      <c r="C151" s="134">
        <f>COUNT(D176)+COUNT(D178:D181)*19+COUNT(D183,D185:D186)*2+COUNT(D188,D190:D191)</f>
        <v>86</v>
      </c>
      <c r="D151" s="134"/>
      <c r="E151" s="135">
        <f>SUM(D176)+SUM(D178:D181)*19+SUM(D183,D185:D186)*2+SUM(D188,D190:D191)</f>
        <v>67277.232453599994</v>
      </c>
      <c r="F151" s="135"/>
      <c r="G151" s="135">
        <f>SUM(F176)+SUM(F178:F181)*19+SUM(F183,F185:F186)*2+SUM(F188,F190:F191)</f>
        <v>107643.57192576001</v>
      </c>
      <c r="H151" s="135"/>
      <c r="I151" s="3"/>
      <c r="J151" s="3"/>
      <c r="K151" s="3"/>
      <c r="L151" s="125"/>
      <c r="M151" s="125"/>
    </row>
    <row r="152" spans="1:13" s="56" customFormat="1" x14ac:dyDescent="0.35">
      <c r="A152" s="112" t="s">
        <v>178</v>
      </c>
      <c r="B152" s="112"/>
      <c r="C152" s="112">
        <f>COUNT(D194)+COUNT(D196:D199)+COUNT(D201:D204)*18+COUNT(D206:D207,D209)*2+COUNT(D211:D212,D214)</f>
        <v>86</v>
      </c>
      <c r="D152" s="112"/>
      <c r="E152" s="113">
        <f>SUM(D194)+SUM(D196:D199)+SUM(D201:D204)*18+SUM(D206:D207,D209)*2+SUM(D211:D212,D214)</f>
        <v>68374.697601599997</v>
      </c>
      <c r="F152" s="113"/>
      <c r="G152" s="113">
        <f>SUM(F194)+SUM(F196:F199)+SUM(F201:F204)*18+SUM(F206:F207,F209)*2+SUM(F211:F212,F214)</f>
        <v>109399.51616255999</v>
      </c>
      <c r="H152" s="113"/>
      <c r="I152" s="25"/>
      <c r="J152" s="3"/>
      <c r="K152" s="3"/>
    </row>
    <row r="153" spans="1:13" s="82" customFormat="1" ht="16" thickBot="1" x14ac:dyDescent="0.4">
      <c r="A153" s="112" t="s">
        <v>249</v>
      </c>
      <c r="B153" s="112"/>
      <c r="C153" s="112">
        <f>COUNT(D219:D220)*14+COUNT(D222)*2+COUNT(D225:D226)</f>
        <v>32</v>
      </c>
      <c r="D153" s="112"/>
      <c r="E153" s="113">
        <f>SUM(D219:D220)*14+SUM(D222)*2+SUM(D225:D226)</f>
        <v>62959.680108</v>
      </c>
      <c r="F153" s="113"/>
      <c r="G153" s="113">
        <f>SUM(F219:F220)*14+SUM(F222)*2+SUM(F225:F226)</f>
        <v>100735.4881728</v>
      </c>
      <c r="H153" s="113"/>
      <c r="I153" s="25"/>
      <c r="J153" s="3"/>
      <c r="K153" s="3"/>
    </row>
    <row r="154" spans="1:13" s="56" customFormat="1" ht="15.75" customHeight="1" x14ac:dyDescent="0.35">
      <c r="A154" s="258" t="s">
        <v>150</v>
      </c>
      <c r="B154" s="259"/>
      <c r="C154" s="260">
        <f t="shared" ref="C154:G154" si="0">SUM(C150:D153)</f>
        <v>315</v>
      </c>
      <c r="D154" s="261"/>
      <c r="E154" s="262">
        <f>SUM(E150:F153)</f>
        <v>271469.54390399996</v>
      </c>
      <c r="F154" s="263"/>
      <c r="G154" s="262">
        <f t="shared" si="0"/>
        <v>434351.27024639997</v>
      </c>
      <c r="H154" s="264"/>
      <c r="I154" s="25"/>
      <c r="J154" s="2"/>
      <c r="K154" s="2"/>
      <c r="L154" s="51">
        <f>82.44-K168</f>
        <v>5.223700000000008</v>
      </c>
    </row>
    <row r="155" spans="1:13" s="56" customFormat="1" ht="15.75" customHeight="1" x14ac:dyDescent="0.35">
      <c r="A155" s="140" t="s">
        <v>212</v>
      </c>
      <c r="B155" s="140"/>
      <c r="C155" s="140"/>
      <c r="D155" s="140"/>
      <c r="E155" s="140"/>
      <c r="F155" s="140"/>
      <c r="G155" s="140"/>
      <c r="H155" s="140"/>
      <c r="I155" s="4"/>
      <c r="J155" s="4"/>
      <c r="K155" s="4"/>
      <c r="L155" s="51">
        <f>2.35*1.23+2.45*1.43</f>
        <v>6.3940000000000001</v>
      </c>
    </row>
    <row r="156" spans="1:13" s="56" customFormat="1" ht="15.75" customHeight="1" x14ac:dyDescent="0.35">
      <c r="A156" s="140" t="s">
        <v>56</v>
      </c>
      <c r="B156" s="140"/>
      <c r="C156" s="140"/>
      <c r="D156" s="140"/>
      <c r="E156" s="140"/>
      <c r="F156" s="140"/>
      <c r="G156" s="140"/>
      <c r="H156" s="140"/>
      <c r="I156" s="25"/>
      <c r="J156" s="51"/>
      <c r="K156" s="51"/>
    </row>
    <row r="157" spans="1:13" s="56" customFormat="1" ht="51" customHeight="1" x14ac:dyDescent="0.35">
      <c r="A157" s="265" t="s">
        <v>118</v>
      </c>
      <c r="B157" s="265" t="s">
        <v>119</v>
      </c>
      <c r="C157" s="265" t="s">
        <v>57</v>
      </c>
      <c r="D157" s="265" t="s">
        <v>58</v>
      </c>
      <c r="E157" s="266" t="s">
        <v>59</v>
      </c>
      <c r="F157" s="267" t="s">
        <v>149</v>
      </c>
      <c r="G157" s="265" t="s">
        <v>60</v>
      </c>
      <c r="H157" s="265"/>
      <c r="I157" s="56">
        <v>1</v>
      </c>
    </row>
    <row r="158" spans="1:13" s="56" customFormat="1" ht="15.75" customHeight="1" x14ac:dyDescent="0.35">
      <c r="A158" s="265"/>
      <c r="B158" s="265"/>
      <c r="C158" s="265"/>
      <c r="D158" s="265"/>
      <c r="E158" s="266"/>
      <c r="F158" s="268">
        <v>0.6</v>
      </c>
      <c r="G158" s="265"/>
      <c r="H158" s="265"/>
      <c r="I158" s="25">
        <f>5.58*3.2+2.75*2.28+3.55*3.05+3*3.05+0.78+1.65+1.52*2.23+0.83*0.55+0.83*0.93+0.6*1.33+1.52*1.53+1.38*2.38</f>
        <v>57.5595</v>
      </c>
      <c r="J158" s="75">
        <f>1.08*2.38</f>
        <v>2.5704000000000002</v>
      </c>
      <c r="K158" s="54">
        <f>I158+J158</f>
        <v>60.129899999999999</v>
      </c>
    </row>
    <row r="159" spans="1:13" s="56" customFormat="1" ht="15.75" customHeight="1" x14ac:dyDescent="0.35">
      <c r="A159" s="160" t="s">
        <v>205</v>
      </c>
      <c r="B159" s="160"/>
      <c r="C159" s="160"/>
      <c r="D159" s="160"/>
      <c r="E159" s="160"/>
      <c r="F159" s="160"/>
      <c r="G159" s="160"/>
      <c r="H159" s="160"/>
      <c r="I159" s="69">
        <v>10.763999999999999</v>
      </c>
      <c r="J159" s="4">
        <v>14</v>
      </c>
      <c r="K159" s="4"/>
    </row>
    <row r="160" spans="1:13" s="2" customFormat="1" x14ac:dyDescent="0.35">
      <c r="A160" s="99" t="s">
        <v>206</v>
      </c>
      <c r="B160" s="99"/>
      <c r="C160" s="99"/>
      <c r="D160" s="99"/>
      <c r="E160" s="99"/>
      <c r="F160" s="99"/>
      <c r="G160" s="99"/>
      <c r="H160" s="99"/>
      <c r="I160" s="25">
        <f>5.58*3.2+2.75*2.28+3.55*3.05+3*3.05+0.78+1.65+1.52*2.23+0.83*0.55+0.83*0.93+0.6*1.33+1.52*1.53+1.38*2.38</f>
        <v>57.5595</v>
      </c>
      <c r="J160" s="51">
        <f>1.08*2.38</f>
        <v>2.5704000000000002</v>
      </c>
      <c r="K160" s="54">
        <f>I160+J160</f>
        <v>60.129899999999999</v>
      </c>
    </row>
    <row r="161" spans="1:11" s="1" customFormat="1" x14ac:dyDescent="0.35">
      <c r="A161" s="101">
        <v>1</v>
      </c>
      <c r="B161" s="101"/>
      <c r="C161" s="98" t="s">
        <v>167</v>
      </c>
      <c r="D161" s="80">
        <f>(57.98+1.08*2.38)*10.764</f>
        <v>651.76450559999989</v>
      </c>
      <c r="E161" s="98">
        <v>0</v>
      </c>
      <c r="F161" s="97">
        <f>D161*(($F$158)+1)+(IF(E161&lt;101,E161,IF(E161&lt;201,E161/2,IF(E161&lt;=301,E161/3,E161/4))))</f>
        <v>1042.8232089599999</v>
      </c>
      <c r="G161" s="100" t="str">
        <f>A160</f>
        <v>Ground Floor For Entrance Lobby, Society Office, Meter Room &amp; Parking</v>
      </c>
      <c r="H161" s="100"/>
      <c r="I161" s="25"/>
      <c r="J161" s="51"/>
      <c r="K161" s="51"/>
    </row>
    <row r="162" spans="1:11" s="1" customFormat="1" ht="42.75" customHeight="1" x14ac:dyDescent="0.35">
      <c r="A162" s="99" t="s">
        <v>227</v>
      </c>
      <c r="B162" s="99"/>
      <c r="C162" s="99"/>
      <c r="D162" s="99"/>
      <c r="E162" s="99"/>
      <c r="F162" s="99"/>
      <c r="G162" s="99"/>
      <c r="H162" s="99"/>
      <c r="I162" s="25"/>
      <c r="J162" s="51"/>
      <c r="K162" s="51"/>
    </row>
    <row r="163" spans="1:11" s="1" customFormat="1" x14ac:dyDescent="0.35">
      <c r="A163" s="105">
        <v>1</v>
      </c>
      <c r="B163" s="106"/>
      <c r="C163" s="52" t="s">
        <v>167</v>
      </c>
      <c r="D163" s="69">
        <f>(57.98+1.08*2.38)*10.764</f>
        <v>651.76450559999989</v>
      </c>
      <c r="E163" s="52">
        <v>0</v>
      </c>
      <c r="F163" s="52">
        <f>D163*(($F$158)+1)+(IF(E163&lt;101,E163,IF(E163&lt;201,E163/2,IF(E163&lt;=301,E163/3,E163/4))))</f>
        <v>1042.8232089599999</v>
      </c>
      <c r="G163" s="108" t="str">
        <f>A162</f>
        <v>1st to 6th, 8th, 10th, 12th Floor
 14th, 16th, 18th, 20th &amp; 22nd Floor (15th, 17th, 19th, 21st &amp; 23rd Floor As per Builder)</v>
      </c>
      <c r="H163" s="109"/>
      <c r="I163" s="25">
        <f>3.35*4.9+3.05*2.28+1.72*1.53+3.2*3.05+1.68*0.6+3.05*3.6+1.53*1.75+1.45*0.7+2.28*1.38+2.36*1.1</f>
        <v>57.183499999999995</v>
      </c>
      <c r="J163" s="51">
        <f>1.72*1.53</f>
        <v>2.6316000000000002</v>
      </c>
      <c r="K163" s="68">
        <f>I163+J163</f>
        <v>59.815099999999994</v>
      </c>
    </row>
    <row r="164" spans="1:11" s="1" customFormat="1" x14ac:dyDescent="0.35">
      <c r="A164" s="105">
        <v>2</v>
      </c>
      <c r="B164" s="106"/>
      <c r="C164" s="52" t="s">
        <v>167</v>
      </c>
      <c r="D164" s="69">
        <f>(58.22+1.08*2.38)*10.764</f>
        <v>654.34786559999998</v>
      </c>
      <c r="E164" s="52">
        <v>0</v>
      </c>
      <c r="F164" s="52">
        <f>D164*(($F$158)+1)+(IF(E164&lt;101,E164,IF(E164&lt;201,E164/2,IF(E164&lt;=301,E164/3,E164/4))))</f>
        <v>1046.9565849600001</v>
      </c>
      <c r="G164" s="138"/>
      <c r="H164" s="139"/>
      <c r="I164" s="53"/>
      <c r="J164" s="53"/>
      <c r="K164" s="53"/>
    </row>
    <row r="165" spans="1:11" s="1" customFormat="1" x14ac:dyDescent="0.35">
      <c r="A165" s="105">
        <v>3</v>
      </c>
      <c r="B165" s="106"/>
      <c r="C165" s="52" t="s">
        <v>167</v>
      </c>
      <c r="D165" s="69">
        <f>(58.22+1.08*2.38)*10.764</f>
        <v>654.34786559999998</v>
      </c>
      <c r="E165" s="52">
        <v>0</v>
      </c>
      <c r="F165" s="52">
        <f>D165*(($F$158)+1)+(IF(E165&lt;101,E165,IF(E165&lt;201,E165/2,IF(E165&lt;=301,E165/3,E165/4))))</f>
        <v>1046.9565849600001</v>
      </c>
      <c r="G165" s="138"/>
      <c r="H165" s="139"/>
      <c r="I165" s="53">
        <v>8</v>
      </c>
      <c r="J165" s="53"/>
      <c r="K165" s="53"/>
    </row>
    <row r="166" spans="1:11" s="1" customFormat="1" x14ac:dyDescent="0.35">
      <c r="A166" s="105">
        <v>4</v>
      </c>
      <c r="B166" s="106"/>
      <c r="C166" s="52" t="s">
        <v>167</v>
      </c>
      <c r="D166" s="69">
        <f>(58.76+1.72*1.53)*10.764</f>
        <v>660.81918239999993</v>
      </c>
      <c r="E166" s="52">
        <v>0</v>
      </c>
      <c r="F166" s="52">
        <f>D166*(($F$158)+1)+(IF(E166&lt;101,E166,IF(E166&lt;201,E166/2,IF(E166&lt;=301,E166/3,E166/4))))</f>
        <v>1057.3106918399999</v>
      </c>
      <c r="G166" s="138"/>
      <c r="H166" s="139"/>
      <c r="I166" s="25"/>
      <c r="J166" s="51"/>
      <c r="K166" s="51"/>
    </row>
    <row r="167" spans="1:11" s="1" customFormat="1" x14ac:dyDescent="0.35">
      <c r="A167" s="105">
        <v>5</v>
      </c>
      <c r="B167" s="106"/>
      <c r="C167" s="52" t="s">
        <v>167</v>
      </c>
      <c r="D167" s="69">
        <f>(58.76+1.72*1.53)*10.764</f>
        <v>660.81918239999993</v>
      </c>
      <c r="E167" s="52">
        <v>0</v>
      </c>
      <c r="F167" s="52">
        <f>D167*(($F$158)+1)+(IF(E167&lt;101,E167,IF(E167&lt;201,E167/2,IF(E167&lt;=301,E167/3,E167/4))))</f>
        <v>1057.3106918399999</v>
      </c>
      <c r="G167" s="138"/>
      <c r="H167" s="139"/>
      <c r="I167" s="25"/>
      <c r="J167" s="56"/>
      <c r="K167" s="56"/>
    </row>
    <row r="168" spans="1:11" s="1" customFormat="1" ht="45.75" customHeight="1" x14ac:dyDescent="0.35">
      <c r="A168" s="102" t="s">
        <v>231</v>
      </c>
      <c r="B168" s="103"/>
      <c r="C168" s="103"/>
      <c r="D168" s="103"/>
      <c r="E168" s="103"/>
      <c r="F168" s="103"/>
      <c r="G168" s="103"/>
      <c r="H168" s="104"/>
      <c r="I168" s="25"/>
      <c r="J168" s="25"/>
      <c r="K168" s="51">
        <f>3.35*5.52+0.93*2.63+2.35*3.05+3.2*3.05+2.23*0.6+2.4*1.52+0.93*1+0.9*1+3.3*2.65+3.2*3.65+1.52*2.45+2.38*0.6+2.43*1.53+2.5*0.9+1.1*0.9</f>
        <v>77.21629999999999</v>
      </c>
    </row>
    <row r="169" spans="1:11" s="1" customFormat="1" x14ac:dyDescent="0.35">
      <c r="A169" s="105">
        <v>1</v>
      </c>
      <c r="B169" s="106"/>
      <c r="C169" s="52" t="s">
        <v>167</v>
      </c>
      <c r="D169" s="69">
        <f>(57.98+1.08*2.38)*10.764</f>
        <v>651.76450559999989</v>
      </c>
      <c r="E169" s="52">
        <v>0</v>
      </c>
      <c r="F169" s="52">
        <f>D169*(($F$158)+1)+(IF(E169&lt;101,E169,IF(E169&lt;201,E169/2,IF(E169&lt;=301,E169/3,E169/4))))</f>
        <v>1042.8232089599999</v>
      </c>
      <c r="G169" s="108" t="str">
        <f>A168</f>
        <v xml:space="preserve">7th, 9th, 11th Floor 
13th, 15th, 17th, 19th &amp; 21st Floor (14th, 16th, 18th, 20th &amp; 22nd Floor as per Builder)
 (For Refuge Area at Mid Landing) </v>
      </c>
      <c r="H169" s="109"/>
      <c r="I169" s="25"/>
      <c r="J169" s="25" t="s">
        <v>180</v>
      </c>
      <c r="K169" s="51">
        <f>3.35*5.53+3.2*3.65+2.43*1.53+0.93*2.63+2.43*1.53+3.2*3.05+2.2*0.6+0.83*1+0.9*1+2.35*3.05</f>
        <v>60.064699999999995</v>
      </c>
    </row>
    <row r="170" spans="1:11" s="1" customFormat="1" x14ac:dyDescent="0.35">
      <c r="A170" s="105">
        <v>2</v>
      </c>
      <c r="B170" s="106"/>
      <c r="C170" s="52" t="s">
        <v>167</v>
      </c>
      <c r="D170" s="69">
        <f>(58.22+1.08*2.38)*10.764</f>
        <v>654.34786559999998</v>
      </c>
      <c r="E170" s="52">
        <v>0</v>
      </c>
      <c r="F170" s="52">
        <f>D170*(($F$158)+1)+(IF(E170&lt;101,E170,IF(E170&lt;201,E170/2,IF(E170&lt;=301,E170/3,E170/4))))</f>
        <v>1046.9565849600001</v>
      </c>
      <c r="G170" s="138"/>
      <c r="H170" s="139"/>
      <c r="I170" s="25"/>
      <c r="J170" s="56"/>
      <c r="K170" s="56"/>
    </row>
    <row r="171" spans="1:11" s="1" customFormat="1" x14ac:dyDescent="0.35">
      <c r="A171" s="105">
        <v>3</v>
      </c>
      <c r="B171" s="106"/>
      <c r="C171" s="52" t="s">
        <v>167</v>
      </c>
      <c r="D171" s="69">
        <f>(58.22+1.08*2.38)*10.764</f>
        <v>654.34786559999998</v>
      </c>
      <c r="E171" s="52">
        <v>0</v>
      </c>
      <c r="F171" s="52">
        <f>D171*(($F$158)+1)+(IF(E171&lt;101,E171,IF(E171&lt;201,E171/2,IF(E171&lt;=301,E171/3,E171/4))))</f>
        <v>1046.9565849600001</v>
      </c>
      <c r="G171" s="138"/>
      <c r="H171" s="139"/>
      <c r="I171" s="25"/>
      <c r="J171" s="53"/>
      <c r="K171" s="53"/>
    </row>
    <row r="172" spans="1:11" s="1" customFormat="1" x14ac:dyDescent="0.35">
      <c r="A172" s="105">
        <v>4</v>
      </c>
      <c r="B172" s="106"/>
      <c r="C172" s="52" t="s">
        <v>167</v>
      </c>
      <c r="D172" s="69">
        <f>(58.76+1.72*1.53)*10.764</f>
        <v>660.81918239999993</v>
      </c>
      <c r="E172" s="52">
        <v>0</v>
      </c>
      <c r="F172" s="52">
        <f>D172*(($F$158)+1)+(IF(E172&lt;101,E172,IF(E172&lt;201,E172/2,IF(E172&lt;=301,E172/3,E172/4))))</f>
        <v>1057.3106918399999</v>
      </c>
      <c r="G172" s="138"/>
      <c r="H172" s="139"/>
      <c r="I172" s="25"/>
      <c r="J172" s="53"/>
      <c r="K172" s="53"/>
    </row>
    <row r="173" spans="1:11" s="1" customFormat="1" x14ac:dyDescent="0.35">
      <c r="A173" s="105">
        <v>5</v>
      </c>
      <c r="B173" s="106"/>
      <c r="C173" s="52" t="s">
        <v>167</v>
      </c>
      <c r="D173" s="69">
        <f>(58.76+1.72*1.53)*10.764</f>
        <v>660.81918239999993</v>
      </c>
      <c r="E173" s="52">
        <v>0</v>
      </c>
      <c r="F173" s="52">
        <f>D173*(($F$158)+1)+(IF(E173&lt;101,E173,IF(E173&lt;201,E173/2,IF(E173&lt;=301,E173/3,E173/4))))</f>
        <v>1057.3106918399999</v>
      </c>
      <c r="G173" s="110"/>
      <c r="H173" s="111"/>
      <c r="I173" s="25">
        <f>3.35*5.52+0.93*2.63+2.35*3.05+0.1*1.8+3.2*3.05+2.23*0.6+2.4*1.52+0.9*1+0.93*1+3.3*2.65+3.2*3.65+1.52*2.45+2.38*0.6+1.1*0.9+2.43*1.53+2.5*0.9</f>
        <v>77.396299999999997</v>
      </c>
      <c r="J173" s="56">
        <f>2.35*1.42+3.35*1.67</f>
        <v>8.9314999999999998</v>
      </c>
      <c r="K173" s="56"/>
    </row>
    <row r="174" spans="1:11" x14ac:dyDescent="0.35">
      <c r="A174" s="160" t="s">
        <v>175</v>
      </c>
      <c r="B174" s="160"/>
      <c r="C174" s="160"/>
      <c r="D174" s="160"/>
      <c r="E174" s="160"/>
      <c r="F174" s="160"/>
      <c r="G174" s="160"/>
      <c r="H174" s="160"/>
      <c r="I174" s="25">
        <f>1.2*1.2+3.35*5.52+0.93*2.62+2.35*3.05+0.1*1.8+3.2*3.05+3.2*3.05+2.45*1.52+2.4*1.52+2.23*0.6+0.9*1+0.93*1</f>
        <v>59.776099999999992</v>
      </c>
      <c r="J174" s="56"/>
      <c r="K174" s="56"/>
    </row>
    <row r="175" spans="1:11" x14ac:dyDescent="0.35">
      <c r="A175" s="102" t="s">
        <v>214</v>
      </c>
      <c r="B175" s="103"/>
      <c r="C175" s="103"/>
      <c r="D175" s="103"/>
      <c r="E175" s="103"/>
      <c r="F175" s="103"/>
      <c r="G175" s="103"/>
      <c r="H175" s="104"/>
      <c r="I175" s="25"/>
      <c r="J175" s="56"/>
      <c r="K175" s="56"/>
    </row>
    <row r="176" spans="1:11" x14ac:dyDescent="0.35">
      <c r="A176" s="105">
        <v>4</v>
      </c>
      <c r="B176" s="106"/>
      <c r="C176" s="52" t="s">
        <v>166</v>
      </c>
      <c r="D176" s="52">
        <f>(82.44+2.35*1.42+3.35*1.67)*10.764</f>
        <v>983.5228259999999</v>
      </c>
      <c r="E176" s="52">
        <v>0</v>
      </c>
      <c r="F176" s="52">
        <f>D176*(($F$158)+1)+(IF(E176&lt;101,E176,IF(E176&lt;201,E176/2,IF(E176&lt;=301,E176/3,E176/4))))</f>
        <v>1573.6365215999999</v>
      </c>
      <c r="G176" s="164" t="str">
        <f>A175</f>
        <v>Ground Floor For Residential, Parking, Entrance Lobby, Meter &amp; Panel Room</v>
      </c>
      <c r="H176" s="139"/>
      <c r="I176" s="25"/>
      <c r="J176" s="56"/>
      <c r="K176" s="56"/>
    </row>
    <row r="177" spans="1:11" ht="42.75" customHeight="1" x14ac:dyDescent="0.35">
      <c r="A177" s="99" t="s">
        <v>230</v>
      </c>
      <c r="B177" s="99"/>
      <c r="C177" s="99"/>
      <c r="D177" s="99"/>
      <c r="E177" s="99"/>
      <c r="F177" s="99"/>
      <c r="G177" s="99"/>
      <c r="H177" s="99"/>
      <c r="I177" s="25"/>
      <c r="J177" s="56"/>
      <c r="K177" s="56"/>
    </row>
    <row r="178" spans="1:11" x14ac:dyDescent="0.35">
      <c r="A178" s="100">
        <v>1</v>
      </c>
      <c r="B178" s="100"/>
      <c r="C178" s="52" t="s">
        <v>167</v>
      </c>
      <c r="D178" s="52">
        <f>(66.08+2.45*1.43+2.35*1.23)*10.764</f>
        <v>780.11013600000001</v>
      </c>
      <c r="E178" s="52">
        <v>0</v>
      </c>
      <c r="F178" s="52">
        <f>D178*(($F$158)+1)+(IF(E178&lt;101,E178,IF(E178&lt;201,E178/2,IF(E178&lt;=301,E178/3,E178/4))))</f>
        <v>1248.1762176000002</v>
      </c>
      <c r="G178" s="100" t="str">
        <f>A177</f>
        <v>1st to 7th, 9th to 12th
13th 14th, 16th to 21st Floor (14th, 15th, 17th to 22nd Floor as per Builder)</v>
      </c>
      <c r="H178" s="100"/>
      <c r="I178" s="25"/>
      <c r="J178" s="56"/>
      <c r="K178" s="56"/>
    </row>
    <row r="179" spans="1:11" x14ac:dyDescent="0.35">
      <c r="A179" s="100">
        <v>2</v>
      </c>
      <c r="B179" s="100"/>
      <c r="C179" s="52" t="s">
        <v>167</v>
      </c>
      <c r="D179" s="52">
        <f>(66.08+2.45*1.43+2.35*1.23)*10.764</f>
        <v>780.11013600000001</v>
      </c>
      <c r="E179" s="52">
        <v>0</v>
      </c>
      <c r="F179" s="52">
        <f>D179*(($F$158)+1)+(IF(E179&lt;101,E179,IF(E179&lt;201,E179/2,IF(E179&lt;=301,E179/3,E179/4))))</f>
        <v>1248.1762176000002</v>
      </c>
      <c r="G179" s="100"/>
      <c r="H179" s="100"/>
      <c r="I179" s="25">
        <f>1.2*1.2+3.35*5.52+0.93*2.62+2.35*3.05+0.1*1.8+3.2*3.05+3.2*3.05+2.45*1.52+2.4*1.52+2.23*0.6+0.9*1+0.93*1</f>
        <v>59.776099999999992</v>
      </c>
      <c r="J179" s="56"/>
      <c r="K179" s="56"/>
    </row>
    <row r="180" spans="1:11" s="42" customFormat="1" x14ac:dyDescent="0.35">
      <c r="A180" s="100">
        <v>3</v>
      </c>
      <c r="B180" s="100"/>
      <c r="C180" s="52" t="s">
        <v>167</v>
      </c>
      <c r="D180" s="52">
        <f>(64.41+3.35*1.43+2.35*1.23)*10.764</f>
        <v>775.98752399999989</v>
      </c>
      <c r="E180" s="52">
        <v>0</v>
      </c>
      <c r="F180" s="52">
        <f>D180*(($F$158)+1)+(IF(E180&lt;101,E180,IF(E180&lt;201,E180/2,IF(E180&lt;=301,E180/3,E180/4))))</f>
        <v>1241.5800383999999</v>
      </c>
      <c r="G180" s="100"/>
      <c r="H180" s="100"/>
      <c r="I180" s="25"/>
      <c r="J180" s="56"/>
      <c r="K180" s="56"/>
    </row>
    <row r="181" spans="1:11" ht="15.75" customHeight="1" x14ac:dyDescent="0.35">
      <c r="A181" s="100">
        <v>4</v>
      </c>
      <c r="B181" s="100"/>
      <c r="C181" s="52" t="s">
        <v>167</v>
      </c>
      <c r="D181" s="52">
        <f>(64.41+3.35*1.43+2.35*1.23)*10.764</f>
        <v>775.98752399999989</v>
      </c>
      <c r="E181" s="52">
        <v>0</v>
      </c>
      <c r="F181" s="52">
        <f>D181*(($F$158)+1)+(IF(E181&lt;101,E181,IF(E181&lt;201,E181/2,IF(E181&lt;=301,E181/3,E181/4))))</f>
        <v>1241.5800383999999</v>
      </c>
      <c r="G181" s="100"/>
      <c r="H181" s="100"/>
      <c r="I181" s="25"/>
      <c r="J181" s="56"/>
      <c r="K181" s="56"/>
    </row>
    <row r="182" spans="1:11" ht="32.25" customHeight="1" x14ac:dyDescent="0.35">
      <c r="A182" s="99" t="s">
        <v>228</v>
      </c>
      <c r="B182" s="99"/>
      <c r="C182" s="99"/>
      <c r="D182" s="99"/>
      <c r="E182" s="99"/>
      <c r="F182" s="99"/>
      <c r="G182" s="99"/>
      <c r="H182" s="99"/>
      <c r="I182" s="25"/>
      <c r="J182" s="56"/>
      <c r="K182" s="56"/>
    </row>
    <row r="183" spans="1:11" x14ac:dyDescent="0.35">
      <c r="A183" s="105">
        <v>1</v>
      </c>
      <c r="B183" s="106"/>
      <c r="C183" s="52" t="s">
        <v>167</v>
      </c>
      <c r="D183" s="52">
        <f>(66.08+2.45*1.43+2.35*1.23)*10.764</f>
        <v>780.11013600000001</v>
      </c>
      <c r="E183" s="52">
        <v>0</v>
      </c>
      <c r="F183" s="52">
        <f>D183*(($F$158)+1)+(IF(E183&lt;101,E183,IF(E183&lt;201,E183/2,IF(E183&lt;=301,E183/3,E183/4))))</f>
        <v>1248.1762176000002</v>
      </c>
      <c r="G183" s="108" t="str">
        <f>A182</f>
        <v>8th Floor 
15th Floor (16th Floor as per Builder) (Part Refuge Area)</v>
      </c>
      <c r="H183" s="109"/>
      <c r="I183" s="25"/>
      <c r="J183" s="56"/>
      <c r="K183" s="56"/>
    </row>
    <row r="184" spans="1:11" x14ac:dyDescent="0.35">
      <c r="A184" s="105">
        <v>2</v>
      </c>
      <c r="B184" s="106"/>
      <c r="C184" s="105" t="s">
        <v>168</v>
      </c>
      <c r="D184" s="107"/>
      <c r="E184" s="107"/>
      <c r="F184" s="106"/>
      <c r="G184" s="138"/>
      <c r="H184" s="139"/>
      <c r="I184" s="25">
        <f>1.2*1.2+3.35*5.52+0.93*2.62+2.35*3.05+0.1*1.8+3.2*3.05+3.2*3.05+2.45*1.52+2.4*1.52+2.23*0.6+0.9*1+0.93*1</f>
        <v>59.776099999999992</v>
      </c>
      <c r="J184" s="56"/>
      <c r="K184" s="56"/>
    </row>
    <row r="185" spans="1:11" x14ac:dyDescent="0.35">
      <c r="A185" s="105">
        <v>3</v>
      </c>
      <c r="B185" s="106"/>
      <c r="C185" s="52" t="s">
        <v>167</v>
      </c>
      <c r="D185" s="52">
        <f>(64.41+3.35*1.43+2.35*1.23)*10.764</f>
        <v>775.98752399999989</v>
      </c>
      <c r="E185" s="52">
        <v>0</v>
      </c>
      <c r="F185" s="52">
        <f>D185*(($F$158)+1)+(IF(E185&lt;101,E185,IF(E185&lt;201,E185/2,IF(E185&lt;=301,E185/3,E185/4))))</f>
        <v>1241.5800383999999</v>
      </c>
      <c r="G185" s="138"/>
      <c r="H185" s="139"/>
      <c r="I185" s="25"/>
      <c r="J185" s="56"/>
      <c r="K185" s="56"/>
    </row>
    <row r="186" spans="1:11" ht="15.75" customHeight="1" x14ac:dyDescent="0.35">
      <c r="A186" s="105">
        <v>4</v>
      </c>
      <c r="B186" s="106"/>
      <c r="C186" s="52" t="s">
        <v>167</v>
      </c>
      <c r="D186" s="52">
        <f>(64.41+3.35*1.43+2.35*1.23)*10.764</f>
        <v>775.98752399999989</v>
      </c>
      <c r="E186" s="52">
        <v>0</v>
      </c>
      <c r="F186" s="52">
        <f>D186*(($F$158)+1)+(IF(E186&lt;101,E186,IF(E186&lt;201,E186/2,IF(E186&lt;=301,E186/3,E186/4))))</f>
        <v>1241.5800383999999</v>
      </c>
      <c r="G186" s="110"/>
      <c r="H186" s="111"/>
      <c r="I186" s="25"/>
      <c r="J186" s="56"/>
      <c r="K186" s="56"/>
    </row>
    <row r="187" spans="1:11" ht="36" customHeight="1" x14ac:dyDescent="0.35">
      <c r="A187" s="102" t="s">
        <v>229</v>
      </c>
      <c r="B187" s="103"/>
      <c r="C187" s="103"/>
      <c r="D187" s="103"/>
      <c r="E187" s="103"/>
      <c r="F187" s="103"/>
      <c r="G187" s="103"/>
      <c r="H187" s="104"/>
      <c r="I187" s="25"/>
      <c r="J187" s="56"/>
      <c r="K187" s="56"/>
    </row>
    <row r="188" spans="1:11" x14ac:dyDescent="0.35">
      <c r="A188" s="105">
        <v>1</v>
      </c>
      <c r="B188" s="106"/>
      <c r="C188" s="52" t="s">
        <v>181</v>
      </c>
      <c r="D188" s="52">
        <f>(66.08+3.2*3.65+2.43*1.53+2.45*1.43+2.35*1.23)*10.764</f>
        <v>945.85313159999987</v>
      </c>
      <c r="E188" s="52">
        <v>0</v>
      </c>
      <c r="F188" s="52">
        <f>D188*(($F$158)+1)+(IF(E188&lt;101,E188,IF(E188&lt;201,E188/2,IF(E188&lt;=301,E188/3,E188/4))))</f>
        <v>1513.36501056</v>
      </c>
      <c r="G188" s="108" t="str">
        <f>A187</f>
        <v>22nd Floor  (23rd Floor as per Builder)
 (Part Refuge Area)</v>
      </c>
      <c r="H188" s="109"/>
      <c r="I188" s="25"/>
      <c r="J188" s="2"/>
      <c r="K188" s="2"/>
    </row>
    <row r="189" spans="1:11" x14ac:dyDescent="0.35">
      <c r="A189" s="105">
        <v>2</v>
      </c>
      <c r="B189" s="106"/>
      <c r="C189" s="105" t="s">
        <v>168</v>
      </c>
      <c r="D189" s="107"/>
      <c r="E189" s="107"/>
      <c r="F189" s="106"/>
      <c r="G189" s="138"/>
      <c r="H189" s="139"/>
      <c r="I189" s="1"/>
      <c r="J189" s="1"/>
      <c r="K189" s="1"/>
    </row>
    <row r="190" spans="1:11" ht="15" customHeight="1" x14ac:dyDescent="0.35">
      <c r="A190" s="105">
        <v>3</v>
      </c>
      <c r="B190" s="106"/>
      <c r="C190" s="52" t="s">
        <v>167</v>
      </c>
      <c r="D190" s="52">
        <f>(64.41+3.35*1.43+2.35*1.23)*10.764</f>
        <v>775.98752399999989</v>
      </c>
      <c r="E190" s="52">
        <v>0</v>
      </c>
      <c r="F190" s="52">
        <f>D190*(($F$158)+1)+(IF(E190&lt;101,E190,IF(E190&lt;201,E190/2,IF(E190&lt;=301,E190/3,E190/4))))</f>
        <v>1241.5800383999999</v>
      </c>
      <c r="G190" s="138"/>
      <c r="H190" s="139"/>
      <c r="I190" s="1"/>
      <c r="J190" s="1"/>
      <c r="K190" s="1"/>
    </row>
    <row r="191" spans="1:11" x14ac:dyDescent="0.35">
      <c r="A191" s="105">
        <v>4</v>
      </c>
      <c r="B191" s="106"/>
      <c r="C191" s="52" t="s">
        <v>167</v>
      </c>
      <c r="D191" s="52">
        <f>(64.41+3.35*1.43+2.35*1.23)*10.764</f>
        <v>775.98752399999989</v>
      </c>
      <c r="E191" s="52">
        <v>0</v>
      </c>
      <c r="F191" s="52">
        <f>D191*(($F$158)+1)+(IF(E191&lt;101,E191,IF(E191&lt;201,E191/2,IF(E191&lt;=301,E191/3,E191/4))))</f>
        <v>1241.5800383999999</v>
      </c>
      <c r="G191" s="110"/>
      <c r="H191" s="111"/>
      <c r="I191" s="1"/>
      <c r="J191" s="1"/>
      <c r="K191" s="1"/>
    </row>
    <row r="192" spans="1:11" x14ac:dyDescent="0.35">
      <c r="A192" s="160" t="s">
        <v>178</v>
      </c>
      <c r="B192" s="160"/>
      <c r="C192" s="160"/>
      <c r="D192" s="160"/>
      <c r="E192" s="160"/>
      <c r="F192" s="160"/>
      <c r="G192" s="160"/>
      <c r="H192" s="160"/>
      <c r="I192" s="1"/>
      <c r="J192" s="1"/>
      <c r="K192" s="1"/>
    </row>
    <row r="193" spans="1:11" x14ac:dyDescent="0.35">
      <c r="A193" s="99" t="s">
        <v>213</v>
      </c>
      <c r="B193" s="99"/>
      <c r="C193" s="99"/>
      <c r="D193" s="99"/>
      <c r="E193" s="99"/>
      <c r="F193" s="99"/>
      <c r="G193" s="99"/>
      <c r="H193" s="99"/>
      <c r="I193" s="1"/>
      <c r="J193" s="1"/>
      <c r="K193" s="1"/>
    </row>
    <row r="194" spans="1:11" x14ac:dyDescent="0.35">
      <c r="A194" s="100">
        <v>1</v>
      </c>
      <c r="B194" s="100"/>
      <c r="C194" s="97" t="s">
        <v>166</v>
      </c>
      <c r="D194" s="97">
        <f>(82.44+2.35*1.43+3.35*1.68)*10.764</f>
        <v>984.13637399999993</v>
      </c>
      <c r="E194" s="97">
        <v>0</v>
      </c>
      <c r="F194" s="97">
        <f>D194*(($F$158)+1)+(IF(E194&lt;101,E194,IF(E194&lt;201,E194/2,IF(E194&lt;=301,E194/3,E194/4))))</f>
        <v>1574.6181984</v>
      </c>
      <c r="G194" s="100" t="str">
        <f>A193</f>
        <v>Ground Floor For Residential, Parking, Society Office, Meter &amp; Panel Room</v>
      </c>
      <c r="H194" s="100"/>
      <c r="I194" s="1"/>
      <c r="J194" s="1"/>
      <c r="K194" s="1"/>
    </row>
    <row r="195" spans="1:11" x14ac:dyDescent="0.35">
      <c r="A195" s="99" t="s">
        <v>182</v>
      </c>
      <c r="B195" s="99"/>
      <c r="C195" s="99"/>
      <c r="D195" s="99"/>
      <c r="E195" s="99"/>
      <c r="F195" s="99"/>
      <c r="G195" s="99"/>
      <c r="H195" s="99"/>
      <c r="I195" s="1"/>
      <c r="J195" s="1"/>
      <c r="K195" s="1"/>
    </row>
    <row r="196" spans="1:11" x14ac:dyDescent="0.35">
      <c r="A196" s="100">
        <v>1</v>
      </c>
      <c r="B196" s="100"/>
      <c r="C196" s="97" t="s">
        <v>167</v>
      </c>
      <c r="D196" s="97">
        <f>(66.08+3.35*1.68+2.35*1.43)*10.764</f>
        <v>808.03733399999999</v>
      </c>
      <c r="E196" s="97">
        <v>0</v>
      </c>
      <c r="F196" s="97">
        <f>D196*(($F$158)+1)+(IF(E196&lt;101,E196,IF(E196&lt;201,E196/2,IF(E196&lt;=301,E196/3,E196/4))))</f>
        <v>1292.8597344</v>
      </c>
      <c r="G196" s="100" t="str">
        <f>A195</f>
        <v>1st Floor For Residential</v>
      </c>
      <c r="H196" s="100"/>
      <c r="I196" s="1"/>
      <c r="J196" s="1"/>
      <c r="K196" s="1"/>
    </row>
    <row r="197" spans="1:11" x14ac:dyDescent="0.35">
      <c r="A197" s="100">
        <v>2</v>
      </c>
      <c r="B197" s="100"/>
      <c r="C197" s="97" t="s">
        <v>167</v>
      </c>
      <c r="D197" s="97">
        <f>(66.08+3.35*1.68+2.35*1.43)*10.764</f>
        <v>808.03733399999999</v>
      </c>
      <c r="E197" s="97">
        <v>0</v>
      </c>
      <c r="F197" s="97">
        <f>D197*(($F$158)+1)+(IF(E197&lt;101,E197,IF(E197&lt;201,E197/2,IF(E197&lt;=301,E197/3,E197/4))))</f>
        <v>1292.8597344</v>
      </c>
      <c r="G197" s="100"/>
      <c r="H197" s="100"/>
      <c r="I197" s="1"/>
      <c r="J197" s="1"/>
      <c r="K197" s="1"/>
    </row>
    <row r="198" spans="1:11" x14ac:dyDescent="0.35">
      <c r="A198" s="100">
        <v>3</v>
      </c>
      <c r="B198" s="100"/>
      <c r="C198" s="97" t="s">
        <v>167</v>
      </c>
      <c r="D198" s="97">
        <f>(64.41+2.45*1.63+2.35*1.43)*10.764</f>
        <v>772.46769599999993</v>
      </c>
      <c r="E198" s="97">
        <v>0</v>
      </c>
      <c r="F198" s="97">
        <f>D198*(($F$158)+1)+(IF(E198&lt;101,E198,IF(E198&lt;201,E198/2,IF(E198&lt;=301,E198/3,E198/4))))</f>
        <v>1235.9483135999999</v>
      </c>
      <c r="G198" s="100"/>
      <c r="H198" s="100"/>
      <c r="I198" s="1"/>
      <c r="J198" s="1"/>
      <c r="K198" s="1"/>
    </row>
    <row r="199" spans="1:11" x14ac:dyDescent="0.35">
      <c r="A199" s="100">
        <v>4</v>
      </c>
      <c r="B199" s="100"/>
      <c r="C199" s="97" t="s">
        <v>167</v>
      </c>
      <c r="D199" s="97">
        <f>(64.41+2.45*1.63+2.35*1.43)*10.764</f>
        <v>772.46769599999993</v>
      </c>
      <c r="E199" s="97">
        <v>0</v>
      </c>
      <c r="F199" s="97">
        <f>D199*(($F$158)+1)+(IF(E199&lt;101,E199,IF(E199&lt;201,E199/2,IF(E199&lt;=301,E199/3,E199/4))))</f>
        <v>1235.9483135999999</v>
      </c>
      <c r="G199" s="100"/>
      <c r="H199" s="100"/>
      <c r="I199" s="1"/>
      <c r="J199" s="1"/>
      <c r="K199" s="1"/>
    </row>
    <row r="200" spans="1:11" ht="30" customHeight="1" x14ac:dyDescent="0.35">
      <c r="A200" s="99" t="s">
        <v>230</v>
      </c>
      <c r="B200" s="99"/>
      <c r="C200" s="99"/>
      <c r="D200" s="99"/>
      <c r="E200" s="99"/>
      <c r="F200" s="99"/>
      <c r="G200" s="99"/>
      <c r="H200" s="99"/>
      <c r="I200"/>
      <c r="J200" s="1"/>
      <c r="K200" s="1"/>
    </row>
    <row r="201" spans="1:11" x14ac:dyDescent="0.35">
      <c r="A201" s="105">
        <v>1</v>
      </c>
      <c r="B201" s="106"/>
      <c r="C201" s="52" t="s">
        <v>167</v>
      </c>
      <c r="D201" s="52">
        <f>(66.08+3.35*1.68+2.35*1.43)*10.764</f>
        <v>808.03733399999999</v>
      </c>
      <c r="E201" s="52">
        <v>0</v>
      </c>
      <c r="F201" s="52">
        <f>D201*(($F$158)+1)+(IF(E201&lt;101,E201,IF(E201&lt;201,E201/2,IF(E201&lt;=301,E201/3,E201/4))))</f>
        <v>1292.8597344</v>
      </c>
      <c r="G201" s="108" t="str">
        <f>A200</f>
        <v>1st to 7th, 9th to 12th
13th 14th, 16th to 21st Floor (14th, 15th, 17th to 22nd Floor as per Builder)</v>
      </c>
      <c r="H201" s="109"/>
      <c r="I201" s="70"/>
      <c r="J201" s="1"/>
      <c r="K201" s="1"/>
    </row>
    <row r="202" spans="1:11" x14ac:dyDescent="0.35">
      <c r="A202" s="105">
        <v>2</v>
      </c>
      <c r="B202" s="106"/>
      <c r="C202" s="52" t="s">
        <v>167</v>
      </c>
      <c r="D202" s="52">
        <f>(66.08+3.35*1.68+2.35*1.43)*10.764</f>
        <v>808.03733399999999</v>
      </c>
      <c r="E202" s="52">
        <v>0</v>
      </c>
      <c r="F202" s="52">
        <f>D202*(($F$158)+1)+(IF(E202&lt;101,E202,IF(E202&lt;201,E202/2,IF(E202&lt;=301,E202/3,E202/4))))</f>
        <v>1292.8597344</v>
      </c>
      <c r="G202" s="138"/>
      <c r="H202" s="139"/>
      <c r="I202"/>
      <c r="J202" s="1"/>
      <c r="K202" s="1"/>
    </row>
    <row r="203" spans="1:11" x14ac:dyDescent="0.35">
      <c r="A203" s="105">
        <v>3</v>
      </c>
      <c r="B203" s="106"/>
      <c r="C203" s="52" t="s">
        <v>167</v>
      </c>
      <c r="D203" s="52">
        <f>(64.41+2.45*1.63+2.35*1.43)*10.764</f>
        <v>772.46769599999993</v>
      </c>
      <c r="E203" s="52">
        <v>0</v>
      </c>
      <c r="F203" s="52">
        <f>D203*(($F$158)+1)+(IF(E203&lt;101,E203,IF(E203&lt;201,E203/2,IF(E203&lt;=301,E203/3,E203/4))))</f>
        <v>1235.9483135999999</v>
      </c>
      <c r="G203" s="138"/>
      <c r="H203" s="139"/>
    </row>
    <row r="204" spans="1:11" x14ac:dyDescent="0.35">
      <c r="A204" s="105">
        <v>4</v>
      </c>
      <c r="B204" s="106"/>
      <c r="C204" s="52" t="s">
        <v>167</v>
      </c>
      <c r="D204" s="52">
        <f>(64.41+2.45*1.63+2.35*1.43)*10.764</f>
        <v>772.46769599999993</v>
      </c>
      <c r="E204" s="52">
        <v>0</v>
      </c>
      <c r="F204" s="52">
        <f>D204*(($F$158)+1)+(IF(E204&lt;101,E204,IF(E204&lt;201,E204/2,IF(E204&lt;=301,E204/3,E204/4))))</f>
        <v>1235.9483135999999</v>
      </c>
      <c r="G204" s="110"/>
      <c r="H204" s="111"/>
    </row>
    <row r="205" spans="1:11" x14ac:dyDescent="0.35">
      <c r="A205" s="102" t="s">
        <v>228</v>
      </c>
      <c r="B205" s="103"/>
      <c r="C205" s="103"/>
      <c r="D205" s="103"/>
      <c r="E205" s="103"/>
      <c r="F205" s="103"/>
      <c r="G205" s="103"/>
      <c r="H205" s="104"/>
    </row>
    <row r="206" spans="1:11" x14ac:dyDescent="0.35">
      <c r="A206" s="105">
        <v>1</v>
      </c>
      <c r="B206" s="106"/>
      <c r="C206" s="52" t="s">
        <v>167</v>
      </c>
      <c r="D206" s="52">
        <f>(66.08+3.35*1.68+2.35*1.43)*10.764</f>
        <v>808.03733399999999</v>
      </c>
      <c r="E206" s="52">
        <v>0</v>
      </c>
      <c r="F206" s="52">
        <f>D206*(($F$158)+1)+(IF(E206&lt;101,E206,IF(E206&lt;201,E206/2,IF(E206&lt;=301,E206/3,E206/4))))</f>
        <v>1292.8597344</v>
      </c>
      <c r="G206" s="108" t="str">
        <f>A205</f>
        <v>8th Floor 
15th Floor (16th Floor as per Builder) (Part Refuge Area)</v>
      </c>
      <c r="H206" s="109"/>
    </row>
    <row r="207" spans="1:11" x14ac:dyDescent="0.35">
      <c r="A207" s="105">
        <v>2</v>
      </c>
      <c r="B207" s="106"/>
      <c r="C207" s="52" t="s">
        <v>167</v>
      </c>
      <c r="D207" s="52">
        <f>(66.08+3.35*1.68+2.35*1.43)*10.764</f>
        <v>808.03733399999999</v>
      </c>
      <c r="E207" s="52">
        <v>0</v>
      </c>
      <c r="F207" s="52">
        <f>D207*(($F$158)+1)+(IF(E207&lt;101,E207,IF(E207&lt;201,E207/2,IF(E207&lt;=301,E207/3,E207/4))))</f>
        <v>1292.8597344</v>
      </c>
      <c r="G207" s="138"/>
      <c r="H207" s="139"/>
    </row>
    <row r="208" spans="1:11" x14ac:dyDescent="0.35">
      <c r="A208" s="105">
        <v>3</v>
      </c>
      <c r="B208" s="106"/>
      <c r="C208" s="105" t="s">
        <v>168</v>
      </c>
      <c r="D208" s="107"/>
      <c r="E208" s="107"/>
      <c r="F208" s="106"/>
      <c r="G208" s="138"/>
      <c r="H208" s="139"/>
    </row>
    <row r="209" spans="1:9" x14ac:dyDescent="0.35">
      <c r="A209" s="105">
        <v>4</v>
      </c>
      <c r="B209" s="106"/>
      <c r="C209" s="52" t="s">
        <v>167</v>
      </c>
      <c r="D209" s="52">
        <f>(64.41+2.45*1.63+2.35*1.43)*10.764</f>
        <v>772.46769599999993</v>
      </c>
      <c r="E209" s="52">
        <v>0</v>
      </c>
      <c r="F209" s="52">
        <f>D209*(($F$158)+1)+(IF(E209&lt;101,E209,IF(E209&lt;201,E209/2,IF(E209&lt;=301,E209/3,E209/4))))</f>
        <v>1235.9483135999999</v>
      </c>
      <c r="G209" s="110"/>
      <c r="H209" s="111"/>
    </row>
    <row r="210" spans="1:9" ht="35.25" customHeight="1" x14ac:dyDescent="0.35">
      <c r="A210" s="102" t="s">
        <v>229</v>
      </c>
      <c r="B210" s="103"/>
      <c r="C210" s="103"/>
      <c r="D210" s="103"/>
      <c r="E210" s="103"/>
      <c r="F210" s="103"/>
      <c r="G210" s="103"/>
      <c r="H210" s="104"/>
    </row>
    <row r="211" spans="1:9" x14ac:dyDescent="0.35">
      <c r="A211" s="105">
        <v>1</v>
      </c>
      <c r="B211" s="106"/>
      <c r="C211" s="52" t="s">
        <v>167</v>
      </c>
      <c r="D211" s="52">
        <f>(66.08+3.35*1.68+2.35*1.43)*10.764</f>
        <v>808.03733399999999</v>
      </c>
      <c r="E211" s="52">
        <v>0</v>
      </c>
      <c r="F211" s="52">
        <f>D211*(($F$158)+1)+(IF(E211&lt;101,E211,IF(E211&lt;201,E211/2,IF(E211&lt;=301,E211/3,E211/4))))</f>
        <v>1292.8597344</v>
      </c>
      <c r="G211" s="108" t="str">
        <f>A210</f>
        <v>22nd Floor  (23rd Floor as per Builder)
 (Part Refuge Area)</v>
      </c>
      <c r="H211" s="109"/>
    </row>
    <row r="212" spans="1:9" x14ac:dyDescent="0.35">
      <c r="A212" s="105">
        <v>2</v>
      </c>
      <c r="B212" s="106"/>
      <c r="C212" s="52" t="s">
        <v>167</v>
      </c>
      <c r="D212" s="52">
        <f>(66.08+3.35*1.68+2.35*1.43)*10.764</f>
        <v>808.03733399999999</v>
      </c>
      <c r="E212" s="52">
        <v>0</v>
      </c>
      <c r="F212" s="52">
        <f>D212*(($F$158)+1)+(IF(E212&lt;101,E212,IF(E212&lt;201,E212/2,IF(E212&lt;=301,E212/3,E212/4))))</f>
        <v>1292.8597344</v>
      </c>
      <c r="G212" s="138"/>
      <c r="H212" s="139"/>
    </row>
    <row r="213" spans="1:9" x14ac:dyDescent="0.35">
      <c r="A213" s="105">
        <v>3</v>
      </c>
      <c r="B213" s="106"/>
      <c r="C213" s="105" t="s">
        <v>168</v>
      </c>
      <c r="D213" s="107"/>
      <c r="E213" s="107"/>
      <c r="F213" s="106"/>
      <c r="G213" s="138"/>
      <c r="H213" s="139"/>
    </row>
    <row r="214" spans="1:9" x14ac:dyDescent="0.35">
      <c r="A214" s="105">
        <v>4</v>
      </c>
      <c r="B214" s="106"/>
      <c r="C214" s="52" t="s">
        <v>181</v>
      </c>
      <c r="D214" s="52">
        <f>(64.41+3.2*3.65+2.43*1.53+2.45*1.63+2.35*1.43)*10.764</f>
        <v>938.21069160000002</v>
      </c>
      <c r="E214" s="52">
        <v>0</v>
      </c>
      <c r="F214" s="52">
        <f>D214*(($F$158)+1)+(IF(E214&lt;101,E214,IF(E214&lt;201,E214/2,IF(E214&lt;=301,E214/3,E214/4))))</f>
        <v>1501.1371065600001</v>
      </c>
      <c r="G214" s="110"/>
      <c r="H214" s="111"/>
    </row>
    <row r="215" spans="1:9" x14ac:dyDescent="0.35">
      <c r="A215" s="160" t="s">
        <v>249</v>
      </c>
      <c r="B215" s="160"/>
      <c r="C215" s="160"/>
      <c r="D215" s="160"/>
      <c r="E215" s="160"/>
      <c r="F215" s="160"/>
      <c r="G215" s="160"/>
      <c r="H215" s="160"/>
    </row>
    <row r="216" spans="1:9" x14ac:dyDescent="0.35">
      <c r="A216" s="102" t="s">
        <v>250</v>
      </c>
      <c r="B216" s="103"/>
      <c r="C216" s="103"/>
      <c r="D216" s="103"/>
      <c r="E216" s="103"/>
      <c r="F216" s="103"/>
      <c r="G216" s="103"/>
      <c r="H216" s="104"/>
    </row>
    <row r="217" spans="1:9" x14ac:dyDescent="0.35">
      <c r="A217" s="102" t="s">
        <v>261</v>
      </c>
      <c r="B217" s="103"/>
      <c r="C217" s="103"/>
      <c r="D217" s="103"/>
      <c r="E217" s="103"/>
      <c r="F217" s="103"/>
      <c r="G217" s="103"/>
      <c r="H217" s="104"/>
    </row>
    <row r="218" spans="1:9" ht="45.75" customHeight="1" x14ac:dyDescent="0.35">
      <c r="A218" s="99" t="s">
        <v>257</v>
      </c>
      <c r="B218" s="99"/>
      <c r="C218" s="99"/>
      <c r="D218" s="99"/>
      <c r="E218" s="99"/>
      <c r="F218" s="99"/>
      <c r="G218" s="99"/>
      <c r="H218" s="99"/>
      <c r="I218" s="3">
        <f>4+6+4</f>
        <v>14</v>
      </c>
    </row>
    <row r="219" spans="1:9" x14ac:dyDescent="0.35">
      <c r="A219" s="100">
        <v>1</v>
      </c>
      <c r="B219" s="100"/>
      <c r="C219" s="52" t="s">
        <v>251</v>
      </c>
      <c r="D219" s="88">
        <f>(159.3+(4.27*2.45+2.45*1.23))*(10.764)</f>
        <v>1859.7501</v>
      </c>
      <c r="E219" s="52">
        <v>0</v>
      </c>
      <c r="F219" s="52">
        <f>D219*(($F$158)+1)+(IF(E219&lt;101,E219,IF(E219&lt;201,E219/2,IF(E219&lt;=301,E219/3,E219/4))))</f>
        <v>2975.60016</v>
      </c>
      <c r="G219" s="100" t="str">
        <f>A218</f>
        <v xml:space="preserve">1st to 4th, 6th to 11th Floor
 13th to 16th Floor (14th to 17th Floor As per Builder)
For Residential </v>
      </c>
      <c r="H219" s="100"/>
    </row>
    <row r="220" spans="1:9" x14ac:dyDescent="0.35">
      <c r="A220" s="100">
        <v>2</v>
      </c>
      <c r="B220" s="100"/>
      <c r="C220" s="52" t="s">
        <v>251</v>
      </c>
      <c r="D220" s="88">
        <f>(159.21+(4.27*2.45+2.45*1.23))*(10.764)</f>
        <v>1858.78134</v>
      </c>
      <c r="E220" s="52">
        <v>0</v>
      </c>
      <c r="F220" s="52">
        <f>D220*(($F$158)+1)+(IF(E220&lt;101,E220,IF(E220&lt;201,E220/2,IF(E220&lt;=301,E220/3,E220/4))))</f>
        <v>2974.0501440000003</v>
      </c>
      <c r="G220" s="100"/>
      <c r="H220" s="100"/>
    </row>
    <row r="221" spans="1:9" x14ac:dyDescent="0.35">
      <c r="A221" s="99" t="s">
        <v>252</v>
      </c>
      <c r="B221" s="99"/>
      <c r="C221" s="99"/>
      <c r="D221" s="99"/>
      <c r="E221" s="99"/>
      <c r="F221" s="99"/>
      <c r="G221" s="99"/>
      <c r="H221" s="99"/>
    </row>
    <row r="222" spans="1:9" x14ac:dyDescent="0.35">
      <c r="A222" s="100">
        <v>1</v>
      </c>
      <c r="B222" s="100"/>
      <c r="C222" s="52" t="s">
        <v>253</v>
      </c>
      <c r="D222" s="88">
        <f>(225.53+(8.7*2.45+2.45*1.23))*(10.764)</f>
        <v>2689.4768939999999</v>
      </c>
      <c r="E222" s="88">
        <v>0</v>
      </c>
      <c r="F222" s="52">
        <f>D222*(($F$158)+1)+(IF(E222&lt;101,E222,IF(E222&lt;201,E222/2,IF(E222&lt;=301,E222/3,E222/4))))</f>
        <v>4303.1630304</v>
      </c>
      <c r="G222" s="100" t="str">
        <f>A221</f>
        <v xml:space="preserve">5th &amp; 12th Floor (Part Refuge Area) </v>
      </c>
      <c r="H222" s="100"/>
    </row>
    <row r="223" spans="1:9" x14ac:dyDescent="0.35">
      <c r="A223" s="100">
        <v>2</v>
      </c>
      <c r="B223" s="100"/>
      <c r="C223" s="100" t="s">
        <v>168</v>
      </c>
      <c r="D223" s="100"/>
      <c r="E223" s="100"/>
      <c r="F223" s="100"/>
      <c r="G223" s="100"/>
      <c r="H223" s="100"/>
    </row>
    <row r="224" spans="1:9" x14ac:dyDescent="0.35">
      <c r="A224" s="99" t="s">
        <v>256</v>
      </c>
      <c r="B224" s="99"/>
      <c r="C224" s="99"/>
      <c r="D224" s="99"/>
      <c r="E224" s="99"/>
      <c r="F224" s="99"/>
      <c r="G224" s="99"/>
      <c r="H224" s="99"/>
    </row>
    <row r="225" spans="1:15" ht="46.5" x14ac:dyDescent="0.35">
      <c r="A225" s="101">
        <v>1</v>
      </c>
      <c r="B225" s="101"/>
      <c r="C225" s="79" t="s">
        <v>254</v>
      </c>
      <c r="D225" s="89">
        <f>(159.3+83.7+(4.27*2.45+2.45*1.23))*(10.764)</f>
        <v>2760.6968999999999</v>
      </c>
      <c r="E225" s="52">
        <v>0</v>
      </c>
      <c r="F225" s="52">
        <f>D225*(($F$158)+1)+(IF(E225&lt;101,E225,IF(E225&lt;201,E225/2,IF(E225&lt;=301,E225/3,E225/4))))</f>
        <v>4417.1150399999997</v>
      </c>
      <c r="G225" s="100" t="str">
        <f>A224</f>
        <v>17th Floor (18th Floor As per Builder)</v>
      </c>
      <c r="H225" s="100"/>
    </row>
    <row r="226" spans="1:15" ht="46.5" x14ac:dyDescent="0.35">
      <c r="A226" s="101">
        <v>2</v>
      </c>
      <c r="B226" s="101"/>
      <c r="C226" s="79" t="s">
        <v>254</v>
      </c>
      <c r="D226" s="89">
        <f>(159.21+83.78++(4.27*2.45+2.45*1.23))*(10.764)</f>
        <v>2760.5892600000002</v>
      </c>
      <c r="E226" s="52">
        <v>0</v>
      </c>
      <c r="F226" s="52">
        <f>D226*(($F$158)+1)+(IF(E226&lt;101,E226,IF(E226&lt;201,E226/2,IF(E226&lt;=301,E226/3,E226/4))))</f>
        <v>4416.9428160000007</v>
      </c>
      <c r="G226" s="100"/>
      <c r="H226" s="100"/>
      <c r="I226" s="3">
        <f>159.21+83.78</f>
        <v>242.99</v>
      </c>
    </row>
    <row r="227" spans="1:15" x14ac:dyDescent="0.35">
      <c r="A227" s="102" t="s">
        <v>258</v>
      </c>
      <c r="B227" s="103"/>
      <c r="C227" s="103"/>
      <c r="D227" s="103"/>
      <c r="E227" s="103"/>
      <c r="F227" s="103"/>
      <c r="G227" s="103"/>
      <c r="H227" s="104"/>
    </row>
    <row r="228" spans="1:15" x14ac:dyDescent="0.35">
      <c r="A228" s="105">
        <v>1</v>
      </c>
      <c r="B228" s="106"/>
      <c r="C228" s="105" t="s">
        <v>255</v>
      </c>
      <c r="D228" s="107"/>
      <c r="E228" s="107"/>
      <c r="F228" s="106"/>
      <c r="G228" s="108" t="str">
        <f>A227</f>
        <v>18th Floor (19th Floor As per Builder)</v>
      </c>
      <c r="H228" s="109"/>
    </row>
    <row r="229" spans="1:15" x14ac:dyDescent="0.35">
      <c r="A229" s="105">
        <v>2</v>
      </c>
      <c r="B229" s="106"/>
      <c r="C229" s="105" t="s">
        <v>255</v>
      </c>
      <c r="D229" s="107"/>
      <c r="E229" s="107"/>
      <c r="F229" s="106"/>
      <c r="G229" s="110"/>
      <c r="H229" s="111"/>
    </row>
    <row r="230" spans="1:15" x14ac:dyDescent="0.35">
      <c r="A230" s="200" t="s">
        <v>68</v>
      </c>
      <c r="B230" s="200"/>
      <c r="C230" s="200"/>
      <c r="D230" s="200"/>
      <c r="E230" s="200"/>
      <c r="F230" s="200"/>
      <c r="G230" s="200"/>
      <c r="H230" s="200"/>
      <c r="L230" s="84"/>
      <c r="M230" s="84"/>
      <c r="N230" s="84"/>
      <c r="O230" s="85"/>
    </row>
    <row r="231" spans="1:15" ht="32" customHeight="1" x14ac:dyDescent="0.35">
      <c r="A231" s="38" t="s">
        <v>153</v>
      </c>
      <c r="B231" s="190" t="s">
        <v>271</v>
      </c>
      <c r="C231" s="191"/>
      <c r="D231" s="191"/>
      <c r="E231" s="191"/>
      <c r="F231" s="191"/>
      <c r="G231" s="191"/>
      <c r="H231" s="192"/>
    </row>
    <row r="232" spans="1:15" x14ac:dyDescent="0.35">
      <c r="A232" s="38" t="s">
        <v>153</v>
      </c>
      <c r="B232" s="190" t="str">
        <f>(IF(F157="Saleable area Loading :","We have considered Saleable area of Flats as per our Calculation.","We considered Saleable area of Flat as per Builder area Sheet."))</f>
        <v>We have considered Saleable area of Flats as per our Calculation.</v>
      </c>
      <c r="C232" s="191"/>
      <c r="D232" s="191"/>
      <c r="E232" s="191"/>
      <c r="F232" s="191"/>
      <c r="G232" s="191"/>
      <c r="H232" s="192"/>
    </row>
    <row r="233" spans="1:15" x14ac:dyDescent="0.35">
      <c r="A233" s="38" t="s">
        <v>153</v>
      </c>
      <c r="B233" s="187" t="s">
        <v>123</v>
      </c>
      <c r="C233" s="188"/>
      <c r="D233" s="188"/>
      <c r="E233" s="188"/>
      <c r="F233" s="188"/>
      <c r="G233" s="188"/>
      <c r="H233" s="189"/>
    </row>
    <row r="234" spans="1:15" x14ac:dyDescent="0.35">
      <c r="A234" s="38" t="s">
        <v>153</v>
      </c>
      <c r="B234" s="190" t="s">
        <v>215</v>
      </c>
      <c r="C234" s="191"/>
      <c r="D234" s="191"/>
      <c r="E234" s="191"/>
      <c r="F234" s="191"/>
      <c r="G234" s="191"/>
      <c r="H234" s="192"/>
    </row>
    <row r="235" spans="1:15" x14ac:dyDescent="0.35">
      <c r="A235" s="38" t="s">
        <v>153</v>
      </c>
      <c r="B235" s="187" t="s">
        <v>152</v>
      </c>
      <c r="C235" s="188"/>
      <c r="D235" s="188"/>
      <c r="E235" s="188"/>
      <c r="F235" s="188"/>
      <c r="G235" s="188"/>
      <c r="H235" s="189"/>
    </row>
    <row r="236" spans="1:15" x14ac:dyDescent="0.35">
      <c r="A236" s="38" t="s">
        <v>153</v>
      </c>
      <c r="B236" s="187" t="s">
        <v>124</v>
      </c>
      <c r="C236" s="188"/>
      <c r="D236" s="188"/>
      <c r="E236" s="188"/>
      <c r="F236" s="188"/>
      <c r="G236" s="188"/>
      <c r="H236" s="189"/>
    </row>
    <row r="237" spans="1:15" x14ac:dyDescent="0.35">
      <c r="A237" s="38" t="s">
        <v>153</v>
      </c>
      <c r="B237" s="187" t="s">
        <v>155</v>
      </c>
      <c r="C237" s="188"/>
      <c r="D237" s="188"/>
      <c r="E237" s="188"/>
      <c r="F237" s="188"/>
      <c r="G237" s="188"/>
      <c r="H237" s="189"/>
    </row>
    <row r="238" spans="1:15" x14ac:dyDescent="0.35">
      <c r="A238" s="38" t="s">
        <v>153</v>
      </c>
      <c r="B238" s="187" t="s">
        <v>125</v>
      </c>
      <c r="C238" s="188"/>
      <c r="D238" s="188"/>
      <c r="E238" s="188"/>
      <c r="F238" s="188"/>
      <c r="G238" s="188"/>
      <c r="H238" s="189"/>
    </row>
    <row r="239" spans="1:15" x14ac:dyDescent="0.35">
      <c r="A239" s="55" t="s">
        <v>153</v>
      </c>
      <c r="B239" s="121" t="s">
        <v>184</v>
      </c>
      <c r="C239" s="122"/>
      <c r="D239" s="122"/>
      <c r="E239" s="122"/>
      <c r="F239" s="122"/>
      <c r="G239" s="122"/>
      <c r="H239" s="199"/>
    </row>
    <row r="240" spans="1:15" x14ac:dyDescent="0.35">
      <c r="A240" s="55" t="s">
        <v>153</v>
      </c>
      <c r="B240" s="121" t="s">
        <v>209</v>
      </c>
      <c r="C240" s="122"/>
      <c r="D240" s="122"/>
      <c r="E240" s="122"/>
      <c r="F240" s="122"/>
      <c r="G240" s="122"/>
      <c r="H240" s="199"/>
    </row>
    <row r="241" spans="1:15" x14ac:dyDescent="0.35">
      <c r="A241" s="64" t="s">
        <v>153</v>
      </c>
      <c r="B241" s="121" t="s">
        <v>208</v>
      </c>
      <c r="C241" s="122"/>
      <c r="D241" s="122"/>
      <c r="E241" s="122"/>
      <c r="F241" s="122"/>
      <c r="G241" s="122"/>
      <c r="H241" s="199"/>
    </row>
    <row r="242" spans="1:15" x14ac:dyDescent="0.35">
      <c r="A242" s="71" t="s">
        <v>153</v>
      </c>
      <c r="B242" s="121" t="s">
        <v>218</v>
      </c>
      <c r="C242" s="122"/>
      <c r="D242" s="122"/>
      <c r="E242" s="122"/>
      <c r="F242" s="122"/>
      <c r="G242" s="122"/>
      <c r="H242" s="199"/>
    </row>
    <row r="243" spans="1:15" x14ac:dyDescent="0.35">
      <c r="A243" s="72" t="s">
        <v>153</v>
      </c>
      <c r="B243" s="121" t="s">
        <v>217</v>
      </c>
      <c r="C243" s="122"/>
      <c r="D243" s="122"/>
      <c r="E243" s="122"/>
      <c r="F243" s="122"/>
      <c r="G243" s="122"/>
      <c r="H243" s="199"/>
    </row>
    <row r="244" spans="1:15" x14ac:dyDescent="0.35">
      <c r="A244" s="71" t="s">
        <v>153</v>
      </c>
      <c r="B244" s="121" t="s">
        <v>219</v>
      </c>
      <c r="C244" s="122"/>
      <c r="D244" s="122"/>
      <c r="E244" s="122"/>
      <c r="F244" s="122"/>
      <c r="G244" s="122"/>
      <c r="H244" s="199"/>
      <c r="I244" s="83" t="s">
        <v>226</v>
      </c>
      <c r="J244" s="84"/>
      <c r="K244" s="84"/>
    </row>
    <row r="245" spans="1:15" x14ac:dyDescent="0.35">
      <c r="A245" s="73" t="s">
        <v>153</v>
      </c>
      <c r="B245" s="121" t="s">
        <v>223</v>
      </c>
      <c r="C245" s="122"/>
      <c r="D245" s="122"/>
      <c r="E245" s="122"/>
      <c r="F245" s="122"/>
      <c r="G245" s="122"/>
      <c r="H245" s="199"/>
      <c r="I245" s="87"/>
      <c r="J245" s="87"/>
      <c r="K245" s="87"/>
    </row>
    <row r="246" spans="1:15" ht="30.75" customHeight="1" x14ac:dyDescent="0.35">
      <c r="A246" s="78" t="s">
        <v>153</v>
      </c>
      <c r="B246" s="190" t="s">
        <v>232</v>
      </c>
      <c r="C246" s="122"/>
      <c r="D246" s="122"/>
      <c r="E246" s="122"/>
      <c r="F246" s="122"/>
      <c r="G246" s="122"/>
      <c r="H246" s="199"/>
    </row>
    <row r="247" spans="1:15" x14ac:dyDescent="0.35">
      <c r="A247" s="72" t="s">
        <v>153</v>
      </c>
      <c r="B247" s="121" t="s">
        <v>226</v>
      </c>
      <c r="C247" s="122"/>
      <c r="D247" s="122"/>
      <c r="E247" s="122"/>
      <c r="F247" s="122"/>
      <c r="G247" s="122"/>
      <c r="H247" s="199"/>
    </row>
    <row r="248" spans="1:15" x14ac:dyDescent="0.35">
      <c r="A248" s="86" t="s">
        <v>153</v>
      </c>
      <c r="B248" s="121" t="s">
        <v>248</v>
      </c>
      <c r="C248" s="122"/>
      <c r="D248" s="122"/>
      <c r="E248" s="122"/>
      <c r="F248" s="122"/>
      <c r="G248" s="122"/>
      <c r="H248" s="199"/>
    </row>
    <row r="249" spans="1:15" x14ac:dyDescent="0.35">
      <c r="A249" s="76" t="s">
        <v>153</v>
      </c>
      <c r="B249" s="121" t="s">
        <v>265</v>
      </c>
      <c r="C249" s="122"/>
      <c r="D249" s="122"/>
      <c r="E249" s="122"/>
      <c r="F249" s="122"/>
      <c r="G249" s="122"/>
      <c r="H249" s="122"/>
      <c r="I249" s="247"/>
      <c r="J249" s="247"/>
      <c r="K249" s="247"/>
      <c r="L249" s="247"/>
      <c r="M249" s="247"/>
      <c r="N249" s="247"/>
      <c r="O249" s="247"/>
    </row>
    <row r="250" spans="1:15" x14ac:dyDescent="0.35">
      <c r="A250" s="91" t="s">
        <v>153</v>
      </c>
      <c r="B250" s="121" t="s">
        <v>269</v>
      </c>
      <c r="C250" s="122"/>
      <c r="D250" s="122"/>
      <c r="E250" s="122"/>
      <c r="F250" s="122"/>
      <c r="G250" s="122"/>
      <c r="H250" s="122"/>
      <c r="I250" s="247"/>
      <c r="J250" s="247"/>
      <c r="K250" s="247"/>
      <c r="L250" s="247"/>
      <c r="M250" s="247"/>
      <c r="N250" s="247"/>
      <c r="O250" s="247"/>
    </row>
    <row r="251" spans="1:15" x14ac:dyDescent="0.35">
      <c r="A251" s="193" t="s">
        <v>61</v>
      </c>
      <c r="B251" s="194"/>
      <c r="C251" s="194"/>
      <c r="D251" s="194"/>
      <c r="E251" s="194"/>
      <c r="F251" s="194"/>
      <c r="G251" s="194"/>
      <c r="H251" s="195"/>
    </row>
    <row r="252" spans="1:15" x14ac:dyDescent="0.35">
      <c r="A252" s="184" t="s">
        <v>62</v>
      </c>
      <c r="B252" s="185"/>
      <c r="C252" s="185"/>
      <c r="D252" s="185"/>
      <c r="E252" s="185"/>
      <c r="F252" s="185"/>
      <c r="G252" s="185"/>
      <c r="H252" s="186"/>
    </row>
    <row r="253" spans="1:15" x14ac:dyDescent="0.35">
      <c r="A253" s="196" t="s">
        <v>63</v>
      </c>
      <c r="B253" s="197"/>
      <c r="C253" s="197"/>
      <c r="D253" s="197"/>
      <c r="E253" s="197"/>
      <c r="F253" s="197"/>
      <c r="G253" s="197"/>
      <c r="H253" s="198"/>
    </row>
    <row r="254" spans="1:15" x14ac:dyDescent="0.35">
      <c r="A254" s="184" t="s">
        <v>64</v>
      </c>
      <c r="B254" s="185"/>
      <c r="C254" s="185"/>
      <c r="D254" s="185"/>
      <c r="E254" s="185"/>
      <c r="F254" s="185"/>
      <c r="G254" s="185"/>
      <c r="H254" s="186"/>
    </row>
    <row r="255" spans="1:15" x14ac:dyDescent="0.35">
      <c r="A255" s="184" t="s">
        <v>65</v>
      </c>
      <c r="B255" s="185"/>
      <c r="C255" s="185"/>
      <c r="D255" s="185"/>
      <c r="E255" s="185"/>
      <c r="F255" s="185"/>
      <c r="G255" s="185"/>
      <c r="H255" s="186"/>
    </row>
    <row r="256" spans="1:15" x14ac:dyDescent="0.35">
      <c r="A256" s="184" t="s">
        <v>126</v>
      </c>
      <c r="B256" s="185"/>
      <c r="C256" s="185"/>
      <c r="D256" s="185"/>
      <c r="E256" s="185"/>
      <c r="F256" s="185"/>
      <c r="G256" s="185"/>
      <c r="H256" s="186"/>
      <c r="J256" s="77"/>
    </row>
    <row r="257" spans="1:8" x14ac:dyDescent="0.35">
      <c r="A257" s="181" t="s">
        <v>127</v>
      </c>
      <c r="B257" s="182"/>
      <c r="C257" s="182"/>
      <c r="D257" s="182"/>
      <c r="E257" s="182"/>
      <c r="F257" s="182"/>
      <c r="G257" s="182"/>
      <c r="H257" s="183"/>
    </row>
    <row r="258" spans="1:8" x14ac:dyDescent="0.35">
      <c r="A258" s="178" t="s">
        <v>78</v>
      </c>
      <c r="B258" s="179"/>
      <c r="C258" s="180" t="s">
        <v>165</v>
      </c>
      <c r="D258" s="180"/>
      <c r="E258" s="180" t="s">
        <v>105</v>
      </c>
      <c r="F258" s="180"/>
      <c r="G258" s="180" t="s">
        <v>270</v>
      </c>
      <c r="H258" s="180"/>
    </row>
    <row r="259" spans="1:8" x14ac:dyDescent="0.35">
      <c r="A259" s="169" t="s">
        <v>80</v>
      </c>
      <c r="B259" s="170"/>
      <c r="C259" s="170"/>
      <c r="D259" s="170"/>
      <c r="E259" s="170"/>
      <c r="F259" s="170"/>
      <c r="G259" s="170"/>
      <c r="H259" s="171"/>
    </row>
    <row r="260" spans="1:8" x14ac:dyDescent="0.35">
      <c r="A260" s="172"/>
      <c r="B260" s="173"/>
      <c r="C260" s="173"/>
      <c r="D260" s="173"/>
      <c r="E260" s="173"/>
      <c r="F260" s="173"/>
      <c r="G260" s="173"/>
      <c r="H260" s="174"/>
    </row>
    <row r="261" spans="1:8" x14ac:dyDescent="0.35">
      <c r="A261" s="172"/>
      <c r="B261" s="173"/>
      <c r="C261" s="173"/>
      <c r="D261" s="173"/>
      <c r="E261" s="173"/>
      <c r="F261" s="173"/>
      <c r="G261" s="173"/>
      <c r="H261" s="174"/>
    </row>
    <row r="262" spans="1:8" x14ac:dyDescent="0.35">
      <c r="A262" s="175"/>
      <c r="B262" s="176"/>
      <c r="C262" s="176"/>
      <c r="D262" s="176"/>
      <c r="E262" s="176"/>
      <c r="F262" s="176"/>
      <c r="G262" s="176"/>
      <c r="H262" s="177"/>
    </row>
    <row r="263" spans="1:8" x14ac:dyDescent="0.35">
      <c r="A263" s="48" t="s">
        <v>66</v>
      </c>
      <c r="B263" s="49"/>
      <c r="C263" s="49"/>
      <c r="D263" s="66" t="str">
        <f>E8</f>
        <v>Lodha Woods Tower 6, 7, 8 &amp; 9</v>
      </c>
      <c r="E263" s="65"/>
      <c r="F263" s="65"/>
      <c r="G263" s="65"/>
      <c r="H263" s="65"/>
    </row>
    <row r="264" spans="1:8" x14ac:dyDescent="0.35">
      <c r="A264" s="49"/>
      <c r="B264" s="49"/>
      <c r="C264" s="49"/>
      <c r="D264" s="49"/>
      <c r="E264" s="49"/>
      <c r="F264" s="49"/>
      <c r="G264" s="49"/>
      <c r="H264" s="49"/>
    </row>
    <row r="265" spans="1:8" x14ac:dyDescent="0.35">
      <c r="A265" s="49"/>
      <c r="B265" s="49"/>
      <c r="C265" s="49"/>
      <c r="D265" s="49"/>
      <c r="E265" s="49"/>
      <c r="F265" s="49"/>
      <c r="G265" s="49"/>
      <c r="H265" s="49"/>
    </row>
    <row r="304" spans="1:1" x14ac:dyDescent="0.35">
      <c r="A304" s="50" t="s">
        <v>177</v>
      </c>
    </row>
    <row r="348" spans="1:1" x14ac:dyDescent="0.35">
      <c r="A348" s="50" t="s">
        <v>67</v>
      </c>
    </row>
  </sheetData>
  <mergeCells count="442">
    <mergeCell ref="C150:D150"/>
    <mergeCell ref="E150:F150"/>
    <mergeCell ref="G150:H150"/>
    <mergeCell ref="I250:O250"/>
    <mergeCell ref="A58:B59"/>
    <mergeCell ref="C58:E58"/>
    <mergeCell ref="G58:H58"/>
    <mergeCell ref="C59:H59"/>
    <mergeCell ref="I249:O249"/>
    <mergeCell ref="A211:B211"/>
    <mergeCell ref="G211:H214"/>
    <mergeCell ref="A212:B212"/>
    <mergeCell ref="A213:B213"/>
    <mergeCell ref="C213:F213"/>
    <mergeCell ref="A214:B214"/>
    <mergeCell ref="A71:C71"/>
    <mergeCell ref="A101:B101"/>
    <mergeCell ref="C92:H92"/>
    <mergeCell ref="A95:B95"/>
    <mergeCell ref="A97:B97"/>
    <mergeCell ref="E93:F93"/>
    <mergeCell ref="A72:C72"/>
    <mergeCell ref="D72:H72"/>
    <mergeCell ref="A75:C75"/>
    <mergeCell ref="D75:H75"/>
    <mergeCell ref="A78:B78"/>
    <mergeCell ref="C78:H78"/>
    <mergeCell ref="A79:B79"/>
    <mergeCell ref="E79:F79"/>
    <mergeCell ref="G79:H79"/>
    <mergeCell ref="A80:B80"/>
    <mergeCell ref="A194:B194"/>
    <mergeCell ref="G194:H194"/>
    <mergeCell ref="A76:B76"/>
    <mergeCell ref="A52:B52"/>
    <mergeCell ref="C52:E52"/>
    <mergeCell ref="G52:H52"/>
    <mergeCell ref="A65:C68"/>
    <mergeCell ref="D68:H68"/>
    <mergeCell ref="B245:H245"/>
    <mergeCell ref="E80:F89"/>
    <mergeCell ref="G80:H89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183:B183"/>
    <mergeCell ref="G183:H186"/>
    <mergeCell ref="A184:B184"/>
    <mergeCell ref="C184:F184"/>
    <mergeCell ref="A185:B185"/>
    <mergeCell ref="A186:B186"/>
    <mergeCell ref="G50:H50"/>
    <mergeCell ref="G53:H53"/>
    <mergeCell ref="D62:H62"/>
    <mergeCell ref="A56:B57"/>
    <mergeCell ref="C56:E56"/>
    <mergeCell ref="G56:H56"/>
    <mergeCell ref="C57:H57"/>
    <mergeCell ref="D66:H66"/>
    <mergeCell ref="D71:H71"/>
    <mergeCell ref="D69:H69"/>
    <mergeCell ref="E154:F154"/>
    <mergeCell ref="D63:H63"/>
    <mergeCell ref="G60:H60"/>
    <mergeCell ref="C49:H49"/>
    <mergeCell ref="G54:H54"/>
    <mergeCell ref="A73:C73"/>
    <mergeCell ref="D73:H73"/>
    <mergeCell ref="A74:C74"/>
    <mergeCell ref="D74:H74"/>
    <mergeCell ref="A104:B104"/>
    <mergeCell ref="C104:H104"/>
    <mergeCell ref="A106:B106"/>
    <mergeCell ref="C76:H76"/>
    <mergeCell ref="A132:H132"/>
    <mergeCell ref="A93:B93"/>
    <mergeCell ref="D64:H64"/>
    <mergeCell ref="A64:C64"/>
    <mergeCell ref="A100:B100"/>
    <mergeCell ref="A98:B98"/>
    <mergeCell ref="D67:H67"/>
    <mergeCell ref="A50:B50"/>
    <mergeCell ref="D65:H65"/>
    <mergeCell ref="A60:B60"/>
    <mergeCell ref="C60:E60"/>
    <mergeCell ref="E31:H31"/>
    <mergeCell ref="A32:D32"/>
    <mergeCell ref="E32:H32"/>
    <mergeCell ref="A28:D28"/>
    <mergeCell ref="E28:H28"/>
    <mergeCell ref="F35:H35"/>
    <mergeCell ref="F34:H34"/>
    <mergeCell ref="C50:E50"/>
    <mergeCell ref="C33:E33"/>
    <mergeCell ref="F36:H36"/>
    <mergeCell ref="C40:H40"/>
    <mergeCell ref="A44:D44"/>
    <mergeCell ref="E44:H44"/>
    <mergeCell ref="E45:H45"/>
    <mergeCell ref="E46:H46"/>
    <mergeCell ref="E47:H47"/>
    <mergeCell ref="A45:D45"/>
    <mergeCell ref="A46:D46"/>
    <mergeCell ref="A47:D47"/>
    <mergeCell ref="A48:H48"/>
    <mergeCell ref="A41:H41"/>
    <mergeCell ref="E43:H43"/>
    <mergeCell ref="A43:D43"/>
    <mergeCell ref="A49:B49"/>
    <mergeCell ref="A35:B35"/>
    <mergeCell ref="C35:E35"/>
    <mergeCell ref="A38:H38"/>
    <mergeCell ref="A37:B37"/>
    <mergeCell ref="C39:H39"/>
    <mergeCell ref="C37:E37"/>
    <mergeCell ref="F37:H37"/>
    <mergeCell ref="A39:B39"/>
    <mergeCell ref="A146:B146"/>
    <mergeCell ref="A140:E140"/>
    <mergeCell ref="F139:H139"/>
    <mergeCell ref="G146:H146"/>
    <mergeCell ref="A42:D42"/>
    <mergeCell ref="E42:H42"/>
    <mergeCell ref="A70:C70"/>
    <mergeCell ref="A40:B40"/>
    <mergeCell ref="A36:B36"/>
    <mergeCell ref="C36:E36"/>
    <mergeCell ref="A61:H61"/>
    <mergeCell ref="A62:C62"/>
    <mergeCell ref="A63:C63"/>
    <mergeCell ref="A51:B51"/>
    <mergeCell ref="C51:E51"/>
    <mergeCell ref="G51:H51"/>
    <mergeCell ref="A12:D12"/>
    <mergeCell ref="E12:H12"/>
    <mergeCell ref="F33:H33"/>
    <mergeCell ref="A34:B34"/>
    <mergeCell ref="E13:F13"/>
    <mergeCell ref="G13:H13"/>
    <mergeCell ref="E14:F14"/>
    <mergeCell ref="G14:H14"/>
    <mergeCell ref="E15:F15"/>
    <mergeCell ref="G15:H15"/>
    <mergeCell ref="A13:D16"/>
    <mergeCell ref="E16:F16"/>
    <mergeCell ref="G16:H16"/>
    <mergeCell ref="C22:D22"/>
    <mergeCell ref="E22:F22"/>
    <mergeCell ref="G22:H22"/>
    <mergeCell ref="E27:H27"/>
    <mergeCell ref="A29:D29"/>
    <mergeCell ref="E29:H29"/>
    <mergeCell ref="A26:D26"/>
    <mergeCell ref="E26:H26"/>
    <mergeCell ref="A30:D30"/>
    <mergeCell ref="E30:H30"/>
    <mergeCell ref="A27:D27"/>
    <mergeCell ref="A1:H1"/>
    <mergeCell ref="A2:H2"/>
    <mergeCell ref="A3:D3"/>
    <mergeCell ref="E3:H3"/>
    <mergeCell ref="A4:D4"/>
    <mergeCell ref="A8:D8"/>
    <mergeCell ref="E8:H8"/>
    <mergeCell ref="A9:D9"/>
    <mergeCell ref="E11:H11"/>
    <mergeCell ref="E4:H4"/>
    <mergeCell ref="E9:H9"/>
    <mergeCell ref="A11:D11"/>
    <mergeCell ref="A5:D5"/>
    <mergeCell ref="E5:H5"/>
    <mergeCell ref="A6:D6"/>
    <mergeCell ref="E6:H6"/>
    <mergeCell ref="A7:D7"/>
    <mergeCell ref="E7:H7"/>
    <mergeCell ref="A10:D10"/>
    <mergeCell ref="E10:H10"/>
    <mergeCell ref="A23:D24"/>
    <mergeCell ref="E23:H24"/>
    <mergeCell ref="A17:B17"/>
    <mergeCell ref="C17:H17"/>
    <mergeCell ref="C18:H18"/>
    <mergeCell ref="A33:B33"/>
    <mergeCell ref="C34:E34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A18:B18"/>
    <mergeCell ref="A31:D31"/>
    <mergeCell ref="B249:H249"/>
    <mergeCell ref="B246:H246"/>
    <mergeCell ref="A120:B120"/>
    <mergeCell ref="C120:H120"/>
    <mergeCell ref="A121:B121"/>
    <mergeCell ref="E121:F121"/>
    <mergeCell ref="G121:H121"/>
    <mergeCell ref="A122:B122"/>
    <mergeCell ref="E122:F131"/>
    <mergeCell ref="G122:H131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B248:H248"/>
    <mergeCell ref="A215:H215"/>
    <mergeCell ref="A216:H216"/>
    <mergeCell ref="A147:B147"/>
    <mergeCell ref="G147:H147"/>
    <mergeCell ref="B247:H247"/>
    <mergeCell ref="A230:H230"/>
    <mergeCell ref="A155:H155"/>
    <mergeCell ref="B231:H231"/>
    <mergeCell ref="B235:H235"/>
    <mergeCell ref="A96:B96"/>
    <mergeCell ref="A205:H205"/>
    <mergeCell ref="E157:E158"/>
    <mergeCell ref="G157:H158"/>
    <mergeCell ref="C106:H106"/>
    <mergeCell ref="D157:D158"/>
    <mergeCell ref="E94:F103"/>
    <mergeCell ref="G94:H103"/>
    <mergeCell ref="A102:B102"/>
    <mergeCell ref="A103:B103"/>
    <mergeCell ref="C146:D146"/>
    <mergeCell ref="G145:H145"/>
    <mergeCell ref="E145:F145"/>
    <mergeCell ref="A154:B154"/>
    <mergeCell ref="C154:D154"/>
    <mergeCell ref="G154:H154"/>
    <mergeCell ref="C149:D149"/>
    <mergeCell ref="G149:H149"/>
    <mergeCell ref="E149:F149"/>
    <mergeCell ref="A259:H262"/>
    <mergeCell ref="A258:B258"/>
    <mergeCell ref="E258:F258"/>
    <mergeCell ref="C258:D258"/>
    <mergeCell ref="G258:H258"/>
    <mergeCell ref="A257:H257"/>
    <mergeCell ref="A255:H255"/>
    <mergeCell ref="B237:H237"/>
    <mergeCell ref="B232:H232"/>
    <mergeCell ref="B233:H233"/>
    <mergeCell ref="B234:H234"/>
    <mergeCell ref="A254:H254"/>
    <mergeCell ref="A251:H251"/>
    <mergeCell ref="A252:H252"/>
    <mergeCell ref="A256:H256"/>
    <mergeCell ref="A253:H253"/>
    <mergeCell ref="B238:H238"/>
    <mergeCell ref="B239:H239"/>
    <mergeCell ref="B240:H240"/>
    <mergeCell ref="B241:H241"/>
    <mergeCell ref="B236:H236"/>
    <mergeCell ref="B242:H242"/>
    <mergeCell ref="B244:H244"/>
    <mergeCell ref="B243:H243"/>
    <mergeCell ref="L143:M143"/>
    <mergeCell ref="G161:H161"/>
    <mergeCell ref="G169:H173"/>
    <mergeCell ref="F137:H137"/>
    <mergeCell ref="G144:H144"/>
    <mergeCell ref="A139:E139"/>
    <mergeCell ref="A143:H143"/>
    <mergeCell ref="F134:H134"/>
    <mergeCell ref="A137:E137"/>
    <mergeCell ref="A138:E138"/>
    <mergeCell ref="A135:E135"/>
    <mergeCell ref="F135:H135"/>
    <mergeCell ref="E144:F144"/>
    <mergeCell ref="F142:H142"/>
    <mergeCell ref="A144:B144"/>
    <mergeCell ref="A141:E141"/>
    <mergeCell ref="F141:H141"/>
    <mergeCell ref="A142:E142"/>
    <mergeCell ref="A134:E134"/>
    <mergeCell ref="A136:E136"/>
    <mergeCell ref="F136:H136"/>
    <mergeCell ref="F138:H138"/>
    <mergeCell ref="C144:D144"/>
    <mergeCell ref="F140:H140"/>
    <mergeCell ref="A169:B169"/>
    <mergeCell ref="A170:B170"/>
    <mergeCell ref="A171:B171"/>
    <mergeCell ref="A172:B172"/>
    <mergeCell ref="A173:B173"/>
    <mergeCell ref="A157:A158"/>
    <mergeCell ref="A178:B178"/>
    <mergeCell ref="G178:H181"/>
    <mergeCell ref="A179:B179"/>
    <mergeCell ref="A180:B180"/>
    <mergeCell ref="A161:B161"/>
    <mergeCell ref="A210:H210"/>
    <mergeCell ref="A188:B188"/>
    <mergeCell ref="G188:H191"/>
    <mergeCell ref="A189:B189"/>
    <mergeCell ref="A190:B190"/>
    <mergeCell ref="A191:B191"/>
    <mergeCell ref="A202:B202"/>
    <mergeCell ref="A203:B203"/>
    <mergeCell ref="A204:B204"/>
    <mergeCell ref="A206:B206"/>
    <mergeCell ref="A207:B207"/>
    <mergeCell ref="A208:B208"/>
    <mergeCell ref="G201:H204"/>
    <mergeCell ref="A53:B55"/>
    <mergeCell ref="C55:H55"/>
    <mergeCell ref="C53:E54"/>
    <mergeCell ref="C189:F189"/>
    <mergeCell ref="A196:B196"/>
    <mergeCell ref="G196:H199"/>
    <mergeCell ref="A197:B197"/>
    <mergeCell ref="A198:B198"/>
    <mergeCell ref="A199:B199"/>
    <mergeCell ref="A192:H192"/>
    <mergeCell ref="A193:H193"/>
    <mergeCell ref="E146:F146"/>
    <mergeCell ref="A145:B145"/>
    <mergeCell ref="C145:D145"/>
    <mergeCell ref="G176:H176"/>
    <mergeCell ref="A182:H182"/>
    <mergeCell ref="A176:B176"/>
    <mergeCell ref="A177:H177"/>
    <mergeCell ref="A187:H187"/>
    <mergeCell ref="A118:B118"/>
    <mergeCell ref="C118:H118"/>
    <mergeCell ref="A174:H174"/>
    <mergeCell ref="A175:H175"/>
    <mergeCell ref="A195:H195"/>
    <mergeCell ref="L128:M128"/>
    <mergeCell ref="A150:B150"/>
    <mergeCell ref="G206:H209"/>
    <mergeCell ref="C157:C158"/>
    <mergeCell ref="A156:H156"/>
    <mergeCell ref="C152:D152"/>
    <mergeCell ref="E152:F152"/>
    <mergeCell ref="G152:H152"/>
    <mergeCell ref="C147:D147"/>
    <mergeCell ref="E147:F147"/>
    <mergeCell ref="A148:H148"/>
    <mergeCell ref="B157:B158"/>
    <mergeCell ref="A149:B149"/>
    <mergeCell ref="A201:B201"/>
    <mergeCell ref="C208:F208"/>
    <mergeCell ref="A209:B209"/>
    <mergeCell ref="L147:M147"/>
    <mergeCell ref="L145:M145"/>
    <mergeCell ref="L139:M139"/>
    <mergeCell ref="L151:M151"/>
    <mergeCell ref="A200:H200"/>
    <mergeCell ref="L134:M134"/>
    <mergeCell ref="A159:H159"/>
    <mergeCell ref="A160:H160"/>
    <mergeCell ref="B250:H250"/>
    <mergeCell ref="A217:H217"/>
    <mergeCell ref="I42:L42"/>
    <mergeCell ref="I46:L46"/>
    <mergeCell ref="L126:M126"/>
    <mergeCell ref="A90:B90"/>
    <mergeCell ref="C90:H90"/>
    <mergeCell ref="A99:B99"/>
    <mergeCell ref="A151:B151"/>
    <mergeCell ref="C151:D151"/>
    <mergeCell ref="E151:F151"/>
    <mergeCell ref="G151:H151"/>
    <mergeCell ref="F133:H133"/>
    <mergeCell ref="A94:B94"/>
    <mergeCell ref="G93:H93"/>
    <mergeCell ref="A108:B108"/>
    <mergeCell ref="E108:F117"/>
    <mergeCell ref="A111:B111"/>
    <mergeCell ref="A112:B112"/>
    <mergeCell ref="A113:B113"/>
    <mergeCell ref="A114:B114"/>
    <mergeCell ref="A115:B115"/>
    <mergeCell ref="A116:B116"/>
    <mergeCell ref="A117:B117"/>
    <mergeCell ref="A153:B153"/>
    <mergeCell ref="C153:D153"/>
    <mergeCell ref="E153:F153"/>
    <mergeCell ref="G153:H153"/>
    <mergeCell ref="A181:B181"/>
    <mergeCell ref="A133:E133"/>
    <mergeCell ref="A92:B92"/>
    <mergeCell ref="A69:C69"/>
    <mergeCell ref="G107:H107"/>
    <mergeCell ref="G108:H117"/>
    <mergeCell ref="A109:B109"/>
    <mergeCell ref="A110:B110"/>
    <mergeCell ref="D70:H70"/>
    <mergeCell ref="A107:B107"/>
    <mergeCell ref="E107:F107"/>
    <mergeCell ref="A162:H162"/>
    <mergeCell ref="A163:B163"/>
    <mergeCell ref="A164:B164"/>
    <mergeCell ref="A165:B165"/>
    <mergeCell ref="A166:B166"/>
    <mergeCell ref="A167:B167"/>
    <mergeCell ref="G163:H167"/>
    <mergeCell ref="A152:B152"/>
    <mergeCell ref="A168:H168"/>
    <mergeCell ref="A227:H227"/>
    <mergeCell ref="A228:B228"/>
    <mergeCell ref="C228:F228"/>
    <mergeCell ref="G228:H229"/>
    <mergeCell ref="A229:B229"/>
    <mergeCell ref="C229:F229"/>
    <mergeCell ref="G219:H220"/>
    <mergeCell ref="A220:B220"/>
    <mergeCell ref="A223:B223"/>
    <mergeCell ref="A218:H218"/>
    <mergeCell ref="A219:B219"/>
    <mergeCell ref="A221:H221"/>
    <mergeCell ref="G222:H223"/>
    <mergeCell ref="A222:B222"/>
    <mergeCell ref="C223:F223"/>
    <mergeCell ref="A224:H224"/>
    <mergeCell ref="A225:B225"/>
    <mergeCell ref="G225:H226"/>
    <mergeCell ref="A226:B226"/>
  </mergeCells>
  <hyperlinks>
    <hyperlink ref="C40" r:id="rId1"/>
    <hyperlink ref="I69" r:id="rId2"/>
  </hyperlinks>
  <printOptions horizontalCentered="1"/>
  <pageMargins left="0.70866141732283461" right="0.70866141732283461" top="0.98425196850393704" bottom="0.74803149606299213" header="0.31496062992125984" footer="0.31496062992125984"/>
  <pageSetup scale="88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3" manualBreakCount="3">
    <brk id="262" max="16383" man="1"/>
    <brk id="303" max="16383" man="1"/>
    <brk id="347" max="16383" man="1"/>
  </rowBreaks>
  <colBreaks count="1" manualBreakCount="1">
    <brk id="8" max="1048575" man="1"/>
  </col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3"/>
    <col min="2" max="2" width="22.1796875" style="13" customWidth="1"/>
    <col min="3" max="3" width="37" style="13" customWidth="1"/>
    <col min="4" max="5" width="11.453125" style="13" customWidth="1"/>
    <col min="6" max="6" width="14" style="13" customWidth="1"/>
    <col min="7" max="7" width="20" style="13" customWidth="1"/>
    <col min="8" max="8" width="16.453125" style="13" customWidth="1"/>
    <col min="9" max="16384" width="8.7265625" style="13"/>
  </cols>
  <sheetData>
    <row r="1" spans="1:9" ht="15" customHeight="1" x14ac:dyDescent="0.35"/>
    <row r="2" spans="1:9" ht="15" customHeight="1" x14ac:dyDescent="0.35">
      <c r="A2" s="14"/>
      <c r="B2" s="14"/>
      <c r="C2" s="14"/>
      <c r="D2" s="14"/>
      <c r="E2" s="14"/>
      <c r="F2" s="14"/>
      <c r="G2" s="14"/>
      <c r="H2" s="14"/>
    </row>
    <row r="3" spans="1:9" ht="15.75" customHeight="1" x14ac:dyDescent="0.35">
      <c r="A3" s="14"/>
      <c r="B3" s="248" t="s">
        <v>106</v>
      </c>
      <c r="C3" s="248"/>
      <c r="D3" s="248"/>
      <c r="E3" s="248"/>
      <c r="F3" s="248"/>
      <c r="G3" s="248"/>
      <c r="H3" s="248"/>
    </row>
    <row r="4" spans="1:9" x14ac:dyDescent="0.35">
      <c r="A4" s="14"/>
      <c r="B4" s="15" t="s">
        <v>107</v>
      </c>
      <c r="C4" s="15" t="s">
        <v>108</v>
      </c>
      <c r="D4" s="15" t="s">
        <v>69</v>
      </c>
      <c r="E4" s="15" t="s">
        <v>109</v>
      </c>
      <c r="F4" s="15" t="s">
        <v>115</v>
      </c>
      <c r="G4" s="15" t="s">
        <v>116</v>
      </c>
      <c r="H4" s="15" t="s">
        <v>110</v>
      </c>
    </row>
    <row r="5" spans="1:9" ht="15" customHeight="1" x14ac:dyDescent="0.35">
      <c r="A5" s="14"/>
      <c r="B5" s="17" t="s">
        <v>111</v>
      </c>
      <c r="C5" s="18"/>
      <c r="D5" s="17"/>
      <c r="E5" s="17"/>
      <c r="F5" s="19">
        <f>E5*1.6</f>
        <v>0</v>
      </c>
      <c r="G5" s="19" t="e">
        <f>H5/F5</f>
        <v>#DIV/0!</v>
      </c>
      <c r="H5" s="20"/>
    </row>
    <row r="6" spans="1:9" x14ac:dyDescent="0.35">
      <c r="A6" s="14"/>
      <c r="B6" s="17" t="s">
        <v>111</v>
      </c>
      <c r="C6" s="21"/>
      <c r="D6" s="17"/>
      <c r="E6" s="17"/>
      <c r="F6" s="19">
        <f t="shared" ref="F6:F11" si="0">E6*1.6</f>
        <v>0</v>
      </c>
      <c r="G6" s="19" t="e">
        <f t="shared" ref="G6:G11" si="1">H6/F6</f>
        <v>#DIV/0!</v>
      </c>
      <c r="H6" s="20"/>
    </row>
    <row r="7" spans="1:9" ht="15" customHeight="1" x14ac:dyDescent="0.35">
      <c r="A7" s="14"/>
      <c r="B7" s="17" t="s">
        <v>111</v>
      </c>
      <c r="C7" s="18"/>
      <c r="D7" s="17"/>
      <c r="E7" s="17"/>
      <c r="F7" s="19">
        <f t="shared" si="0"/>
        <v>0</v>
      </c>
      <c r="G7" s="19" t="e">
        <f t="shared" si="1"/>
        <v>#DIV/0!</v>
      </c>
      <c r="H7" s="20"/>
    </row>
    <row r="8" spans="1:9" x14ac:dyDescent="0.35">
      <c r="A8" s="14"/>
      <c r="B8" s="17" t="s">
        <v>111</v>
      </c>
      <c r="C8" s="21"/>
      <c r="D8" s="17"/>
      <c r="E8" s="17"/>
      <c r="F8" s="19">
        <f t="shared" si="0"/>
        <v>0</v>
      </c>
      <c r="G8" s="19" t="e">
        <f t="shared" si="1"/>
        <v>#DIV/0!</v>
      </c>
      <c r="H8" s="20"/>
    </row>
    <row r="9" spans="1:9" ht="15" customHeight="1" x14ac:dyDescent="0.35">
      <c r="A9" s="14"/>
      <c r="B9" s="17" t="s">
        <v>111</v>
      </c>
      <c r="C9" s="21"/>
      <c r="D9" s="17"/>
      <c r="E9" s="17"/>
      <c r="F9" s="19">
        <f t="shared" si="0"/>
        <v>0</v>
      </c>
      <c r="G9" s="19" t="e">
        <f t="shared" si="1"/>
        <v>#DIV/0!</v>
      </c>
      <c r="H9" s="20"/>
    </row>
    <row r="10" spans="1:9" ht="15" customHeight="1" x14ac:dyDescent="0.35">
      <c r="A10" s="14"/>
      <c r="B10" s="17" t="s">
        <v>112</v>
      </c>
      <c r="C10" s="18"/>
      <c r="D10" s="17"/>
      <c r="E10" s="17"/>
      <c r="F10" s="19">
        <f t="shared" si="0"/>
        <v>0</v>
      </c>
      <c r="G10" s="19" t="e">
        <f t="shared" si="1"/>
        <v>#DIV/0!</v>
      </c>
      <c r="H10" s="20"/>
    </row>
    <row r="11" spans="1:9" ht="15" customHeight="1" x14ac:dyDescent="0.35">
      <c r="A11" s="14"/>
      <c r="B11" s="17" t="s">
        <v>112</v>
      </c>
      <c r="C11" s="18"/>
      <c r="D11" s="17"/>
      <c r="E11" s="17"/>
      <c r="F11" s="19">
        <f t="shared" si="0"/>
        <v>0</v>
      </c>
      <c r="G11" s="19" t="e">
        <f t="shared" si="1"/>
        <v>#DIV/0!</v>
      </c>
      <c r="H11" s="20"/>
    </row>
    <row r="12" spans="1:9" ht="15" customHeight="1" x14ac:dyDescent="0.35">
      <c r="A12" s="14"/>
      <c r="B12" s="22" t="s">
        <v>113</v>
      </c>
      <c r="C12" s="17"/>
      <c r="D12" s="17"/>
      <c r="E12" s="17"/>
      <c r="F12" s="17"/>
      <c r="G12" s="23" t="e">
        <f>AVERAGE(G5:G11)</f>
        <v>#DIV/0!</v>
      </c>
      <c r="H12" s="17"/>
    </row>
    <row r="13" spans="1:9" ht="15" customHeight="1" x14ac:dyDescent="0.35">
      <c r="B13" s="22" t="s">
        <v>114</v>
      </c>
      <c r="C13" s="17"/>
      <c r="D13" s="17"/>
      <c r="E13" s="17"/>
      <c r="F13" s="24"/>
      <c r="G13" s="22"/>
      <c r="H13" s="22"/>
      <c r="I13" s="16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2025-09-19T05:17:50Z</cp:lastPrinted>
  <dcterms:created xsi:type="dcterms:W3CDTF">2019-07-16T09:29:46Z</dcterms:created>
  <dcterms:modified xsi:type="dcterms:W3CDTF">2025-09-19T05:18:00Z</dcterms:modified>
</cp:coreProperties>
</file>