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1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0" i="1" l="1"/>
  <c r="J216" i="1"/>
  <c r="I128" i="1"/>
  <c r="I140" i="1"/>
  <c r="J252" i="1" l="1"/>
  <c r="J263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4" i="1" l="1"/>
  <c r="F264" i="1" s="1"/>
  <c r="J262" i="1" s="1"/>
  <c r="D263" i="1"/>
  <c r="F263" i="1" s="1"/>
  <c r="J261" i="1" s="1"/>
  <c r="D262" i="1"/>
  <c r="F262" i="1" s="1"/>
  <c r="J260" i="1" s="1"/>
  <c r="D261" i="1"/>
  <c r="F261" i="1" s="1"/>
  <c r="J259" i="1" s="1"/>
  <c r="D260" i="1"/>
  <c r="F260" i="1" s="1"/>
  <c r="J258" i="1" s="1"/>
  <c r="D259" i="1"/>
  <c r="F259" i="1" s="1"/>
  <c r="J257" i="1" s="1"/>
  <c r="D258" i="1"/>
  <c r="F258" i="1" s="1"/>
  <c r="D257" i="1"/>
  <c r="F257" i="1" s="1"/>
  <c r="J255" i="1" s="1"/>
  <c r="D256" i="1"/>
  <c r="F256" i="1" s="1"/>
  <c r="J254" i="1" s="1"/>
  <c r="D255" i="1"/>
  <c r="F255" i="1" s="1"/>
  <c r="I253" i="1" s="1"/>
  <c r="D253" i="1"/>
  <c r="F253" i="1" s="1"/>
  <c r="J251" i="1" s="1"/>
  <c r="D252" i="1"/>
  <c r="F252" i="1" s="1"/>
  <c r="J250" i="1" s="1"/>
  <c r="D251" i="1"/>
  <c r="F251" i="1" s="1"/>
  <c r="J249" i="1" s="1"/>
  <c r="D250" i="1"/>
  <c r="F250" i="1" s="1"/>
  <c r="J248" i="1" s="1"/>
  <c r="D249" i="1"/>
  <c r="F249" i="1" s="1"/>
  <c r="J247" i="1" s="1"/>
  <c r="D248" i="1"/>
  <c r="F248" i="1" s="1"/>
  <c r="J246" i="1" s="1"/>
  <c r="D247" i="1"/>
  <c r="F247" i="1" s="1"/>
  <c r="I245" i="1" s="1"/>
  <c r="D244" i="1"/>
  <c r="D243" i="1"/>
  <c r="D242" i="1"/>
  <c r="D241" i="1"/>
  <c r="D240" i="1"/>
  <c r="D239" i="1"/>
  <c r="D238" i="1"/>
  <c r="D237" i="1"/>
  <c r="D236" i="1"/>
  <c r="D235" i="1"/>
  <c r="D233" i="1"/>
  <c r="D232" i="1"/>
  <c r="D231" i="1"/>
  <c r="D230" i="1"/>
  <c r="D229" i="1"/>
  <c r="D228" i="1"/>
  <c r="D227" i="1"/>
  <c r="D212" i="1"/>
  <c r="D213" i="1"/>
  <c r="D215" i="1"/>
  <c r="D214" i="1"/>
  <c r="D211" i="1"/>
  <c r="I207" i="1"/>
  <c r="J253" i="1" l="1"/>
  <c r="I256" i="1"/>
  <c r="J256" i="1"/>
  <c r="J245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G267" i="1"/>
  <c r="F267" i="1"/>
  <c r="G247" i="1"/>
  <c r="F244" i="1"/>
  <c r="F243" i="1"/>
  <c r="F242" i="1"/>
  <c r="F241" i="1"/>
  <c r="F240" i="1"/>
  <c r="F239" i="1"/>
  <c r="F238" i="1"/>
  <c r="F237" i="1"/>
  <c r="F236" i="1"/>
  <c r="F235" i="1"/>
  <c r="F233" i="1"/>
  <c r="F232" i="1"/>
  <c r="F231" i="1"/>
  <c r="F230" i="1"/>
  <c r="F229" i="1"/>
  <c r="F228" i="1"/>
  <c r="G227" i="1"/>
  <c r="F227" i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I218" i="1" s="1"/>
  <c r="D219" i="1"/>
  <c r="F219" i="1" s="1"/>
  <c r="D218" i="1"/>
  <c r="F218" i="1" s="1"/>
  <c r="D217" i="1"/>
  <c r="F217" i="1" s="1"/>
  <c r="D216" i="1"/>
  <c r="F216" i="1" s="1"/>
  <c r="F215" i="1"/>
  <c r="F214" i="1"/>
  <c r="F213" i="1"/>
  <c r="I211" i="1" s="1"/>
  <c r="D210" i="1"/>
  <c r="D209" i="1"/>
  <c r="I203" i="1"/>
  <c r="C94" i="1"/>
  <c r="J102" i="1"/>
  <c r="J101" i="1"/>
  <c r="J100" i="1"/>
  <c r="J99" i="1"/>
  <c r="E43" i="1"/>
  <c r="I44" i="1"/>
  <c r="I45" i="1" s="1"/>
  <c r="D67" i="1"/>
  <c r="C130" i="1" l="1"/>
  <c r="E130" i="1"/>
  <c r="G59" i="1"/>
  <c r="C59" i="1"/>
  <c r="D204" i="1" l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I149" i="1" s="1"/>
  <c r="D151" i="1"/>
  <c r="F151" i="1" s="1"/>
  <c r="I148" i="1" s="1"/>
  <c r="D150" i="1"/>
  <c r="F150" i="1" s="1"/>
  <c r="D149" i="1"/>
  <c r="F149" i="1" s="1"/>
  <c r="D148" i="1"/>
  <c r="F148" i="1" s="1"/>
  <c r="J143" i="1"/>
  <c r="A179" i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G178" i="1"/>
  <c r="F212" i="1"/>
  <c r="F211" i="1"/>
  <c r="F210" i="1"/>
  <c r="G209" i="1"/>
  <c r="F209" i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G148" i="1"/>
  <c r="G130" i="1" l="1"/>
  <c r="G129" i="1"/>
  <c r="E129" i="1"/>
  <c r="E131" i="1" s="1"/>
  <c r="C129" i="1"/>
  <c r="C131" i="1" s="1"/>
  <c r="C16" i="1"/>
  <c r="G131" i="1" l="1"/>
  <c r="E31" i="1"/>
  <c r="F121" i="1" l="1"/>
  <c r="F138" i="1" l="1"/>
  <c r="F139" i="1"/>
  <c r="F140" i="1"/>
  <c r="F137" i="1"/>
  <c r="B286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12" i="1"/>
  <c r="A138" i="1"/>
  <c r="A139" i="1" s="1"/>
  <c r="A140" i="1" s="1"/>
  <c r="G137" i="1"/>
  <c r="G138" i="1" s="1"/>
  <c r="G139" i="1" s="1"/>
  <c r="G140" i="1" s="1"/>
  <c r="J88" i="1"/>
  <c r="J87" i="1"/>
  <c r="J86" i="1"/>
  <c r="J85" i="1"/>
  <c r="C80" i="1"/>
  <c r="G52" i="1"/>
  <c r="G53" i="1" s="1"/>
  <c r="C52" i="1"/>
  <c r="C53" i="1" s="1"/>
  <c r="E44" i="1"/>
  <c r="E45" i="1" s="1"/>
  <c r="E28" i="1"/>
  <c r="E26" i="1"/>
  <c r="E7" i="1"/>
  <c r="E3" i="1"/>
  <c r="H81" i="1"/>
  <c r="D74" i="1" l="1"/>
  <c r="D93" i="1"/>
  <c r="D91" i="1"/>
  <c r="D90" i="1"/>
  <c r="D89" i="1"/>
  <c r="D87" i="1"/>
  <c r="D92" i="1"/>
  <c r="D88" i="1"/>
  <c r="J81" i="1"/>
  <c r="J82" i="1"/>
  <c r="C84" i="1" s="1"/>
  <c r="J80" i="1"/>
  <c r="J83" i="1"/>
  <c r="J84" i="1" s="1"/>
  <c r="J89" i="1" l="1"/>
  <c r="J90" i="1" s="1"/>
  <c r="C85" i="1" s="1"/>
  <c r="D85" i="1" s="1"/>
  <c r="J77" i="1"/>
  <c r="J79" i="1" s="1"/>
  <c r="D84" i="1"/>
  <c r="J78" i="1" l="1"/>
  <c r="G84" i="1"/>
  <c r="D78" i="1" s="1"/>
  <c r="F79" i="1" s="1"/>
  <c r="D86" i="1"/>
  <c r="I78" i="1" s="1"/>
  <c r="E84" i="1"/>
  <c r="H95" i="1"/>
  <c r="J96" i="1" l="1"/>
  <c r="C98" i="1" s="1"/>
  <c r="J94" i="1"/>
  <c r="D107" i="1"/>
  <c r="D105" i="1"/>
  <c r="D103" i="1"/>
  <c r="D101" i="1"/>
  <c r="D104" i="1"/>
  <c r="J91" i="1"/>
  <c r="J93" i="1" s="1"/>
  <c r="J97" i="1"/>
  <c r="J98" i="1" s="1"/>
  <c r="J103" i="1" s="1"/>
  <c r="J104" i="1" s="1"/>
  <c r="C99" i="1" s="1"/>
  <c r="D106" i="1"/>
  <c r="D102" i="1"/>
  <c r="D100" i="1"/>
  <c r="J95" i="1"/>
  <c r="D79" i="1"/>
  <c r="I79" i="1"/>
  <c r="I77" i="1" s="1"/>
  <c r="C82" i="1" s="1"/>
  <c r="E98" i="1" l="1"/>
  <c r="D99" i="1"/>
  <c r="G98" i="1"/>
  <c r="D98" i="1"/>
  <c r="I92" i="1" l="1"/>
  <c r="I93" i="1" s="1"/>
  <c r="J92" i="1"/>
  <c r="I91" i="1" l="1"/>
  <c r="C96" i="1" s="1"/>
</calcChain>
</file>

<file path=xl/sharedStrings.xml><?xml version="1.0" encoding="utf-8"?>
<sst xmlns="http://schemas.openxmlformats.org/spreadsheetml/2006/main" count="429" uniqueCount="263">
  <si>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</si>
  <si>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</si>
  <si>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</si>
  <si>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</si>
  <si>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</si>
  <si>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</si>
  <si>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</si>
  <si>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</si>
  <si>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</si>
  <si>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</si>
  <si>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</si>
  <si>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</si>
  <si>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</si>
  <si>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</si>
  <si>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</si>
  <si>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</si>
  <si>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</si>
  <si>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</si>
  <si>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</si>
  <si>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</si>
  <si>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</si>
  <si>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</si>
  <si>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</si>
  <si>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</si>
  <si>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</si>
  <si>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</si>
  <si>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</si>
  <si>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</si>
  <si>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</si>
  <si>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</si>
  <si>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</si>
  <si>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</si>
  <si>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</si>
  <si>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</si>
  <si>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</si>
  <si>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</si>
  <si>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</si>
  <si>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</si>
  <si>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</si>
  <si>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</si>
  <si>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</si>
  <si>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</si>
  <si>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</si>
  <si>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</si>
  <si>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</si>
  <si>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</si>
  <si>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</si>
  <si>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</si>
  <si>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</si>
  <si>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</si>
  <si>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</si>
  <si>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</si>
  <si>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</si>
  <si>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</si>
  <si>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</si>
  <si>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</si>
  <si>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</si>
  <si>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</si>
  <si>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</si>
  <si>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</si>
  <si>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</si>
  <si>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</si>
  <si>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</si>
  <si>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</si>
  <si>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</si>
  <si>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</si>
  <si>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</si>
  <si>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</si>
  <si>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</si>
  <si>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</si>
  <si>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</si>
  <si>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</si>
  <si>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</si>
  <si>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</si>
  <si>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</si>
  <si>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</si>
  <si>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</si>
  <si>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</si>
  <si>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</si>
  <si>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</si>
  <si>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</si>
  <si>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</si>
  <si>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</si>
  <si>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</si>
  <si>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</si>
  <si>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</si>
  <si>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</si>
  <si>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</si>
  <si>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</si>
  <si>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</si>
  <si>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</si>
  <si>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</si>
  <si>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</si>
  <si>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</si>
  <si>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</si>
  <si>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</si>
  <si>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</si>
  <si>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</si>
  <si>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</si>
  <si>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</si>
  <si>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</si>
  <si>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</si>
  <si>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</si>
  <si>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</si>
  <si>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</si>
  <si>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</si>
  <si>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</si>
  <si>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</si>
  <si>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</si>
  <si>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</si>
  <si>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</si>
  <si>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</si>
  <si>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</si>
  <si>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</si>
  <si>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</si>
  <si>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</si>
  <si>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</si>
  <si>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</si>
  <si>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</si>
  <si>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</si>
  <si>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</si>
  <si>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</si>
  <si>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</si>
  <si>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</si>
  <si>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</si>
  <si>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</si>
  <si>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</si>
  <si>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</si>
  <si>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</si>
  <si>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</si>
  <si>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</si>
  <si>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</si>
  <si>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</si>
  <si>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</si>
  <si>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</si>
  <si>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</si>
  <si>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</si>
  <si>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</si>
  <si>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</si>
  <si>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</si>
  <si>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</si>
  <si>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</si>
  <si>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</si>
  <si>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</si>
  <si>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</si>
  <si>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</si>
  <si>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</si>
  <si>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</si>
  <si>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</si>
  <si>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</si>
  <si>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</si>
  <si>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</si>
  <si>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</si>
  <si>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</si>
  <si>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</si>
  <si>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</si>
  <si>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</si>
  <si>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</si>
  <si>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</si>
  <si>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</si>
  <si>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</si>
  <si>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</si>
  <si>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</si>
  <si>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</si>
  <si>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</si>
  <si>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</si>
  <si>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</si>
  <si>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</si>
  <si>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</si>
  <si>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</si>
  <si>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</si>
  <si>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Thane</t>
  </si>
  <si>
    <t>Magus Infratech Private Limited</t>
  </si>
  <si>
    <t>Site Person - Contact Details ( Name &amp; Contact No.)</t>
  </si>
  <si>
    <t>Mr. Samarth Mokal (8369482733)</t>
  </si>
  <si>
    <t>Plot No</t>
  </si>
  <si>
    <t>Kone</t>
  </si>
  <si>
    <t>Thane</t>
  </si>
  <si>
    <t>4.7KM from Kalyan Railway Station</t>
  </si>
  <si>
    <t>Asmeeta Textile Park</t>
  </si>
  <si>
    <t>Bhiwandi</t>
  </si>
  <si>
    <t>Kalyan West</t>
  </si>
  <si>
    <t>Bhiwandi-Murbad Road</t>
  </si>
  <si>
    <t>Chhatrapati Shivaji Maharaj Kridangan</t>
  </si>
  <si>
    <t>Omkar plastic industries</t>
  </si>
  <si>
    <t>Brown Associates</t>
  </si>
  <si>
    <t>Internal Road</t>
  </si>
  <si>
    <t>Ravaria Industrial Complex</t>
  </si>
  <si>
    <t>https://goo.gl/maps/yhiGXtYHNK9kZSJh6</t>
  </si>
  <si>
    <t>Maharashtra Industrial Development Corporation</t>
  </si>
  <si>
    <t>EE/SPA/KBI/B21851/2022</t>
  </si>
  <si>
    <t>G + 1st to 14th Floor</t>
  </si>
  <si>
    <t>As per RERA - 30/04/2027</t>
  </si>
  <si>
    <t>Mangesh</t>
  </si>
  <si>
    <t>Ground Floor For Parking</t>
  </si>
  <si>
    <t>1st to 6th, 8th to 12th &amp; 14th Floor</t>
  </si>
  <si>
    <t>7th &amp; 13th Floor (Part Refuge Area)</t>
  </si>
  <si>
    <t>mis</t>
  </si>
  <si>
    <t>5500-7000</t>
  </si>
  <si>
    <t>visitor</t>
  </si>
  <si>
    <t>market</t>
  </si>
  <si>
    <t>Office No. 1031, Wing J, Akshar Business Park, Plot No. 03 Sector 25, Near APMC Market,
Vashi, Navi Mumbai, Maharashtra 400703 TEL: 022-46090378/79/8
E mail : vsjcapf@gmail.com. Web site : www.vsjadon.com</t>
  </si>
  <si>
    <t>Mr. Amit : 9867816059</t>
  </si>
  <si>
    <t>Magus City &amp; Magus City Tower 2 Lunar</t>
  </si>
  <si>
    <t>EE/SPA/DOM/Plot No. 1/I/79540/2024</t>
  </si>
  <si>
    <t>manually added esq 2 &amp; 3bua only</t>
  </si>
  <si>
    <t>02 Buildings</t>
  </si>
  <si>
    <t>Ground Floor For Parking, Entrance Lobby, Society Office, Meter Room, Data Room, &amp; Fire Tower</t>
  </si>
  <si>
    <t>1st to 6th &amp; 8th to 11th Floor For Residential</t>
  </si>
  <si>
    <t>2BHK</t>
  </si>
  <si>
    <t>1BHK</t>
  </si>
  <si>
    <t xml:space="preserve"> -</t>
  </si>
  <si>
    <t>Refuge Area</t>
  </si>
  <si>
    <t>12th &amp; 17th Floor For Residential (Part Refuge Area)</t>
  </si>
  <si>
    <t xml:space="preserve"> - </t>
  </si>
  <si>
    <t>13th to 16th, 18th to 19th Floor</t>
  </si>
  <si>
    <t>Doubt in Count</t>
  </si>
  <si>
    <t>Doubt here</t>
  </si>
  <si>
    <t>Layout :</t>
  </si>
  <si>
    <t>As per Layout</t>
  </si>
  <si>
    <t>Latitude &amp; Longitude</t>
  </si>
  <si>
    <t>19.255279,73.10501</t>
  </si>
  <si>
    <t>22.00 M. Wide Internal Road</t>
  </si>
  <si>
    <t>Other Plot</t>
  </si>
  <si>
    <t>Magus City</t>
  </si>
  <si>
    <t>Magus City Tower 2 Lunar</t>
  </si>
  <si>
    <t>Layout Approval No.</t>
  </si>
  <si>
    <t xml:space="preserve">Commencement-CC No
Valid Up to: </t>
  </si>
  <si>
    <t xml:space="preserve">Magus City (P51700045444) 
</t>
  </si>
  <si>
    <t>Magus City Tower 2 Lunar (P51700077802)</t>
  </si>
  <si>
    <t>Building No.ESQ-2</t>
  </si>
  <si>
    <t>Building No.ESQ-3</t>
  </si>
  <si>
    <t>Building No. ESQ-3 = G + 1st to 19th Floor</t>
  </si>
  <si>
    <t>Building No. ESQ-2 = G + 1st to 15th Floor</t>
  </si>
  <si>
    <t xml:space="preserve">Building No.ESQ-2 </t>
  </si>
  <si>
    <t xml:space="preserve">Building No.ESQ-3 </t>
  </si>
  <si>
    <t>Selene -Tower 1</t>
  </si>
  <si>
    <t xml:space="preserve"> Lunar -Tower 2</t>
  </si>
  <si>
    <t>https://housing-is-01.s3.amazonaws.com/6a32315a/9689f6a5c7e8c2da096b5b0ec7475399/original.pdf</t>
  </si>
  <si>
    <t>Natur Park, Cricket Turf, Multipurpose Court,Jogging Track,Kids Play Area, Gymnasium, Cricket Turf, Club House etc.</t>
  </si>
  <si>
    <t xml:space="preserve">Building No. ESQ-2 </t>
  </si>
  <si>
    <t>7th Floor For Residential (Part Refuge Area @ Mid Landing)</t>
  </si>
  <si>
    <t xml:space="preserve"> Refuge Area @ Mid Landing</t>
  </si>
  <si>
    <t>We have added Magus City Tower 2 Lunar on 12/06/2025.</t>
  </si>
  <si>
    <t>Building No.ESQ-3 = G + 1st to 19th Floor</t>
  </si>
  <si>
    <t>We have refered Approved CC &amp; Layout plan from RERA Portal on 13/06/2025</t>
  </si>
  <si>
    <t>Construction work is in process at the time of Visit. Internal photo was not allowed.</t>
  </si>
  <si>
    <t>We considered Gross carpet area = RERA carpet Area</t>
  </si>
  <si>
    <t>Approved Buitup Area of Building No. ESQ-2  &amp; 3(Sq.Mt)</t>
  </si>
  <si>
    <t>Flats - 725</t>
  </si>
  <si>
    <t>Building No. ESQ-2 = G + 1st to 14th Floor
Building No. ESQ-3 = G + 1st to 19th Floor</t>
  </si>
  <si>
    <t xml:space="preserve">Recommended Rates of the Property have been revised as per market inquiry on
13/06/2025
</t>
  </si>
  <si>
    <t xml:space="preserve">Approved Plans, CC, Fire Noc, </t>
  </si>
  <si>
    <t xml:space="preserve">Fire Noc No
Valid Up to: </t>
  </si>
  <si>
    <t>MIDC/Fire/B-10814</t>
  </si>
  <si>
    <t>Building No.ESQ-2 = G + 1st to 14th Floor (Height = 44.4 Mtrs)</t>
  </si>
  <si>
    <t>We have updated Fire Noc for Building No. ESQ-2 on 16/06/2025</t>
  </si>
  <si>
    <t>Please check for Environment Clearance Certificate.</t>
  </si>
  <si>
    <t>We have updated Fire Noc for Building No. ESQ-3 on 19/06/2025</t>
  </si>
  <si>
    <t>MIDC/Fire/P-303564</t>
  </si>
  <si>
    <t>Building No.ESQ-3 = G + 1st to 19th Floor (Height = 58.9 Mtrs)</t>
  </si>
  <si>
    <t>Pooja Kawale</t>
  </si>
  <si>
    <t>Please provide revised CC &amp; approved floor plans for Building No. ESQ-2.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</si>
</sst>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9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7" fillId="0" borderId="7" xfId="0" applyFont="1" applyFill="1" applyBorder="1" applyProtection="1">
      <protection hidden="1"/>
    </xf>
    <xf numFmtId="0" fontId="12" fillId="0" borderId="2" xfId="1" applyFont="1" applyFill="1" applyBorder="1" applyAlignment="1" applyProtection="1">
      <alignment horizontal="center" vertical="top"/>
      <protection locked="0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6" xfId="1" applyFont="1" applyFill="1" applyBorder="1"/>
    <xf numFmtId="0" fontId="17" fillId="0" borderId="6" xfId="0" applyNumberFormat="1" applyFont="1" applyFill="1" applyBorder="1" applyProtection="1">
      <protection hidden="1"/>
    </xf>
    <xf numFmtId="1" fontId="0" fillId="0" borderId="6" xfId="0" applyNumberFormat="1" applyFill="1" applyBorder="1"/>
    <xf numFmtId="1" fontId="0" fillId="0" borderId="6" xfId="0" applyNumberFormat="1" applyFill="1" applyBorder="1" applyAlignment="1">
      <alignment horizontal="right"/>
    </xf>
    <xf numFmtId="1" fontId="0" fillId="0" borderId="8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1" xfId="0" applyFont="1" applyFill="1" applyBorder="1"/>
    <xf numFmtId="0" fontId="25" fillId="0" borderId="22" xfId="0" applyFont="1" applyFill="1" applyBorder="1"/>
    <xf numFmtId="0" fontId="25" fillId="0" borderId="1" xfId="0" applyFont="1" applyFill="1" applyBorder="1"/>
    <xf numFmtId="0" fontId="25" fillId="0" borderId="3" xfId="0" applyFont="1" applyFill="1" applyBorder="1"/>
    <xf numFmtId="0" fontId="8" fillId="0" borderId="1" xfId="1" applyFont="1" applyFill="1" applyBorder="1" applyAlignment="1" applyProtection="1">
      <alignment vertical="top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5" fillId="0" borderId="5" xfId="0" applyFont="1" applyFill="1" applyBorder="1"/>
    <xf numFmtId="0" fontId="15" fillId="0" borderId="0" xfId="0" applyFont="1" applyFill="1" applyAlignment="1">
      <alignment horizontal="left" vertical="center"/>
    </xf>
    <xf numFmtId="0" fontId="15" fillId="0" borderId="0" xfId="1" applyNumberFormat="1" applyFont="1" applyFill="1"/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6" fillId="0" borderId="0" xfId="10" applyFill="1"/>
    <xf numFmtId="1" fontId="10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>
      <alignment horizontal="left" vertical="center"/>
    </xf>
    <xf numFmtId="0" fontId="10" fillId="0" borderId="0" xfId="1" applyFont="1" applyFill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3" fillId="0" borderId="4" xfId="0" applyNumberFormat="1" applyFont="1" applyFill="1" applyBorder="1" applyAlignment="1" applyProtection="1">
      <alignment vertical="top" wrapText="1"/>
      <protection locked="0"/>
    </xf>
    <xf numFmtId="1" fontId="13" fillId="0" borderId="17" xfId="0" applyNumberFormat="1" applyFont="1" applyFill="1" applyBorder="1" applyAlignment="1" applyProtection="1">
      <alignment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0" fontId="6" fillId="0" borderId="13" xfId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4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14" fontId="6" fillId="0" borderId="4" xfId="1" applyNumberFormat="1" applyFont="1" applyFill="1" applyBorder="1" applyAlignment="1" applyProtection="1">
      <alignment horizontal="left" vertical="top" wrapText="1"/>
      <protection locked="0"/>
    </xf>
    <xf numFmtId="14" fontId="6" fillId="0" borderId="5" xfId="1" applyNumberFormat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10" fillId="0" borderId="0" xfId="1" applyFont="1" applyFill="1" applyAlignment="1" applyProtection="1">
      <alignment horizontal="left" vertical="top"/>
      <protection locked="0"/>
    </xf>
    <xf numFmtId="1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3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4" xfId="0" applyNumberFormat="1" applyFont="1" applyFill="1" applyBorder="1" applyAlignment="1" applyProtection="1">
      <alignment vertical="top" wrapText="1"/>
      <protection locked="0"/>
    </xf>
    <xf numFmtId="1" fontId="8" fillId="0" borderId="17" xfId="0" applyNumberFormat="1" applyFont="1" applyFill="1" applyBorder="1" applyAlignment="1" applyProtection="1">
      <alignment vertical="top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68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3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12" fillId="0" borderId="14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/>
      <protection locked="0"/>
    </xf>
    <xf numFmtId="0" fontId="12" fillId="0" borderId="23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64" fontId="12" fillId="0" borderId="1" xfId="1" applyNumberFormat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4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14" fontId="8" fillId="0" borderId="4" xfId="1" applyNumberFormat="1" applyFont="1" applyFill="1" applyBorder="1" applyAlignment="1" applyProtection="1">
      <alignment horizontal="left" vertical="top"/>
      <protection locked="0"/>
    </xf>
    <xf numFmtId="0" fontId="8" fillId="0" borderId="5" xfId="1" applyFont="1" applyFill="1" applyBorder="1" applyAlignment="1" applyProtection="1">
      <alignment horizontal="left" vertical="top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10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1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7" xfId="1" applyFont="1" applyFill="1" applyBorder="1" applyAlignment="1" applyProtection="1">
      <alignment horizontal="left" vertical="top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1" xfId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2" xfId="1" applyFont="1" applyFill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169" fontId="12" fillId="0" borderId="1" xfId="1" applyNumberFormat="1" applyFont="1" applyFill="1" applyBorder="1" applyAlignment="1" applyProtection="1">
      <alignment horizontal="left" vertical="top"/>
      <protection locked="0"/>
    </xf>
    <xf numFmtId="168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left" vertical="top"/>
      <protection locked="0"/>
    </xf>
    <xf numFmtId="0" fontId="6" fillId="0" borderId="20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Alignment="1" applyProtection="1">
      <alignment horizontal="left" vertical="top"/>
      <protection locked="0"/>
    </xf>
    <xf numFmtId="0" fontId="6" fillId="0" borderId="15" xfId="1" applyFont="1" applyFill="1" applyBorder="1" applyAlignment="1" applyProtection="1">
      <alignment horizontal="left" vertical="top"/>
      <protection locked="0"/>
    </xf>
    <xf numFmtId="0" fontId="6" fillId="0" borderId="23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Alignment="1" applyProtection="1">
      <alignment horizontal="left" vertical="top"/>
      <protection locked="0"/>
    </xf>
    <xf numFmtId="0" fontId="12" fillId="0" borderId="4" xfId="1" applyFont="1" applyFill="1" applyBorder="1" applyAlignment="1" applyProtection="1">
      <alignment horizontal="center" vertical="center"/>
      <protection locked="0"/>
    </xf>
    <xf numFmtId="0" fontId="12" fillId="0" borderId="5" xfId="1" applyFont="1" applyFill="1" applyBorder="1" applyAlignment="1" applyProtection="1">
      <alignment horizontal="center" vertical="center"/>
      <protection locked="0"/>
    </xf>
    <xf numFmtId="0" fontId="8" fillId="3" borderId="4" xfId="1" applyFont="1" applyFill="1" applyBorder="1" applyAlignment="1" applyProtection="1">
      <alignment horizontal="center" vertical="top" wrapText="1"/>
      <protection locked="0"/>
    </xf>
    <xf numFmtId="0" fontId="8" fillId="3" borderId="17" xfId="1" applyFont="1" applyFill="1" applyBorder="1" applyAlignment="1" applyProtection="1">
      <alignment horizontal="center" vertical="top" wrapText="1"/>
      <protection locked="0"/>
    </xf>
    <xf numFmtId="0" fontId="8" fillId="3" borderId="5" xfId="1" applyFont="1" applyFill="1" applyBorder="1" applyAlignment="1" applyProtection="1">
      <alignment horizontal="center" vertical="top" wrapText="1"/>
      <protection locked="0"/>
    </xf>
    <xf numFmtId="1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12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7" fillId="0" borderId="1" xfId="1" applyFont="1" applyFill="1" applyBorder="1" applyAlignment="1" applyProtection="1">
      <alignment horizontal="left"/>
      <protection locked="0"/>
    </xf>
    <xf numFmtId="0" fontId="24" fillId="2" borderId="11" xfId="0" applyFont="1" applyFill="1" applyBorder="1"/>
    <xf numFmtId="0" fontId="8" fillId="0" borderId="1" xfId="1" applyFont="1" applyFill="1" applyBorder="1" applyAlignment="1" applyProtection="1">
      <alignment horizontal="left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1060450</xdr:colOff>
      <xdr:row>309</xdr:row>
      <xdr:rowOff>79375</xdr:rowOff>
    </xdr:from>
    <xdr:to>
      <xdr:col>17</xdr:col>
      <xdr:colOff>204300</xdr:colOff>
      <xdr:row>339</xdr:row>
      <xdr:rowOff>54010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905750" y="59686825"/>
          <a:ext cx="6484450" cy="5873785"/>
          <a:chOff x="184150" y="36791900"/>
          <a:chExt cx="6433650" cy="5873785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4362" y="367919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40865685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69206" y="4085963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9543" y="367919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26678" y="40865685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10</xdr:col>
      <xdr:colOff>344100</xdr:colOff>
      <xdr:row>271</xdr:row>
      <xdr:rowOff>67156</xdr:rowOff>
    </xdr:from>
    <xdr:to>
      <xdr:col>16</xdr:col>
      <xdr:colOff>346979</xdr:colOff>
      <xdr:row>289</xdr:row>
      <xdr:rowOff>84068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66921" y="53066977"/>
          <a:ext cx="4479629" cy="3690842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126</xdr:row>
      <xdr:rowOff>9525</xdr:rowOff>
    </xdr:from>
    <xdr:to>
      <xdr:col>15</xdr:col>
      <xdr:colOff>723336</xdr:colOff>
      <xdr:row>149</xdr:row>
      <xdr:rowOff>31296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53425" y="24136350"/>
          <a:ext cx="4514286" cy="36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353</xdr:row>
      <xdr:rowOff>163285</xdr:rowOff>
    </xdr:from>
    <xdr:to>
      <xdr:col>7</xdr:col>
      <xdr:colOff>446045</xdr:colOff>
      <xdr:row>379</xdr:row>
      <xdr:rowOff>136071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0" y="69437249"/>
          <a:ext cx="5834474" cy="52795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381001</xdr:colOff>
      <xdr:row>391</xdr:row>
      <xdr:rowOff>86596</xdr:rowOff>
    </xdr:from>
    <xdr:to>
      <xdr:col>7</xdr:col>
      <xdr:colOff>363682</xdr:colOff>
      <xdr:row>431</xdr:row>
      <xdr:rowOff>17325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81001" y="75829396"/>
          <a:ext cx="5958031" cy="7804729"/>
          <a:chOff x="381001" y="77429596"/>
          <a:chExt cx="5686475" cy="799896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381001" y="77429596"/>
            <a:ext cx="5686475" cy="7998964"/>
            <a:chOff x="779319" y="79271929"/>
            <a:chExt cx="4977263" cy="7551026"/>
          </a:xfrm>
        </xdr:grpSpPr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114116" y="79271929"/>
              <a:ext cx="4323582" cy="31727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779319" y="82555772"/>
              <a:ext cx="4977263" cy="426718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3238499" y="82531323"/>
            <a:ext cx="1064559" cy="1411941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10</xdr:col>
      <xdr:colOff>165251</xdr:colOff>
      <xdr:row>229</xdr:row>
      <xdr:rowOff>173979</xdr:rowOff>
    </xdr:from>
    <xdr:to>
      <xdr:col>27</xdr:col>
      <xdr:colOff>228554</xdr:colOff>
      <xdr:row>256</xdr:row>
      <xdr:rowOff>34633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99206" y="45287843"/>
          <a:ext cx="11216212" cy="5471746"/>
        </a:xfrm>
        <a:prstGeom prst="rect">
          <a:avLst/>
        </a:prstGeom>
      </xdr:spPr>
    </xdr:pic>
    <xdr:clientData/>
  </xdr:twoCellAnchor>
  <xdr:twoCellAnchor editAs="oneCell">
    <xdr:from>
      <xdr:col>11</xdr:col>
      <xdr:colOff>176893</xdr:colOff>
      <xdr:row>251</xdr:row>
      <xdr:rowOff>163283</xdr:rowOff>
    </xdr:from>
    <xdr:to>
      <xdr:col>16</xdr:col>
      <xdr:colOff>399247</xdr:colOff>
      <xdr:row>270</xdr:row>
      <xdr:rowOff>124359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307286" y="49080962"/>
          <a:ext cx="3991532" cy="3839111"/>
        </a:xfrm>
        <a:prstGeom prst="rect">
          <a:avLst/>
        </a:prstGeom>
      </xdr:spPr>
    </xdr:pic>
    <xdr:clientData/>
  </xdr:twoCellAnchor>
  <xdr:twoCellAnchor editAs="oneCell">
    <xdr:from>
      <xdr:col>20</xdr:col>
      <xdr:colOff>485709</xdr:colOff>
      <xdr:row>227</xdr:row>
      <xdr:rowOff>202943</xdr:rowOff>
    </xdr:from>
    <xdr:to>
      <xdr:col>27</xdr:col>
      <xdr:colOff>74983</xdr:colOff>
      <xdr:row>248</xdr:row>
      <xdr:rowOff>22936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34566" y="44222050"/>
          <a:ext cx="3875524" cy="4106243"/>
        </a:xfrm>
        <a:prstGeom prst="rect">
          <a:avLst/>
        </a:prstGeom>
      </xdr:spPr>
    </xdr:pic>
    <xdr:clientData/>
  </xdr:twoCellAnchor>
  <xdr:twoCellAnchor editAs="oneCell">
    <xdr:from>
      <xdr:col>27</xdr:col>
      <xdr:colOff>495807</xdr:colOff>
      <xdr:row>238</xdr:row>
      <xdr:rowOff>172326</xdr:rowOff>
    </xdr:from>
    <xdr:to>
      <xdr:col>45</xdr:col>
      <xdr:colOff>456632</xdr:colOff>
      <xdr:row>262</xdr:row>
      <xdr:rowOff>118992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307807" y="43915889"/>
          <a:ext cx="11105075" cy="4518665"/>
        </a:xfrm>
        <a:prstGeom prst="rect">
          <a:avLst/>
        </a:prstGeom>
      </xdr:spPr>
    </xdr:pic>
    <xdr:clientData/>
  </xdr:twoCellAnchor>
  <xdr:twoCellAnchor editAs="oneCell">
    <xdr:from>
      <xdr:col>18</xdr:col>
      <xdr:colOff>560677</xdr:colOff>
      <xdr:row>254</xdr:row>
      <xdr:rowOff>73602</xdr:rowOff>
    </xdr:from>
    <xdr:to>
      <xdr:col>40</xdr:col>
      <xdr:colOff>2437</xdr:colOff>
      <xdr:row>275</xdr:row>
      <xdr:rowOff>48418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800552" y="46865165"/>
          <a:ext cx="13058028" cy="3975316"/>
        </a:xfrm>
        <a:prstGeom prst="rect">
          <a:avLst/>
        </a:prstGeom>
      </xdr:spPr>
    </xdr:pic>
    <xdr:clientData/>
  </xdr:twoCellAnchor>
  <xdr:twoCellAnchor editAs="oneCell">
    <xdr:from>
      <xdr:col>17</xdr:col>
      <xdr:colOff>545523</xdr:colOff>
      <xdr:row>273</xdr:row>
      <xdr:rowOff>94012</xdr:rowOff>
    </xdr:from>
    <xdr:to>
      <xdr:col>31</xdr:col>
      <xdr:colOff>310411</xdr:colOff>
      <xdr:row>289</xdr:row>
      <xdr:rowOff>162514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057416" y="53502048"/>
          <a:ext cx="8337388" cy="3334216"/>
        </a:xfrm>
        <a:prstGeom prst="rect">
          <a:avLst/>
        </a:prstGeom>
      </xdr:spPr>
    </xdr:pic>
    <xdr:clientData/>
  </xdr:twoCellAnchor>
  <xdr:twoCellAnchor editAs="oneCell">
    <xdr:from>
      <xdr:col>11</xdr:col>
      <xdr:colOff>452219</xdr:colOff>
      <xdr:row>252</xdr:row>
      <xdr:rowOff>113697</xdr:rowOff>
    </xdr:from>
    <xdr:to>
      <xdr:col>24</xdr:col>
      <xdr:colOff>70225</xdr:colOff>
      <xdr:row>271</xdr:row>
      <xdr:rowOff>28876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96219" y="50007379"/>
          <a:ext cx="8242461" cy="3863724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306</xdr:row>
      <xdr:rowOff>0</xdr:rowOff>
    </xdr:from>
    <xdr:to>
      <xdr:col>9</xdr:col>
      <xdr:colOff>777318</xdr:colOff>
      <xdr:row>307</xdr:row>
      <xdr:rowOff>167156</xdr:rowOff>
    </xdr:to>
    <xdr:sp macro="" textlink="">
      <xdr:nvSpPr>
        <xdr:cNvPr id="40" name="TextBox 5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064500" y="58820050"/>
          <a:ext cx="777318" cy="36400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ESQ-2</a:t>
          </a:r>
          <a:endParaRPr lang="en-IN" b="1"/>
        </a:p>
      </xdr:txBody>
    </xdr:sp>
    <xdr:clientData/>
  </xdr:twoCellAnchor>
  <xdr:twoCellAnchor>
    <xdr:from>
      <xdr:col>14</xdr:col>
      <xdr:colOff>19123</xdr:colOff>
      <xdr:row>306</xdr:row>
      <xdr:rowOff>118975</xdr:rowOff>
    </xdr:from>
    <xdr:to>
      <xdr:col>15</xdr:col>
      <xdr:colOff>117345</xdr:colOff>
      <xdr:row>308</xdr:row>
      <xdr:rowOff>89281</xdr:rowOff>
    </xdr:to>
    <xdr:sp macro="" textlink="">
      <xdr:nvSpPr>
        <xdr:cNvPr id="44" name="TextBox 5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2058723" y="58939025"/>
          <a:ext cx="784022" cy="36400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ESQ-3</a:t>
          </a:r>
          <a:endParaRPr lang="en-IN" b="1"/>
        </a:p>
      </xdr:txBody>
    </xdr:sp>
    <xdr:clientData/>
  </xdr:twoCellAnchor>
  <xdr:twoCellAnchor>
    <xdr:from>
      <xdr:col>0</xdr:col>
      <xdr:colOff>374650</xdr:colOff>
      <xdr:row>312</xdr:row>
      <xdr:rowOff>95250</xdr:rowOff>
    </xdr:from>
    <xdr:to>
      <xdr:col>7</xdr:col>
      <xdr:colOff>548061</xdr:colOff>
      <xdr:row>350</xdr:row>
      <xdr:rowOff>43478</xdr:rowOff>
    </xdr:to>
    <xdr:grpSp>
      <xdr:nvGrpSpPr>
        <xdr:cNvPr id="6" name="Group 5"/>
        <xdr:cNvGrpSpPr/>
      </xdr:nvGrpSpPr>
      <xdr:grpSpPr>
        <a:xfrm>
          <a:off x="374650" y="60286900"/>
          <a:ext cx="6148761" cy="7428528"/>
          <a:chOff x="374650" y="60090050"/>
          <a:chExt cx="6148761" cy="7428528"/>
        </a:xfrm>
      </xdr:grpSpPr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4418" y="6535857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0" y="600900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436" y="63084314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1837" y="6535857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6459" y="60090050"/>
            <a:ext cx="3836952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4418" y="63084314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1" name="TextBox 53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698500" y="60109100"/>
            <a:ext cx="777318" cy="36400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ESQ-2</a:t>
            </a:r>
            <a:endParaRPr lang="en-IN" b="1"/>
          </a:p>
        </xdr:txBody>
      </xdr:sp>
      <xdr:sp macro="" textlink="">
        <xdr:nvSpPr>
          <xdr:cNvPr id="52" name="TextBox 54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188359" y="60572650"/>
            <a:ext cx="784022" cy="36400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ESQ-3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-is-01.s3.amazonaws.com/6a32315a/9689f6a5c7e8c2da096b5b0ec7475399/original.pdf" TargetMode="External"/><Relationship Id="rId1" Type="http://schemas.openxmlformats.org/officeDocument/2006/relationships/hyperlink" Target="https://goo.gl/maps/yhiGXtYHNK9kZSJh6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34"/>
  <sheetViews>
    <sheetView tabSelected="1" view="pageBreakPreview" topLeftCell="A291" zoomScaleNormal="100" zoomScaleSheetLayoutView="100" workbookViewId="0">
      <selection activeCell="A132" sqref="A132:XFD132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12" ht="46.5" customHeight="1" x14ac:dyDescent="0.35">
      <c r="A1" s="138" t="s">
        <v>201</v>
      </c>
      <c r="B1" s="138"/>
      <c r="C1" s="138"/>
      <c r="D1" s="138"/>
      <c r="E1" s="138"/>
      <c r="F1" s="138"/>
      <c r="G1" s="138"/>
      <c r="H1" s="138"/>
    </row>
    <row r="2" spans="1:12" ht="16.5" customHeight="1" x14ac:dyDescent="0.35">
      <c r="A2" s="130" t="s">
        <v>0</v>
      </c>
      <c r="B2" s="130"/>
      <c r="C2" s="130"/>
      <c r="D2" s="130"/>
      <c r="E2" s="130"/>
      <c r="F2" s="130"/>
      <c r="G2" s="130"/>
      <c r="H2" s="130"/>
    </row>
    <row r="3" spans="1:12" x14ac:dyDescent="0.35">
      <c r="A3" s="121" t="s">
        <v>1</v>
      </c>
      <c r="B3" s="121"/>
      <c r="C3" s="121"/>
      <c r="D3" s="121"/>
      <c r="E3" s="121" t="str">
        <f ca="1">TEXT(TODAY(),"DD/MM/YYYY")</f>
        <v>11/09/2025</v>
      </c>
      <c r="F3" s="121"/>
      <c r="G3" s="121"/>
      <c r="H3" s="121"/>
    </row>
    <row r="4" spans="1:12" ht="15" customHeight="1" x14ac:dyDescent="0.35">
      <c r="A4" s="121" t="s">
        <v>2</v>
      </c>
      <c r="B4" s="121"/>
      <c r="C4" s="121"/>
      <c r="D4" s="121"/>
      <c r="E4" s="121" t="s">
        <v>171</v>
      </c>
      <c r="F4" s="121"/>
      <c r="G4" s="121"/>
      <c r="H4" s="121"/>
    </row>
    <row r="5" spans="1:12" x14ac:dyDescent="0.35">
      <c r="A5" s="121" t="s">
        <v>3</v>
      </c>
      <c r="B5" s="121"/>
      <c r="C5" s="121"/>
      <c r="D5" s="121"/>
      <c r="E5" s="139">
        <v>45907</v>
      </c>
      <c r="F5" s="121"/>
      <c r="G5" s="121"/>
      <c r="H5" s="121"/>
      <c r="I5" s="139">
        <v>45805</v>
      </c>
      <c r="J5" s="121"/>
      <c r="K5" s="121"/>
      <c r="L5" s="121"/>
    </row>
    <row r="6" spans="1:12" ht="16.5" customHeight="1" x14ac:dyDescent="0.35">
      <c r="A6" s="121" t="s">
        <v>4</v>
      </c>
      <c r="B6" s="121"/>
      <c r="C6" s="121"/>
      <c r="D6" s="121"/>
      <c r="E6" s="121" t="s">
        <v>172</v>
      </c>
      <c r="F6" s="121"/>
      <c r="G6" s="121"/>
      <c r="H6" s="121"/>
    </row>
    <row r="7" spans="1:12" ht="15" customHeight="1" x14ac:dyDescent="0.35">
      <c r="A7" s="121" t="s">
        <v>5</v>
      </c>
      <c r="B7" s="121"/>
      <c r="C7" s="121"/>
      <c r="D7" s="121"/>
      <c r="E7" s="121" t="str">
        <f>E6</f>
        <v>Magus Infratech Private Limited</v>
      </c>
      <c r="F7" s="121"/>
      <c r="G7" s="121"/>
      <c r="H7" s="121"/>
    </row>
    <row r="8" spans="1:12" x14ac:dyDescent="0.35">
      <c r="A8" s="121" t="s">
        <v>6</v>
      </c>
      <c r="B8" s="121"/>
      <c r="C8" s="121"/>
      <c r="D8" s="121"/>
      <c r="E8" s="119" t="s">
        <v>203</v>
      </c>
      <c r="F8" s="119"/>
      <c r="G8" s="119"/>
      <c r="H8" s="119"/>
    </row>
    <row r="9" spans="1:12" x14ac:dyDescent="0.35">
      <c r="A9" s="121" t="s">
        <v>123</v>
      </c>
      <c r="B9" s="121"/>
      <c r="C9" s="121"/>
      <c r="D9" s="121"/>
      <c r="E9" s="121" t="s">
        <v>174</v>
      </c>
      <c r="F9" s="121"/>
      <c r="G9" s="121"/>
      <c r="H9" s="121"/>
    </row>
    <row r="10" spans="1:12" x14ac:dyDescent="0.35">
      <c r="A10" s="121" t="s">
        <v>173</v>
      </c>
      <c r="B10" s="121"/>
      <c r="C10" s="121"/>
      <c r="D10" s="121"/>
      <c r="E10" s="121" t="s">
        <v>202</v>
      </c>
      <c r="F10" s="121"/>
      <c r="G10" s="121"/>
      <c r="H10" s="121"/>
    </row>
    <row r="11" spans="1:12" x14ac:dyDescent="0.35">
      <c r="A11" s="140" t="s">
        <v>7</v>
      </c>
      <c r="B11" s="141"/>
      <c r="C11" s="141"/>
      <c r="D11" s="142"/>
      <c r="E11" s="146" t="s">
        <v>234</v>
      </c>
      <c r="F11" s="147"/>
      <c r="G11" s="148" t="s">
        <v>236</v>
      </c>
      <c r="H11" s="149"/>
    </row>
    <row r="12" spans="1:12" x14ac:dyDescent="0.35">
      <c r="A12" s="143"/>
      <c r="B12" s="144"/>
      <c r="C12" s="144"/>
      <c r="D12" s="145"/>
      <c r="E12" s="146" t="s">
        <v>235</v>
      </c>
      <c r="F12" s="147"/>
      <c r="G12" s="148" t="s">
        <v>237</v>
      </c>
      <c r="H12" s="149"/>
    </row>
    <row r="13" spans="1:12" x14ac:dyDescent="0.35">
      <c r="A13" s="99" t="s">
        <v>8</v>
      </c>
      <c r="B13" s="99"/>
      <c r="C13" s="99"/>
      <c r="D13" s="99"/>
      <c r="E13" s="150" t="s">
        <v>252</v>
      </c>
      <c r="F13" s="150"/>
      <c r="G13" s="150"/>
      <c r="H13" s="150"/>
    </row>
    <row r="14" spans="1:12" ht="36" customHeight="1" x14ac:dyDescent="0.35">
      <c r="A14" s="193" t="s">
        <v>9</v>
      </c>
      <c r="B14" s="194"/>
      <c r="C14" s="194"/>
      <c r="D14" s="195"/>
      <c r="E14" s="146" t="s">
        <v>228</v>
      </c>
      <c r="F14" s="147"/>
      <c r="G14" s="199" t="s">
        <v>230</v>
      </c>
      <c r="H14" s="200"/>
    </row>
    <row r="15" spans="1:12" ht="36" customHeight="1" x14ac:dyDescent="0.35">
      <c r="A15" s="196"/>
      <c r="B15" s="197"/>
      <c r="C15" s="197"/>
      <c r="D15" s="198"/>
      <c r="E15" s="146" t="s">
        <v>229</v>
      </c>
      <c r="F15" s="147"/>
      <c r="G15" s="199" t="s">
        <v>231</v>
      </c>
      <c r="H15" s="200"/>
    </row>
    <row r="16" spans="1:12" ht="50.25" customHeight="1" x14ac:dyDescent="0.35">
      <c r="A16" s="102" t="s">
        <v>10</v>
      </c>
      <c r="B16" s="102"/>
      <c r="C16" s="102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Magus City &amp; Magus City Tower 2 Lunar, Plot No.1, near Chhatrapati Shivaji Maharaj Kridangan, Bhiwandi-Murbad Road, Asmeeta Textile Park, Kone, Kalyan West, Bhiwandi, Thane - 421311.</v>
      </c>
      <c r="D16" s="102"/>
      <c r="E16" s="102"/>
      <c r="F16" s="102"/>
      <c r="G16" s="102"/>
      <c r="H16" s="102"/>
    </row>
    <row r="17" spans="1:8" x14ac:dyDescent="0.35">
      <c r="A17" s="150" t="s">
        <v>175</v>
      </c>
      <c r="B17" s="150"/>
      <c r="C17" s="150">
        <v>1</v>
      </c>
      <c r="D17" s="150"/>
      <c r="E17" s="150"/>
      <c r="F17" s="150"/>
      <c r="G17" s="150"/>
      <c r="H17" s="150"/>
    </row>
    <row r="18" spans="1:8" ht="15.75" customHeight="1" x14ac:dyDescent="0.35">
      <c r="A18" s="92" t="s">
        <v>168</v>
      </c>
      <c r="B18" s="94"/>
      <c r="C18" s="92" t="s">
        <v>179</v>
      </c>
      <c r="D18" s="93"/>
      <c r="E18" s="93"/>
      <c r="F18" s="93"/>
      <c r="G18" s="93"/>
      <c r="H18" s="94"/>
    </row>
    <row r="19" spans="1:8" ht="15.75" customHeight="1" x14ac:dyDescent="0.35">
      <c r="A19" s="102" t="s">
        <v>11</v>
      </c>
      <c r="B19" s="102"/>
      <c r="C19" s="121" t="s">
        <v>182</v>
      </c>
      <c r="D19" s="121"/>
      <c r="E19" s="102" t="s">
        <v>169</v>
      </c>
      <c r="F19" s="102"/>
      <c r="G19" s="150" t="s">
        <v>176</v>
      </c>
      <c r="H19" s="150"/>
    </row>
    <row r="20" spans="1:8" x14ac:dyDescent="0.35">
      <c r="A20" s="99" t="s">
        <v>13</v>
      </c>
      <c r="B20" s="99"/>
      <c r="C20" s="150" t="s">
        <v>181</v>
      </c>
      <c r="D20" s="150"/>
      <c r="E20" s="102" t="s">
        <v>12</v>
      </c>
      <c r="F20" s="102"/>
      <c r="G20" s="151" t="s">
        <v>177</v>
      </c>
      <c r="H20" s="151"/>
    </row>
    <row r="21" spans="1:8" x14ac:dyDescent="0.35">
      <c r="A21" s="99" t="s">
        <v>73</v>
      </c>
      <c r="B21" s="99"/>
      <c r="C21" s="150" t="s">
        <v>180</v>
      </c>
      <c r="D21" s="150"/>
      <c r="E21" s="102" t="s">
        <v>14</v>
      </c>
      <c r="F21" s="102"/>
      <c r="G21" s="150">
        <v>421311</v>
      </c>
      <c r="H21" s="150"/>
    </row>
    <row r="22" spans="1:8" ht="32.25" customHeight="1" x14ac:dyDescent="0.35">
      <c r="A22" s="99" t="s">
        <v>125</v>
      </c>
      <c r="B22" s="99"/>
      <c r="C22" s="150" t="s">
        <v>183</v>
      </c>
      <c r="D22" s="150"/>
      <c r="E22" s="102" t="s">
        <v>15</v>
      </c>
      <c r="F22" s="102"/>
      <c r="G22" s="150" t="s">
        <v>178</v>
      </c>
      <c r="H22" s="150"/>
    </row>
    <row r="23" spans="1:8" ht="15" customHeight="1" x14ac:dyDescent="0.35">
      <c r="A23" s="102" t="s">
        <v>76</v>
      </c>
      <c r="B23" s="102"/>
      <c r="C23" s="102"/>
      <c r="D23" s="102"/>
      <c r="E23" s="121" t="s">
        <v>16</v>
      </c>
      <c r="F23" s="121"/>
      <c r="G23" s="121"/>
      <c r="H23" s="121"/>
    </row>
    <row r="24" spans="1:8" ht="18.75" customHeight="1" x14ac:dyDescent="0.35">
      <c r="A24" s="102"/>
      <c r="B24" s="102"/>
      <c r="C24" s="102"/>
      <c r="D24" s="102"/>
      <c r="E24" s="121"/>
      <c r="F24" s="121"/>
      <c r="G24" s="121"/>
      <c r="H24" s="121"/>
    </row>
    <row r="25" spans="1:8" ht="15" customHeight="1" x14ac:dyDescent="0.35">
      <c r="A25" s="102" t="s">
        <v>17</v>
      </c>
      <c r="B25" s="102"/>
      <c r="C25" s="102"/>
      <c r="D25" s="102"/>
      <c r="E25" s="150" t="s">
        <v>18</v>
      </c>
      <c r="F25" s="150"/>
      <c r="G25" s="150"/>
      <c r="H25" s="150"/>
    </row>
    <row r="26" spans="1:8" ht="15" customHeight="1" x14ac:dyDescent="0.35">
      <c r="A26" s="99" t="s">
        <v>19</v>
      </c>
      <c r="B26" s="99"/>
      <c r="C26" s="99"/>
      <c r="D26" s="99"/>
      <c r="E26" s="150" t="str">
        <f>IF(AND(G20="Mumbai"),"Upper Class","Middle Class")</f>
        <v>Middle Class</v>
      </c>
      <c r="F26" s="150"/>
      <c r="G26" s="150"/>
      <c r="H26" s="150"/>
    </row>
    <row r="27" spans="1:8" x14ac:dyDescent="0.35">
      <c r="A27" s="99" t="s">
        <v>20</v>
      </c>
      <c r="B27" s="99"/>
      <c r="C27" s="99"/>
      <c r="D27" s="99"/>
      <c r="E27" s="150" t="s">
        <v>21</v>
      </c>
      <c r="F27" s="150"/>
      <c r="G27" s="150"/>
      <c r="H27" s="150"/>
    </row>
    <row r="28" spans="1:8" ht="15.75" customHeight="1" x14ac:dyDescent="0.35">
      <c r="A28" s="99" t="s">
        <v>22</v>
      </c>
      <c r="B28" s="99"/>
      <c r="C28" s="99"/>
      <c r="D28" s="99"/>
      <c r="E28" s="150" t="str">
        <f>IF(AND(G20="Mumbai"),"Developed","Developing")</f>
        <v>Developing</v>
      </c>
      <c r="F28" s="150"/>
      <c r="G28" s="150"/>
      <c r="H28" s="150"/>
    </row>
    <row r="29" spans="1:8" x14ac:dyDescent="0.35">
      <c r="A29" s="99" t="s">
        <v>23</v>
      </c>
      <c r="B29" s="99"/>
      <c r="C29" s="99"/>
      <c r="D29" s="99"/>
      <c r="E29" s="150" t="s">
        <v>24</v>
      </c>
      <c r="F29" s="150"/>
      <c r="G29" s="150"/>
      <c r="H29" s="150"/>
    </row>
    <row r="30" spans="1:8" ht="15.75" customHeight="1" x14ac:dyDescent="0.35">
      <c r="A30" s="99" t="s">
        <v>81</v>
      </c>
      <c r="B30" s="99"/>
      <c r="C30" s="99"/>
      <c r="D30" s="99"/>
      <c r="E30" s="150" t="s">
        <v>82</v>
      </c>
      <c r="F30" s="150"/>
      <c r="G30" s="150"/>
      <c r="H30" s="150"/>
    </row>
    <row r="31" spans="1:8" ht="15" customHeight="1" x14ac:dyDescent="0.35">
      <c r="A31" s="99" t="s">
        <v>32</v>
      </c>
      <c r="B31" s="99"/>
      <c r="C31" s="99"/>
      <c r="D31" s="99"/>
      <c r="E31" s="150" t="str">
        <f>IF(AND(ISNUMBER(SEARCH("Flat",D68)),ISNUMBER(SEARCH("Shop",D68)),ISNUMBER(SEARCH("Office",D68))),"Residential + Commercial",IF(AND(ISNUMBER(SEARCH("Flat",D68)),ISNUMBER(SEARCH("Shop",D68))),"Residential + Commercial",IF(AND(ISNUMBER(SEARCH("Flat",D68)),ISNUMBER(SEARCH("Office",D68))),"Residential + Commercial",IF(AND(ISNUMBER(SEARCH("Shop",D68)),ISNUMBER(SEARCH("Office",D68))),"Commercial",IF(ISNUMBER(SEARCH("Shop",D68)),"Commercial",IF(ISNUMBER(SEARCH("Office",D68)),"Commercial",IF(ISNUMBER(SEARCH("Flat",D68)),"Residential")))))))</f>
        <v>Residential</v>
      </c>
      <c r="F31" s="150"/>
      <c r="G31" s="150"/>
      <c r="H31" s="150"/>
    </row>
    <row r="32" spans="1:8" ht="15.75" customHeight="1" x14ac:dyDescent="0.35">
      <c r="A32" s="99" t="s">
        <v>92</v>
      </c>
      <c r="B32" s="99"/>
      <c r="C32" s="99"/>
      <c r="D32" s="99"/>
      <c r="E32" s="150" t="s">
        <v>33</v>
      </c>
      <c r="F32" s="150"/>
      <c r="G32" s="150"/>
      <c r="H32" s="150"/>
    </row>
    <row r="33" spans="1:12" s="22" customFormat="1" x14ac:dyDescent="0.35">
      <c r="A33" s="155" t="s">
        <v>93</v>
      </c>
      <c r="B33" s="155"/>
      <c r="C33" s="154" t="s">
        <v>219</v>
      </c>
      <c r="D33" s="154"/>
      <c r="E33" s="154"/>
      <c r="F33" s="154" t="s">
        <v>30</v>
      </c>
      <c r="G33" s="154"/>
      <c r="H33" s="154"/>
    </row>
    <row r="34" spans="1:12" s="22" customFormat="1" x14ac:dyDescent="0.35">
      <c r="A34" s="152" t="s">
        <v>25</v>
      </c>
      <c r="B34" s="152" t="s">
        <v>29</v>
      </c>
      <c r="C34" s="153" t="s">
        <v>223</v>
      </c>
      <c r="D34" s="153"/>
      <c r="E34" s="153"/>
      <c r="F34" s="153" t="s">
        <v>185</v>
      </c>
      <c r="G34" s="153"/>
      <c r="H34" s="153"/>
    </row>
    <row r="35" spans="1:12" x14ac:dyDescent="0.35">
      <c r="A35" s="152" t="s">
        <v>26</v>
      </c>
      <c r="B35" s="152" t="s">
        <v>29</v>
      </c>
      <c r="C35" s="153" t="s">
        <v>223</v>
      </c>
      <c r="D35" s="153"/>
      <c r="E35" s="153"/>
      <c r="F35" s="153" t="s">
        <v>184</v>
      </c>
      <c r="G35" s="153"/>
      <c r="H35" s="153"/>
    </row>
    <row r="36" spans="1:12" s="22" customFormat="1" x14ac:dyDescent="0.35">
      <c r="A36" s="152" t="s">
        <v>28</v>
      </c>
      <c r="B36" s="152" t="s">
        <v>29</v>
      </c>
      <c r="C36" s="153" t="s">
        <v>222</v>
      </c>
      <c r="D36" s="153"/>
      <c r="E36" s="153"/>
      <c r="F36" s="153" t="s">
        <v>186</v>
      </c>
      <c r="G36" s="153"/>
      <c r="H36" s="153"/>
    </row>
    <row r="37" spans="1:12" x14ac:dyDescent="0.35">
      <c r="A37" s="152" t="s">
        <v>27</v>
      </c>
      <c r="B37" s="152" t="s">
        <v>29</v>
      </c>
      <c r="C37" s="153" t="s">
        <v>223</v>
      </c>
      <c r="D37" s="153"/>
      <c r="E37" s="153"/>
      <c r="F37" s="153" t="s">
        <v>187</v>
      </c>
      <c r="G37" s="153"/>
      <c r="H37" s="153"/>
    </row>
    <row r="38" spans="1:12" x14ac:dyDescent="0.35">
      <c r="A38" s="99" t="s">
        <v>31</v>
      </c>
      <c r="B38" s="99"/>
      <c r="C38" s="99"/>
      <c r="D38" s="99"/>
      <c r="E38" s="99"/>
      <c r="F38" s="99"/>
      <c r="G38" s="99"/>
      <c r="H38" s="99"/>
    </row>
    <row r="39" spans="1:12" ht="15.75" customHeight="1" x14ac:dyDescent="0.35">
      <c r="A39" s="130" t="s">
        <v>220</v>
      </c>
      <c r="B39" s="130"/>
      <c r="C39" s="218" t="s">
        <v>221</v>
      </c>
      <c r="D39" s="218"/>
      <c r="E39" s="218"/>
      <c r="F39" s="218"/>
      <c r="G39" s="218"/>
      <c r="H39" s="218"/>
    </row>
    <row r="40" spans="1:12" x14ac:dyDescent="0.35">
      <c r="A40" s="130" t="s">
        <v>167</v>
      </c>
      <c r="B40" s="130"/>
      <c r="C40" s="210" t="s">
        <v>188</v>
      </c>
      <c r="D40" s="150"/>
      <c r="E40" s="150"/>
      <c r="F40" s="150"/>
      <c r="G40" s="150"/>
      <c r="H40" s="150"/>
    </row>
    <row r="41" spans="1:12" x14ac:dyDescent="0.35">
      <c r="A41" s="119" t="s">
        <v>34</v>
      </c>
      <c r="B41" s="119"/>
      <c r="C41" s="119"/>
      <c r="D41" s="119"/>
      <c r="E41" s="119"/>
      <c r="F41" s="119"/>
      <c r="G41" s="119"/>
      <c r="H41" s="119"/>
    </row>
    <row r="42" spans="1:12" x14ac:dyDescent="0.35">
      <c r="A42" s="121" t="s">
        <v>35</v>
      </c>
      <c r="B42" s="121"/>
      <c r="C42" s="121"/>
      <c r="D42" s="121"/>
      <c r="E42" s="158">
        <v>230673.3</v>
      </c>
      <c r="F42" s="158"/>
      <c r="G42" s="158"/>
      <c r="H42" s="158"/>
      <c r="I42" s="182">
        <v>218532</v>
      </c>
      <c r="J42" s="182"/>
      <c r="K42" s="182"/>
      <c r="L42" s="182"/>
    </row>
    <row r="43" spans="1:12" x14ac:dyDescent="0.35">
      <c r="A43" s="121" t="s">
        <v>36</v>
      </c>
      <c r="B43" s="121"/>
      <c r="C43" s="121"/>
      <c r="D43" s="121"/>
      <c r="E43" s="157">
        <f>230673.3/E42</f>
        <v>1</v>
      </c>
      <c r="F43" s="157"/>
      <c r="G43" s="157"/>
      <c r="H43" s="157"/>
      <c r="I43" s="183">
        <v>1</v>
      </c>
      <c r="J43" s="183"/>
      <c r="K43" s="183"/>
      <c r="L43" s="183"/>
    </row>
    <row r="44" spans="1:12" x14ac:dyDescent="0.35">
      <c r="A44" s="121" t="s">
        <v>37</v>
      </c>
      <c r="B44" s="121"/>
      <c r="C44" s="121"/>
      <c r="D44" s="121"/>
      <c r="E44" s="188">
        <f>E46/E42-E43</f>
        <v>0.25367427439586621</v>
      </c>
      <c r="F44" s="188"/>
      <c r="G44" s="188"/>
      <c r="H44" s="188"/>
      <c r="I44" s="183">
        <f>I46/I42-I43</f>
        <v>-1.5408773085863858E-2</v>
      </c>
      <c r="J44" s="183"/>
      <c r="K44" s="183"/>
      <c r="L44" s="183"/>
    </row>
    <row r="45" spans="1:12" x14ac:dyDescent="0.35">
      <c r="A45" s="121" t="s">
        <v>38</v>
      </c>
      <c r="B45" s="121"/>
      <c r="C45" s="121"/>
      <c r="D45" s="121"/>
      <c r="E45" s="188">
        <f>E43+E44</f>
        <v>1.2536742743958662</v>
      </c>
      <c r="F45" s="188"/>
      <c r="G45" s="188"/>
      <c r="H45" s="188"/>
      <c r="I45" s="183">
        <f>I43+I44</f>
        <v>0.98459122691413614</v>
      </c>
      <c r="J45" s="183"/>
      <c r="K45" s="183"/>
      <c r="L45" s="183"/>
    </row>
    <row r="46" spans="1:12" x14ac:dyDescent="0.35">
      <c r="A46" s="121" t="s">
        <v>91</v>
      </c>
      <c r="B46" s="121"/>
      <c r="C46" s="121"/>
      <c r="D46" s="121"/>
      <c r="E46" s="189">
        <v>289189.18199999997</v>
      </c>
      <c r="F46" s="189"/>
      <c r="G46" s="189"/>
      <c r="H46" s="189"/>
      <c r="I46" s="184">
        <v>215164.69</v>
      </c>
      <c r="J46" s="184"/>
      <c r="K46" s="184"/>
      <c r="L46" s="184"/>
    </row>
    <row r="47" spans="1:12" x14ac:dyDescent="0.35">
      <c r="A47" s="121" t="s">
        <v>39</v>
      </c>
      <c r="B47" s="121"/>
      <c r="C47" s="121"/>
      <c r="D47" s="121"/>
      <c r="E47" s="121" t="s">
        <v>206</v>
      </c>
      <c r="F47" s="121"/>
      <c r="G47" s="121"/>
      <c r="H47" s="121"/>
      <c r="I47" s="121" t="s">
        <v>124</v>
      </c>
      <c r="J47" s="121"/>
      <c r="K47" s="121"/>
      <c r="L47" s="121"/>
    </row>
    <row r="48" spans="1:12" x14ac:dyDescent="0.35">
      <c r="A48" s="156" t="s">
        <v>40</v>
      </c>
      <c r="B48" s="156"/>
      <c r="C48" s="156"/>
      <c r="D48" s="156"/>
      <c r="E48" s="156"/>
      <c r="F48" s="156"/>
      <c r="G48" s="156"/>
      <c r="H48" s="156"/>
    </row>
    <row r="49" spans="1:9" ht="33.75" customHeight="1" x14ac:dyDescent="0.35">
      <c r="A49" s="87" t="s">
        <v>154</v>
      </c>
      <c r="B49" s="89"/>
      <c r="C49" s="177" t="s">
        <v>189</v>
      </c>
      <c r="D49" s="178"/>
      <c r="E49" s="178"/>
      <c r="F49" s="178"/>
      <c r="G49" s="178"/>
      <c r="H49" s="179"/>
    </row>
    <row r="50" spans="1:9" x14ac:dyDescent="0.35">
      <c r="A50" s="201" t="s">
        <v>224</v>
      </c>
      <c r="B50" s="202"/>
      <c r="C50" s="202"/>
      <c r="D50" s="202"/>
      <c r="E50" s="202"/>
      <c r="F50" s="202"/>
      <c r="G50" s="202"/>
      <c r="H50" s="203"/>
    </row>
    <row r="51" spans="1:9" ht="15.75" customHeight="1" x14ac:dyDescent="0.35">
      <c r="A51" s="87" t="s">
        <v>41</v>
      </c>
      <c r="B51" s="89"/>
      <c r="C51" s="87" t="s">
        <v>190</v>
      </c>
      <c r="D51" s="88"/>
      <c r="E51" s="89"/>
      <c r="F51" s="19" t="s">
        <v>42</v>
      </c>
      <c r="G51" s="90">
        <v>44658</v>
      </c>
      <c r="H51" s="89"/>
    </row>
    <row r="52" spans="1:9" x14ac:dyDescent="0.35">
      <c r="A52" s="87" t="s">
        <v>43</v>
      </c>
      <c r="B52" s="89"/>
      <c r="C52" s="87" t="str">
        <f>C51</f>
        <v>EE/SPA/KBI/B21851/2022</v>
      </c>
      <c r="D52" s="88"/>
      <c r="E52" s="89"/>
      <c r="F52" s="19" t="s">
        <v>42</v>
      </c>
      <c r="G52" s="90">
        <f>G51</f>
        <v>44658</v>
      </c>
      <c r="H52" s="91"/>
    </row>
    <row r="53" spans="1:9" s="23" customFormat="1" ht="15.75" customHeight="1" x14ac:dyDescent="0.35">
      <c r="A53" s="83" t="s">
        <v>158</v>
      </c>
      <c r="B53" s="84"/>
      <c r="C53" s="87" t="str">
        <f>C52</f>
        <v>EE/SPA/KBI/B21851/2022</v>
      </c>
      <c r="D53" s="88"/>
      <c r="E53" s="89"/>
      <c r="F53" s="19" t="s">
        <v>42</v>
      </c>
      <c r="G53" s="90">
        <f>G52</f>
        <v>44658</v>
      </c>
      <c r="H53" s="91"/>
    </row>
    <row r="54" spans="1:9" s="23" customFormat="1" x14ac:dyDescent="0.35">
      <c r="A54" s="85"/>
      <c r="B54" s="86"/>
      <c r="C54" s="92" t="s">
        <v>191</v>
      </c>
      <c r="D54" s="93"/>
      <c r="E54" s="93"/>
      <c r="F54" s="93"/>
      <c r="G54" s="93"/>
      <c r="H54" s="94"/>
    </row>
    <row r="55" spans="1:9" s="23" customFormat="1" x14ac:dyDescent="0.35">
      <c r="A55" s="83" t="s">
        <v>253</v>
      </c>
      <c r="B55" s="84"/>
      <c r="C55" s="87" t="s">
        <v>254</v>
      </c>
      <c r="D55" s="88"/>
      <c r="E55" s="89"/>
      <c r="F55" s="19" t="s">
        <v>42</v>
      </c>
      <c r="G55" s="90">
        <v>44650</v>
      </c>
      <c r="H55" s="91"/>
    </row>
    <row r="56" spans="1:9" s="23" customFormat="1" x14ac:dyDescent="0.35">
      <c r="A56" s="85"/>
      <c r="B56" s="86"/>
      <c r="C56" s="92" t="s">
        <v>255</v>
      </c>
      <c r="D56" s="93"/>
      <c r="E56" s="93"/>
      <c r="F56" s="93"/>
      <c r="G56" s="93"/>
      <c r="H56" s="94"/>
    </row>
    <row r="57" spans="1:9" x14ac:dyDescent="0.35">
      <c r="A57" s="201" t="s">
        <v>225</v>
      </c>
      <c r="B57" s="202"/>
      <c r="C57" s="202"/>
      <c r="D57" s="202"/>
      <c r="E57" s="202"/>
      <c r="F57" s="202"/>
      <c r="G57" s="202"/>
      <c r="H57" s="203"/>
    </row>
    <row r="58" spans="1:9" x14ac:dyDescent="0.35">
      <c r="A58" s="87" t="s">
        <v>226</v>
      </c>
      <c r="B58" s="89"/>
      <c r="C58" s="87" t="s">
        <v>204</v>
      </c>
      <c r="D58" s="88"/>
      <c r="E58" s="89"/>
      <c r="F58" s="19" t="s">
        <v>42</v>
      </c>
      <c r="G58" s="90">
        <v>45574</v>
      </c>
      <c r="H58" s="89"/>
    </row>
    <row r="59" spans="1:9" s="23" customFormat="1" x14ac:dyDescent="0.35">
      <c r="A59" s="87" t="s">
        <v>43</v>
      </c>
      <c r="B59" s="89"/>
      <c r="C59" s="87" t="str">
        <f>C58</f>
        <v>EE/SPA/DOM/Plot No. 1/I/79540/2024</v>
      </c>
      <c r="D59" s="88"/>
      <c r="E59" s="89"/>
      <c r="F59" s="19" t="s">
        <v>42</v>
      </c>
      <c r="G59" s="90">
        <f>G58</f>
        <v>45574</v>
      </c>
      <c r="H59" s="91"/>
    </row>
    <row r="60" spans="1:9" s="23" customFormat="1" x14ac:dyDescent="0.35">
      <c r="A60" s="83" t="s">
        <v>227</v>
      </c>
      <c r="B60" s="84"/>
      <c r="C60" s="87" t="s">
        <v>204</v>
      </c>
      <c r="D60" s="88"/>
      <c r="E60" s="89"/>
      <c r="F60" s="19" t="s">
        <v>42</v>
      </c>
      <c r="G60" s="90">
        <v>45574</v>
      </c>
      <c r="H60" s="89"/>
    </row>
    <row r="61" spans="1:9" x14ac:dyDescent="0.35">
      <c r="A61" s="85"/>
      <c r="B61" s="86"/>
      <c r="C61" s="92" t="s">
        <v>244</v>
      </c>
      <c r="D61" s="93"/>
      <c r="E61" s="93"/>
      <c r="F61" s="93"/>
      <c r="G61" s="93"/>
      <c r="H61" s="94"/>
    </row>
    <row r="62" spans="1:9" x14ac:dyDescent="0.35">
      <c r="A62" s="83" t="s">
        <v>253</v>
      </c>
      <c r="B62" s="84"/>
      <c r="C62" s="87" t="s">
        <v>259</v>
      </c>
      <c r="D62" s="88"/>
      <c r="E62" s="89"/>
      <c r="F62" s="19" t="s">
        <v>42</v>
      </c>
      <c r="G62" s="90">
        <v>45532</v>
      </c>
      <c r="H62" s="91"/>
    </row>
    <row r="63" spans="1:9" x14ac:dyDescent="0.35">
      <c r="A63" s="85"/>
      <c r="B63" s="86"/>
      <c r="C63" s="92" t="s">
        <v>260</v>
      </c>
      <c r="D63" s="93"/>
      <c r="E63" s="93"/>
      <c r="F63" s="93"/>
      <c r="G63" s="93"/>
      <c r="H63" s="94"/>
    </row>
    <row r="64" spans="1:9" x14ac:dyDescent="0.35">
      <c r="A64" s="164" t="s">
        <v>170</v>
      </c>
      <c r="B64" s="165"/>
      <c r="C64" s="159" t="s">
        <v>29</v>
      </c>
      <c r="D64" s="160"/>
      <c r="E64" s="161"/>
      <c r="F64" s="48" t="s">
        <v>42</v>
      </c>
      <c r="G64" s="162" t="s">
        <v>29</v>
      </c>
      <c r="H64" s="163"/>
      <c r="I64" s="21" t="s">
        <v>205</v>
      </c>
    </row>
    <row r="65" spans="1:14" x14ac:dyDescent="0.35">
      <c r="A65" s="166"/>
      <c r="B65" s="167"/>
      <c r="C65" s="159" t="s">
        <v>29</v>
      </c>
      <c r="D65" s="160"/>
      <c r="E65" s="160"/>
      <c r="F65" s="160"/>
      <c r="G65" s="160"/>
      <c r="H65" s="161"/>
      <c r="I65" s="24"/>
    </row>
    <row r="66" spans="1:14" ht="15.75" customHeight="1" x14ac:dyDescent="0.35">
      <c r="A66" s="122" t="s">
        <v>45</v>
      </c>
      <c r="B66" s="122"/>
      <c r="C66" s="122"/>
      <c r="D66" s="122"/>
      <c r="E66" s="122"/>
      <c r="F66" s="122"/>
      <c r="G66" s="122"/>
      <c r="H66" s="122"/>
      <c r="I66" s="25"/>
    </row>
    <row r="67" spans="1:14" ht="15.75" customHeight="1" x14ac:dyDescent="0.35">
      <c r="A67" s="150" t="s">
        <v>248</v>
      </c>
      <c r="B67" s="150"/>
      <c r="C67" s="150"/>
      <c r="D67" s="121">
        <f xml:space="preserve"> 12702.6+17357.93</f>
        <v>30060.53</v>
      </c>
      <c r="E67" s="121"/>
      <c r="F67" s="121"/>
      <c r="G67" s="121"/>
      <c r="H67" s="121"/>
      <c r="I67" s="65" t="s">
        <v>217</v>
      </c>
    </row>
    <row r="68" spans="1:14" ht="15.75" customHeight="1" x14ac:dyDescent="0.35">
      <c r="A68" s="150" t="s">
        <v>46</v>
      </c>
      <c r="B68" s="121"/>
      <c r="C68" s="121"/>
      <c r="D68" s="121" t="s">
        <v>249</v>
      </c>
      <c r="E68" s="121"/>
      <c r="F68" s="121"/>
      <c r="G68" s="121"/>
      <c r="H68" s="121"/>
      <c r="I68" s="25"/>
    </row>
    <row r="69" spans="1:14" ht="15.75" customHeight="1" x14ac:dyDescent="0.35">
      <c r="A69" s="109" t="s">
        <v>47</v>
      </c>
      <c r="B69" s="110"/>
      <c r="C69" s="111"/>
      <c r="D69" s="109" t="s">
        <v>250</v>
      </c>
      <c r="E69" s="110"/>
      <c r="F69" s="110"/>
      <c r="G69" s="110"/>
      <c r="H69" s="111"/>
      <c r="I69" s="65" t="s">
        <v>217</v>
      </c>
    </row>
    <row r="70" spans="1:14" ht="15.75" customHeight="1" x14ac:dyDescent="0.35">
      <c r="A70" s="112"/>
      <c r="B70" s="113"/>
      <c r="C70" s="114"/>
      <c r="D70" s="112"/>
      <c r="E70" s="113"/>
      <c r="F70" s="113"/>
      <c r="G70" s="113"/>
      <c r="H70" s="114"/>
      <c r="J70" s="26"/>
      <c r="K70" s="24"/>
      <c r="N70" s="24"/>
    </row>
    <row r="71" spans="1:14" ht="15.75" customHeight="1" x14ac:dyDescent="0.35">
      <c r="A71" s="109" t="s">
        <v>89</v>
      </c>
      <c r="B71" s="110"/>
      <c r="C71" s="111"/>
      <c r="D71" s="150" t="s">
        <v>233</v>
      </c>
      <c r="E71" s="121"/>
      <c r="F71" s="121"/>
      <c r="G71" s="121"/>
      <c r="H71" s="121"/>
      <c r="N71" s="24"/>
    </row>
    <row r="72" spans="1:14" ht="15.75" customHeight="1" x14ac:dyDescent="0.35">
      <c r="A72" s="112" t="s">
        <v>89</v>
      </c>
      <c r="B72" s="113"/>
      <c r="C72" s="114"/>
      <c r="D72" s="150" t="s">
        <v>232</v>
      </c>
      <c r="E72" s="121"/>
      <c r="F72" s="121"/>
      <c r="G72" s="121"/>
      <c r="H72" s="121"/>
      <c r="J72" s="27"/>
      <c r="K72" s="27"/>
    </row>
    <row r="73" spans="1:14" x14ac:dyDescent="0.35">
      <c r="A73" s="99" t="s">
        <v>44</v>
      </c>
      <c r="B73" s="99"/>
      <c r="C73" s="99"/>
      <c r="D73" s="185" t="s">
        <v>192</v>
      </c>
      <c r="E73" s="185"/>
      <c r="F73" s="185"/>
      <c r="G73" s="185"/>
      <c r="H73" s="185"/>
    </row>
    <row r="74" spans="1:14" x14ac:dyDescent="0.35">
      <c r="A74" s="99" t="s">
        <v>87</v>
      </c>
      <c r="B74" s="99"/>
      <c r="C74" s="99"/>
      <c r="D74" s="187" t="str">
        <f>(IF(G64="NA","60 Years After Completion",IF(G64&lt;&gt;"NA",""&amp;60-ROUNDDOWN((E3-G64)/360,0)&amp;" Years"," ")))</f>
        <v>60 Years After Completion</v>
      </c>
      <c r="E74" s="187"/>
      <c r="F74" s="187"/>
      <c r="G74" s="187"/>
      <c r="H74" s="187"/>
      <c r="I74" s="69" t="s">
        <v>238</v>
      </c>
      <c r="J74" s="28"/>
      <c r="K74" s="28"/>
      <c r="L74" s="28"/>
      <c r="M74" s="28"/>
      <c r="N74" s="28"/>
    </row>
    <row r="75" spans="1:14" ht="15.75" customHeight="1" x14ac:dyDescent="0.35">
      <c r="A75" s="99" t="s">
        <v>88</v>
      </c>
      <c r="B75" s="99"/>
      <c r="C75" s="99"/>
      <c r="D75" s="102" t="s">
        <v>24</v>
      </c>
      <c r="E75" s="102"/>
      <c r="F75" s="102"/>
      <c r="G75" s="102"/>
      <c r="H75" s="102"/>
      <c r="J75" s="27"/>
    </row>
    <row r="76" spans="1:14" ht="36" customHeight="1" thickBot="1" x14ac:dyDescent="0.4">
      <c r="A76" s="99" t="s">
        <v>74</v>
      </c>
      <c r="B76" s="99"/>
      <c r="C76" s="99"/>
      <c r="D76" s="150" t="s">
        <v>239</v>
      </c>
      <c r="E76" s="102"/>
      <c r="F76" s="102"/>
      <c r="G76" s="102"/>
      <c r="H76" s="102"/>
    </row>
    <row r="77" spans="1:14" ht="15.75" customHeight="1" x14ac:dyDescent="0.35">
      <c r="A77" s="102" t="s">
        <v>151</v>
      </c>
      <c r="B77" s="102"/>
      <c r="C77" s="102"/>
      <c r="D77" s="102" t="s">
        <v>29</v>
      </c>
      <c r="E77" s="102"/>
      <c r="F77" s="102"/>
      <c r="G77" s="102"/>
      <c r="H77" s="102"/>
      <c r="I77" s="219" t="str">
        <f ca="1">IF(D93=100%,"All work Completed. Possession granted to the Building.",IF(D92=100%,"All work Completed, Waiting for OC",I78&amp;""&amp;I79&amp;""&amp;J78&amp;""&amp;J77&amp;" "&amp;J79))</f>
        <v>Excavation, Plinth, RCC Slab, Brickwork, Internal Plaster, External Plaster Completed, Flooring upto 12 Floor, Painting upto 12 Floor Completed</v>
      </c>
      <c r="J77" s="45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Flooring upto 12 Floor, Painting upto 12 Floor</v>
      </c>
    </row>
    <row r="78" spans="1:14" x14ac:dyDescent="0.35">
      <c r="A78" s="99" t="s">
        <v>86</v>
      </c>
      <c r="B78" s="99"/>
      <c r="C78" s="99"/>
      <c r="D78" s="150" t="str">
        <f ca="1">(IF(G84&gt;95%,"Nothing",IF(G84&gt;0%,"Cement, Aggregate, Steel, etc",IF(G84=0%,"Work not yet Started"))))</f>
        <v>Cement, Aggregate, Steel, etc</v>
      </c>
      <c r="E78" s="150"/>
      <c r="F78" s="150"/>
      <c r="G78" s="150"/>
      <c r="H78" s="150"/>
      <c r="I78" s="63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</v>
      </c>
      <c r="J78" s="47" t="str">
        <f ca="1">(IF(C84=0,"Work not yet Started.",IF(D84=25%,"Piling work in process",IF(D84=50%,"Excavation work in process",IF(D84=100%,"","0")))))&amp;(IF(C85=0%,"",IF(C85=J83,", Footing work is process",IF(C85=J84,", Footing work Completed",IF(C85=J85,", 1st Basement Completed",IF(C85=J86,", 1st &amp; 2nd Basement Completed",IF(C85=J87,", 1st to 3rd Basement Completed",IF(C85=J88,", 1st to 4th Basement Completed",IF(C85=J89,", Plinth work is process",IF(C85=J90,"","0"))))))))))</f>
        <v/>
      </c>
    </row>
    <row r="79" spans="1:14" x14ac:dyDescent="0.35">
      <c r="A79" s="102" t="s">
        <v>117</v>
      </c>
      <c r="B79" s="102"/>
      <c r="C79" s="102"/>
      <c r="D79" s="150" t="str">
        <f ca="1">(IF(D78="Nothing","Yes",IF(D78="Cement, Aggregate, Steel, etc","Under Construction",IF(D78="Work not yet Started","Work not yet Started"))))</f>
        <v>Under Construction</v>
      </c>
      <c r="E79" s="150"/>
      <c r="F79" s="150" t="str">
        <f ca="1">(IF(D78="Nothing","Yes",IF(D78="Cement, Aggregate, Steel, etc","Under Construction",IF(D78="Work not yet Started","Work not yet Started"))))</f>
        <v>Under Construction</v>
      </c>
      <c r="G79" s="150"/>
      <c r="H79" s="150"/>
      <c r="I79" s="63" t="str">
        <f ca="1">IF(I78&lt;&gt;""," Completed","")</f>
        <v xml:space="preserve"> Completed</v>
      </c>
      <c r="J79" s="47" t="str">
        <f ca="1">IF(J77&lt;&gt;"","Completed","")</f>
        <v>Completed</v>
      </c>
    </row>
    <row r="80" spans="1:14" x14ac:dyDescent="0.35">
      <c r="A80" s="220" t="s">
        <v>143</v>
      </c>
      <c r="B80" s="220"/>
      <c r="C80" s="220" t="str">
        <f>D71</f>
        <v>Building No. ESQ-2 = G + 1st to 15th Floor</v>
      </c>
      <c r="D80" s="220"/>
      <c r="E80" s="220"/>
      <c r="F80" s="220"/>
      <c r="G80" s="220"/>
      <c r="H80" s="220"/>
      <c r="I80" s="15" t="s">
        <v>144</v>
      </c>
      <c r="J80" s="29">
        <f ca="1">H81*25%</f>
        <v>3.75</v>
      </c>
    </row>
    <row r="81" spans="1:10" x14ac:dyDescent="0.35">
      <c r="A81" s="79" t="s">
        <v>145</v>
      </c>
      <c r="B81" s="79">
        <v>0</v>
      </c>
      <c r="C81" s="79" t="s">
        <v>72</v>
      </c>
      <c r="D81" s="79">
        <v>1</v>
      </c>
      <c r="E81" s="79" t="s">
        <v>71</v>
      </c>
      <c r="F81" s="79">
        <v>0</v>
      </c>
      <c r="G81" s="79" t="s">
        <v>80</v>
      </c>
      <c r="H81" s="79">
        <f ca="1">--TRIM(RIGHT(SUBSTITUTE(LEFT(C80,_xlfn.AGGREGATE(16,6,FIND({0,1,2,3,4,5,6,7,8,9},C80,ROW(INDIRECT("1:"&amp;LEN(C80)))),1))," ",REPT(" ",LEN(C80))),LEN(C80)))</f>
        <v>15</v>
      </c>
      <c r="I81" s="15" t="s">
        <v>100</v>
      </c>
      <c r="J81" s="30">
        <f ca="1">H81*50%</f>
        <v>7.5</v>
      </c>
    </row>
    <row r="82" spans="1:10" ht="34" customHeight="1" x14ac:dyDescent="0.35">
      <c r="A82" s="119" t="s">
        <v>90</v>
      </c>
      <c r="B82" s="119"/>
      <c r="C82" s="120" t="str">
        <f ca="1">(IF($C$65=C80,"All work Completed. OC Received.",I77))</f>
        <v>Excavation, Plinth, RCC Slab, Brickwork, Internal Plaster, External Plaster Completed, Flooring upto 12 Floor, Painting upto 12 Floor Completed</v>
      </c>
      <c r="D82" s="120"/>
      <c r="E82" s="120"/>
      <c r="F82" s="120"/>
      <c r="G82" s="120"/>
      <c r="H82" s="120"/>
      <c r="I82" s="15" t="s">
        <v>101</v>
      </c>
      <c r="J82" s="30">
        <f ca="1">H81</f>
        <v>15</v>
      </c>
    </row>
    <row r="83" spans="1:10" ht="15.75" customHeight="1" x14ac:dyDescent="0.35">
      <c r="A83" s="116" t="s">
        <v>48</v>
      </c>
      <c r="B83" s="116"/>
      <c r="C83" s="56" t="s">
        <v>142</v>
      </c>
      <c r="D83" s="56" t="s">
        <v>83</v>
      </c>
      <c r="E83" s="116" t="s">
        <v>85</v>
      </c>
      <c r="F83" s="116"/>
      <c r="G83" s="116" t="s">
        <v>84</v>
      </c>
      <c r="H83" s="116"/>
      <c r="I83" s="15" t="s">
        <v>102</v>
      </c>
      <c r="J83" s="31">
        <f ca="1">(IF(B81&gt;1,(H81/(B81+2)),H81/4))</f>
        <v>3.75</v>
      </c>
    </row>
    <row r="84" spans="1:10" ht="15.75" customHeight="1" x14ac:dyDescent="0.35">
      <c r="A84" s="116" t="s">
        <v>131</v>
      </c>
      <c r="B84" s="116"/>
      <c r="C84" s="56">
        <f ca="1">J82</f>
        <v>15</v>
      </c>
      <c r="D84" s="20">
        <f ca="1">((100/H81)*C84)/100</f>
        <v>1</v>
      </c>
      <c r="E84" s="186">
        <f ca="1">(((C85/H81*10)+(40/(D81+F81+H81)*C86)+(7.5/(H81)*C87)+(7.5/(H81)*C88)+(10/H81*C89)+(10/H81*C90)+(5/H81*C91)+(5/H81*C92)+(5/H81*C93))/100)</f>
        <v>0.87</v>
      </c>
      <c r="F84" s="186"/>
      <c r="G84" s="186">
        <f ca="1">((((C84/H81)*20)+((C85/H81)*25)+(30/(H81+F81+D81)*C86)+(5/H81*C87)+(5/H81*C88)+(5/H81*C89)+(5/H81*C90)+(0/H81*C91)+(0/H81*C92)+(5/H81*C93))/100)</f>
        <v>0.94</v>
      </c>
      <c r="H84" s="186"/>
      <c r="I84" s="15" t="s">
        <v>103</v>
      </c>
      <c r="J84" s="31">
        <f ca="1">(IF(B81&gt;1,(H81/(B81+2)+J83),H81/4+J83))</f>
        <v>7.5</v>
      </c>
    </row>
    <row r="85" spans="1:10" ht="15.75" customHeight="1" x14ac:dyDescent="0.35">
      <c r="A85" s="116" t="s">
        <v>49</v>
      </c>
      <c r="B85" s="116"/>
      <c r="C85" s="53">
        <f ca="1">J90</f>
        <v>15</v>
      </c>
      <c r="D85" s="20">
        <f ca="1">((100/H81)*C85)/100</f>
        <v>1</v>
      </c>
      <c r="E85" s="186"/>
      <c r="F85" s="186"/>
      <c r="G85" s="186"/>
      <c r="H85" s="186"/>
      <c r="I85" s="15" t="s">
        <v>149</v>
      </c>
      <c r="J85" s="31">
        <f>(IF(B81&gt;1,(H81/(B81+2)+J84),0))</f>
        <v>0</v>
      </c>
    </row>
    <row r="86" spans="1:10" ht="15" customHeight="1" x14ac:dyDescent="0.35">
      <c r="A86" s="116" t="s">
        <v>132</v>
      </c>
      <c r="B86" s="116"/>
      <c r="C86" s="53">
        <v>16</v>
      </c>
      <c r="D86" s="20">
        <f ca="1">((100/(D81+F81+H81))*C86)/100</f>
        <v>1</v>
      </c>
      <c r="E86" s="186"/>
      <c r="F86" s="186"/>
      <c r="G86" s="186"/>
      <c r="H86" s="186"/>
      <c r="I86" s="15" t="s">
        <v>146</v>
      </c>
      <c r="J86" s="31">
        <f>(IF(B81&gt;2,(H81/(B81+2)+J85),0))</f>
        <v>0</v>
      </c>
    </row>
    <row r="87" spans="1:10" ht="15.75" customHeight="1" x14ac:dyDescent="0.35">
      <c r="A87" s="116" t="s">
        <v>139</v>
      </c>
      <c r="B87" s="116" t="s">
        <v>133</v>
      </c>
      <c r="C87" s="56">
        <v>15</v>
      </c>
      <c r="D87" s="20">
        <f ca="1">((100/H81)*C87)/100</f>
        <v>1</v>
      </c>
      <c r="E87" s="186"/>
      <c r="F87" s="186"/>
      <c r="G87" s="186"/>
      <c r="H87" s="186"/>
      <c r="I87" s="15" t="s">
        <v>147</v>
      </c>
      <c r="J87" s="32">
        <f>(IF(B81&gt;3,(H81/(B81+2)+J86),0))</f>
        <v>0</v>
      </c>
    </row>
    <row r="88" spans="1:10" ht="15.75" customHeight="1" x14ac:dyDescent="0.35">
      <c r="A88" s="116" t="s">
        <v>140</v>
      </c>
      <c r="B88" s="116" t="s">
        <v>133</v>
      </c>
      <c r="C88" s="56">
        <v>15</v>
      </c>
      <c r="D88" s="20">
        <f ca="1">((100/H81)*C88)/100</f>
        <v>1</v>
      </c>
      <c r="E88" s="186"/>
      <c r="F88" s="186"/>
      <c r="G88" s="186"/>
      <c r="H88" s="186"/>
      <c r="I88" s="15" t="s">
        <v>148</v>
      </c>
      <c r="J88" s="31">
        <f>(IF(B81&gt;4,(H81/(B81+2)+J87),0))</f>
        <v>0</v>
      </c>
    </row>
    <row r="89" spans="1:10" ht="15.75" customHeight="1" x14ac:dyDescent="0.35">
      <c r="A89" s="116" t="s">
        <v>138</v>
      </c>
      <c r="B89" s="116" t="s">
        <v>135</v>
      </c>
      <c r="C89" s="56">
        <v>15</v>
      </c>
      <c r="D89" s="20">
        <f ca="1">((100/(H81))*C89)/100</f>
        <v>1</v>
      </c>
      <c r="E89" s="186"/>
      <c r="F89" s="186"/>
      <c r="G89" s="186"/>
      <c r="H89" s="186"/>
      <c r="I89" s="15" t="s">
        <v>150</v>
      </c>
      <c r="J89" s="31">
        <f ca="1">(IF(B81=1,(H81/(B81+3)+J84),IF(B81=0,(H81/4+J84),IF(B81&gt;1,0))))</f>
        <v>11.25</v>
      </c>
    </row>
    <row r="90" spans="1:10" ht="16" thickBot="1" x14ac:dyDescent="0.4">
      <c r="A90" s="116" t="s">
        <v>134</v>
      </c>
      <c r="B90" s="116" t="s">
        <v>134</v>
      </c>
      <c r="C90" s="56">
        <v>12</v>
      </c>
      <c r="D90" s="20">
        <f ca="1">((100/H81)*C90)/100</f>
        <v>0.8</v>
      </c>
      <c r="E90" s="186"/>
      <c r="F90" s="186"/>
      <c r="G90" s="186"/>
      <c r="H90" s="186"/>
      <c r="I90" s="16" t="s">
        <v>104</v>
      </c>
      <c r="J90" s="33">
        <f ca="1">(IF(B81&gt;1.5,(H81/(B81+2)+J84+MAX(0,J85-J84)+MAX(0,J86-J85)+MAX(0,J87-J86)+MAX(0,J88-J87)+MAX(0,J89-J88)),IF(B81=1,(H81/(B81+3)+J89),IF(B81=0,H81/4+J89))))</f>
        <v>15</v>
      </c>
    </row>
    <row r="91" spans="1:10" ht="15.75" customHeight="1" x14ac:dyDescent="0.35">
      <c r="A91" s="116" t="s">
        <v>141</v>
      </c>
      <c r="B91" s="116"/>
      <c r="C91" s="56">
        <v>12</v>
      </c>
      <c r="D91" s="20">
        <f ca="1">((100/H81)*C91)/100</f>
        <v>0.8</v>
      </c>
      <c r="E91" s="186"/>
      <c r="F91" s="186"/>
      <c r="G91" s="186"/>
      <c r="H91" s="186"/>
      <c r="I91" s="44" t="str">
        <f ca="1">IF(D107=100%,"All work Completed. Possession granted to the Building.",IF(D106=100%,"All work Completed, Waiting for OC",I92&amp;""&amp;I93&amp;""&amp;J92&amp;""&amp;J91&amp;" "&amp;J93))</f>
        <v>Excavation, Plinth Completed, RCC upto 4 Slab, Brickwork upto 2 Floor Completed</v>
      </c>
      <c r="J91" s="45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RCC upto 4 Slab, Brickwork upto 2 Floor</v>
      </c>
    </row>
    <row r="92" spans="1:10" x14ac:dyDescent="0.35">
      <c r="A92" s="116" t="s">
        <v>136</v>
      </c>
      <c r="B92" s="116" t="s">
        <v>136</v>
      </c>
      <c r="C92" s="56">
        <v>0</v>
      </c>
      <c r="D92" s="20">
        <f ca="1">((100/(H81))*C92)/100</f>
        <v>0</v>
      </c>
      <c r="E92" s="186"/>
      <c r="F92" s="186"/>
      <c r="G92" s="186"/>
      <c r="H92" s="186"/>
      <c r="I92" s="46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</v>
      </c>
      <c r="J92" s="47" t="str">
        <f ca="1">(IF(C98=0,"Work not yet Started.",IF(D98=25%,"Piling work in process",IF(D98=50%,"Excavation work in process",IF(D98=100%,"","0")))))&amp;(IF(C99=0%,"",IF(C99=J97,", Footing work is process",IF(C99=J98,", Footing work Completed",IF(C99=J99,", 1st Basement Completed",IF(C99=J100,", 1st &amp; 2nd Basement Completed",IF(C99=J101,", 1st to 3rd Basement Completed",IF(C99=J102,", 1st to 4th Basement Completed",IF(C99=J103,", Plinth work is process",IF(C99=J104,"","0"))))))))))</f>
        <v/>
      </c>
    </row>
    <row r="93" spans="1:10" ht="16" thickBot="1" x14ac:dyDescent="0.4">
      <c r="A93" s="116" t="s">
        <v>137</v>
      </c>
      <c r="B93" s="116"/>
      <c r="C93" s="56">
        <v>0</v>
      </c>
      <c r="D93" s="20">
        <f ca="1">((100/(H81))*C93)/100</f>
        <v>0</v>
      </c>
      <c r="E93" s="186"/>
      <c r="F93" s="186"/>
      <c r="G93" s="186"/>
      <c r="H93" s="186"/>
      <c r="I93" s="63" t="str">
        <f ca="1">IF(I92&lt;&gt;""," Completed","")</f>
        <v xml:space="preserve"> Completed</v>
      </c>
      <c r="J93" s="47" t="str">
        <f ca="1">IF(J91&lt;&gt;"","Completed","")</f>
        <v>Completed</v>
      </c>
    </row>
    <row r="94" spans="1:10" ht="15.75" customHeight="1" x14ac:dyDescent="0.35">
      <c r="A94" s="180" t="s">
        <v>143</v>
      </c>
      <c r="B94" s="181"/>
      <c r="C94" s="168" t="str">
        <f>D72</f>
        <v>Building No. ESQ-3 = G + 1st to 19th Floor</v>
      </c>
      <c r="D94" s="169"/>
      <c r="E94" s="169"/>
      <c r="F94" s="169"/>
      <c r="G94" s="169"/>
      <c r="H94" s="170"/>
      <c r="I94" s="15" t="s">
        <v>144</v>
      </c>
      <c r="J94" s="29">
        <f ca="1">H95*25%</f>
        <v>4.75</v>
      </c>
    </row>
    <row r="95" spans="1:10" x14ac:dyDescent="0.35">
      <c r="A95" s="17" t="s">
        <v>145</v>
      </c>
      <c r="B95" s="62">
        <v>0</v>
      </c>
      <c r="C95" s="62" t="s">
        <v>72</v>
      </c>
      <c r="D95" s="62">
        <v>1</v>
      </c>
      <c r="E95" s="62" t="s">
        <v>71</v>
      </c>
      <c r="F95" s="62">
        <v>0</v>
      </c>
      <c r="G95" s="62" t="s">
        <v>80</v>
      </c>
      <c r="H95" s="18">
        <f ca="1">--TRIM(RIGHT(SUBSTITUTE(LEFT(C94,_xlfn.AGGREGATE(16,6,FIND({0,1,2,3,4,5,6,7,8,9},C94,ROW(INDIRECT("1:"&amp;LEN(C94)))),1))," ",REPT(" ",LEN(C94))),LEN(C94)))</f>
        <v>19</v>
      </c>
      <c r="I95" s="15" t="s">
        <v>100</v>
      </c>
      <c r="J95" s="30">
        <f ca="1">H95*50%</f>
        <v>9.5</v>
      </c>
    </row>
    <row r="96" spans="1:10" ht="32" customHeight="1" x14ac:dyDescent="0.35">
      <c r="A96" s="119" t="s">
        <v>90</v>
      </c>
      <c r="B96" s="119"/>
      <c r="C96" s="120" t="str">
        <f ca="1">(IF($C$65=C94,"All work Completed. OC Received.",I91))</f>
        <v>Excavation, Plinth Completed, RCC upto 4 Slab, Brickwork upto 2 Floor Completed</v>
      </c>
      <c r="D96" s="120"/>
      <c r="E96" s="120"/>
      <c r="F96" s="120"/>
      <c r="G96" s="120"/>
      <c r="H96" s="120"/>
      <c r="I96" s="15" t="s">
        <v>101</v>
      </c>
      <c r="J96" s="30">
        <f ca="1">H95</f>
        <v>19</v>
      </c>
    </row>
    <row r="97" spans="1:12" ht="15.75" customHeight="1" x14ac:dyDescent="0.35">
      <c r="A97" s="116" t="s">
        <v>48</v>
      </c>
      <c r="B97" s="116"/>
      <c r="C97" s="61" t="s">
        <v>142</v>
      </c>
      <c r="D97" s="61" t="s">
        <v>83</v>
      </c>
      <c r="E97" s="116" t="s">
        <v>85</v>
      </c>
      <c r="F97" s="116"/>
      <c r="G97" s="116" t="s">
        <v>84</v>
      </c>
      <c r="H97" s="116"/>
      <c r="I97" s="15" t="s">
        <v>102</v>
      </c>
      <c r="J97" s="31">
        <f ca="1">(IF(B95&gt;1,(H95/(B95+2)),H95/4))</f>
        <v>4.75</v>
      </c>
    </row>
    <row r="98" spans="1:12" ht="15.75" customHeight="1" x14ac:dyDescent="0.35">
      <c r="A98" s="116" t="s">
        <v>131</v>
      </c>
      <c r="B98" s="116"/>
      <c r="C98" s="67">
        <f ca="1">J96</f>
        <v>19</v>
      </c>
      <c r="D98" s="20">
        <f ca="1">((100/H95)*C98)/100</f>
        <v>1</v>
      </c>
      <c r="E98" s="186">
        <f ca="1">(((C99/H95*10)+(40/(D95+F95+H95)*C100)+(7.5/(H95)*C101)+(7.5/(H95)*C102)+(10/H95*C103)+(10/H95*C104)+(5/H95*C105)+(5/H95*C106)+(5/H95*C107))/100)</f>
        <v>0.18789473684210528</v>
      </c>
      <c r="F98" s="186"/>
      <c r="G98" s="186">
        <f ca="1">((((C98/H95)*20)+((C99/H95)*25)+(30/(H95+F95+D95)*C100)+(5/H95*C101)+(5/H95*C102)+(5/H95*C103)+(5/H95*C104)+(0/H95*C105)+(0/H95*C106)+(5/H95*C107))/100)</f>
        <v>0.51526315789473687</v>
      </c>
      <c r="H98" s="186"/>
      <c r="I98" s="15" t="s">
        <v>103</v>
      </c>
      <c r="J98" s="31">
        <f ca="1">(IF(B95&gt;1,(H95/(B95+2)+J97),H95/4+J97))</f>
        <v>9.5</v>
      </c>
    </row>
    <row r="99" spans="1:12" ht="15.75" customHeight="1" x14ac:dyDescent="0.35">
      <c r="A99" s="116" t="s">
        <v>49</v>
      </c>
      <c r="B99" s="116"/>
      <c r="C99" s="68">
        <f ca="1">J104</f>
        <v>19</v>
      </c>
      <c r="D99" s="20">
        <f ca="1">((100/H95)*C99)/100</f>
        <v>1</v>
      </c>
      <c r="E99" s="186"/>
      <c r="F99" s="186"/>
      <c r="G99" s="186"/>
      <c r="H99" s="186"/>
      <c r="I99" s="15" t="s">
        <v>149</v>
      </c>
      <c r="J99" s="31">
        <f>(IF(B95&gt;1,(H95/(B95+2)+J98),0))</f>
        <v>0</v>
      </c>
    </row>
    <row r="100" spans="1:12" ht="15" customHeight="1" x14ac:dyDescent="0.35">
      <c r="A100" s="116" t="s">
        <v>132</v>
      </c>
      <c r="B100" s="116"/>
      <c r="C100" s="68">
        <v>4</v>
      </c>
      <c r="D100" s="20">
        <f ca="1">((100/(D95+F95+H95))*C100)/100</f>
        <v>0.2</v>
      </c>
      <c r="E100" s="186"/>
      <c r="F100" s="186"/>
      <c r="G100" s="186"/>
      <c r="H100" s="186"/>
      <c r="I100" s="15" t="s">
        <v>146</v>
      </c>
      <c r="J100" s="31">
        <f>(IF(B95&gt;2,(H95/(B95+2)+J99),0))</f>
        <v>0</v>
      </c>
    </row>
    <row r="101" spans="1:12" ht="15.75" customHeight="1" x14ac:dyDescent="0.35">
      <c r="A101" s="116" t="s">
        <v>139</v>
      </c>
      <c r="B101" s="116" t="s">
        <v>133</v>
      </c>
      <c r="C101" s="67">
        <v>2</v>
      </c>
      <c r="D101" s="20">
        <f ca="1">((100/H95)*C101)/100</f>
        <v>0.10526315789473685</v>
      </c>
      <c r="E101" s="186"/>
      <c r="F101" s="186"/>
      <c r="G101" s="186"/>
      <c r="H101" s="186"/>
      <c r="I101" s="15" t="s">
        <v>147</v>
      </c>
      <c r="J101" s="32">
        <f>(IF(B95&gt;3,(H95/(B95+2)+J100),0))</f>
        <v>0</v>
      </c>
    </row>
    <row r="102" spans="1:12" ht="15.75" customHeight="1" x14ac:dyDescent="0.35">
      <c r="A102" s="116" t="s">
        <v>140</v>
      </c>
      <c r="B102" s="116" t="s">
        <v>133</v>
      </c>
      <c r="C102" s="67">
        <v>0</v>
      </c>
      <c r="D102" s="20">
        <f ca="1">((100/H95)*C102)/100</f>
        <v>0</v>
      </c>
      <c r="E102" s="186"/>
      <c r="F102" s="186"/>
      <c r="G102" s="186"/>
      <c r="H102" s="186"/>
      <c r="I102" s="15" t="s">
        <v>148</v>
      </c>
      <c r="J102" s="31">
        <f>(IF(B95&gt;4,(H95/(B95+2)+J101),0))</f>
        <v>0</v>
      </c>
    </row>
    <row r="103" spans="1:12" ht="15.75" customHeight="1" x14ac:dyDescent="0.35">
      <c r="A103" s="116" t="s">
        <v>138</v>
      </c>
      <c r="B103" s="116" t="s">
        <v>135</v>
      </c>
      <c r="C103" s="67">
        <v>0</v>
      </c>
      <c r="D103" s="20">
        <f ca="1">((100/(H95))*C103)/100</f>
        <v>0</v>
      </c>
      <c r="E103" s="186"/>
      <c r="F103" s="186"/>
      <c r="G103" s="186"/>
      <c r="H103" s="186"/>
      <c r="I103" s="15" t="s">
        <v>150</v>
      </c>
      <c r="J103" s="31">
        <f ca="1">(IF(B95=1,(H95/(B95+3)+J98),IF(B95=0,(H95/4+J98),IF(B95&gt;1,0))))</f>
        <v>14.25</v>
      </c>
    </row>
    <row r="104" spans="1:12" ht="16" thickBot="1" x14ac:dyDescent="0.4">
      <c r="A104" s="116" t="s">
        <v>134</v>
      </c>
      <c r="B104" s="116" t="s">
        <v>134</v>
      </c>
      <c r="C104" s="67">
        <v>0</v>
      </c>
      <c r="D104" s="20">
        <f ca="1">((100/H95)*C104)/100</f>
        <v>0</v>
      </c>
      <c r="E104" s="186"/>
      <c r="F104" s="186"/>
      <c r="G104" s="186"/>
      <c r="H104" s="186"/>
      <c r="I104" s="16" t="s">
        <v>104</v>
      </c>
      <c r="J104" s="33">
        <f ca="1">(IF(B95&gt;1.5,(H95/(B95+2)+J98+MAX(0,J99-J98)+MAX(0,J100-J99)+MAX(0,J101-J100)+MAX(0,J102-J101)+MAX(0,J103-J102)),IF(B95=1,(H95/(B95+3)+J103),IF(B95=0,H95/4+J103))))</f>
        <v>19</v>
      </c>
    </row>
    <row r="105" spans="1:12" x14ac:dyDescent="0.35">
      <c r="A105" s="116" t="s">
        <v>141</v>
      </c>
      <c r="B105" s="116"/>
      <c r="C105" s="67">
        <v>0</v>
      </c>
      <c r="D105" s="20">
        <f ca="1">((100/H95)*C105)/100</f>
        <v>0</v>
      </c>
      <c r="E105" s="186"/>
      <c r="F105" s="186"/>
      <c r="G105" s="186"/>
      <c r="H105" s="186"/>
    </row>
    <row r="106" spans="1:12" x14ac:dyDescent="0.35">
      <c r="A106" s="116" t="s">
        <v>136</v>
      </c>
      <c r="B106" s="116" t="s">
        <v>136</v>
      </c>
      <c r="C106" s="67">
        <v>0</v>
      </c>
      <c r="D106" s="20">
        <f ca="1">((100/(H95))*C106)/100</f>
        <v>0</v>
      </c>
      <c r="E106" s="186"/>
      <c r="F106" s="186"/>
      <c r="G106" s="186"/>
      <c r="H106" s="186"/>
      <c r="J106" s="21" t="s">
        <v>197</v>
      </c>
      <c r="K106" s="21" t="s">
        <v>199</v>
      </c>
      <c r="L106" s="21" t="s">
        <v>200</v>
      </c>
    </row>
    <row r="107" spans="1:12" x14ac:dyDescent="0.35">
      <c r="A107" s="116" t="s">
        <v>137</v>
      </c>
      <c r="B107" s="116"/>
      <c r="C107" s="67">
        <v>0</v>
      </c>
      <c r="D107" s="20">
        <f ca="1">((100/(H95))*C107)/100</f>
        <v>0</v>
      </c>
      <c r="E107" s="186"/>
      <c r="F107" s="186"/>
      <c r="G107" s="186"/>
      <c r="H107" s="186"/>
    </row>
    <row r="108" spans="1:12" x14ac:dyDescent="0.35">
      <c r="A108" s="119" t="s">
        <v>160</v>
      </c>
      <c r="B108" s="119"/>
      <c r="C108" s="119"/>
      <c r="D108" s="119"/>
      <c r="E108" s="119"/>
      <c r="F108" s="154" t="s">
        <v>165</v>
      </c>
      <c r="G108" s="154"/>
      <c r="H108" s="154"/>
    </row>
    <row r="109" spans="1:12" s="34" customFormat="1" x14ac:dyDescent="0.3">
      <c r="A109" s="121" t="s">
        <v>163</v>
      </c>
      <c r="B109" s="121"/>
      <c r="C109" s="121"/>
      <c r="D109" s="121"/>
      <c r="E109" s="121"/>
      <c r="F109" s="117">
        <v>6200</v>
      </c>
      <c r="G109" s="117"/>
      <c r="H109" s="117"/>
    </row>
    <row r="110" spans="1:12" s="34" customFormat="1" hidden="1" x14ac:dyDescent="0.3">
      <c r="A110" s="121" t="s">
        <v>162</v>
      </c>
      <c r="B110" s="121"/>
      <c r="C110" s="121"/>
      <c r="D110" s="121"/>
      <c r="E110" s="121"/>
      <c r="F110" s="117"/>
      <c r="G110" s="117"/>
      <c r="H110" s="117"/>
    </row>
    <row r="111" spans="1:12" s="34" customFormat="1" hidden="1" x14ac:dyDescent="0.3">
      <c r="A111" s="121" t="s">
        <v>164</v>
      </c>
      <c r="B111" s="121"/>
      <c r="C111" s="121"/>
      <c r="D111" s="121"/>
      <c r="E111" s="121"/>
      <c r="F111" s="117"/>
      <c r="G111" s="117"/>
      <c r="H111" s="117"/>
    </row>
    <row r="112" spans="1:12" s="34" customFormat="1" hidden="1" x14ac:dyDescent="0.3">
      <c r="A112" s="121" t="s">
        <v>161</v>
      </c>
      <c r="B112" s="121"/>
      <c r="C112" s="121"/>
      <c r="D112" s="121"/>
      <c r="E112" s="121"/>
      <c r="F112" s="117"/>
      <c r="G112" s="117"/>
      <c r="H112" s="117"/>
    </row>
    <row r="113" spans="1:12" s="34" customFormat="1" hidden="1" x14ac:dyDescent="0.3">
      <c r="A113" s="121" t="s">
        <v>94</v>
      </c>
      <c r="B113" s="121"/>
      <c r="C113" s="121"/>
      <c r="D113" s="121"/>
      <c r="E113" s="121"/>
      <c r="F113" s="117"/>
      <c r="G113" s="117"/>
      <c r="H113" s="117"/>
    </row>
    <row r="114" spans="1:12" s="34" customFormat="1" hidden="1" x14ac:dyDescent="0.3">
      <c r="A114" s="121" t="s">
        <v>95</v>
      </c>
      <c r="B114" s="121"/>
      <c r="C114" s="121"/>
      <c r="D114" s="121"/>
      <c r="E114" s="121"/>
      <c r="F114" s="117"/>
      <c r="G114" s="117"/>
      <c r="H114" s="117"/>
    </row>
    <row r="115" spans="1:12" s="34" customFormat="1" hidden="1" x14ac:dyDescent="0.3">
      <c r="A115" s="121" t="s">
        <v>166</v>
      </c>
      <c r="B115" s="121"/>
      <c r="C115" s="121"/>
      <c r="D115" s="121"/>
      <c r="E115" s="121"/>
      <c r="F115" s="117"/>
      <c r="G115" s="117"/>
      <c r="H115" s="117"/>
    </row>
    <row r="116" spans="1:12" s="34" customFormat="1" hidden="1" x14ac:dyDescent="0.3">
      <c r="A116" s="121" t="s">
        <v>96</v>
      </c>
      <c r="B116" s="121"/>
      <c r="C116" s="121"/>
      <c r="D116" s="121"/>
      <c r="E116" s="121"/>
      <c r="F116" s="117"/>
      <c r="G116" s="117"/>
      <c r="H116" s="117"/>
    </row>
    <row r="117" spans="1:12" hidden="1" x14ac:dyDescent="0.35">
      <c r="A117" s="121" t="s">
        <v>97</v>
      </c>
      <c r="B117" s="121"/>
      <c r="C117" s="121"/>
      <c r="D117" s="121"/>
      <c r="E117" s="121"/>
      <c r="F117" s="117"/>
      <c r="G117" s="117"/>
      <c r="H117" s="117"/>
      <c r="J117" s="21" t="s">
        <v>198</v>
      </c>
      <c r="K117" s="21">
        <v>5500</v>
      </c>
      <c r="L117" s="21">
        <v>5500</v>
      </c>
    </row>
    <row r="118" spans="1:12" s="35" customFormat="1" hidden="1" x14ac:dyDescent="0.35">
      <c r="A118" s="121" t="s">
        <v>98</v>
      </c>
      <c r="B118" s="121"/>
      <c r="C118" s="121"/>
      <c r="D118" s="121"/>
      <c r="E118" s="121"/>
      <c r="F118" s="117"/>
      <c r="G118" s="117"/>
      <c r="H118" s="117"/>
    </row>
    <row r="119" spans="1:12" s="36" customFormat="1" ht="15.75" hidden="1" customHeight="1" x14ac:dyDescent="0.35">
      <c r="A119" s="121" t="s">
        <v>99</v>
      </c>
      <c r="B119" s="121"/>
      <c r="C119" s="121"/>
      <c r="D119" s="121"/>
      <c r="E119" s="121"/>
      <c r="F119" s="117"/>
      <c r="G119" s="117"/>
      <c r="H119" s="117"/>
    </row>
    <row r="120" spans="1:12" s="36" customFormat="1" ht="15.75" customHeight="1" x14ac:dyDescent="0.35">
      <c r="A120" s="121" t="s">
        <v>50</v>
      </c>
      <c r="B120" s="121"/>
      <c r="C120" s="121"/>
      <c r="D120" s="121"/>
      <c r="E120" s="121"/>
      <c r="F120" s="117">
        <v>200000</v>
      </c>
      <c r="G120" s="117"/>
      <c r="H120" s="117"/>
    </row>
    <row r="121" spans="1:12" s="36" customFormat="1" x14ac:dyDescent="0.35">
      <c r="A121" s="119" t="s">
        <v>51</v>
      </c>
      <c r="B121" s="119"/>
      <c r="C121" s="119"/>
      <c r="D121" s="119"/>
      <c r="E121" s="119"/>
      <c r="F121" s="117">
        <f>F109*0.8</f>
        <v>4960</v>
      </c>
      <c r="G121" s="117"/>
      <c r="H121" s="117"/>
    </row>
    <row r="122" spans="1:12" s="36" customFormat="1" hidden="1" x14ac:dyDescent="0.35">
      <c r="A122" s="127" t="s">
        <v>75</v>
      </c>
      <c r="B122" s="127"/>
      <c r="C122" s="127"/>
      <c r="D122" s="127"/>
      <c r="E122" s="127"/>
      <c r="F122" s="127"/>
      <c r="G122" s="127"/>
      <c r="H122" s="127"/>
    </row>
    <row r="123" spans="1:12" s="36" customFormat="1" hidden="1" x14ac:dyDescent="0.35">
      <c r="A123" s="115" t="s">
        <v>52</v>
      </c>
      <c r="B123" s="115"/>
      <c r="C123" s="175" t="s">
        <v>78</v>
      </c>
      <c r="D123" s="175"/>
      <c r="E123" s="123" t="s">
        <v>53</v>
      </c>
      <c r="F123" s="123"/>
      <c r="G123" s="115" t="s">
        <v>54</v>
      </c>
      <c r="H123" s="115"/>
    </row>
    <row r="124" spans="1:12" s="36" customFormat="1" hidden="1" x14ac:dyDescent="0.35">
      <c r="A124" s="176"/>
      <c r="B124" s="176"/>
      <c r="C124" s="128"/>
      <c r="D124" s="128"/>
      <c r="E124" s="129"/>
      <c r="F124" s="129"/>
      <c r="G124" s="118"/>
      <c r="H124" s="118"/>
    </row>
    <row r="125" spans="1:12" s="36" customFormat="1" ht="15.75" hidden="1" customHeight="1" x14ac:dyDescent="0.35">
      <c r="A125" s="176"/>
      <c r="B125" s="176"/>
      <c r="C125" s="128"/>
      <c r="D125" s="128"/>
      <c r="E125" s="129"/>
      <c r="F125" s="129"/>
      <c r="G125" s="118"/>
      <c r="H125" s="118"/>
    </row>
    <row r="126" spans="1:12" s="36" customFormat="1" hidden="1" x14ac:dyDescent="0.35">
      <c r="A126" s="127" t="s">
        <v>153</v>
      </c>
      <c r="B126" s="127"/>
      <c r="C126" s="175"/>
      <c r="D126" s="175"/>
      <c r="E126" s="123"/>
      <c r="F126" s="123"/>
      <c r="G126" s="115"/>
      <c r="H126" s="115"/>
    </row>
    <row r="127" spans="1:12" s="36" customFormat="1" x14ac:dyDescent="0.35">
      <c r="A127" s="127" t="s">
        <v>70</v>
      </c>
      <c r="B127" s="127"/>
      <c r="C127" s="127"/>
      <c r="D127" s="127"/>
      <c r="E127" s="127"/>
      <c r="F127" s="127"/>
      <c r="G127" s="127"/>
      <c r="H127" s="127"/>
      <c r="I127" s="64" t="s">
        <v>216</v>
      </c>
    </row>
    <row r="128" spans="1:12" s="36" customFormat="1" x14ac:dyDescent="0.35">
      <c r="A128" s="115" t="s">
        <v>52</v>
      </c>
      <c r="B128" s="115"/>
      <c r="C128" s="175" t="s">
        <v>78</v>
      </c>
      <c r="D128" s="175"/>
      <c r="E128" s="123" t="s">
        <v>53</v>
      </c>
      <c r="F128" s="123"/>
      <c r="G128" s="115" t="s">
        <v>54</v>
      </c>
      <c r="H128" s="115"/>
      <c r="I128" s="76">
        <f>19*17</f>
        <v>323</v>
      </c>
    </row>
    <row r="129" spans="1:14" s="35" customFormat="1" x14ac:dyDescent="0.35">
      <c r="A129" s="221" t="s">
        <v>240</v>
      </c>
      <c r="B129" s="221"/>
      <c r="C129" s="173">
        <f>COUNT(D148:D176)*12+COUNT(D178:D204)*2</f>
        <v>402</v>
      </c>
      <c r="D129" s="173"/>
      <c r="E129" s="174">
        <f>SUM(D148:D176)*12+SUM(D178:D204)*2</f>
        <v>106370.76293999996</v>
      </c>
      <c r="F129" s="174"/>
      <c r="G129" s="174">
        <f>SUM(F148:F176)*12+SUM(F178:F204)*2</f>
        <v>159556.14441000001</v>
      </c>
      <c r="H129" s="174"/>
      <c r="I129" s="21"/>
    </row>
    <row r="130" spans="1:14" x14ac:dyDescent="0.35">
      <c r="A130" s="221" t="s">
        <v>231</v>
      </c>
      <c r="B130" s="221"/>
      <c r="C130" s="174">
        <f>COUNT(D209:D225)*10+COUNT(D227:D233,D235:D244)+COUNT(D247:D253,D255:D264)*2+COUNT(D267:D283)*6</f>
        <v>323</v>
      </c>
      <c r="D130" s="174"/>
      <c r="E130" s="174">
        <f t="shared" ref="E130" si="0">SUM(D209:D225)*10+SUM(D227:D233,D235:D244)+SUM(D247:D253,D255:D264)*2+SUM(D267:D283)*6</f>
        <v>136412.17199999996</v>
      </c>
      <c r="F130" s="174"/>
      <c r="G130" s="174">
        <f t="shared" ref="G130" si="1">SUM(F209:F225)*10+SUM(F227:F233,F235:F244)+SUM(F247:F253,F255:F264)*2+SUM(F267:F283)*6</f>
        <v>204618.25799999997</v>
      </c>
      <c r="H130" s="174"/>
      <c r="I130" s="77">
        <f>340-17</f>
        <v>323</v>
      </c>
    </row>
    <row r="131" spans="1:14" x14ac:dyDescent="0.35">
      <c r="A131" s="222" t="s">
        <v>153</v>
      </c>
      <c r="B131" s="222"/>
      <c r="C131" s="223">
        <f>SUM(C129:C130)</f>
        <v>725</v>
      </c>
      <c r="D131" s="223"/>
      <c r="E131" s="224">
        <f>SUM(E129:E130)</f>
        <v>242782.93493999992</v>
      </c>
      <c r="F131" s="224"/>
      <c r="G131" s="224">
        <f>SUM(G129:G130)</f>
        <v>364174.40240999998</v>
      </c>
      <c r="H131" s="224"/>
    </row>
    <row r="132" spans="1:14" s="43" customFormat="1" x14ac:dyDescent="0.35">
      <c r="A132" s="130" t="s">
        <v>55</v>
      </c>
      <c r="B132" s="130"/>
      <c r="C132" s="130"/>
      <c r="D132" s="130"/>
      <c r="E132" s="130"/>
      <c r="F132" s="130"/>
      <c r="G132" s="130"/>
      <c r="H132" s="130"/>
    </row>
    <row r="133" spans="1:14" s="43" customFormat="1" x14ac:dyDescent="0.35">
      <c r="A133" s="130" t="s">
        <v>56</v>
      </c>
      <c r="B133" s="130"/>
      <c r="C133" s="130"/>
      <c r="D133" s="130"/>
      <c r="E133" s="130"/>
      <c r="F133" s="130"/>
      <c r="G133" s="130"/>
      <c r="H133" s="130"/>
      <c r="J133" s="37"/>
    </row>
    <row r="134" spans="1:14" s="43" customFormat="1" ht="45" hidden="1" x14ac:dyDescent="0.35">
      <c r="A134" s="225" t="s">
        <v>120</v>
      </c>
      <c r="B134" s="225" t="s">
        <v>119</v>
      </c>
      <c r="C134" s="225" t="s">
        <v>57</v>
      </c>
      <c r="D134" s="225" t="s">
        <v>58</v>
      </c>
      <c r="E134" s="226" t="s">
        <v>159</v>
      </c>
      <c r="F134" s="227" t="s">
        <v>152</v>
      </c>
      <c r="G134" s="225" t="s">
        <v>60</v>
      </c>
      <c r="H134" s="225"/>
      <c r="I134" s="37"/>
      <c r="L134" s="98"/>
      <c r="M134" s="98"/>
      <c r="N134" s="37"/>
    </row>
    <row r="135" spans="1:14" s="43" customFormat="1" hidden="1" x14ac:dyDescent="0.35">
      <c r="A135" s="225"/>
      <c r="B135" s="225"/>
      <c r="C135" s="225"/>
      <c r="D135" s="225"/>
      <c r="E135" s="226"/>
      <c r="F135" s="228">
        <v>0.6</v>
      </c>
      <c r="G135" s="225"/>
      <c r="H135" s="225"/>
      <c r="I135" s="37"/>
      <c r="L135" s="98"/>
      <c r="M135" s="98"/>
      <c r="N135" s="37"/>
    </row>
    <row r="136" spans="1:14" s="43" customFormat="1" hidden="1" x14ac:dyDescent="0.35">
      <c r="A136" s="107" t="s">
        <v>118</v>
      </c>
      <c r="B136" s="107"/>
      <c r="C136" s="107"/>
      <c r="D136" s="107"/>
      <c r="E136" s="107"/>
      <c r="F136" s="107"/>
      <c r="G136" s="107"/>
      <c r="H136" s="107"/>
      <c r="I136" s="37"/>
      <c r="L136" s="98"/>
      <c r="M136" s="98"/>
      <c r="N136" s="37"/>
    </row>
    <row r="137" spans="1:14" s="43" customFormat="1" hidden="1" x14ac:dyDescent="0.35">
      <c r="A137" s="108">
        <v>1</v>
      </c>
      <c r="B137" s="108"/>
      <c r="C137" s="78"/>
      <c r="D137" s="78"/>
      <c r="E137" s="78">
        <v>0</v>
      </c>
      <c r="F137" s="78">
        <f>(D137+E137)*(($F$135)+1)</f>
        <v>0</v>
      </c>
      <c r="G137" s="108" t="str">
        <f>A136</f>
        <v>Ground Floor</v>
      </c>
      <c r="H137" s="108"/>
      <c r="I137" s="37"/>
      <c r="L137" s="98"/>
      <c r="M137" s="98"/>
      <c r="N137" s="37"/>
    </row>
    <row r="138" spans="1:14" s="43" customFormat="1" hidden="1" x14ac:dyDescent="0.35">
      <c r="A138" s="108">
        <f t="shared" ref="A138:A140" si="2">A137+1</f>
        <v>2</v>
      </c>
      <c r="B138" s="108"/>
      <c r="C138" s="78"/>
      <c r="D138" s="78"/>
      <c r="E138" s="78">
        <v>0</v>
      </c>
      <c r="F138" s="78">
        <f>(D138+E138)*(($F$135)+1)</f>
        <v>0</v>
      </c>
      <c r="G138" s="108" t="str">
        <f t="shared" ref="G138:G140" si="3">G137</f>
        <v>Ground Floor</v>
      </c>
      <c r="H138" s="108"/>
      <c r="I138" s="37"/>
      <c r="N138" s="37"/>
    </row>
    <row r="139" spans="1:14" hidden="1" x14ac:dyDescent="0.35">
      <c r="A139" s="108">
        <f t="shared" si="2"/>
        <v>3</v>
      </c>
      <c r="B139" s="108"/>
      <c r="C139" s="78"/>
      <c r="D139" s="78"/>
      <c r="E139" s="78">
        <v>0</v>
      </c>
      <c r="F139" s="78">
        <f>(D139+E139)*(($F$135)+1)</f>
        <v>0</v>
      </c>
      <c r="G139" s="108" t="str">
        <f t="shared" si="3"/>
        <v>Ground Floor</v>
      </c>
      <c r="H139" s="108"/>
      <c r="I139" s="37"/>
    </row>
    <row r="140" spans="1:14" s="43" customFormat="1" hidden="1" x14ac:dyDescent="0.35">
      <c r="A140" s="108">
        <f t="shared" si="2"/>
        <v>4</v>
      </c>
      <c r="B140" s="108"/>
      <c r="C140" s="78"/>
      <c r="D140" s="78"/>
      <c r="E140" s="78">
        <v>0</v>
      </c>
      <c r="F140" s="78">
        <f>(D140+E140)*(($F$135)+1)</f>
        <v>0</v>
      </c>
      <c r="G140" s="108" t="str">
        <f t="shared" si="3"/>
        <v>Ground Floor</v>
      </c>
      <c r="H140" s="108"/>
      <c r="I140" s="37">
        <f>238+102</f>
        <v>340</v>
      </c>
    </row>
    <row r="141" spans="1:14" s="60" customFormat="1" x14ac:dyDescent="0.35">
      <c r="A141" s="108"/>
      <c r="B141" s="108"/>
      <c r="C141" s="108"/>
      <c r="D141" s="108"/>
      <c r="E141" s="108"/>
      <c r="F141" s="108"/>
      <c r="G141" s="108"/>
      <c r="H141" s="108"/>
    </row>
    <row r="142" spans="1:14" s="66" customFormat="1" ht="45" x14ac:dyDescent="0.35">
      <c r="A142" s="225" t="s">
        <v>121</v>
      </c>
      <c r="B142" s="225" t="s">
        <v>122</v>
      </c>
      <c r="C142" s="225" t="s">
        <v>57</v>
      </c>
      <c r="D142" s="225" t="s">
        <v>58</v>
      </c>
      <c r="E142" s="226" t="s">
        <v>59</v>
      </c>
      <c r="F142" s="227" t="s">
        <v>152</v>
      </c>
      <c r="G142" s="225" t="s">
        <v>60</v>
      </c>
      <c r="H142" s="225"/>
    </row>
    <row r="143" spans="1:14" s="51" customFormat="1" x14ac:dyDescent="0.35">
      <c r="A143" s="225"/>
      <c r="B143" s="225"/>
      <c r="C143" s="225"/>
      <c r="D143" s="225"/>
      <c r="E143" s="226"/>
      <c r="F143" s="228">
        <v>0.5</v>
      </c>
      <c r="G143" s="225"/>
      <c r="H143" s="225"/>
      <c r="J143" s="52">
        <f>10.764</f>
        <v>10.763999999999999</v>
      </c>
    </row>
    <row r="144" spans="1:14" s="51" customFormat="1" x14ac:dyDescent="0.35">
      <c r="A144" s="201" t="s">
        <v>224</v>
      </c>
      <c r="B144" s="202"/>
      <c r="C144" s="202"/>
      <c r="D144" s="202"/>
      <c r="E144" s="202"/>
      <c r="F144" s="202"/>
      <c r="G144" s="202"/>
      <c r="H144" s="203"/>
      <c r="J144" s="37"/>
    </row>
    <row r="145" spans="1:14" s="51" customFormat="1" x14ac:dyDescent="0.35">
      <c r="A145" s="104" t="s">
        <v>240</v>
      </c>
      <c r="B145" s="105"/>
      <c r="C145" s="105"/>
      <c r="D145" s="105"/>
      <c r="E145" s="105"/>
      <c r="F145" s="105"/>
      <c r="G145" s="105"/>
      <c r="H145" s="106"/>
      <c r="I145" s="37"/>
      <c r="L145" s="98"/>
      <c r="M145" s="98"/>
      <c r="N145" s="37"/>
    </row>
    <row r="146" spans="1:14" s="51" customFormat="1" ht="15.75" customHeight="1" x14ac:dyDescent="0.35">
      <c r="A146" s="104" t="s">
        <v>194</v>
      </c>
      <c r="B146" s="105"/>
      <c r="C146" s="105"/>
      <c r="D146" s="105"/>
      <c r="E146" s="105"/>
      <c r="F146" s="105"/>
      <c r="G146" s="105"/>
      <c r="H146" s="106"/>
      <c r="I146" s="37"/>
      <c r="L146" s="98"/>
      <c r="M146" s="98"/>
      <c r="N146" s="37"/>
    </row>
    <row r="147" spans="1:14" s="51" customFormat="1" ht="15.75" customHeight="1" x14ac:dyDescent="0.35">
      <c r="A147" s="104" t="s">
        <v>195</v>
      </c>
      <c r="B147" s="105"/>
      <c r="C147" s="105"/>
      <c r="D147" s="105"/>
      <c r="E147" s="105"/>
      <c r="F147" s="105"/>
      <c r="G147" s="105"/>
      <c r="H147" s="106"/>
      <c r="I147" s="37"/>
      <c r="L147" s="98"/>
      <c r="M147" s="98"/>
      <c r="N147" s="37"/>
    </row>
    <row r="148" spans="1:14" s="51" customFormat="1" ht="15.75" customHeight="1" x14ac:dyDescent="0.35">
      <c r="A148" s="96">
        <v>1</v>
      </c>
      <c r="B148" s="97"/>
      <c r="C148" s="49">
        <v>0</v>
      </c>
      <c r="D148" s="52">
        <f>(3.75*5.71)*(10.764)</f>
        <v>230.48415</v>
      </c>
      <c r="E148" s="50">
        <v>0</v>
      </c>
      <c r="F148" s="50">
        <f t="shared" ref="F148:F176" si="4">D148*(($F$143)+1)+(IF(E148&lt;101,E148,IF(E148&lt;201,E148/2,IF(E148&lt;=301,E148/3,E148/4))))</f>
        <v>345.726225</v>
      </c>
      <c r="G148" s="204" t="str">
        <f>A147</f>
        <v>1st to 6th, 8th to 12th &amp; 14th Floor</v>
      </c>
      <c r="H148" s="205"/>
      <c r="I148" s="37">
        <f>2100000/F151</f>
        <v>6074.1703930617359</v>
      </c>
      <c r="L148" s="98"/>
      <c r="M148" s="98"/>
      <c r="N148" s="37"/>
    </row>
    <row r="149" spans="1:14" s="51" customFormat="1" ht="15.75" customHeight="1" x14ac:dyDescent="0.35">
      <c r="A149" s="96">
        <f t="shared" ref="A149:A176" si="5">A148+1</f>
        <v>2</v>
      </c>
      <c r="B149" s="97"/>
      <c r="C149" s="49">
        <v>0</v>
      </c>
      <c r="D149" s="52">
        <f>(3.75*5.71)*(10.764)</f>
        <v>230.48415</v>
      </c>
      <c r="E149" s="50">
        <v>0</v>
      </c>
      <c r="F149" s="50">
        <f t="shared" si="4"/>
        <v>345.726225</v>
      </c>
      <c r="G149" s="206"/>
      <c r="H149" s="207"/>
      <c r="I149" s="37">
        <f>2500000/F152</f>
        <v>5999.9268152926779</v>
      </c>
      <c r="L149" s="98"/>
      <c r="M149" s="98"/>
      <c r="N149" s="37"/>
    </row>
    <row r="150" spans="1:14" s="51" customFormat="1" ht="15.75" customHeight="1" x14ac:dyDescent="0.35">
      <c r="A150" s="96">
        <f t="shared" si="5"/>
        <v>3</v>
      </c>
      <c r="B150" s="97"/>
      <c r="C150" s="49">
        <v>0</v>
      </c>
      <c r="D150" s="52">
        <f>(3.75*5.71)*(10.764)</f>
        <v>230.48415</v>
      </c>
      <c r="E150" s="50">
        <v>0</v>
      </c>
      <c r="F150" s="50">
        <f t="shared" si="4"/>
        <v>345.726225</v>
      </c>
      <c r="G150" s="206"/>
      <c r="H150" s="207"/>
      <c r="I150" s="37"/>
      <c r="L150" s="98"/>
      <c r="M150" s="98"/>
      <c r="N150" s="37"/>
    </row>
    <row r="151" spans="1:14" s="51" customFormat="1" ht="15.75" customHeight="1" x14ac:dyDescent="0.35">
      <c r="A151" s="96">
        <f t="shared" si="5"/>
        <v>4</v>
      </c>
      <c r="B151" s="97"/>
      <c r="C151" s="49">
        <v>0</v>
      </c>
      <c r="D151" s="52">
        <f>(3.75*5.71)*(10.764)</f>
        <v>230.48415</v>
      </c>
      <c r="E151" s="50">
        <v>0</v>
      </c>
      <c r="F151" s="50">
        <f t="shared" si="4"/>
        <v>345.726225</v>
      </c>
      <c r="G151" s="206"/>
      <c r="H151" s="207"/>
      <c r="I151" s="37"/>
      <c r="L151" s="98"/>
      <c r="M151" s="98"/>
      <c r="N151" s="37"/>
    </row>
    <row r="152" spans="1:14" s="51" customFormat="1" ht="15.75" customHeight="1" x14ac:dyDescent="0.35">
      <c r="A152" s="96">
        <f t="shared" si="5"/>
        <v>5</v>
      </c>
      <c r="B152" s="97"/>
      <c r="C152" s="49">
        <v>1</v>
      </c>
      <c r="D152" s="52">
        <f t="shared" ref="D152:D169" si="6">(2.6*5.71+2.55*3.31+1.2*2.1)*(10.764)</f>
        <v>277.78116599999998</v>
      </c>
      <c r="E152" s="50">
        <v>0</v>
      </c>
      <c r="F152" s="50">
        <f t="shared" si="4"/>
        <v>416.67174899999998</v>
      </c>
      <c r="G152" s="206"/>
      <c r="H152" s="207"/>
      <c r="I152" s="37"/>
      <c r="L152" s="98"/>
      <c r="M152" s="98"/>
      <c r="N152" s="37"/>
    </row>
    <row r="153" spans="1:14" s="51" customFormat="1" ht="15.75" customHeight="1" x14ac:dyDescent="0.35">
      <c r="A153" s="96">
        <f t="shared" si="5"/>
        <v>6</v>
      </c>
      <c r="B153" s="97"/>
      <c r="C153" s="49">
        <v>1</v>
      </c>
      <c r="D153" s="52">
        <f t="shared" si="6"/>
        <v>277.78116599999998</v>
      </c>
      <c r="E153" s="50">
        <v>0</v>
      </c>
      <c r="F153" s="50">
        <f t="shared" si="4"/>
        <v>416.67174899999998</v>
      </c>
      <c r="G153" s="206"/>
      <c r="H153" s="207"/>
      <c r="I153" s="37"/>
      <c r="L153" s="98"/>
      <c r="M153" s="98"/>
      <c r="N153" s="37"/>
    </row>
    <row r="154" spans="1:14" s="51" customFormat="1" ht="15.75" customHeight="1" x14ac:dyDescent="0.35">
      <c r="A154" s="96">
        <f t="shared" si="5"/>
        <v>7</v>
      </c>
      <c r="B154" s="97"/>
      <c r="C154" s="49">
        <v>1</v>
      </c>
      <c r="D154" s="52">
        <f t="shared" si="6"/>
        <v>277.78116599999998</v>
      </c>
      <c r="E154" s="50">
        <v>0</v>
      </c>
      <c r="F154" s="50">
        <f t="shared" si="4"/>
        <v>416.67174899999998</v>
      </c>
      <c r="G154" s="206"/>
      <c r="H154" s="207"/>
      <c r="I154" s="37"/>
      <c r="L154" s="98"/>
      <c r="M154" s="98"/>
      <c r="N154" s="37"/>
    </row>
    <row r="155" spans="1:14" s="51" customFormat="1" ht="15.75" customHeight="1" x14ac:dyDescent="0.35">
      <c r="A155" s="96">
        <f t="shared" si="5"/>
        <v>8</v>
      </c>
      <c r="B155" s="97"/>
      <c r="C155" s="49">
        <v>1</v>
      </c>
      <c r="D155" s="52">
        <f t="shared" si="6"/>
        <v>277.78116599999998</v>
      </c>
      <c r="E155" s="50">
        <v>0</v>
      </c>
      <c r="F155" s="50">
        <f t="shared" si="4"/>
        <v>416.67174899999998</v>
      </c>
      <c r="G155" s="206"/>
      <c r="H155" s="207"/>
      <c r="I155" s="37"/>
      <c r="L155" s="98"/>
      <c r="M155" s="98"/>
      <c r="N155" s="37"/>
    </row>
    <row r="156" spans="1:14" s="51" customFormat="1" ht="15.75" customHeight="1" x14ac:dyDescent="0.35">
      <c r="A156" s="96">
        <f t="shared" si="5"/>
        <v>9</v>
      </c>
      <c r="B156" s="97"/>
      <c r="C156" s="49">
        <v>1</v>
      </c>
      <c r="D156" s="52">
        <f t="shared" si="6"/>
        <v>277.78116599999998</v>
      </c>
      <c r="E156" s="50">
        <v>0</v>
      </c>
      <c r="F156" s="50">
        <f t="shared" si="4"/>
        <v>416.67174899999998</v>
      </c>
      <c r="G156" s="206"/>
      <c r="H156" s="207"/>
      <c r="I156" s="37"/>
      <c r="L156" s="98"/>
      <c r="M156" s="98"/>
      <c r="N156" s="37"/>
    </row>
    <row r="157" spans="1:14" s="51" customFormat="1" ht="15.75" customHeight="1" x14ac:dyDescent="0.35">
      <c r="A157" s="96">
        <f t="shared" si="5"/>
        <v>10</v>
      </c>
      <c r="B157" s="97"/>
      <c r="C157" s="49">
        <v>1</v>
      </c>
      <c r="D157" s="52">
        <f t="shared" si="6"/>
        <v>277.78116599999998</v>
      </c>
      <c r="E157" s="50">
        <v>0</v>
      </c>
      <c r="F157" s="50">
        <f t="shared" si="4"/>
        <v>416.67174899999998</v>
      </c>
      <c r="G157" s="206"/>
      <c r="H157" s="207"/>
      <c r="I157" s="37"/>
      <c r="L157" s="98"/>
      <c r="M157" s="98"/>
      <c r="N157" s="37"/>
    </row>
    <row r="158" spans="1:14" s="51" customFormat="1" ht="15.75" customHeight="1" x14ac:dyDescent="0.35">
      <c r="A158" s="96">
        <f t="shared" si="5"/>
        <v>11</v>
      </c>
      <c r="B158" s="97"/>
      <c r="C158" s="49">
        <v>1</v>
      </c>
      <c r="D158" s="52">
        <f t="shared" si="6"/>
        <v>277.78116599999998</v>
      </c>
      <c r="E158" s="50">
        <v>0</v>
      </c>
      <c r="F158" s="50">
        <f t="shared" si="4"/>
        <v>416.67174899999998</v>
      </c>
      <c r="G158" s="206"/>
      <c r="H158" s="207"/>
      <c r="I158" s="37"/>
      <c r="L158" s="98"/>
      <c r="M158" s="98"/>
      <c r="N158" s="37"/>
    </row>
    <row r="159" spans="1:14" s="51" customFormat="1" ht="15.75" customHeight="1" x14ac:dyDescent="0.35">
      <c r="A159" s="96">
        <f t="shared" si="5"/>
        <v>12</v>
      </c>
      <c r="B159" s="97"/>
      <c r="C159" s="49">
        <v>1</v>
      </c>
      <c r="D159" s="52">
        <f t="shared" si="6"/>
        <v>277.78116599999998</v>
      </c>
      <c r="E159" s="50">
        <v>0</v>
      </c>
      <c r="F159" s="50">
        <f t="shared" si="4"/>
        <v>416.67174899999998</v>
      </c>
      <c r="G159" s="206"/>
      <c r="H159" s="207"/>
      <c r="I159" s="37"/>
      <c r="L159" s="98"/>
      <c r="M159" s="98"/>
      <c r="N159" s="37"/>
    </row>
    <row r="160" spans="1:14" s="51" customFormat="1" ht="15.75" customHeight="1" x14ac:dyDescent="0.35">
      <c r="A160" s="96">
        <f t="shared" si="5"/>
        <v>13</v>
      </c>
      <c r="B160" s="97"/>
      <c r="C160" s="49">
        <v>1</v>
      </c>
      <c r="D160" s="52">
        <f t="shared" si="6"/>
        <v>277.78116599999998</v>
      </c>
      <c r="E160" s="50">
        <v>0</v>
      </c>
      <c r="F160" s="50">
        <f t="shared" si="4"/>
        <v>416.67174899999998</v>
      </c>
      <c r="G160" s="206"/>
      <c r="H160" s="207"/>
      <c r="I160" s="37"/>
      <c r="L160" s="98"/>
      <c r="M160" s="98"/>
      <c r="N160" s="37"/>
    </row>
    <row r="161" spans="1:14" s="51" customFormat="1" ht="15.75" customHeight="1" x14ac:dyDescent="0.35">
      <c r="A161" s="96">
        <f t="shared" si="5"/>
        <v>14</v>
      </c>
      <c r="B161" s="97"/>
      <c r="C161" s="49">
        <v>1</v>
      </c>
      <c r="D161" s="52">
        <f t="shared" si="6"/>
        <v>277.78116599999998</v>
      </c>
      <c r="E161" s="50">
        <v>0</v>
      </c>
      <c r="F161" s="50">
        <f t="shared" si="4"/>
        <v>416.67174899999998</v>
      </c>
      <c r="G161" s="206"/>
      <c r="H161" s="207"/>
      <c r="I161" s="37"/>
      <c r="L161" s="98"/>
      <c r="M161" s="98"/>
      <c r="N161" s="37"/>
    </row>
    <row r="162" spans="1:14" s="51" customFormat="1" ht="15.75" customHeight="1" x14ac:dyDescent="0.35">
      <c r="A162" s="96">
        <f t="shared" si="5"/>
        <v>15</v>
      </c>
      <c r="B162" s="97"/>
      <c r="C162" s="49">
        <v>1</v>
      </c>
      <c r="D162" s="52">
        <f t="shared" si="6"/>
        <v>277.78116599999998</v>
      </c>
      <c r="E162" s="50">
        <v>0</v>
      </c>
      <c r="F162" s="50">
        <f t="shared" si="4"/>
        <v>416.67174899999998</v>
      </c>
      <c r="G162" s="206"/>
      <c r="H162" s="207"/>
      <c r="I162" s="37"/>
      <c r="L162" s="98"/>
      <c r="M162" s="98"/>
      <c r="N162" s="37"/>
    </row>
    <row r="163" spans="1:14" s="51" customFormat="1" ht="15.75" customHeight="1" x14ac:dyDescent="0.35">
      <c r="A163" s="96">
        <f t="shared" si="5"/>
        <v>16</v>
      </c>
      <c r="B163" s="97"/>
      <c r="C163" s="49">
        <v>1</v>
      </c>
      <c r="D163" s="52">
        <f t="shared" si="6"/>
        <v>277.78116599999998</v>
      </c>
      <c r="E163" s="50">
        <v>0</v>
      </c>
      <c r="F163" s="50">
        <f t="shared" si="4"/>
        <v>416.67174899999998</v>
      </c>
      <c r="G163" s="206"/>
      <c r="H163" s="207"/>
      <c r="I163" s="37"/>
      <c r="L163" s="98"/>
      <c r="M163" s="98"/>
      <c r="N163" s="37"/>
    </row>
    <row r="164" spans="1:14" s="51" customFormat="1" ht="15.75" customHeight="1" x14ac:dyDescent="0.35">
      <c r="A164" s="96">
        <f t="shared" si="5"/>
        <v>17</v>
      </c>
      <c r="B164" s="97"/>
      <c r="C164" s="49">
        <v>1</v>
      </c>
      <c r="D164" s="52">
        <f t="shared" si="6"/>
        <v>277.78116599999998</v>
      </c>
      <c r="E164" s="50">
        <v>0</v>
      </c>
      <c r="F164" s="50">
        <f t="shared" si="4"/>
        <v>416.67174899999998</v>
      </c>
      <c r="G164" s="206"/>
      <c r="H164" s="207"/>
      <c r="I164" s="37"/>
      <c r="L164" s="98"/>
      <c r="M164" s="98"/>
      <c r="N164" s="37"/>
    </row>
    <row r="165" spans="1:14" s="51" customFormat="1" ht="15.75" customHeight="1" x14ac:dyDescent="0.35">
      <c r="A165" s="96">
        <f t="shared" si="5"/>
        <v>18</v>
      </c>
      <c r="B165" s="97"/>
      <c r="C165" s="49">
        <v>1</v>
      </c>
      <c r="D165" s="52">
        <f t="shared" si="6"/>
        <v>277.78116599999998</v>
      </c>
      <c r="E165" s="50">
        <v>0</v>
      </c>
      <c r="F165" s="50">
        <f t="shared" si="4"/>
        <v>416.67174899999998</v>
      </c>
      <c r="G165" s="206"/>
      <c r="H165" s="207"/>
      <c r="I165" s="37"/>
      <c r="L165" s="98"/>
      <c r="M165" s="98"/>
      <c r="N165" s="37"/>
    </row>
    <row r="166" spans="1:14" s="51" customFormat="1" ht="15.75" customHeight="1" x14ac:dyDescent="0.35">
      <c r="A166" s="96">
        <f t="shared" si="5"/>
        <v>19</v>
      </c>
      <c r="B166" s="97"/>
      <c r="C166" s="49">
        <v>1</v>
      </c>
      <c r="D166" s="52">
        <f t="shared" si="6"/>
        <v>277.78116599999998</v>
      </c>
      <c r="E166" s="50">
        <v>0</v>
      </c>
      <c r="F166" s="50">
        <f t="shared" si="4"/>
        <v>416.67174899999998</v>
      </c>
      <c r="G166" s="206"/>
      <c r="H166" s="207"/>
      <c r="I166" s="37"/>
      <c r="L166" s="98"/>
      <c r="M166" s="98"/>
      <c r="N166" s="37"/>
    </row>
    <row r="167" spans="1:14" s="51" customFormat="1" ht="15.75" customHeight="1" x14ac:dyDescent="0.35">
      <c r="A167" s="96">
        <f t="shared" si="5"/>
        <v>20</v>
      </c>
      <c r="B167" s="97"/>
      <c r="C167" s="49">
        <v>1</v>
      </c>
      <c r="D167" s="52">
        <f t="shared" si="6"/>
        <v>277.78116599999998</v>
      </c>
      <c r="E167" s="50">
        <v>0</v>
      </c>
      <c r="F167" s="50">
        <f t="shared" si="4"/>
        <v>416.67174899999998</v>
      </c>
      <c r="G167" s="206"/>
      <c r="H167" s="207"/>
      <c r="I167" s="37"/>
      <c r="L167" s="98"/>
      <c r="M167" s="98"/>
      <c r="N167" s="37"/>
    </row>
    <row r="168" spans="1:14" s="51" customFormat="1" ht="15.75" customHeight="1" x14ac:dyDescent="0.35">
      <c r="A168" s="96">
        <f t="shared" si="5"/>
        <v>21</v>
      </c>
      <c r="B168" s="97"/>
      <c r="C168" s="49">
        <v>1</v>
      </c>
      <c r="D168" s="52">
        <f t="shared" si="6"/>
        <v>277.78116599999998</v>
      </c>
      <c r="E168" s="50">
        <v>0</v>
      </c>
      <c r="F168" s="50">
        <f t="shared" si="4"/>
        <v>416.67174899999998</v>
      </c>
      <c r="G168" s="206"/>
      <c r="H168" s="207"/>
      <c r="I168" s="37"/>
      <c r="L168" s="98"/>
      <c r="M168" s="98"/>
      <c r="N168" s="37"/>
    </row>
    <row r="169" spans="1:14" s="51" customFormat="1" ht="15.75" customHeight="1" x14ac:dyDescent="0.35">
      <c r="A169" s="96">
        <f t="shared" si="5"/>
        <v>22</v>
      </c>
      <c r="B169" s="97"/>
      <c r="C169" s="49">
        <v>1</v>
      </c>
      <c r="D169" s="52">
        <f t="shared" si="6"/>
        <v>277.78116599999998</v>
      </c>
      <c r="E169" s="50">
        <v>0</v>
      </c>
      <c r="F169" s="50">
        <f t="shared" si="4"/>
        <v>416.67174899999998</v>
      </c>
      <c r="G169" s="206"/>
      <c r="H169" s="207"/>
      <c r="I169" s="37"/>
      <c r="L169" s="98"/>
      <c r="M169" s="98"/>
      <c r="N169" s="37"/>
    </row>
    <row r="170" spans="1:14" s="51" customFormat="1" ht="15.75" customHeight="1" x14ac:dyDescent="0.35">
      <c r="A170" s="108">
        <f t="shared" si="5"/>
        <v>23</v>
      </c>
      <c r="B170" s="108"/>
      <c r="C170" s="49">
        <v>0</v>
      </c>
      <c r="D170" s="52">
        <f>(3.75*5.71)*(10.764)</f>
        <v>230.48415</v>
      </c>
      <c r="E170" s="55">
        <v>0</v>
      </c>
      <c r="F170" s="55">
        <f t="shared" si="4"/>
        <v>345.726225</v>
      </c>
      <c r="G170" s="206"/>
      <c r="H170" s="207"/>
      <c r="I170" s="37"/>
      <c r="L170" s="98"/>
      <c r="M170" s="98"/>
      <c r="N170" s="37"/>
    </row>
    <row r="171" spans="1:14" s="51" customFormat="1" ht="15.75" customHeight="1" x14ac:dyDescent="0.35">
      <c r="A171" s="108">
        <f t="shared" si="5"/>
        <v>24</v>
      </c>
      <c r="B171" s="108"/>
      <c r="C171" s="49">
        <v>0</v>
      </c>
      <c r="D171" s="52">
        <f>(3.75*5.71)*(10.764)</f>
        <v>230.48415</v>
      </c>
      <c r="E171" s="55">
        <v>0</v>
      </c>
      <c r="F171" s="55">
        <f t="shared" si="4"/>
        <v>345.726225</v>
      </c>
      <c r="G171" s="206"/>
      <c r="H171" s="207"/>
      <c r="I171" s="37"/>
      <c r="L171" s="98"/>
      <c r="M171" s="98"/>
      <c r="N171" s="37"/>
    </row>
    <row r="172" spans="1:14" s="51" customFormat="1" ht="15.75" customHeight="1" x14ac:dyDescent="0.35">
      <c r="A172" s="108">
        <f t="shared" si="5"/>
        <v>25</v>
      </c>
      <c r="B172" s="108"/>
      <c r="C172" s="49">
        <v>0</v>
      </c>
      <c r="D172" s="52">
        <f>(3.75*5.71)*(10.764)</f>
        <v>230.48415</v>
      </c>
      <c r="E172" s="55">
        <v>0</v>
      </c>
      <c r="F172" s="55">
        <f t="shared" si="4"/>
        <v>345.726225</v>
      </c>
      <c r="G172" s="206"/>
      <c r="H172" s="207"/>
      <c r="I172" s="37"/>
      <c r="L172" s="98"/>
      <c r="M172" s="98"/>
      <c r="N172" s="37"/>
    </row>
    <row r="173" spans="1:14" s="51" customFormat="1" ht="15.75" customHeight="1" x14ac:dyDescent="0.35">
      <c r="A173" s="108">
        <f t="shared" si="5"/>
        <v>26</v>
      </c>
      <c r="B173" s="108"/>
      <c r="C173" s="49">
        <v>0</v>
      </c>
      <c r="D173" s="52">
        <f>(3.75*5.71)*(10.764)</f>
        <v>230.48415</v>
      </c>
      <c r="E173" s="55">
        <v>0</v>
      </c>
      <c r="F173" s="55">
        <f t="shared" si="4"/>
        <v>345.726225</v>
      </c>
      <c r="G173" s="206"/>
      <c r="H173" s="207"/>
      <c r="I173" s="37"/>
      <c r="L173" s="98"/>
      <c r="M173" s="98"/>
      <c r="N173" s="37"/>
    </row>
    <row r="174" spans="1:14" s="51" customFormat="1" ht="15.75" customHeight="1" x14ac:dyDescent="0.35">
      <c r="A174" s="108">
        <f t="shared" si="5"/>
        <v>27</v>
      </c>
      <c r="B174" s="108"/>
      <c r="C174" s="49">
        <v>1</v>
      </c>
      <c r="D174" s="52">
        <f>(2.6*5.71+2.55*3.31+1.2*2.1)*(10.764)</f>
        <v>277.78116599999998</v>
      </c>
      <c r="E174" s="55">
        <v>0</v>
      </c>
      <c r="F174" s="55">
        <f t="shared" si="4"/>
        <v>416.67174899999998</v>
      </c>
      <c r="G174" s="206"/>
      <c r="H174" s="207"/>
      <c r="J174" s="37"/>
    </row>
    <row r="175" spans="1:14" s="51" customFormat="1" x14ac:dyDescent="0.35">
      <c r="A175" s="108">
        <f t="shared" si="5"/>
        <v>28</v>
      </c>
      <c r="B175" s="108"/>
      <c r="C175" s="49">
        <v>1</v>
      </c>
      <c r="D175" s="52">
        <f>(2.6*5.71+2.55*3.31+1.2*2.1)*(10.764)</f>
        <v>277.78116599999998</v>
      </c>
      <c r="E175" s="55">
        <v>0</v>
      </c>
      <c r="F175" s="55">
        <f t="shared" si="4"/>
        <v>416.67174899999998</v>
      </c>
      <c r="G175" s="206"/>
      <c r="H175" s="207"/>
      <c r="I175" s="37"/>
      <c r="L175" s="98"/>
      <c r="M175" s="98"/>
      <c r="N175" s="37"/>
    </row>
    <row r="176" spans="1:14" s="51" customFormat="1" ht="15.75" customHeight="1" x14ac:dyDescent="0.35">
      <c r="A176" s="108">
        <f t="shared" si="5"/>
        <v>29</v>
      </c>
      <c r="B176" s="108"/>
      <c r="C176" s="49">
        <v>1</v>
      </c>
      <c r="D176" s="52">
        <f>(2.6*5.71+2.55*3.31+1.2*2.1)*(10.764)</f>
        <v>277.78116599999998</v>
      </c>
      <c r="E176" s="55">
        <v>0</v>
      </c>
      <c r="F176" s="55">
        <f t="shared" si="4"/>
        <v>416.67174899999998</v>
      </c>
      <c r="G176" s="208"/>
      <c r="H176" s="209"/>
      <c r="I176" s="37"/>
      <c r="L176" s="98"/>
      <c r="M176" s="98"/>
      <c r="N176" s="37"/>
    </row>
    <row r="177" spans="1:14" s="51" customFormat="1" ht="15.75" customHeight="1" x14ac:dyDescent="0.35">
      <c r="A177" s="107" t="s">
        <v>196</v>
      </c>
      <c r="B177" s="107"/>
      <c r="C177" s="107"/>
      <c r="D177" s="107"/>
      <c r="E177" s="107"/>
      <c r="F177" s="107"/>
      <c r="G177" s="107"/>
      <c r="H177" s="107"/>
      <c r="I177" s="37"/>
      <c r="L177" s="98"/>
      <c r="M177" s="98"/>
      <c r="N177" s="37"/>
    </row>
    <row r="178" spans="1:14" s="51" customFormat="1" ht="15.75" customHeight="1" x14ac:dyDescent="0.35">
      <c r="A178" s="108">
        <v>1</v>
      </c>
      <c r="B178" s="108"/>
      <c r="C178" s="49">
        <v>0</v>
      </c>
      <c r="D178" s="52">
        <f>(3.75*5.71)*(10.764)</f>
        <v>230.48415</v>
      </c>
      <c r="E178" s="55">
        <v>0</v>
      </c>
      <c r="F178" s="55">
        <f t="shared" ref="F178:F204" si="7">D178*(($F$143)+1)+(IF(E178&lt;101,E178,IF(E178&lt;201,E178/2,IF(E178&lt;=301,E178/3,E178/4))))</f>
        <v>345.726225</v>
      </c>
      <c r="G178" s="204" t="str">
        <f>A177</f>
        <v>7th &amp; 13th Floor (Part Refuge Area)</v>
      </c>
      <c r="H178" s="205"/>
      <c r="I178" s="37"/>
      <c r="L178" s="98"/>
      <c r="M178" s="98"/>
      <c r="N178" s="37"/>
    </row>
    <row r="179" spans="1:14" s="51" customFormat="1" ht="15.75" customHeight="1" x14ac:dyDescent="0.35">
      <c r="A179" s="108">
        <f t="shared" ref="A179:A204" si="8">A178+1</f>
        <v>2</v>
      </c>
      <c r="B179" s="108"/>
      <c r="C179" s="49">
        <v>0</v>
      </c>
      <c r="D179" s="52">
        <f>(3.75*5.71)*(10.764)</f>
        <v>230.48415</v>
      </c>
      <c r="E179" s="55">
        <v>0</v>
      </c>
      <c r="F179" s="55">
        <f t="shared" si="7"/>
        <v>345.726225</v>
      </c>
      <c r="G179" s="206"/>
      <c r="H179" s="207"/>
      <c r="I179" s="37"/>
      <c r="L179" s="98"/>
      <c r="M179" s="98"/>
      <c r="N179" s="37"/>
    </row>
    <row r="180" spans="1:14" s="51" customFormat="1" ht="15.75" customHeight="1" x14ac:dyDescent="0.35">
      <c r="A180" s="108">
        <f t="shared" si="8"/>
        <v>3</v>
      </c>
      <c r="B180" s="108"/>
      <c r="C180" s="49">
        <v>0</v>
      </c>
      <c r="D180" s="52">
        <f>(3.75*5.71)*(10.764)</f>
        <v>230.48415</v>
      </c>
      <c r="E180" s="54">
        <v>0</v>
      </c>
      <c r="F180" s="54">
        <f t="shared" si="7"/>
        <v>345.726225</v>
      </c>
      <c r="G180" s="206"/>
      <c r="H180" s="207"/>
      <c r="I180" s="37"/>
      <c r="L180" s="98"/>
      <c r="M180" s="98"/>
      <c r="N180" s="37"/>
    </row>
    <row r="181" spans="1:14" s="51" customFormat="1" ht="15.75" customHeight="1" x14ac:dyDescent="0.35">
      <c r="A181" s="108">
        <f t="shared" si="8"/>
        <v>4</v>
      </c>
      <c r="B181" s="108"/>
      <c r="C181" s="49">
        <v>0</v>
      </c>
      <c r="D181" s="52">
        <f>(3.75*5.71)*(10.764)</f>
        <v>230.48415</v>
      </c>
      <c r="E181" s="54">
        <v>0</v>
      </c>
      <c r="F181" s="54">
        <f t="shared" si="7"/>
        <v>345.726225</v>
      </c>
      <c r="G181" s="206"/>
      <c r="H181" s="207"/>
      <c r="I181" s="37"/>
      <c r="L181" s="98"/>
      <c r="M181" s="98"/>
      <c r="N181" s="37"/>
    </row>
    <row r="182" spans="1:14" s="51" customFormat="1" ht="15.75" customHeight="1" x14ac:dyDescent="0.35">
      <c r="A182" s="96">
        <f t="shared" si="8"/>
        <v>5</v>
      </c>
      <c r="B182" s="97"/>
      <c r="C182" s="49">
        <v>1</v>
      </c>
      <c r="D182" s="52">
        <f t="shared" ref="D182:D197" si="9">(2.6*5.71+2.55*3.31+1.2*2.1)*(10.764)</f>
        <v>277.78116599999998</v>
      </c>
      <c r="E182" s="50">
        <v>0</v>
      </c>
      <c r="F182" s="50">
        <f t="shared" si="7"/>
        <v>416.67174899999998</v>
      </c>
      <c r="G182" s="206"/>
      <c r="H182" s="207"/>
      <c r="I182" s="37"/>
      <c r="L182" s="98"/>
      <c r="M182" s="98"/>
      <c r="N182" s="37"/>
    </row>
    <row r="183" spans="1:14" s="51" customFormat="1" ht="15.75" customHeight="1" x14ac:dyDescent="0.35">
      <c r="A183" s="96">
        <f t="shared" si="8"/>
        <v>6</v>
      </c>
      <c r="B183" s="97"/>
      <c r="C183" s="49">
        <v>1</v>
      </c>
      <c r="D183" s="52">
        <f t="shared" si="9"/>
        <v>277.78116599999998</v>
      </c>
      <c r="E183" s="50">
        <v>0</v>
      </c>
      <c r="F183" s="50">
        <f t="shared" si="7"/>
        <v>416.67174899999998</v>
      </c>
      <c r="G183" s="206"/>
      <c r="H183" s="207"/>
      <c r="I183" s="37"/>
      <c r="L183" s="98"/>
      <c r="M183" s="98"/>
      <c r="N183" s="37"/>
    </row>
    <row r="184" spans="1:14" s="51" customFormat="1" ht="15.75" customHeight="1" x14ac:dyDescent="0.35">
      <c r="A184" s="96">
        <f t="shared" si="8"/>
        <v>7</v>
      </c>
      <c r="B184" s="97"/>
      <c r="C184" s="49">
        <v>1</v>
      </c>
      <c r="D184" s="52">
        <f t="shared" si="9"/>
        <v>277.78116599999998</v>
      </c>
      <c r="E184" s="50">
        <v>0</v>
      </c>
      <c r="F184" s="50">
        <f t="shared" si="7"/>
        <v>416.67174899999998</v>
      </c>
      <c r="G184" s="206"/>
      <c r="H184" s="207"/>
      <c r="I184" s="37"/>
      <c r="L184" s="98"/>
      <c r="M184" s="98"/>
      <c r="N184" s="37"/>
    </row>
    <row r="185" spans="1:14" s="51" customFormat="1" ht="15.75" customHeight="1" x14ac:dyDescent="0.35">
      <c r="A185" s="96">
        <f t="shared" si="8"/>
        <v>8</v>
      </c>
      <c r="B185" s="97"/>
      <c r="C185" s="49">
        <v>1</v>
      </c>
      <c r="D185" s="52">
        <f t="shared" si="9"/>
        <v>277.78116599999998</v>
      </c>
      <c r="E185" s="50">
        <v>0</v>
      </c>
      <c r="F185" s="50">
        <f t="shared" si="7"/>
        <v>416.67174899999998</v>
      </c>
      <c r="G185" s="206"/>
      <c r="H185" s="207"/>
      <c r="I185" s="37"/>
      <c r="L185" s="98"/>
      <c r="M185" s="98"/>
      <c r="N185" s="37"/>
    </row>
    <row r="186" spans="1:14" s="51" customFormat="1" ht="15.75" customHeight="1" x14ac:dyDescent="0.35">
      <c r="A186" s="96">
        <f t="shared" si="8"/>
        <v>9</v>
      </c>
      <c r="B186" s="97"/>
      <c r="C186" s="49">
        <v>1</v>
      </c>
      <c r="D186" s="52">
        <f t="shared" si="9"/>
        <v>277.78116599999998</v>
      </c>
      <c r="E186" s="50">
        <v>0</v>
      </c>
      <c r="F186" s="50">
        <f t="shared" si="7"/>
        <v>416.67174899999998</v>
      </c>
      <c r="G186" s="206"/>
      <c r="H186" s="207"/>
      <c r="I186" s="37"/>
      <c r="L186" s="98"/>
      <c r="M186" s="98"/>
      <c r="N186" s="37"/>
    </row>
    <row r="187" spans="1:14" s="51" customFormat="1" ht="15.75" customHeight="1" x14ac:dyDescent="0.35">
      <c r="A187" s="96">
        <f t="shared" si="8"/>
        <v>10</v>
      </c>
      <c r="B187" s="97"/>
      <c r="C187" s="49">
        <v>1</v>
      </c>
      <c r="D187" s="52">
        <f t="shared" si="9"/>
        <v>277.78116599999998</v>
      </c>
      <c r="E187" s="50">
        <v>0</v>
      </c>
      <c r="F187" s="50">
        <f t="shared" si="7"/>
        <v>416.67174899999998</v>
      </c>
      <c r="G187" s="206"/>
      <c r="H187" s="207"/>
      <c r="I187" s="37"/>
      <c r="L187" s="98"/>
      <c r="M187" s="98"/>
      <c r="N187" s="37"/>
    </row>
    <row r="188" spans="1:14" s="51" customFormat="1" ht="15.75" customHeight="1" x14ac:dyDescent="0.35">
      <c r="A188" s="96">
        <f t="shared" si="8"/>
        <v>11</v>
      </c>
      <c r="B188" s="97"/>
      <c r="C188" s="49">
        <v>1</v>
      </c>
      <c r="D188" s="52">
        <f t="shared" si="9"/>
        <v>277.78116599999998</v>
      </c>
      <c r="E188" s="50">
        <v>0</v>
      </c>
      <c r="F188" s="50">
        <f t="shared" si="7"/>
        <v>416.67174899999998</v>
      </c>
      <c r="G188" s="206"/>
      <c r="H188" s="207"/>
      <c r="I188" s="37"/>
      <c r="L188" s="98"/>
      <c r="M188" s="98"/>
      <c r="N188" s="37"/>
    </row>
    <row r="189" spans="1:14" s="51" customFormat="1" ht="15.75" customHeight="1" x14ac:dyDescent="0.35">
      <c r="A189" s="96">
        <f t="shared" si="8"/>
        <v>12</v>
      </c>
      <c r="B189" s="97"/>
      <c r="C189" s="49">
        <v>1</v>
      </c>
      <c r="D189" s="52">
        <f t="shared" si="9"/>
        <v>277.78116599999998</v>
      </c>
      <c r="E189" s="50">
        <v>0</v>
      </c>
      <c r="F189" s="50">
        <f t="shared" si="7"/>
        <v>416.67174899999998</v>
      </c>
      <c r="G189" s="206"/>
      <c r="H189" s="207"/>
      <c r="I189" s="37"/>
      <c r="L189" s="98"/>
      <c r="M189" s="98"/>
      <c r="N189" s="37"/>
    </row>
    <row r="190" spans="1:14" s="51" customFormat="1" ht="15.75" customHeight="1" x14ac:dyDescent="0.35">
      <c r="A190" s="96">
        <f t="shared" si="8"/>
        <v>13</v>
      </c>
      <c r="B190" s="97"/>
      <c r="C190" s="49">
        <v>1</v>
      </c>
      <c r="D190" s="52">
        <f t="shared" si="9"/>
        <v>277.78116599999998</v>
      </c>
      <c r="E190" s="50">
        <v>0</v>
      </c>
      <c r="F190" s="50">
        <f t="shared" si="7"/>
        <v>416.67174899999998</v>
      </c>
      <c r="G190" s="206"/>
      <c r="H190" s="207"/>
      <c r="I190" s="37"/>
      <c r="L190" s="98"/>
      <c r="M190" s="98"/>
      <c r="N190" s="37"/>
    </row>
    <row r="191" spans="1:14" s="51" customFormat="1" ht="15.75" customHeight="1" x14ac:dyDescent="0.35">
      <c r="A191" s="96">
        <f t="shared" si="8"/>
        <v>14</v>
      </c>
      <c r="B191" s="97"/>
      <c r="C191" s="49">
        <v>1</v>
      </c>
      <c r="D191" s="52">
        <f t="shared" si="9"/>
        <v>277.78116599999998</v>
      </c>
      <c r="E191" s="50">
        <v>0</v>
      </c>
      <c r="F191" s="50">
        <f t="shared" si="7"/>
        <v>416.67174899999998</v>
      </c>
      <c r="G191" s="206"/>
      <c r="H191" s="207"/>
      <c r="I191" s="37"/>
      <c r="L191" s="98"/>
      <c r="M191" s="98"/>
      <c r="N191" s="37"/>
    </row>
    <row r="192" spans="1:14" s="51" customFormat="1" ht="15.75" customHeight="1" x14ac:dyDescent="0.35">
      <c r="A192" s="96">
        <f t="shared" si="8"/>
        <v>15</v>
      </c>
      <c r="B192" s="97"/>
      <c r="C192" s="49">
        <v>1</v>
      </c>
      <c r="D192" s="52">
        <f t="shared" si="9"/>
        <v>277.78116599999998</v>
      </c>
      <c r="E192" s="50">
        <v>0</v>
      </c>
      <c r="F192" s="50">
        <f t="shared" si="7"/>
        <v>416.67174899999998</v>
      </c>
      <c r="G192" s="206"/>
      <c r="H192" s="207"/>
      <c r="I192" s="37"/>
      <c r="L192" s="98"/>
      <c r="M192" s="98"/>
      <c r="N192" s="37"/>
    </row>
    <row r="193" spans="1:14" s="51" customFormat="1" ht="15.75" customHeight="1" x14ac:dyDescent="0.35">
      <c r="A193" s="96">
        <f t="shared" si="8"/>
        <v>16</v>
      </c>
      <c r="B193" s="97"/>
      <c r="C193" s="49">
        <v>1</v>
      </c>
      <c r="D193" s="52">
        <f t="shared" si="9"/>
        <v>277.78116599999998</v>
      </c>
      <c r="E193" s="50">
        <v>0</v>
      </c>
      <c r="F193" s="50">
        <f t="shared" si="7"/>
        <v>416.67174899999998</v>
      </c>
      <c r="G193" s="206"/>
      <c r="H193" s="207"/>
      <c r="I193" s="37"/>
      <c r="L193" s="98"/>
      <c r="M193" s="98"/>
      <c r="N193" s="37"/>
    </row>
    <row r="194" spans="1:14" s="51" customFormat="1" ht="15.75" customHeight="1" x14ac:dyDescent="0.35">
      <c r="A194" s="96">
        <f t="shared" si="8"/>
        <v>17</v>
      </c>
      <c r="B194" s="97"/>
      <c r="C194" s="49">
        <v>1</v>
      </c>
      <c r="D194" s="52">
        <f t="shared" si="9"/>
        <v>277.78116599999998</v>
      </c>
      <c r="E194" s="50">
        <v>0</v>
      </c>
      <c r="F194" s="50">
        <f t="shared" si="7"/>
        <v>416.67174899999998</v>
      </c>
      <c r="G194" s="206"/>
      <c r="H194" s="207"/>
      <c r="I194" s="37"/>
      <c r="L194" s="98"/>
      <c r="M194" s="98"/>
      <c r="N194" s="37"/>
    </row>
    <row r="195" spans="1:14" s="51" customFormat="1" ht="15.75" customHeight="1" x14ac:dyDescent="0.35">
      <c r="A195" s="96">
        <f t="shared" si="8"/>
        <v>18</v>
      </c>
      <c r="B195" s="97"/>
      <c r="C195" s="49">
        <v>1</v>
      </c>
      <c r="D195" s="52">
        <f t="shared" si="9"/>
        <v>277.78116599999998</v>
      </c>
      <c r="E195" s="50">
        <v>0</v>
      </c>
      <c r="F195" s="50">
        <f t="shared" si="7"/>
        <v>416.67174899999998</v>
      </c>
      <c r="G195" s="206"/>
      <c r="H195" s="207"/>
      <c r="I195" s="37"/>
      <c r="L195" s="98"/>
      <c r="M195" s="98"/>
      <c r="N195" s="37"/>
    </row>
    <row r="196" spans="1:14" s="51" customFormat="1" ht="15.75" customHeight="1" x14ac:dyDescent="0.35">
      <c r="A196" s="96">
        <f t="shared" si="8"/>
        <v>19</v>
      </c>
      <c r="B196" s="97"/>
      <c r="C196" s="49">
        <v>1</v>
      </c>
      <c r="D196" s="52">
        <f t="shared" si="9"/>
        <v>277.78116599999998</v>
      </c>
      <c r="E196" s="50">
        <v>0</v>
      </c>
      <c r="F196" s="50">
        <f t="shared" si="7"/>
        <v>416.67174899999998</v>
      </c>
      <c r="G196" s="206"/>
      <c r="H196" s="207"/>
      <c r="I196" s="37"/>
      <c r="L196" s="98"/>
      <c r="M196" s="98"/>
      <c r="N196" s="37"/>
    </row>
    <row r="197" spans="1:14" s="51" customFormat="1" ht="15.75" customHeight="1" x14ac:dyDescent="0.35">
      <c r="A197" s="96">
        <f t="shared" si="8"/>
        <v>20</v>
      </c>
      <c r="B197" s="97"/>
      <c r="C197" s="49">
        <v>1</v>
      </c>
      <c r="D197" s="52">
        <f t="shared" si="9"/>
        <v>277.78116599999998</v>
      </c>
      <c r="E197" s="50">
        <v>0</v>
      </c>
      <c r="F197" s="50">
        <f t="shared" si="7"/>
        <v>416.67174899999998</v>
      </c>
      <c r="G197" s="206"/>
      <c r="H197" s="207"/>
      <c r="I197" s="37"/>
      <c r="L197" s="98"/>
      <c r="M197" s="98"/>
      <c r="N197" s="37"/>
    </row>
    <row r="198" spans="1:14" s="51" customFormat="1" ht="15.75" customHeight="1" x14ac:dyDescent="0.35">
      <c r="A198" s="96">
        <f t="shared" si="8"/>
        <v>21</v>
      </c>
      <c r="B198" s="97"/>
      <c r="C198" s="49">
        <v>0</v>
      </c>
      <c r="D198" s="52">
        <f>(3.75*5.71)*(10.764)</f>
        <v>230.48415</v>
      </c>
      <c r="E198" s="50">
        <v>0</v>
      </c>
      <c r="F198" s="50">
        <f t="shared" si="7"/>
        <v>345.726225</v>
      </c>
      <c r="G198" s="206"/>
      <c r="H198" s="207"/>
      <c r="I198" s="37"/>
      <c r="L198" s="98"/>
      <c r="M198" s="98"/>
      <c r="N198" s="37"/>
    </row>
    <row r="199" spans="1:14" s="51" customFormat="1" ht="15.75" customHeight="1" x14ac:dyDescent="0.35">
      <c r="A199" s="96">
        <f t="shared" si="8"/>
        <v>22</v>
      </c>
      <c r="B199" s="97"/>
      <c r="C199" s="49">
        <v>0</v>
      </c>
      <c r="D199" s="52">
        <f>(3.75*5.71)*(10.764)</f>
        <v>230.48415</v>
      </c>
      <c r="E199" s="50">
        <v>0</v>
      </c>
      <c r="F199" s="50">
        <f t="shared" si="7"/>
        <v>345.726225</v>
      </c>
      <c r="G199" s="206"/>
      <c r="H199" s="207"/>
      <c r="I199" s="37"/>
      <c r="L199" s="98"/>
      <c r="M199" s="98"/>
      <c r="N199" s="37"/>
    </row>
    <row r="200" spans="1:14" s="51" customFormat="1" ht="15.75" customHeight="1" x14ac:dyDescent="0.35">
      <c r="A200" s="96">
        <f t="shared" si="8"/>
        <v>23</v>
      </c>
      <c r="B200" s="97"/>
      <c r="C200" s="49">
        <v>0</v>
      </c>
      <c r="D200" s="52">
        <f>(3.75*5.71)*(10.764)</f>
        <v>230.48415</v>
      </c>
      <c r="E200" s="50">
        <v>0</v>
      </c>
      <c r="F200" s="50">
        <f t="shared" si="7"/>
        <v>345.726225</v>
      </c>
      <c r="G200" s="206"/>
      <c r="H200" s="207"/>
      <c r="I200" s="37"/>
      <c r="L200" s="98"/>
      <c r="M200" s="98"/>
      <c r="N200" s="37"/>
    </row>
    <row r="201" spans="1:14" s="51" customFormat="1" ht="15.75" customHeight="1" x14ac:dyDescent="0.35">
      <c r="A201" s="96">
        <f t="shared" si="8"/>
        <v>24</v>
      </c>
      <c r="B201" s="97"/>
      <c r="C201" s="49">
        <v>0</v>
      </c>
      <c r="D201" s="52">
        <f>(3.75*5.71)*(10.764)</f>
        <v>230.48415</v>
      </c>
      <c r="E201" s="50">
        <v>0</v>
      </c>
      <c r="F201" s="50">
        <f t="shared" si="7"/>
        <v>345.726225</v>
      </c>
      <c r="G201" s="206"/>
      <c r="H201" s="207"/>
      <c r="I201" s="37"/>
      <c r="L201" s="98"/>
      <c r="M201" s="98"/>
      <c r="N201" s="37"/>
    </row>
    <row r="202" spans="1:14" s="60" customFormat="1" ht="15.75" customHeight="1" x14ac:dyDescent="0.35">
      <c r="A202" s="96">
        <f t="shared" si="8"/>
        <v>25</v>
      </c>
      <c r="B202" s="97"/>
      <c r="C202" s="49">
        <v>1</v>
      </c>
      <c r="D202" s="52">
        <f>(2.6*5.71+2.55*3.31+1.2*2.1)*(10.764)</f>
        <v>277.78116599999998</v>
      </c>
      <c r="E202" s="50">
        <v>0</v>
      </c>
      <c r="F202" s="50">
        <f t="shared" si="7"/>
        <v>416.67174899999998</v>
      </c>
      <c r="G202" s="206"/>
      <c r="H202" s="207"/>
    </row>
    <row r="203" spans="1:14" s="60" customFormat="1" x14ac:dyDescent="0.35">
      <c r="A203" s="96">
        <f t="shared" si="8"/>
        <v>26</v>
      </c>
      <c r="B203" s="97"/>
      <c r="C203" s="49">
        <v>1</v>
      </c>
      <c r="D203" s="52">
        <f>(2.6*5.71+2.55*3.31+1.2*2.1)*(10.764)</f>
        <v>277.78116599999998</v>
      </c>
      <c r="E203" s="50">
        <v>0</v>
      </c>
      <c r="F203" s="50">
        <f t="shared" si="7"/>
        <v>416.67174899999998</v>
      </c>
      <c r="G203" s="206"/>
      <c r="H203" s="207"/>
      <c r="I203" s="60">
        <f>10.764</f>
        <v>10.763999999999999</v>
      </c>
      <c r="J203" s="37"/>
    </row>
    <row r="204" spans="1:14" s="51" customFormat="1" x14ac:dyDescent="0.35">
      <c r="A204" s="96">
        <f t="shared" si="8"/>
        <v>27</v>
      </c>
      <c r="B204" s="97"/>
      <c r="C204" s="49">
        <v>1</v>
      </c>
      <c r="D204" s="52">
        <f>(2.6*5.71+2.55*3.31+1.2*2.1)*(10.764)</f>
        <v>277.78116599999998</v>
      </c>
      <c r="E204" s="50">
        <v>0</v>
      </c>
      <c r="F204" s="50">
        <f t="shared" si="7"/>
        <v>416.67174899999998</v>
      </c>
      <c r="G204" s="208"/>
      <c r="H204" s="209"/>
      <c r="J204" s="37"/>
    </row>
    <row r="205" spans="1:14" s="51" customFormat="1" x14ac:dyDescent="0.35">
      <c r="A205" s="201" t="s">
        <v>225</v>
      </c>
      <c r="B205" s="202"/>
      <c r="C205" s="202"/>
      <c r="D205" s="202"/>
      <c r="E205" s="202"/>
      <c r="F205" s="202"/>
      <c r="G205" s="202"/>
      <c r="H205" s="203"/>
      <c r="I205" s="37"/>
      <c r="L205" s="98"/>
      <c r="M205" s="98"/>
      <c r="N205" s="37"/>
    </row>
    <row r="206" spans="1:14" s="51" customFormat="1" x14ac:dyDescent="0.35">
      <c r="A206" s="104" t="s">
        <v>231</v>
      </c>
      <c r="B206" s="105"/>
      <c r="C206" s="105"/>
      <c r="D206" s="105"/>
      <c r="E206" s="105"/>
      <c r="F206" s="105"/>
      <c r="G206" s="105"/>
      <c r="H206" s="106"/>
      <c r="I206" s="37"/>
      <c r="L206" s="98"/>
      <c r="M206" s="98"/>
      <c r="N206" s="37"/>
    </row>
    <row r="207" spans="1:14" s="51" customFormat="1" ht="15.75" customHeight="1" x14ac:dyDescent="0.35">
      <c r="A207" s="104" t="s">
        <v>207</v>
      </c>
      <c r="B207" s="105"/>
      <c r="C207" s="105"/>
      <c r="D207" s="105"/>
      <c r="E207" s="105"/>
      <c r="F207" s="105"/>
      <c r="G207" s="105"/>
      <c r="H207" s="106"/>
      <c r="I207" s="70">
        <f>2.75*4.4+2.1*2.75+2.75*3.15+2.75*3.35+0.9*4+1.2*2.1*2</f>
        <v>44.39</v>
      </c>
      <c r="L207" s="98"/>
      <c r="M207" s="98"/>
      <c r="N207" s="37"/>
    </row>
    <row r="208" spans="1:14" s="51" customFormat="1" ht="15.75" customHeight="1" x14ac:dyDescent="0.35">
      <c r="A208" s="104" t="s">
        <v>208</v>
      </c>
      <c r="B208" s="105"/>
      <c r="C208" s="105"/>
      <c r="D208" s="105"/>
      <c r="E208" s="105"/>
      <c r="F208" s="105"/>
      <c r="G208" s="105"/>
      <c r="H208" s="106"/>
      <c r="I208" s="37"/>
      <c r="L208" s="98"/>
      <c r="M208" s="98"/>
      <c r="N208" s="37"/>
    </row>
    <row r="209" spans="1:14" s="60" customFormat="1" ht="15.75" customHeight="1" x14ac:dyDescent="0.35">
      <c r="A209" s="96">
        <v>1</v>
      </c>
      <c r="B209" s="97"/>
      <c r="C209" s="49" t="s">
        <v>209</v>
      </c>
      <c r="D209" s="52">
        <f>(47.36)*(10.764)</f>
        <v>509.78303999999997</v>
      </c>
      <c r="E209" s="50">
        <v>0</v>
      </c>
      <c r="F209" s="50">
        <f t="shared" ref="F209:F225" si="10">D209*(($F$143)+1)+(IF(E209&lt;101,E209,IF(E209&lt;201,E209/2,IF(E209&lt;=301,E209/3,E209/4))))</f>
        <v>764.67455999999993</v>
      </c>
      <c r="G209" s="204" t="str">
        <f>A208</f>
        <v>1st to 6th &amp; 8th to 11th Floor For Residential</v>
      </c>
      <c r="H209" s="205"/>
      <c r="I209" s="37"/>
      <c r="L209" s="98"/>
      <c r="M209" s="98"/>
      <c r="N209" s="37"/>
    </row>
    <row r="210" spans="1:14" s="60" customFormat="1" ht="15.75" customHeight="1" x14ac:dyDescent="0.35">
      <c r="A210" s="96">
        <v>2</v>
      </c>
      <c r="B210" s="97"/>
      <c r="C210" s="49" t="s">
        <v>209</v>
      </c>
      <c r="D210" s="52">
        <f>(47.36)*(10.764)</f>
        <v>509.78303999999997</v>
      </c>
      <c r="E210" s="50">
        <v>0</v>
      </c>
      <c r="F210" s="50">
        <f t="shared" si="10"/>
        <v>764.67455999999993</v>
      </c>
      <c r="G210" s="206"/>
      <c r="H210" s="207"/>
      <c r="I210" s="37"/>
      <c r="L210" s="98"/>
      <c r="M210" s="98"/>
      <c r="N210" s="37"/>
    </row>
    <row r="211" spans="1:14" s="60" customFormat="1" ht="15.75" customHeight="1" x14ac:dyDescent="0.35">
      <c r="A211" s="96">
        <v>3</v>
      </c>
      <c r="B211" s="97"/>
      <c r="C211" s="49" t="s">
        <v>209</v>
      </c>
      <c r="D211" s="52">
        <f>(45.58)*(10.764)</f>
        <v>490.62311999999997</v>
      </c>
      <c r="E211" s="50">
        <v>0</v>
      </c>
      <c r="F211" s="50">
        <f t="shared" si="10"/>
        <v>735.93467999999996</v>
      </c>
      <c r="G211" s="206"/>
      <c r="H211" s="207"/>
      <c r="I211" s="37">
        <f>3400000/F213</f>
        <v>5524.0942142716867</v>
      </c>
      <c r="L211" s="98"/>
      <c r="M211" s="98"/>
      <c r="N211" s="37"/>
    </row>
    <row r="212" spans="1:14" s="60" customFormat="1" ht="15.75" customHeight="1" x14ac:dyDescent="0.35">
      <c r="A212" s="96">
        <v>4</v>
      </c>
      <c r="B212" s="97"/>
      <c r="C212" s="49" t="s">
        <v>209</v>
      </c>
      <c r="D212" s="52">
        <f>(45.58)*(10.764)</f>
        <v>490.62311999999997</v>
      </c>
      <c r="E212" s="50">
        <v>0</v>
      </c>
      <c r="F212" s="50">
        <f t="shared" si="10"/>
        <v>735.93467999999996</v>
      </c>
      <c r="G212" s="206"/>
      <c r="H212" s="207"/>
      <c r="I212" s="37"/>
      <c r="L212" s="98"/>
      <c r="M212" s="98"/>
      <c r="N212" s="37"/>
    </row>
    <row r="213" spans="1:14" s="60" customFormat="1" ht="15.75" customHeight="1" x14ac:dyDescent="0.35">
      <c r="A213" s="96">
        <v>5</v>
      </c>
      <c r="B213" s="97"/>
      <c r="C213" s="49" t="s">
        <v>210</v>
      </c>
      <c r="D213" s="52">
        <f>(38.12)*(10.764)</f>
        <v>410.32367999999997</v>
      </c>
      <c r="E213" s="58">
        <v>0</v>
      </c>
      <c r="F213" s="58">
        <f t="shared" si="10"/>
        <v>615.48551999999995</v>
      </c>
      <c r="G213" s="206"/>
      <c r="H213" s="207"/>
      <c r="I213" s="37"/>
      <c r="L213" s="98"/>
      <c r="M213" s="98"/>
      <c r="N213" s="37"/>
    </row>
    <row r="214" spans="1:14" s="60" customFormat="1" ht="15.75" customHeight="1" x14ac:dyDescent="0.35">
      <c r="A214" s="96">
        <v>6</v>
      </c>
      <c r="B214" s="97"/>
      <c r="C214" s="49" t="s">
        <v>209</v>
      </c>
      <c r="D214" s="52">
        <f t="shared" ref="D214:D215" si="11">(45.58)*(10.764)</f>
        <v>490.62311999999997</v>
      </c>
      <c r="E214" s="58">
        <v>0</v>
      </c>
      <c r="F214" s="58">
        <f t="shared" si="10"/>
        <v>735.93467999999996</v>
      </c>
      <c r="G214" s="206"/>
      <c r="H214" s="207"/>
      <c r="I214" s="37"/>
      <c r="L214" s="98"/>
      <c r="M214" s="98"/>
      <c r="N214" s="37"/>
    </row>
    <row r="215" spans="1:14" s="60" customFormat="1" ht="15.75" customHeight="1" x14ac:dyDescent="0.35">
      <c r="A215" s="96">
        <v>7</v>
      </c>
      <c r="B215" s="97"/>
      <c r="C215" s="49" t="s">
        <v>209</v>
      </c>
      <c r="D215" s="52">
        <f t="shared" si="11"/>
        <v>490.62311999999997</v>
      </c>
      <c r="E215" s="58">
        <v>0</v>
      </c>
      <c r="F215" s="58">
        <f t="shared" si="10"/>
        <v>735.93467999999996</v>
      </c>
      <c r="G215" s="206"/>
      <c r="H215" s="207"/>
      <c r="I215" s="37"/>
      <c r="L215" s="98"/>
      <c r="M215" s="98"/>
      <c r="N215" s="37"/>
    </row>
    <row r="216" spans="1:14" s="60" customFormat="1" ht="15.75" customHeight="1" x14ac:dyDescent="0.35">
      <c r="A216" s="96">
        <v>8</v>
      </c>
      <c r="B216" s="97"/>
      <c r="C216" s="49" t="s">
        <v>210</v>
      </c>
      <c r="D216" s="52">
        <f>(38.12)*(10.764)</f>
        <v>410.32367999999997</v>
      </c>
      <c r="E216" s="58">
        <v>0</v>
      </c>
      <c r="F216" s="58">
        <f t="shared" si="10"/>
        <v>615.48551999999995</v>
      </c>
      <c r="G216" s="206"/>
      <c r="H216" s="207"/>
      <c r="I216" s="37"/>
      <c r="J216" s="60">
        <f>3400000-(3400000*0.08)</f>
        <v>3128000</v>
      </c>
      <c r="L216" s="98"/>
      <c r="M216" s="98"/>
      <c r="N216" s="37"/>
    </row>
    <row r="217" spans="1:14" s="60" customFormat="1" ht="15.75" customHeight="1" x14ac:dyDescent="0.35">
      <c r="A217" s="96">
        <v>9</v>
      </c>
      <c r="B217" s="97"/>
      <c r="C217" s="49" t="s">
        <v>210</v>
      </c>
      <c r="D217" s="52">
        <f>(38.12)*(10.764)</f>
        <v>410.32367999999997</v>
      </c>
      <c r="E217" s="58">
        <v>0</v>
      </c>
      <c r="F217" s="58">
        <f t="shared" si="10"/>
        <v>615.48551999999995</v>
      </c>
      <c r="G217" s="206"/>
      <c r="H217" s="207"/>
      <c r="I217" s="37"/>
      <c r="L217" s="98"/>
      <c r="M217" s="98"/>
      <c r="N217" s="37"/>
    </row>
    <row r="218" spans="1:14" s="60" customFormat="1" ht="15.75" customHeight="1" x14ac:dyDescent="0.35">
      <c r="A218" s="96">
        <v>10</v>
      </c>
      <c r="B218" s="97"/>
      <c r="C218" s="49" t="s">
        <v>210</v>
      </c>
      <c r="D218" s="52">
        <f>(38.12)*(10.764)</f>
        <v>410.32367999999997</v>
      </c>
      <c r="E218" s="58">
        <v>0</v>
      </c>
      <c r="F218" s="58">
        <f t="shared" si="10"/>
        <v>615.48551999999995</v>
      </c>
      <c r="G218" s="206"/>
      <c r="H218" s="207"/>
      <c r="I218" s="70">
        <f>3400000/F220</f>
        <v>6841.4058300206843</v>
      </c>
      <c r="L218" s="98"/>
      <c r="M218" s="98"/>
      <c r="N218" s="37"/>
    </row>
    <row r="219" spans="1:14" s="60" customFormat="1" ht="15.75" customHeight="1" x14ac:dyDescent="0.35">
      <c r="A219" s="96">
        <v>11</v>
      </c>
      <c r="B219" s="97"/>
      <c r="C219" s="49" t="s">
        <v>210</v>
      </c>
      <c r="D219" s="52">
        <f>(30.78)*(10.764)</f>
        <v>331.31592000000001</v>
      </c>
      <c r="E219" s="58">
        <v>0</v>
      </c>
      <c r="F219" s="58">
        <f t="shared" si="10"/>
        <v>496.97388000000001</v>
      </c>
      <c r="G219" s="206"/>
      <c r="H219" s="207"/>
      <c r="I219" s="37"/>
      <c r="L219" s="98"/>
      <c r="M219" s="98"/>
      <c r="N219" s="37"/>
    </row>
    <row r="220" spans="1:14" s="60" customFormat="1" ht="15.75" customHeight="1" x14ac:dyDescent="0.35">
      <c r="A220" s="96">
        <v>12</v>
      </c>
      <c r="B220" s="97"/>
      <c r="C220" s="49" t="s">
        <v>210</v>
      </c>
      <c r="D220" s="52">
        <f>(30.78)*(10.764)</f>
        <v>331.31592000000001</v>
      </c>
      <c r="E220" s="58">
        <v>0</v>
      </c>
      <c r="F220" s="58">
        <f t="shared" si="10"/>
        <v>496.97388000000001</v>
      </c>
      <c r="G220" s="206"/>
      <c r="H220" s="207"/>
      <c r="I220" s="37"/>
      <c r="L220" s="98"/>
      <c r="M220" s="98"/>
      <c r="N220" s="37"/>
    </row>
    <row r="221" spans="1:14" s="60" customFormat="1" ht="15.75" customHeight="1" x14ac:dyDescent="0.35">
      <c r="A221" s="96">
        <v>13</v>
      </c>
      <c r="B221" s="97"/>
      <c r="C221" s="49" t="s">
        <v>210</v>
      </c>
      <c r="D221" s="52">
        <f>(30.78)*(10.764)</f>
        <v>331.31592000000001</v>
      </c>
      <c r="E221" s="58">
        <v>0</v>
      </c>
      <c r="F221" s="58">
        <f t="shared" si="10"/>
        <v>496.97388000000001</v>
      </c>
      <c r="G221" s="206"/>
      <c r="H221" s="207"/>
      <c r="I221" s="37"/>
      <c r="L221" s="98"/>
      <c r="M221" s="98"/>
      <c r="N221" s="37"/>
    </row>
    <row r="222" spans="1:14" s="60" customFormat="1" ht="15.75" customHeight="1" x14ac:dyDescent="0.35">
      <c r="A222" s="96">
        <v>14</v>
      </c>
      <c r="B222" s="97"/>
      <c r="C222" s="49" t="s">
        <v>210</v>
      </c>
      <c r="D222" s="52">
        <f>(30.78)*(10.764)</f>
        <v>331.31592000000001</v>
      </c>
      <c r="E222" s="58">
        <v>0</v>
      </c>
      <c r="F222" s="58">
        <f t="shared" si="10"/>
        <v>496.97388000000001</v>
      </c>
      <c r="G222" s="206"/>
      <c r="H222" s="207"/>
      <c r="J222" s="37"/>
    </row>
    <row r="223" spans="1:14" s="60" customFormat="1" ht="15.75" customHeight="1" x14ac:dyDescent="0.35">
      <c r="A223" s="96">
        <v>15</v>
      </c>
      <c r="B223" s="97"/>
      <c r="C223" s="49" t="s">
        <v>210</v>
      </c>
      <c r="D223" s="52">
        <f>(38.12)*(10.764)</f>
        <v>410.32367999999997</v>
      </c>
      <c r="E223" s="58">
        <v>0</v>
      </c>
      <c r="F223" s="58">
        <f t="shared" si="10"/>
        <v>615.48551999999995</v>
      </c>
      <c r="G223" s="206"/>
      <c r="H223" s="207"/>
      <c r="I223" s="37"/>
      <c r="L223" s="98"/>
      <c r="M223" s="98"/>
      <c r="N223" s="37"/>
    </row>
    <row r="224" spans="1:14" s="60" customFormat="1" x14ac:dyDescent="0.35">
      <c r="A224" s="96">
        <v>16</v>
      </c>
      <c r="B224" s="97"/>
      <c r="C224" s="49" t="s">
        <v>210</v>
      </c>
      <c r="D224" s="52">
        <f>(38.12)*(10.764)</f>
        <v>410.32367999999997</v>
      </c>
      <c r="E224" s="58">
        <v>0</v>
      </c>
      <c r="F224" s="58">
        <f t="shared" si="10"/>
        <v>615.48551999999995</v>
      </c>
      <c r="G224" s="206"/>
      <c r="H224" s="207"/>
      <c r="I224" s="37"/>
      <c r="L224" s="98"/>
      <c r="M224" s="98"/>
      <c r="N224" s="37"/>
    </row>
    <row r="225" spans="1:14" s="60" customFormat="1" ht="15.75" customHeight="1" x14ac:dyDescent="0.35">
      <c r="A225" s="96">
        <v>17</v>
      </c>
      <c r="B225" s="97"/>
      <c r="C225" s="49" t="s">
        <v>210</v>
      </c>
      <c r="D225" s="52">
        <f>(38.12)*(10.764)</f>
        <v>410.32367999999997</v>
      </c>
      <c r="E225" s="58">
        <v>0</v>
      </c>
      <c r="F225" s="58">
        <f t="shared" si="10"/>
        <v>615.48551999999995</v>
      </c>
      <c r="G225" s="208"/>
      <c r="H225" s="209"/>
      <c r="I225" s="37"/>
      <c r="L225" s="98"/>
      <c r="M225" s="98"/>
      <c r="N225" s="37"/>
    </row>
    <row r="226" spans="1:14" s="60" customFormat="1" ht="15.75" customHeight="1" x14ac:dyDescent="0.35">
      <c r="A226" s="104" t="s">
        <v>241</v>
      </c>
      <c r="B226" s="105"/>
      <c r="C226" s="105"/>
      <c r="D226" s="105"/>
      <c r="E226" s="105"/>
      <c r="F226" s="105"/>
      <c r="G226" s="105"/>
      <c r="H226" s="106"/>
      <c r="I226" s="37"/>
      <c r="L226" s="98"/>
      <c r="M226" s="98"/>
      <c r="N226" s="37"/>
    </row>
    <row r="227" spans="1:14" s="60" customFormat="1" ht="15.75" customHeight="1" x14ac:dyDescent="0.35">
      <c r="A227" s="96">
        <v>1</v>
      </c>
      <c r="B227" s="97"/>
      <c r="C227" s="49" t="s">
        <v>209</v>
      </c>
      <c r="D227" s="52">
        <f>(47.36)*(10.764)</f>
        <v>509.78303999999997</v>
      </c>
      <c r="E227" s="58">
        <v>0</v>
      </c>
      <c r="F227" s="58">
        <f t="shared" ref="F227:F233" si="12">D227*(($F$143)+1)+(IF(E227&lt;101,E227,IF(E227&lt;201,E227/2,IF(E227&lt;=301,E227/3,E227/4))))</f>
        <v>764.67455999999993</v>
      </c>
      <c r="G227" s="204" t="str">
        <f>A226</f>
        <v>7th Floor For Residential (Part Refuge Area @ Mid Landing)</v>
      </c>
      <c r="H227" s="205"/>
      <c r="I227" s="37"/>
      <c r="L227" s="98"/>
      <c r="M227" s="98"/>
      <c r="N227" s="37"/>
    </row>
    <row r="228" spans="1:14" s="60" customFormat="1" ht="15.75" customHeight="1" x14ac:dyDescent="0.35">
      <c r="A228" s="96">
        <v>2</v>
      </c>
      <c r="B228" s="97"/>
      <c r="C228" s="49" t="s">
        <v>209</v>
      </c>
      <c r="D228" s="52">
        <f>(47.36)*(10.764)</f>
        <v>509.78303999999997</v>
      </c>
      <c r="E228" s="58">
        <v>0</v>
      </c>
      <c r="F228" s="58">
        <f t="shared" si="12"/>
        <v>764.67455999999993</v>
      </c>
      <c r="G228" s="206"/>
      <c r="H228" s="207"/>
      <c r="I228" s="37"/>
      <c r="L228" s="98"/>
      <c r="M228" s="98"/>
      <c r="N228" s="37"/>
    </row>
    <row r="229" spans="1:14" s="60" customFormat="1" ht="15.75" customHeight="1" x14ac:dyDescent="0.35">
      <c r="A229" s="96">
        <v>3</v>
      </c>
      <c r="B229" s="97"/>
      <c r="C229" s="49" t="s">
        <v>209</v>
      </c>
      <c r="D229" s="52">
        <f>(45.58)*(10.764)</f>
        <v>490.62311999999997</v>
      </c>
      <c r="E229" s="58">
        <v>0</v>
      </c>
      <c r="F229" s="58">
        <f t="shared" si="12"/>
        <v>735.93467999999996</v>
      </c>
      <c r="G229" s="206"/>
      <c r="H229" s="207"/>
      <c r="I229" s="37"/>
      <c r="L229" s="98"/>
      <c r="M229" s="98"/>
      <c r="N229" s="37"/>
    </row>
    <row r="230" spans="1:14" s="60" customFormat="1" ht="15.75" customHeight="1" x14ac:dyDescent="0.35">
      <c r="A230" s="96">
        <v>4</v>
      </c>
      <c r="B230" s="97"/>
      <c r="C230" s="49" t="s">
        <v>209</v>
      </c>
      <c r="D230" s="52">
        <f>(45.58)*(10.764)</f>
        <v>490.62311999999997</v>
      </c>
      <c r="E230" s="58">
        <v>0</v>
      </c>
      <c r="F230" s="58">
        <f t="shared" si="12"/>
        <v>735.93467999999996</v>
      </c>
      <c r="G230" s="206"/>
      <c r="H230" s="207"/>
      <c r="I230" s="37"/>
      <c r="L230" s="98"/>
      <c r="M230" s="98"/>
      <c r="N230" s="37"/>
    </row>
    <row r="231" spans="1:14" s="60" customFormat="1" ht="15.75" customHeight="1" x14ac:dyDescent="0.35">
      <c r="A231" s="96">
        <v>5</v>
      </c>
      <c r="B231" s="97"/>
      <c r="C231" s="49" t="s">
        <v>210</v>
      </c>
      <c r="D231" s="52">
        <f>(38.12)*(10.764)</f>
        <v>410.32367999999997</v>
      </c>
      <c r="E231" s="58">
        <v>0</v>
      </c>
      <c r="F231" s="58">
        <f t="shared" si="12"/>
        <v>615.48551999999995</v>
      </c>
      <c r="G231" s="206"/>
      <c r="H231" s="207"/>
      <c r="I231" s="37"/>
      <c r="L231" s="98"/>
      <c r="M231" s="98"/>
      <c r="N231" s="37"/>
    </row>
    <row r="232" spans="1:14" s="60" customFormat="1" ht="15.75" customHeight="1" x14ac:dyDescent="0.35">
      <c r="A232" s="96">
        <v>6</v>
      </c>
      <c r="B232" s="97"/>
      <c r="C232" s="49" t="s">
        <v>209</v>
      </c>
      <c r="D232" s="52">
        <f t="shared" ref="D232:D233" si="13">(45.58)*(10.764)</f>
        <v>490.62311999999997</v>
      </c>
      <c r="E232" s="58">
        <v>0</v>
      </c>
      <c r="F232" s="58">
        <f t="shared" si="12"/>
        <v>735.93467999999996</v>
      </c>
      <c r="G232" s="206"/>
      <c r="H232" s="207"/>
      <c r="I232" s="37"/>
      <c r="L232" s="98"/>
      <c r="M232" s="98"/>
      <c r="N232" s="37"/>
    </row>
    <row r="233" spans="1:14" s="60" customFormat="1" ht="15.75" customHeight="1" x14ac:dyDescent="0.35">
      <c r="A233" s="96">
        <v>7</v>
      </c>
      <c r="B233" s="97"/>
      <c r="C233" s="49" t="s">
        <v>209</v>
      </c>
      <c r="D233" s="52">
        <f t="shared" si="13"/>
        <v>490.62311999999997</v>
      </c>
      <c r="E233" s="58">
        <v>0</v>
      </c>
      <c r="F233" s="58">
        <f t="shared" si="12"/>
        <v>735.93467999999996</v>
      </c>
      <c r="G233" s="206"/>
      <c r="H233" s="207"/>
      <c r="I233" s="37"/>
      <c r="L233" s="98"/>
      <c r="M233" s="98"/>
      <c r="N233" s="37"/>
    </row>
    <row r="234" spans="1:14" s="60" customFormat="1" ht="15.75" customHeight="1" x14ac:dyDescent="0.35">
      <c r="A234" s="96" t="s">
        <v>211</v>
      </c>
      <c r="B234" s="97"/>
      <c r="C234" s="135" t="s">
        <v>242</v>
      </c>
      <c r="D234" s="136"/>
      <c r="E234" s="136"/>
      <c r="F234" s="137"/>
      <c r="G234" s="206"/>
      <c r="H234" s="207"/>
      <c r="I234" s="37"/>
      <c r="L234" s="98"/>
      <c r="M234" s="98"/>
      <c r="N234" s="37"/>
    </row>
    <row r="235" spans="1:14" s="60" customFormat="1" ht="15.75" customHeight="1" x14ac:dyDescent="0.35">
      <c r="A235" s="96">
        <v>8</v>
      </c>
      <c r="B235" s="97"/>
      <c r="C235" s="49" t="s">
        <v>210</v>
      </c>
      <c r="D235" s="52">
        <f>(38.12)*(10.764)</f>
        <v>410.32367999999997</v>
      </c>
      <c r="E235" s="58">
        <v>0</v>
      </c>
      <c r="F235" s="58">
        <f t="shared" ref="F235:F244" si="14">D235*(($F$143)+1)+(IF(E235&lt;101,E235,IF(E235&lt;201,E235/2,IF(E235&lt;=301,E235/3,E235/4))))</f>
        <v>615.48551999999995</v>
      </c>
      <c r="G235" s="206"/>
      <c r="H235" s="207"/>
      <c r="I235" s="37"/>
      <c r="L235" s="98"/>
      <c r="M235" s="98"/>
      <c r="N235" s="37"/>
    </row>
    <row r="236" spans="1:14" s="60" customFormat="1" ht="15.75" customHeight="1" x14ac:dyDescent="0.35">
      <c r="A236" s="96">
        <v>9</v>
      </c>
      <c r="B236" s="97"/>
      <c r="C236" s="49" t="s">
        <v>210</v>
      </c>
      <c r="D236" s="52">
        <f>(38.12)*(10.764)</f>
        <v>410.32367999999997</v>
      </c>
      <c r="E236" s="58">
        <v>0</v>
      </c>
      <c r="F236" s="58">
        <f t="shared" si="14"/>
        <v>615.48551999999995</v>
      </c>
      <c r="G236" s="206"/>
      <c r="H236" s="207"/>
      <c r="I236" s="37"/>
      <c r="L236" s="98"/>
      <c r="M236" s="98"/>
      <c r="N236" s="37"/>
    </row>
    <row r="237" spans="1:14" s="60" customFormat="1" ht="15.75" customHeight="1" x14ac:dyDescent="0.35">
      <c r="A237" s="96">
        <v>10</v>
      </c>
      <c r="B237" s="97"/>
      <c r="C237" s="49" t="s">
        <v>210</v>
      </c>
      <c r="D237" s="52">
        <f>(38.12)*(10.764)</f>
        <v>410.32367999999997</v>
      </c>
      <c r="E237" s="58">
        <v>0</v>
      </c>
      <c r="F237" s="58">
        <f t="shared" si="14"/>
        <v>615.48551999999995</v>
      </c>
      <c r="G237" s="206"/>
      <c r="H237" s="207"/>
      <c r="I237" s="37"/>
      <c r="L237" s="98"/>
      <c r="M237" s="98"/>
      <c r="N237" s="37"/>
    </row>
    <row r="238" spans="1:14" s="60" customFormat="1" ht="15.75" customHeight="1" x14ac:dyDescent="0.35">
      <c r="A238" s="96">
        <v>11</v>
      </c>
      <c r="B238" s="97"/>
      <c r="C238" s="49" t="s">
        <v>210</v>
      </c>
      <c r="D238" s="52">
        <f>(30.78)*(10.764)</f>
        <v>331.31592000000001</v>
      </c>
      <c r="E238" s="58">
        <v>0</v>
      </c>
      <c r="F238" s="58">
        <f t="shared" si="14"/>
        <v>496.97388000000001</v>
      </c>
      <c r="G238" s="206"/>
      <c r="H238" s="207"/>
      <c r="I238" s="37"/>
      <c r="L238" s="98"/>
      <c r="M238" s="98"/>
      <c r="N238" s="37"/>
    </row>
    <row r="239" spans="1:14" s="60" customFormat="1" ht="15.75" customHeight="1" x14ac:dyDescent="0.35">
      <c r="A239" s="96">
        <v>12</v>
      </c>
      <c r="B239" s="97"/>
      <c r="C239" s="49" t="s">
        <v>210</v>
      </c>
      <c r="D239" s="52">
        <f>(30.78)*(10.764)</f>
        <v>331.31592000000001</v>
      </c>
      <c r="E239" s="58">
        <v>0</v>
      </c>
      <c r="F239" s="58">
        <f t="shared" si="14"/>
        <v>496.97388000000001</v>
      </c>
      <c r="G239" s="206"/>
      <c r="H239" s="207"/>
      <c r="I239" s="37"/>
      <c r="L239" s="98"/>
      <c r="M239" s="98"/>
      <c r="N239" s="37"/>
    </row>
    <row r="240" spans="1:14" s="60" customFormat="1" ht="15.75" customHeight="1" x14ac:dyDescent="0.35">
      <c r="A240" s="96">
        <v>13</v>
      </c>
      <c r="B240" s="97"/>
      <c r="C240" s="49" t="s">
        <v>210</v>
      </c>
      <c r="D240" s="52">
        <f>(30.78)*(10.764)</f>
        <v>331.31592000000001</v>
      </c>
      <c r="E240" s="58">
        <v>0</v>
      </c>
      <c r="F240" s="58">
        <f t="shared" si="14"/>
        <v>496.97388000000001</v>
      </c>
      <c r="G240" s="206"/>
      <c r="H240" s="207"/>
      <c r="I240" s="37"/>
      <c r="L240" s="98"/>
      <c r="M240" s="98"/>
      <c r="N240" s="37"/>
    </row>
    <row r="241" spans="1:14" s="60" customFormat="1" ht="15.75" customHeight="1" x14ac:dyDescent="0.35">
      <c r="A241" s="96">
        <v>14</v>
      </c>
      <c r="B241" s="97"/>
      <c r="C241" s="49" t="s">
        <v>210</v>
      </c>
      <c r="D241" s="52">
        <f>(30.78)*(10.764)</f>
        <v>331.31592000000001</v>
      </c>
      <c r="E241" s="58">
        <v>0</v>
      </c>
      <c r="F241" s="58">
        <f t="shared" si="14"/>
        <v>496.97388000000001</v>
      </c>
      <c r="G241" s="206"/>
      <c r="H241" s="207"/>
      <c r="I241" s="37"/>
      <c r="L241" s="98"/>
      <c r="M241" s="98"/>
      <c r="N241" s="37"/>
    </row>
    <row r="242" spans="1:14" s="43" customFormat="1" ht="15.75" customHeight="1" x14ac:dyDescent="0.35">
      <c r="A242" s="96">
        <v>15</v>
      </c>
      <c r="B242" s="97"/>
      <c r="C242" s="49" t="s">
        <v>210</v>
      </c>
      <c r="D242" s="52">
        <f>(38.12)*(10.764)</f>
        <v>410.32367999999997</v>
      </c>
      <c r="E242" s="58">
        <v>0</v>
      </c>
      <c r="F242" s="58">
        <f t="shared" si="14"/>
        <v>615.48551999999995</v>
      </c>
      <c r="G242" s="206"/>
      <c r="H242" s="207"/>
      <c r="J242" s="37"/>
    </row>
    <row r="243" spans="1:14" s="60" customFormat="1" ht="15.75" customHeight="1" x14ac:dyDescent="0.35">
      <c r="A243" s="96">
        <v>16</v>
      </c>
      <c r="B243" s="97"/>
      <c r="C243" s="49" t="s">
        <v>210</v>
      </c>
      <c r="D243" s="52">
        <f>(38.12)*(10.764)</f>
        <v>410.32367999999997</v>
      </c>
      <c r="E243" s="58">
        <v>0</v>
      </c>
      <c r="F243" s="58">
        <f t="shared" si="14"/>
        <v>615.48551999999995</v>
      </c>
      <c r="G243" s="206"/>
      <c r="H243" s="207"/>
      <c r="I243" s="37"/>
      <c r="L243" s="98"/>
      <c r="M243" s="98"/>
      <c r="N243" s="37"/>
    </row>
    <row r="244" spans="1:14" s="60" customFormat="1" x14ac:dyDescent="0.35">
      <c r="A244" s="96">
        <v>17</v>
      </c>
      <c r="B244" s="97"/>
      <c r="C244" s="49" t="s">
        <v>210</v>
      </c>
      <c r="D244" s="52">
        <f>(38.12)*(10.764)</f>
        <v>410.32367999999997</v>
      </c>
      <c r="E244" s="58">
        <v>0</v>
      </c>
      <c r="F244" s="58">
        <f t="shared" si="14"/>
        <v>615.48551999999995</v>
      </c>
      <c r="G244" s="206"/>
      <c r="H244" s="207"/>
      <c r="I244" s="37"/>
      <c r="J244" s="60">
        <v>6200</v>
      </c>
      <c r="L244" s="98"/>
      <c r="M244" s="98"/>
      <c r="N244" s="37"/>
    </row>
    <row r="245" spans="1:14" s="60" customFormat="1" ht="15.75" customHeight="1" x14ac:dyDescent="0.35">
      <c r="A245" s="96" t="s">
        <v>211</v>
      </c>
      <c r="B245" s="97"/>
      <c r="C245" s="135" t="s">
        <v>242</v>
      </c>
      <c r="D245" s="136"/>
      <c r="E245" s="136"/>
      <c r="F245" s="137"/>
      <c r="G245" s="208"/>
      <c r="H245" s="209"/>
      <c r="I245" s="37">
        <f>4800000/F247</f>
        <v>6277.1801902236693</v>
      </c>
      <c r="J245" s="60">
        <f>$J$244*F247</f>
        <v>4740982.2719999999</v>
      </c>
      <c r="L245" s="98"/>
      <c r="M245" s="98"/>
      <c r="N245" s="37"/>
    </row>
    <row r="246" spans="1:14" s="60" customFormat="1" ht="15.75" customHeight="1" x14ac:dyDescent="0.35">
      <c r="A246" s="131" t="s">
        <v>213</v>
      </c>
      <c r="B246" s="132"/>
      <c r="C246" s="132"/>
      <c r="D246" s="132"/>
      <c r="E246" s="132"/>
      <c r="F246" s="132"/>
      <c r="G246" s="132"/>
      <c r="H246" s="133"/>
      <c r="I246" s="37"/>
      <c r="J246" s="71">
        <f t="shared" ref="J246:J263" si="15">$J$244*F248</f>
        <v>4740982.2719999999</v>
      </c>
      <c r="L246" s="98"/>
      <c r="M246" s="98"/>
      <c r="N246" s="37"/>
    </row>
    <row r="247" spans="1:14" s="60" customFormat="1" ht="15.75" customHeight="1" x14ac:dyDescent="0.35">
      <c r="A247" s="171">
        <v>1</v>
      </c>
      <c r="B247" s="172"/>
      <c r="C247" s="73" t="s">
        <v>209</v>
      </c>
      <c r="D247" s="74">
        <f>(47.36)*(10.764)</f>
        <v>509.78303999999997</v>
      </c>
      <c r="E247" s="75">
        <v>0</v>
      </c>
      <c r="F247" s="75">
        <f t="shared" ref="F247:F253" si="16">D247*(($F$143)+1)+(IF(E247&lt;101,E247,IF(E247&lt;201,E247/2,IF(E247&lt;=301,E247/3,E247/4))))</f>
        <v>764.67455999999993</v>
      </c>
      <c r="G247" s="211" t="str">
        <f>A246</f>
        <v>12th &amp; 17th Floor For Residential (Part Refuge Area)</v>
      </c>
      <c r="H247" s="212"/>
      <c r="I247" s="37"/>
      <c r="J247" s="71">
        <f t="shared" si="15"/>
        <v>4562795.0159999998</v>
      </c>
      <c r="L247" s="98"/>
      <c r="M247" s="98"/>
      <c r="N247" s="37"/>
    </row>
    <row r="248" spans="1:14" s="60" customFormat="1" ht="15.75" customHeight="1" x14ac:dyDescent="0.35">
      <c r="A248" s="171">
        <v>2</v>
      </c>
      <c r="B248" s="172"/>
      <c r="C248" s="73" t="s">
        <v>209</v>
      </c>
      <c r="D248" s="74">
        <f>(47.36)*(10.764)</f>
        <v>509.78303999999997</v>
      </c>
      <c r="E248" s="75">
        <v>0</v>
      </c>
      <c r="F248" s="75">
        <f t="shared" si="16"/>
        <v>764.67455999999993</v>
      </c>
      <c r="G248" s="213"/>
      <c r="H248" s="214"/>
      <c r="I248" s="37"/>
      <c r="J248" s="71">
        <f t="shared" si="15"/>
        <v>4562795.0159999998</v>
      </c>
      <c r="L248" s="98"/>
      <c r="M248" s="98"/>
      <c r="N248" s="37"/>
    </row>
    <row r="249" spans="1:14" s="60" customFormat="1" ht="15.75" customHeight="1" x14ac:dyDescent="0.35">
      <c r="A249" s="171">
        <v>3</v>
      </c>
      <c r="B249" s="172"/>
      <c r="C249" s="73" t="s">
        <v>209</v>
      </c>
      <c r="D249" s="74">
        <f>(45.58)*(10.764)</f>
        <v>490.62311999999997</v>
      </c>
      <c r="E249" s="75">
        <v>0</v>
      </c>
      <c r="F249" s="75">
        <f t="shared" si="16"/>
        <v>735.93467999999996</v>
      </c>
      <c r="G249" s="213"/>
      <c r="H249" s="214"/>
      <c r="I249" s="37"/>
      <c r="J249" s="71">
        <f t="shared" si="15"/>
        <v>3816010.2239999999</v>
      </c>
      <c r="L249" s="98"/>
      <c r="M249" s="98"/>
      <c r="N249" s="37"/>
    </row>
    <row r="250" spans="1:14" s="60" customFormat="1" ht="15.75" customHeight="1" x14ac:dyDescent="0.35">
      <c r="A250" s="171">
        <v>4</v>
      </c>
      <c r="B250" s="172"/>
      <c r="C250" s="73" t="s">
        <v>209</v>
      </c>
      <c r="D250" s="74">
        <f>(45.58)*(10.764)</f>
        <v>490.62311999999997</v>
      </c>
      <c r="E250" s="75">
        <v>0</v>
      </c>
      <c r="F250" s="75">
        <f t="shared" si="16"/>
        <v>735.93467999999996</v>
      </c>
      <c r="G250" s="213"/>
      <c r="H250" s="214"/>
      <c r="I250" s="37"/>
      <c r="J250" s="71">
        <f t="shared" si="15"/>
        <v>4562795.0159999998</v>
      </c>
      <c r="L250" s="98"/>
      <c r="M250" s="98"/>
      <c r="N250" s="37"/>
    </row>
    <row r="251" spans="1:14" s="60" customFormat="1" ht="15.75" customHeight="1" x14ac:dyDescent="0.35">
      <c r="A251" s="171">
        <v>5</v>
      </c>
      <c r="B251" s="172"/>
      <c r="C251" s="73" t="s">
        <v>210</v>
      </c>
      <c r="D251" s="74">
        <f>(38.12)*(10.764)</f>
        <v>410.32367999999997</v>
      </c>
      <c r="E251" s="75">
        <v>0</v>
      </c>
      <c r="F251" s="75">
        <f t="shared" si="16"/>
        <v>615.48551999999995</v>
      </c>
      <c r="G251" s="213"/>
      <c r="H251" s="214"/>
      <c r="I251" s="37"/>
      <c r="J251" s="71">
        <f t="shared" si="15"/>
        <v>4562795.0159999998</v>
      </c>
      <c r="L251" s="98"/>
      <c r="M251" s="98"/>
      <c r="N251" s="37"/>
    </row>
    <row r="252" spans="1:14" s="60" customFormat="1" ht="15.75" customHeight="1" x14ac:dyDescent="0.35">
      <c r="A252" s="171">
        <v>6</v>
      </c>
      <c r="B252" s="172"/>
      <c r="C252" s="73" t="s">
        <v>209</v>
      </c>
      <c r="D252" s="74">
        <f t="shared" ref="D252:D253" si="17">(45.58)*(10.764)</f>
        <v>490.62311999999997</v>
      </c>
      <c r="E252" s="75">
        <v>0</v>
      </c>
      <c r="F252" s="75">
        <f t="shared" si="16"/>
        <v>735.93467999999996</v>
      </c>
      <c r="G252" s="213"/>
      <c r="H252" s="214"/>
      <c r="I252" s="37"/>
      <c r="J252" s="71">
        <f t="shared" si="15"/>
        <v>0</v>
      </c>
      <c r="L252" s="98"/>
      <c r="M252" s="98"/>
      <c r="N252" s="37"/>
    </row>
    <row r="253" spans="1:14" s="60" customFormat="1" ht="15.75" customHeight="1" x14ac:dyDescent="0.35">
      <c r="A253" s="171">
        <v>7</v>
      </c>
      <c r="B253" s="172"/>
      <c r="C253" s="73" t="s">
        <v>209</v>
      </c>
      <c r="D253" s="74">
        <f t="shared" si="17"/>
        <v>490.62311999999997</v>
      </c>
      <c r="E253" s="75">
        <v>0</v>
      </c>
      <c r="F253" s="75">
        <f t="shared" si="16"/>
        <v>735.93467999999996</v>
      </c>
      <c r="G253" s="213"/>
      <c r="H253" s="214"/>
      <c r="I253" s="37">
        <f>2400000/F255</f>
        <v>3899.3606218388372</v>
      </c>
      <c r="J253" s="71">
        <f t="shared" si="15"/>
        <v>3816010.2239999999</v>
      </c>
      <c r="L253" s="98"/>
      <c r="M253" s="98"/>
      <c r="N253" s="37"/>
    </row>
    <row r="254" spans="1:14" s="60" customFormat="1" ht="15.75" customHeight="1" x14ac:dyDescent="0.35">
      <c r="A254" s="171" t="s">
        <v>211</v>
      </c>
      <c r="B254" s="172"/>
      <c r="C254" s="190" t="s">
        <v>242</v>
      </c>
      <c r="D254" s="191"/>
      <c r="E254" s="191"/>
      <c r="F254" s="192"/>
      <c r="G254" s="213"/>
      <c r="H254" s="214"/>
      <c r="I254" s="37"/>
      <c r="J254" s="71">
        <f t="shared" si="15"/>
        <v>3816010.2239999999</v>
      </c>
      <c r="L254" s="98"/>
      <c r="M254" s="98"/>
      <c r="N254" s="37"/>
    </row>
    <row r="255" spans="1:14" s="60" customFormat="1" ht="15.75" customHeight="1" x14ac:dyDescent="0.35">
      <c r="A255" s="171">
        <v>8</v>
      </c>
      <c r="B255" s="172"/>
      <c r="C255" s="73" t="s">
        <v>210</v>
      </c>
      <c r="D255" s="74">
        <f>(38.12)*(10.764)</f>
        <v>410.32367999999997</v>
      </c>
      <c r="E255" s="75">
        <v>0</v>
      </c>
      <c r="F255" s="75">
        <f t="shared" ref="F255:F264" si="18">D255*(($F$143)+1)+(IF(E255&lt;101,E255,IF(E255&lt;201,E255/2,IF(E255&lt;=301,E255/3,E255/4))))</f>
        <v>615.48551999999995</v>
      </c>
      <c r="G255" s="213"/>
      <c r="H255" s="214"/>
      <c r="I255" s="37"/>
      <c r="J255" s="71">
        <f t="shared" si="15"/>
        <v>3816010.2239999999</v>
      </c>
      <c r="L255" s="98"/>
      <c r="M255" s="98"/>
      <c r="N255" s="37"/>
    </row>
    <row r="256" spans="1:14" s="60" customFormat="1" ht="15.75" customHeight="1" x14ac:dyDescent="0.35">
      <c r="A256" s="171">
        <v>9</v>
      </c>
      <c r="B256" s="172"/>
      <c r="C256" s="73" t="s">
        <v>210</v>
      </c>
      <c r="D256" s="74">
        <f>(38.12)*(10.764)</f>
        <v>410.32367999999997</v>
      </c>
      <c r="E256" s="75">
        <v>0</v>
      </c>
      <c r="F256" s="75">
        <f t="shared" si="18"/>
        <v>615.48551999999995</v>
      </c>
      <c r="G256" s="213"/>
      <c r="H256" s="214"/>
      <c r="I256" s="70">
        <f>3400000/F258</f>
        <v>6841.4058300206843</v>
      </c>
      <c r="J256" s="71">
        <f t="shared" si="15"/>
        <v>3081238.0559999999</v>
      </c>
      <c r="L256" s="98"/>
      <c r="M256" s="98"/>
      <c r="N256" s="37"/>
    </row>
    <row r="257" spans="1:14" s="60" customFormat="1" ht="15.75" customHeight="1" x14ac:dyDescent="0.35">
      <c r="A257" s="171">
        <v>10</v>
      </c>
      <c r="B257" s="172"/>
      <c r="C257" s="73" t="s">
        <v>210</v>
      </c>
      <c r="D257" s="74">
        <f>(38.12)*(10.764)</f>
        <v>410.32367999999997</v>
      </c>
      <c r="E257" s="75">
        <v>0</v>
      </c>
      <c r="F257" s="75">
        <f t="shared" si="18"/>
        <v>615.48551999999995</v>
      </c>
      <c r="G257" s="213"/>
      <c r="H257" s="214"/>
      <c r="I257" s="37"/>
      <c r="J257" s="71">
        <f t="shared" si="15"/>
        <v>3081238.0559999999</v>
      </c>
      <c r="L257" s="98"/>
      <c r="M257" s="98"/>
      <c r="N257" s="37"/>
    </row>
    <row r="258" spans="1:14" s="60" customFormat="1" ht="15.75" customHeight="1" x14ac:dyDescent="0.35">
      <c r="A258" s="171">
        <v>11</v>
      </c>
      <c r="B258" s="172"/>
      <c r="C258" s="73" t="s">
        <v>210</v>
      </c>
      <c r="D258" s="74">
        <f>(30.78)*(10.764)</f>
        <v>331.31592000000001</v>
      </c>
      <c r="E258" s="75">
        <v>0</v>
      </c>
      <c r="F258" s="75">
        <f t="shared" si="18"/>
        <v>496.97388000000001</v>
      </c>
      <c r="G258" s="213"/>
      <c r="H258" s="214"/>
      <c r="I258" s="37"/>
      <c r="J258" s="71">
        <f t="shared" si="15"/>
        <v>3081238.0559999999</v>
      </c>
      <c r="L258" s="98"/>
      <c r="M258" s="98"/>
      <c r="N258" s="37"/>
    </row>
    <row r="259" spans="1:14" s="60" customFormat="1" ht="15.75" customHeight="1" x14ac:dyDescent="0.35">
      <c r="A259" s="171">
        <v>12</v>
      </c>
      <c r="B259" s="172"/>
      <c r="C259" s="73" t="s">
        <v>210</v>
      </c>
      <c r="D259" s="74">
        <f>(30.78)*(10.764)</f>
        <v>331.31592000000001</v>
      </c>
      <c r="E259" s="75">
        <v>0</v>
      </c>
      <c r="F259" s="75">
        <f t="shared" si="18"/>
        <v>496.97388000000001</v>
      </c>
      <c r="G259" s="213"/>
      <c r="H259" s="214"/>
      <c r="I259" s="37"/>
      <c r="J259" s="71">
        <f t="shared" si="15"/>
        <v>3081238.0559999999</v>
      </c>
      <c r="L259" s="98"/>
      <c r="M259" s="98"/>
      <c r="N259" s="37"/>
    </row>
    <row r="260" spans="1:14" s="60" customFormat="1" ht="15.75" customHeight="1" x14ac:dyDescent="0.35">
      <c r="A260" s="171">
        <v>13</v>
      </c>
      <c r="B260" s="172"/>
      <c r="C260" s="73" t="s">
        <v>210</v>
      </c>
      <c r="D260" s="74">
        <f>(30.78)*(10.764)</f>
        <v>331.31592000000001</v>
      </c>
      <c r="E260" s="75">
        <v>0</v>
      </c>
      <c r="F260" s="75">
        <f t="shared" si="18"/>
        <v>496.97388000000001</v>
      </c>
      <c r="G260" s="213"/>
      <c r="H260" s="214"/>
      <c r="I260" s="37"/>
      <c r="J260" s="71">
        <f t="shared" si="15"/>
        <v>3816010.2239999999</v>
      </c>
      <c r="L260" s="98"/>
      <c r="M260" s="98"/>
      <c r="N260" s="37"/>
    </row>
    <row r="261" spans="1:14" s="60" customFormat="1" ht="15.75" customHeight="1" x14ac:dyDescent="0.35">
      <c r="A261" s="171">
        <v>14</v>
      </c>
      <c r="B261" s="172"/>
      <c r="C261" s="73" t="s">
        <v>210</v>
      </c>
      <c r="D261" s="74">
        <f>(30.78)*(10.764)</f>
        <v>331.31592000000001</v>
      </c>
      <c r="E261" s="75">
        <v>0</v>
      </c>
      <c r="F261" s="75">
        <f t="shared" si="18"/>
        <v>496.97388000000001</v>
      </c>
      <c r="G261" s="213"/>
      <c r="H261" s="214"/>
      <c r="I261" s="37"/>
      <c r="J261" s="71">
        <f t="shared" si="15"/>
        <v>3816010.2239999999</v>
      </c>
      <c r="L261" s="98"/>
      <c r="M261" s="98"/>
      <c r="N261" s="37"/>
    </row>
    <row r="262" spans="1:14" s="60" customFormat="1" ht="15.75" customHeight="1" x14ac:dyDescent="0.35">
      <c r="A262" s="171">
        <v>15</v>
      </c>
      <c r="B262" s="172"/>
      <c r="C262" s="73" t="s">
        <v>210</v>
      </c>
      <c r="D262" s="74">
        <f>(38.12)*(10.764)</f>
        <v>410.32367999999997</v>
      </c>
      <c r="E262" s="75">
        <v>0</v>
      </c>
      <c r="F262" s="75">
        <f t="shared" si="18"/>
        <v>615.48551999999995</v>
      </c>
      <c r="G262" s="213"/>
      <c r="H262" s="214"/>
      <c r="J262" s="71">
        <f t="shared" si="15"/>
        <v>3816010.2239999999</v>
      </c>
    </row>
    <row r="263" spans="1:14" s="60" customFormat="1" ht="15.75" customHeight="1" x14ac:dyDescent="0.35">
      <c r="A263" s="171">
        <v>16</v>
      </c>
      <c r="B263" s="172"/>
      <c r="C263" s="73" t="s">
        <v>210</v>
      </c>
      <c r="D263" s="74">
        <f>(38.12)*(10.764)</f>
        <v>410.32367999999997</v>
      </c>
      <c r="E263" s="75">
        <v>0</v>
      </c>
      <c r="F263" s="75">
        <f t="shared" si="18"/>
        <v>615.48551999999995</v>
      </c>
      <c r="G263" s="213"/>
      <c r="H263" s="214"/>
      <c r="I263" s="37"/>
      <c r="J263" s="71">
        <f t="shared" si="15"/>
        <v>0</v>
      </c>
      <c r="L263" s="98"/>
      <c r="M263" s="98"/>
      <c r="N263" s="37"/>
    </row>
    <row r="264" spans="1:14" s="60" customFormat="1" x14ac:dyDescent="0.35">
      <c r="A264" s="171">
        <v>17</v>
      </c>
      <c r="B264" s="172"/>
      <c r="C264" s="73" t="s">
        <v>210</v>
      </c>
      <c r="D264" s="74">
        <f>(38.12)*(10.764)</f>
        <v>410.32367999999997</v>
      </c>
      <c r="E264" s="75">
        <v>0</v>
      </c>
      <c r="F264" s="75">
        <f t="shared" si="18"/>
        <v>615.48551999999995</v>
      </c>
      <c r="G264" s="213"/>
      <c r="H264" s="214"/>
      <c r="I264" s="37"/>
      <c r="L264" s="98"/>
      <c r="M264" s="98"/>
      <c r="N264" s="37"/>
    </row>
    <row r="265" spans="1:14" s="60" customFormat="1" ht="15.75" customHeight="1" x14ac:dyDescent="0.35">
      <c r="A265" s="171" t="s">
        <v>214</v>
      </c>
      <c r="B265" s="172"/>
      <c r="C265" s="190" t="s">
        <v>212</v>
      </c>
      <c r="D265" s="191"/>
      <c r="E265" s="191"/>
      <c r="F265" s="192"/>
      <c r="G265" s="215"/>
      <c r="H265" s="216"/>
      <c r="I265" s="37"/>
      <c r="L265" s="98"/>
      <c r="M265" s="98"/>
      <c r="N265" s="37"/>
    </row>
    <row r="266" spans="1:14" s="60" customFormat="1" ht="15.75" customHeight="1" x14ac:dyDescent="0.35">
      <c r="A266" s="104" t="s">
        <v>215</v>
      </c>
      <c r="B266" s="105"/>
      <c r="C266" s="105"/>
      <c r="D266" s="105"/>
      <c r="E266" s="105"/>
      <c r="F266" s="105"/>
      <c r="G266" s="105"/>
      <c r="H266" s="106"/>
      <c r="I266" s="37"/>
      <c r="L266" s="98"/>
      <c r="M266" s="98"/>
      <c r="N266" s="37"/>
    </row>
    <row r="267" spans="1:14" s="60" customFormat="1" ht="15.75" customHeight="1" x14ac:dyDescent="0.35">
      <c r="A267" s="96">
        <v>1</v>
      </c>
      <c r="B267" s="97"/>
      <c r="C267" s="49" t="s">
        <v>209</v>
      </c>
      <c r="D267" s="52">
        <f>(47.36)*(10.764)</f>
        <v>509.78303999999997</v>
      </c>
      <c r="E267" s="58">
        <v>0</v>
      </c>
      <c r="F267" s="58">
        <f t="shared" ref="F267:F283" si="19">D267*(($F$143)+1)+(IF(E267&lt;101,E267,IF(E267&lt;201,E267/2,IF(E267&lt;=301,E267/3,E267/4))))</f>
        <v>764.67455999999993</v>
      </c>
      <c r="G267" s="204" t="str">
        <f>A266</f>
        <v>13th to 16th, 18th to 19th Floor</v>
      </c>
      <c r="H267" s="205"/>
      <c r="I267" s="37"/>
      <c r="L267" s="98"/>
      <c r="M267" s="98"/>
      <c r="N267" s="37"/>
    </row>
    <row r="268" spans="1:14" s="60" customFormat="1" ht="15.75" customHeight="1" x14ac:dyDescent="0.35">
      <c r="A268" s="96">
        <v>2</v>
      </c>
      <c r="B268" s="97"/>
      <c r="C268" s="49" t="s">
        <v>209</v>
      </c>
      <c r="D268" s="52">
        <f>(47.36)*(10.764)</f>
        <v>509.78303999999997</v>
      </c>
      <c r="E268" s="58">
        <v>0</v>
      </c>
      <c r="F268" s="58">
        <f t="shared" si="19"/>
        <v>764.67455999999993</v>
      </c>
      <c r="G268" s="206"/>
      <c r="H268" s="207"/>
      <c r="I268" s="37"/>
      <c r="L268" s="98"/>
      <c r="M268" s="98"/>
      <c r="N268" s="37"/>
    </row>
    <row r="269" spans="1:14" s="60" customFormat="1" ht="15.75" customHeight="1" x14ac:dyDescent="0.35">
      <c r="A269" s="96">
        <v>3</v>
      </c>
      <c r="B269" s="97"/>
      <c r="C269" s="49" t="s">
        <v>209</v>
      </c>
      <c r="D269" s="52">
        <f>(45.58)*(10.764)</f>
        <v>490.62311999999997</v>
      </c>
      <c r="E269" s="58">
        <v>0</v>
      </c>
      <c r="F269" s="58">
        <f t="shared" si="19"/>
        <v>735.93467999999996</v>
      </c>
      <c r="G269" s="206"/>
      <c r="H269" s="207"/>
      <c r="I269" s="37"/>
      <c r="L269" s="98"/>
      <c r="M269" s="98"/>
      <c r="N269" s="37"/>
    </row>
    <row r="270" spans="1:14" s="60" customFormat="1" ht="15.75" customHeight="1" x14ac:dyDescent="0.35">
      <c r="A270" s="96">
        <v>4</v>
      </c>
      <c r="B270" s="97"/>
      <c r="C270" s="49" t="s">
        <v>209</v>
      </c>
      <c r="D270" s="52">
        <f>(45.58)*(10.764)</f>
        <v>490.62311999999997</v>
      </c>
      <c r="E270" s="58">
        <v>0</v>
      </c>
      <c r="F270" s="58">
        <f t="shared" si="19"/>
        <v>735.93467999999996</v>
      </c>
      <c r="G270" s="206"/>
      <c r="H270" s="207"/>
      <c r="I270" s="37"/>
      <c r="L270" s="98"/>
      <c r="M270" s="98"/>
      <c r="N270" s="37"/>
    </row>
    <row r="271" spans="1:14" s="60" customFormat="1" ht="15.75" customHeight="1" x14ac:dyDescent="0.35">
      <c r="A271" s="96">
        <v>5</v>
      </c>
      <c r="B271" s="97"/>
      <c r="C271" s="49" t="s">
        <v>210</v>
      </c>
      <c r="D271" s="52">
        <f>(38.12)*(10.764)</f>
        <v>410.32367999999997</v>
      </c>
      <c r="E271" s="58">
        <v>0</v>
      </c>
      <c r="F271" s="58">
        <f t="shared" si="19"/>
        <v>615.48551999999995</v>
      </c>
      <c r="G271" s="206"/>
      <c r="H271" s="207"/>
      <c r="I271" s="37"/>
      <c r="L271" s="98"/>
      <c r="M271" s="98"/>
      <c r="N271" s="37"/>
    </row>
    <row r="272" spans="1:14" s="60" customFormat="1" ht="15.75" customHeight="1" x14ac:dyDescent="0.35">
      <c r="A272" s="96">
        <v>6</v>
      </c>
      <c r="B272" s="97"/>
      <c r="C272" s="49" t="s">
        <v>209</v>
      </c>
      <c r="D272" s="52">
        <f t="shared" ref="D272:D273" si="20">(45.58)*(10.764)</f>
        <v>490.62311999999997</v>
      </c>
      <c r="E272" s="58">
        <v>0</v>
      </c>
      <c r="F272" s="58">
        <f t="shared" si="19"/>
        <v>735.93467999999996</v>
      </c>
      <c r="G272" s="206"/>
      <c r="H272" s="207"/>
      <c r="I272" s="37"/>
      <c r="L272" s="98"/>
      <c r="M272" s="98"/>
      <c r="N272" s="37"/>
    </row>
    <row r="273" spans="1:14" s="60" customFormat="1" ht="15.75" customHeight="1" x14ac:dyDescent="0.35">
      <c r="A273" s="96">
        <v>7</v>
      </c>
      <c r="B273" s="97"/>
      <c r="C273" s="49" t="s">
        <v>209</v>
      </c>
      <c r="D273" s="52">
        <f t="shared" si="20"/>
        <v>490.62311999999997</v>
      </c>
      <c r="E273" s="58">
        <v>0</v>
      </c>
      <c r="F273" s="58">
        <f t="shared" si="19"/>
        <v>735.93467999999996</v>
      </c>
      <c r="G273" s="206"/>
      <c r="H273" s="207"/>
      <c r="I273" s="37"/>
      <c r="L273" s="98"/>
      <c r="M273" s="98"/>
      <c r="N273" s="37"/>
    </row>
    <row r="274" spans="1:14" s="60" customFormat="1" ht="15.75" customHeight="1" x14ac:dyDescent="0.35">
      <c r="A274" s="96">
        <v>8</v>
      </c>
      <c r="B274" s="97"/>
      <c r="C274" s="49" t="s">
        <v>210</v>
      </c>
      <c r="D274" s="52">
        <f>(38.12)*(10.764)</f>
        <v>410.32367999999997</v>
      </c>
      <c r="E274" s="58">
        <v>0</v>
      </c>
      <c r="F274" s="58">
        <f t="shared" si="19"/>
        <v>615.48551999999995</v>
      </c>
      <c r="G274" s="206"/>
      <c r="H274" s="207"/>
      <c r="I274" s="37"/>
      <c r="L274" s="98"/>
      <c r="M274" s="98"/>
      <c r="N274" s="37"/>
    </row>
    <row r="275" spans="1:14" s="60" customFormat="1" ht="15.75" customHeight="1" x14ac:dyDescent="0.35">
      <c r="A275" s="96">
        <v>9</v>
      </c>
      <c r="B275" s="97"/>
      <c r="C275" s="49" t="s">
        <v>210</v>
      </c>
      <c r="D275" s="52">
        <f>(38.12)*(10.764)</f>
        <v>410.32367999999997</v>
      </c>
      <c r="E275" s="58">
        <v>0</v>
      </c>
      <c r="F275" s="58">
        <f t="shared" si="19"/>
        <v>615.48551999999995</v>
      </c>
      <c r="G275" s="206"/>
      <c r="H275" s="207"/>
      <c r="I275" s="37"/>
      <c r="L275" s="98"/>
      <c r="M275" s="98"/>
      <c r="N275" s="37"/>
    </row>
    <row r="276" spans="1:14" s="60" customFormat="1" ht="15.75" customHeight="1" x14ac:dyDescent="0.35">
      <c r="A276" s="96">
        <v>10</v>
      </c>
      <c r="B276" s="97"/>
      <c r="C276" s="49" t="s">
        <v>210</v>
      </c>
      <c r="D276" s="52">
        <f>(38.12)*(10.764)</f>
        <v>410.32367999999997</v>
      </c>
      <c r="E276" s="58">
        <v>0</v>
      </c>
      <c r="F276" s="58">
        <f t="shared" si="19"/>
        <v>615.48551999999995</v>
      </c>
      <c r="G276" s="206"/>
      <c r="H276" s="207"/>
      <c r="I276" s="37"/>
      <c r="L276" s="98"/>
      <c r="M276" s="98"/>
      <c r="N276" s="37"/>
    </row>
    <row r="277" spans="1:14" s="60" customFormat="1" ht="15.75" customHeight="1" x14ac:dyDescent="0.35">
      <c r="A277" s="96">
        <v>11</v>
      </c>
      <c r="B277" s="97"/>
      <c r="C277" s="49" t="s">
        <v>210</v>
      </c>
      <c r="D277" s="52">
        <f>(30.78)*(10.764)</f>
        <v>331.31592000000001</v>
      </c>
      <c r="E277" s="58">
        <v>0</v>
      </c>
      <c r="F277" s="58">
        <f t="shared" si="19"/>
        <v>496.97388000000001</v>
      </c>
      <c r="G277" s="206"/>
      <c r="H277" s="207"/>
      <c r="I277" s="37"/>
      <c r="L277" s="98"/>
      <c r="M277" s="98"/>
      <c r="N277" s="37"/>
    </row>
    <row r="278" spans="1:14" s="60" customFormat="1" ht="15.75" customHeight="1" x14ac:dyDescent="0.35">
      <c r="A278" s="96">
        <v>12</v>
      </c>
      <c r="B278" s="97"/>
      <c r="C278" s="49" t="s">
        <v>210</v>
      </c>
      <c r="D278" s="52">
        <f>(30.78)*(10.764)</f>
        <v>331.31592000000001</v>
      </c>
      <c r="E278" s="58">
        <v>0</v>
      </c>
      <c r="F278" s="58">
        <f t="shared" si="19"/>
        <v>496.97388000000001</v>
      </c>
      <c r="G278" s="206"/>
      <c r="H278" s="207"/>
      <c r="I278" s="37"/>
      <c r="L278" s="98"/>
      <c r="M278" s="98"/>
      <c r="N278" s="37"/>
    </row>
    <row r="279" spans="1:14" s="60" customFormat="1" ht="15.75" customHeight="1" x14ac:dyDescent="0.35">
      <c r="A279" s="96">
        <v>13</v>
      </c>
      <c r="B279" s="97"/>
      <c r="C279" s="49" t="s">
        <v>210</v>
      </c>
      <c r="D279" s="52">
        <f>(30.78)*(10.764)</f>
        <v>331.31592000000001</v>
      </c>
      <c r="E279" s="58">
        <v>0</v>
      </c>
      <c r="F279" s="58">
        <f t="shared" si="19"/>
        <v>496.97388000000001</v>
      </c>
      <c r="G279" s="206"/>
      <c r="H279" s="207"/>
      <c r="I279" s="37"/>
      <c r="L279" s="98"/>
      <c r="M279" s="98"/>
      <c r="N279" s="37"/>
    </row>
    <row r="280" spans="1:14" s="36" customFormat="1" ht="15.75" customHeight="1" x14ac:dyDescent="0.35">
      <c r="A280" s="96">
        <v>14</v>
      </c>
      <c r="B280" s="97"/>
      <c r="C280" s="49" t="s">
        <v>210</v>
      </c>
      <c r="D280" s="52">
        <f>(30.78)*(10.764)</f>
        <v>331.31592000000001</v>
      </c>
      <c r="E280" s="58">
        <v>0</v>
      </c>
      <c r="F280" s="58">
        <f t="shared" si="19"/>
        <v>496.97388000000001</v>
      </c>
      <c r="G280" s="206"/>
      <c r="H280" s="207"/>
    </row>
    <row r="281" spans="1:14" s="36" customFormat="1" x14ac:dyDescent="0.35">
      <c r="A281" s="96">
        <v>15</v>
      </c>
      <c r="B281" s="97"/>
      <c r="C281" s="49" t="s">
        <v>210</v>
      </c>
      <c r="D281" s="52">
        <f>(38.12)*(10.764)</f>
        <v>410.32367999999997</v>
      </c>
      <c r="E281" s="58">
        <v>0</v>
      </c>
      <c r="F281" s="58">
        <f t="shared" si="19"/>
        <v>615.48551999999995</v>
      </c>
      <c r="G281" s="206"/>
      <c r="H281" s="207"/>
    </row>
    <row r="282" spans="1:14" s="36" customFormat="1" x14ac:dyDescent="0.35">
      <c r="A282" s="96">
        <v>16</v>
      </c>
      <c r="B282" s="97"/>
      <c r="C282" s="49" t="s">
        <v>210</v>
      </c>
      <c r="D282" s="52">
        <f>(38.12)*(10.764)</f>
        <v>410.32367999999997</v>
      </c>
      <c r="E282" s="58">
        <v>0</v>
      </c>
      <c r="F282" s="58">
        <f t="shared" si="19"/>
        <v>615.48551999999995</v>
      </c>
      <c r="G282" s="206"/>
      <c r="H282" s="207"/>
    </row>
    <row r="283" spans="1:14" s="36" customFormat="1" x14ac:dyDescent="0.35">
      <c r="A283" s="96">
        <v>17</v>
      </c>
      <c r="B283" s="97"/>
      <c r="C283" s="49" t="s">
        <v>210</v>
      </c>
      <c r="D283" s="52">
        <f>(38.12)*(10.764)</f>
        <v>410.32367999999997</v>
      </c>
      <c r="E283" s="58">
        <v>0</v>
      </c>
      <c r="F283" s="58">
        <f t="shared" si="19"/>
        <v>615.48551999999995</v>
      </c>
      <c r="G283" s="208"/>
      <c r="H283" s="209"/>
    </row>
    <row r="284" spans="1:14" s="36" customFormat="1" x14ac:dyDescent="0.35">
      <c r="A284" s="134" t="s">
        <v>68</v>
      </c>
      <c r="B284" s="134"/>
      <c r="C284" s="134"/>
      <c r="D284" s="134"/>
      <c r="E284" s="134"/>
      <c r="F284" s="134"/>
      <c r="G284" s="134"/>
      <c r="H284" s="134"/>
    </row>
    <row r="285" spans="1:14" s="36" customFormat="1" x14ac:dyDescent="0.35">
      <c r="A285" s="42" t="s">
        <v>156</v>
      </c>
      <c r="B285" s="80" t="s">
        <v>246</v>
      </c>
      <c r="C285" s="81"/>
      <c r="D285" s="81"/>
      <c r="E285" s="81"/>
      <c r="F285" s="81"/>
      <c r="G285" s="81"/>
      <c r="H285" s="82"/>
    </row>
    <row r="286" spans="1:14" s="36" customFormat="1" x14ac:dyDescent="0.35">
      <c r="A286" s="42" t="s">
        <v>156</v>
      </c>
      <c r="B286" s="80" t="str">
        <f>(IF(F142="Saleable area Loading :","We have considered Saleable area of Flats as per our Calculation.","We considered Saleable area of Flat as per Builder area Sheet."))</f>
        <v>We have considered Saleable area of Flats as per our Calculation.</v>
      </c>
      <c r="C286" s="81"/>
      <c r="D286" s="81"/>
      <c r="E286" s="81"/>
      <c r="F286" s="81"/>
      <c r="G286" s="81"/>
      <c r="H286" s="82"/>
    </row>
    <row r="287" spans="1:14" s="36" customFormat="1" x14ac:dyDescent="0.35">
      <c r="A287" s="42" t="s">
        <v>156</v>
      </c>
      <c r="B287" s="124" t="s">
        <v>126</v>
      </c>
      <c r="C287" s="125"/>
      <c r="D287" s="125"/>
      <c r="E287" s="125"/>
      <c r="F287" s="125"/>
      <c r="G287" s="125"/>
      <c r="H287" s="126"/>
    </row>
    <row r="288" spans="1:14" s="36" customFormat="1" x14ac:dyDescent="0.35">
      <c r="A288" s="42" t="s">
        <v>156</v>
      </c>
      <c r="B288" s="124" t="s">
        <v>247</v>
      </c>
      <c r="C288" s="125"/>
      <c r="D288" s="125"/>
      <c r="E288" s="125"/>
      <c r="F288" s="125"/>
      <c r="G288" s="125"/>
      <c r="H288" s="126"/>
    </row>
    <row r="289" spans="1:8" s="36" customFormat="1" x14ac:dyDescent="0.35">
      <c r="A289" s="42" t="s">
        <v>156</v>
      </c>
      <c r="B289" s="124" t="s">
        <v>155</v>
      </c>
      <c r="C289" s="125"/>
      <c r="D289" s="125"/>
      <c r="E289" s="125"/>
      <c r="F289" s="125"/>
      <c r="G289" s="125"/>
      <c r="H289" s="126"/>
    </row>
    <row r="290" spans="1:8" s="36" customFormat="1" x14ac:dyDescent="0.35">
      <c r="A290" s="42" t="s">
        <v>156</v>
      </c>
      <c r="B290" s="124" t="s">
        <v>127</v>
      </c>
      <c r="C290" s="125"/>
      <c r="D290" s="125"/>
      <c r="E290" s="125"/>
      <c r="F290" s="125"/>
      <c r="G290" s="125"/>
      <c r="H290" s="126"/>
    </row>
    <row r="291" spans="1:8" s="36" customFormat="1" ht="32.25" customHeight="1" x14ac:dyDescent="0.35">
      <c r="A291" s="42" t="s">
        <v>156</v>
      </c>
      <c r="B291" s="124" t="s">
        <v>157</v>
      </c>
      <c r="C291" s="125"/>
      <c r="D291" s="125"/>
      <c r="E291" s="125"/>
      <c r="F291" s="125"/>
      <c r="G291" s="125"/>
      <c r="H291" s="126"/>
    </row>
    <row r="292" spans="1:8" s="36" customFormat="1" x14ac:dyDescent="0.35">
      <c r="A292" s="42" t="s">
        <v>156</v>
      </c>
      <c r="B292" s="124" t="s">
        <v>128</v>
      </c>
      <c r="C292" s="125"/>
      <c r="D292" s="125"/>
      <c r="E292" s="125"/>
      <c r="F292" s="125"/>
      <c r="G292" s="125"/>
      <c r="H292" s="126"/>
    </row>
    <row r="293" spans="1:8" x14ac:dyDescent="0.35">
      <c r="A293" s="72" t="s">
        <v>156</v>
      </c>
      <c r="B293" s="80" t="s">
        <v>251</v>
      </c>
      <c r="C293" s="81"/>
      <c r="D293" s="81"/>
      <c r="E293" s="81"/>
      <c r="F293" s="81"/>
      <c r="G293" s="81"/>
      <c r="H293" s="82"/>
    </row>
    <row r="294" spans="1:8" x14ac:dyDescent="0.35">
      <c r="A294" s="59" t="s">
        <v>156</v>
      </c>
      <c r="B294" s="80" t="s">
        <v>245</v>
      </c>
      <c r="C294" s="81"/>
      <c r="D294" s="81"/>
      <c r="E294" s="81"/>
      <c r="F294" s="81"/>
      <c r="G294" s="81"/>
      <c r="H294" s="82"/>
    </row>
    <row r="295" spans="1:8" ht="15.75" customHeight="1" x14ac:dyDescent="0.35">
      <c r="A295" s="57" t="s">
        <v>156</v>
      </c>
      <c r="B295" s="80" t="s">
        <v>243</v>
      </c>
      <c r="C295" s="81"/>
      <c r="D295" s="81"/>
      <c r="E295" s="81"/>
      <c r="F295" s="81"/>
      <c r="G295" s="81"/>
      <c r="H295" s="82"/>
    </row>
    <row r="296" spans="1:8" x14ac:dyDescent="0.35">
      <c r="A296" s="72" t="s">
        <v>156</v>
      </c>
      <c r="B296" s="80" t="s">
        <v>256</v>
      </c>
      <c r="C296" s="81"/>
      <c r="D296" s="81"/>
      <c r="E296" s="81"/>
      <c r="F296" s="81"/>
      <c r="G296" s="81"/>
      <c r="H296" s="82"/>
    </row>
    <row r="297" spans="1:8" ht="15.75" customHeight="1" x14ac:dyDescent="0.35">
      <c r="A297" s="59" t="s">
        <v>156</v>
      </c>
      <c r="B297" s="80" t="s">
        <v>258</v>
      </c>
      <c r="C297" s="81"/>
      <c r="D297" s="81"/>
      <c r="E297" s="81"/>
      <c r="F297" s="81"/>
      <c r="G297" s="81"/>
      <c r="H297" s="82"/>
    </row>
    <row r="298" spans="1:8" x14ac:dyDescent="0.35">
      <c r="A298" s="72" t="s">
        <v>156</v>
      </c>
      <c r="B298" s="80" t="s">
        <v>257</v>
      </c>
      <c r="C298" s="81"/>
      <c r="D298" s="81"/>
      <c r="E298" s="81"/>
      <c r="F298" s="81"/>
      <c r="G298" s="81"/>
      <c r="H298" s="82"/>
    </row>
    <row r="299" spans="1:8" x14ac:dyDescent="0.35">
      <c r="A299" s="72" t="s">
        <v>156</v>
      </c>
      <c r="B299" s="80" t="s">
        <v>262</v>
      </c>
      <c r="C299" s="81"/>
      <c r="D299" s="81"/>
      <c r="E299" s="81"/>
      <c r="F299" s="81"/>
      <c r="G299" s="81"/>
      <c r="H299" s="82"/>
    </row>
    <row r="300" spans="1:8" x14ac:dyDescent="0.35">
      <c r="A300" s="122" t="s">
        <v>61</v>
      </c>
      <c r="B300" s="122"/>
      <c r="C300" s="122"/>
      <c r="D300" s="122"/>
      <c r="E300" s="122"/>
      <c r="F300" s="122"/>
      <c r="G300" s="122"/>
      <c r="H300" s="122"/>
    </row>
    <row r="301" spans="1:8" x14ac:dyDescent="0.35">
      <c r="A301" s="99" t="s">
        <v>62</v>
      </c>
      <c r="B301" s="99"/>
      <c r="C301" s="99"/>
      <c r="D301" s="99"/>
      <c r="E301" s="99"/>
      <c r="F301" s="99"/>
      <c r="G301" s="99"/>
      <c r="H301" s="99"/>
    </row>
    <row r="302" spans="1:8" x14ac:dyDescent="0.35">
      <c r="A302" s="103" t="s">
        <v>63</v>
      </c>
      <c r="B302" s="103"/>
      <c r="C302" s="103"/>
      <c r="D302" s="103"/>
      <c r="E302" s="103"/>
      <c r="F302" s="103"/>
      <c r="G302" s="103"/>
      <c r="H302" s="103"/>
    </row>
    <row r="303" spans="1:8" x14ac:dyDescent="0.35">
      <c r="A303" s="99" t="s">
        <v>64</v>
      </c>
      <c r="B303" s="99"/>
      <c r="C303" s="99"/>
      <c r="D303" s="99"/>
      <c r="E303" s="99"/>
      <c r="F303" s="99"/>
      <c r="G303" s="99"/>
      <c r="H303" s="99"/>
    </row>
    <row r="304" spans="1:8" x14ac:dyDescent="0.35">
      <c r="A304" s="99" t="s">
        <v>65</v>
      </c>
      <c r="B304" s="99"/>
      <c r="C304" s="99"/>
      <c r="D304" s="99"/>
      <c r="E304" s="99"/>
      <c r="F304" s="99"/>
      <c r="G304" s="99"/>
      <c r="H304" s="99"/>
    </row>
    <row r="305" spans="1:8" x14ac:dyDescent="0.35">
      <c r="A305" s="99" t="s">
        <v>129</v>
      </c>
      <c r="B305" s="99"/>
      <c r="C305" s="99"/>
      <c r="D305" s="99"/>
      <c r="E305" s="99"/>
      <c r="F305" s="99"/>
      <c r="G305" s="99"/>
      <c r="H305" s="99"/>
    </row>
    <row r="306" spans="1:8" x14ac:dyDescent="0.35">
      <c r="A306" s="102" t="s">
        <v>130</v>
      </c>
      <c r="B306" s="102"/>
      <c r="C306" s="102"/>
      <c r="D306" s="102"/>
      <c r="E306" s="102"/>
      <c r="F306" s="102"/>
      <c r="G306" s="102"/>
      <c r="H306" s="102"/>
    </row>
    <row r="307" spans="1:8" x14ac:dyDescent="0.35">
      <c r="A307" s="101" t="s">
        <v>77</v>
      </c>
      <c r="B307" s="101"/>
      <c r="C307" s="101" t="s">
        <v>193</v>
      </c>
      <c r="D307" s="101"/>
      <c r="E307" s="101" t="s">
        <v>105</v>
      </c>
      <c r="F307" s="101"/>
      <c r="G307" s="101" t="s">
        <v>261</v>
      </c>
      <c r="H307" s="101"/>
    </row>
    <row r="308" spans="1:8" x14ac:dyDescent="0.35">
      <c r="A308" s="100" t="s">
        <v>79</v>
      </c>
      <c r="B308" s="100"/>
      <c r="C308" s="100"/>
      <c r="D308" s="100"/>
      <c r="E308" s="100"/>
      <c r="F308" s="100"/>
      <c r="G308" s="100"/>
      <c r="H308" s="100"/>
    </row>
    <row r="309" spans="1:8" x14ac:dyDescent="0.35">
      <c r="A309" s="100"/>
      <c r="B309" s="100"/>
      <c r="C309" s="100"/>
      <c r="D309" s="100"/>
      <c r="E309" s="100"/>
      <c r="F309" s="100"/>
      <c r="G309" s="100"/>
      <c r="H309" s="100"/>
    </row>
    <row r="310" spans="1:8" x14ac:dyDescent="0.35">
      <c r="A310" s="100"/>
      <c r="B310" s="100"/>
      <c r="C310" s="100"/>
      <c r="D310" s="100"/>
      <c r="E310" s="100"/>
      <c r="F310" s="100"/>
      <c r="G310" s="100"/>
      <c r="H310" s="100"/>
    </row>
    <row r="311" spans="1:8" ht="15" customHeight="1" x14ac:dyDescent="0.35">
      <c r="A311" s="100"/>
      <c r="B311" s="100"/>
      <c r="C311" s="100"/>
      <c r="D311" s="100"/>
      <c r="E311" s="100"/>
      <c r="F311" s="100"/>
      <c r="G311" s="100"/>
      <c r="H311" s="100"/>
    </row>
    <row r="312" spans="1:8" x14ac:dyDescent="0.35">
      <c r="A312" s="38" t="s">
        <v>66</v>
      </c>
      <c r="B312" s="39"/>
      <c r="C312" s="39"/>
      <c r="D312" s="38" t="str">
        <f>E8</f>
        <v>Magus City &amp; Magus City Tower 2 Lunar</v>
      </c>
      <c r="F312" s="39"/>
      <c r="G312" s="39"/>
      <c r="H312" s="39"/>
    </row>
    <row r="313" spans="1:8" x14ac:dyDescent="0.35">
      <c r="A313" s="39"/>
      <c r="B313" s="39"/>
      <c r="C313" s="39"/>
      <c r="D313" s="39"/>
      <c r="E313" s="39"/>
      <c r="F313" s="39"/>
      <c r="G313" s="39"/>
      <c r="H313" s="39"/>
    </row>
    <row r="314" spans="1:8" x14ac:dyDescent="0.35">
      <c r="A314" s="39"/>
      <c r="B314" s="39"/>
      <c r="C314" s="39"/>
      <c r="D314" s="39"/>
      <c r="E314" s="39"/>
      <c r="F314" s="39"/>
      <c r="G314" s="39"/>
      <c r="H314" s="39"/>
    </row>
    <row r="353" spans="1:1" x14ac:dyDescent="0.35">
      <c r="A353" s="41" t="s">
        <v>218</v>
      </c>
    </row>
    <row r="391" spans="1:1" x14ac:dyDescent="0.35">
      <c r="A391" s="41" t="s">
        <v>67</v>
      </c>
    </row>
    <row r="434" spans="1:2" x14ac:dyDescent="0.35">
      <c r="A434" s="95"/>
      <c r="B434" s="95"/>
    </row>
  </sheetData>
  <mergeCells count="606">
    <mergeCell ref="A254:B254"/>
    <mergeCell ref="C254:F254"/>
    <mergeCell ref="B299:H299"/>
    <mergeCell ref="C40:H40"/>
    <mergeCell ref="A49:B49"/>
    <mergeCell ref="A55:B56"/>
    <mergeCell ref="C55:E55"/>
    <mergeCell ref="G55:H55"/>
    <mergeCell ref="C56:H56"/>
    <mergeCell ref="A279:B279"/>
    <mergeCell ref="L275:M275"/>
    <mergeCell ref="C39:H39"/>
    <mergeCell ref="A50:H50"/>
    <mergeCell ref="A57:H57"/>
    <mergeCell ref="G209:H225"/>
    <mergeCell ref="G227:H245"/>
    <mergeCell ref="G247:H265"/>
    <mergeCell ref="G267:H283"/>
    <mergeCell ref="A276:B276"/>
    <mergeCell ref="L272:M272"/>
    <mergeCell ref="A263:B263"/>
    <mergeCell ref="L259:M259"/>
    <mergeCell ref="A256:B256"/>
    <mergeCell ref="L252:M252"/>
    <mergeCell ref="L253:M253"/>
    <mergeCell ref="L254:M254"/>
    <mergeCell ref="A255:B255"/>
    <mergeCell ref="A101:B101"/>
    <mergeCell ref="A102:B102"/>
    <mergeCell ref="A103:B103"/>
    <mergeCell ref="A104:B104"/>
    <mergeCell ref="A105:B105"/>
    <mergeCell ref="A106:B106"/>
    <mergeCell ref="A107:B107"/>
    <mergeCell ref="A98:B98"/>
    <mergeCell ref="A40:B40"/>
    <mergeCell ref="B297:H297"/>
    <mergeCell ref="A280:B280"/>
    <mergeCell ref="L276:M276"/>
    <mergeCell ref="A281:B281"/>
    <mergeCell ref="L277:M277"/>
    <mergeCell ref="A282:B282"/>
    <mergeCell ref="L278:M278"/>
    <mergeCell ref="A277:B277"/>
    <mergeCell ref="L273:M273"/>
    <mergeCell ref="A278:B278"/>
    <mergeCell ref="L274:M274"/>
    <mergeCell ref="A274:B274"/>
    <mergeCell ref="A275:B275"/>
    <mergeCell ref="A272:B272"/>
    <mergeCell ref="L268:M268"/>
    <mergeCell ref="L269:M269"/>
    <mergeCell ref="A269:B269"/>
    <mergeCell ref="L265:M265"/>
    <mergeCell ref="B296:H296"/>
    <mergeCell ref="I5:L5"/>
    <mergeCell ref="A283:B283"/>
    <mergeCell ref="L279:M279"/>
    <mergeCell ref="B294:H294"/>
    <mergeCell ref="L266:M266"/>
    <mergeCell ref="A271:B271"/>
    <mergeCell ref="L267:M267"/>
    <mergeCell ref="L270:M270"/>
    <mergeCell ref="L271:M271"/>
    <mergeCell ref="A262:B262"/>
    <mergeCell ref="A14:D15"/>
    <mergeCell ref="E14:F14"/>
    <mergeCell ref="E15:F15"/>
    <mergeCell ref="G14:H14"/>
    <mergeCell ref="G15:H15"/>
    <mergeCell ref="A144:H144"/>
    <mergeCell ref="A205:H205"/>
    <mergeCell ref="G148:H176"/>
    <mergeCell ref="A252:B252"/>
    <mergeCell ref="L248:M248"/>
    <mergeCell ref="A253:B253"/>
    <mergeCell ref="L249:M249"/>
    <mergeCell ref="L233:M233"/>
    <mergeCell ref="B293:H293"/>
    <mergeCell ref="L258:M258"/>
    <mergeCell ref="L260:M260"/>
    <mergeCell ref="A259:B259"/>
    <mergeCell ref="L255:M255"/>
    <mergeCell ref="A260:B260"/>
    <mergeCell ref="L256:M256"/>
    <mergeCell ref="A261:B261"/>
    <mergeCell ref="L257:M257"/>
    <mergeCell ref="A257:B257"/>
    <mergeCell ref="A258:B258"/>
    <mergeCell ref="B291:H291"/>
    <mergeCell ref="L264:M264"/>
    <mergeCell ref="L261:M261"/>
    <mergeCell ref="A267:B267"/>
    <mergeCell ref="L263:M263"/>
    <mergeCell ref="A268:B268"/>
    <mergeCell ref="C265:F265"/>
    <mergeCell ref="A266:H266"/>
    <mergeCell ref="A240:B240"/>
    <mergeCell ref="A235:B235"/>
    <mergeCell ref="L231:M231"/>
    <mergeCell ref="A236:B236"/>
    <mergeCell ref="L232:M232"/>
    <mergeCell ref="L251:M251"/>
    <mergeCell ref="A247:B247"/>
    <mergeCell ref="L243:M243"/>
    <mergeCell ref="A248:B248"/>
    <mergeCell ref="L244:M244"/>
    <mergeCell ref="A249:B249"/>
    <mergeCell ref="L245:M245"/>
    <mergeCell ref="A250:B250"/>
    <mergeCell ref="L246:M246"/>
    <mergeCell ref="L250:M250"/>
    <mergeCell ref="A251:B251"/>
    <mergeCell ref="L247:M247"/>
    <mergeCell ref="A231:B231"/>
    <mergeCell ref="L227:M227"/>
    <mergeCell ref="A232:B232"/>
    <mergeCell ref="L228:M228"/>
    <mergeCell ref="A233:B233"/>
    <mergeCell ref="L229:M229"/>
    <mergeCell ref="A228:B228"/>
    <mergeCell ref="A244:B244"/>
    <mergeCell ref="L240:M240"/>
    <mergeCell ref="A234:B234"/>
    <mergeCell ref="L230:M230"/>
    <mergeCell ref="C234:F234"/>
    <mergeCell ref="L241:M241"/>
    <mergeCell ref="A241:B241"/>
    <mergeCell ref="L237:M237"/>
    <mergeCell ref="A242:B242"/>
    <mergeCell ref="L238:M238"/>
    <mergeCell ref="A243:B243"/>
    <mergeCell ref="L239:M239"/>
    <mergeCell ref="A238:B238"/>
    <mergeCell ref="L234:M234"/>
    <mergeCell ref="A239:B239"/>
    <mergeCell ref="L235:M235"/>
    <mergeCell ref="L236:M236"/>
    <mergeCell ref="L225:M225"/>
    <mergeCell ref="A230:B230"/>
    <mergeCell ref="L226:M226"/>
    <mergeCell ref="A224:B224"/>
    <mergeCell ref="L220:M220"/>
    <mergeCell ref="A225:B225"/>
    <mergeCell ref="L221:M221"/>
    <mergeCell ref="A226:H226"/>
    <mergeCell ref="A227:B227"/>
    <mergeCell ref="L223:M223"/>
    <mergeCell ref="A145:H145"/>
    <mergeCell ref="A206:H206"/>
    <mergeCell ref="A207:H207"/>
    <mergeCell ref="A213:B213"/>
    <mergeCell ref="L209:M209"/>
    <mergeCell ref="A214:B214"/>
    <mergeCell ref="L210:M210"/>
    <mergeCell ref="A201:B201"/>
    <mergeCell ref="A147:H147"/>
    <mergeCell ref="A160:B160"/>
    <mergeCell ref="A164:B164"/>
    <mergeCell ref="A168:B168"/>
    <mergeCell ref="A172:B172"/>
    <mergeCell ref="A176:B176"/>
    <mergeCell ref="A184:B184"/>
    <mergeCell ref="L149:M149"/>
    <mergeCell ref="L150:M150"/>
    <mergeCell ref="L151:M151"/>
    <mergeCell ref="L152:M152"/>
    <mergeCell ref="L214:M214"/>
    <mergeCell ref="G178:H204"/>
    <mergeCell ref="E126:F126"/>
    <mergeCell ref="I42:L42"/>
    <mergeCell ref="I43:L43"/>
    <mergeCell ref="I44:L44"/>
    <mergeCell ref="I45:L45"/>
    <mergeCell ref="I46:L46"/>
    <mergeCell ref="I47:L47"/>
    <mergeCell ref="A74:C74"/>
    <mergeCell ref="D73:H73"/>
    <mergeCell ref="E84:F93"/>
    <mergeCell ref="G84:H93"/>
    <mergeCell ref="A92:B92"/>
    <mergeCell ref="A93:B93"/>
    <mergeCell ref="D74:H74"/>
    <mergeCell ref="A44:D44"/>
    <mergeCell ref="E44:H44"/>
    <mergeCell ref="E45:H45"/>
    <mergeCell ref="E46:H46"/>
    <mergeCell ref="E47:H47"/>
    <mergeCell ref="A45:D45"/>
    <mergeCell ref="A90:B90"/>
    <mergeCell ref="A83:B83"/>
    <mergeCell ref="A86:B86"/>
    <mergeCell ref="A82:B82"/>
    <mergeCell ref="A121:E121"/>
    <mergeCell ref="C130:D130"/>
    <mergeCell ref="E130:F130"/>
    <mergeCell ref="G130:H130"/>
    <mergeCell ref="A122:H122"/>
    <mergeCell ref="G123:H123"/>
    <mergeCell ref="C49:H49"/>
    <mergeCell ref="B289:H289"/>
    <mergeCell ref="F110:H110"/>
    <mergeCell ref="A110:E110"/>
    <mergeCell ref="D134:D135"/>
    <mergeCell ref="A112:E112"/>
    <mergeCell ref="A137:B137"/>
    <mergeCell ref="A138:B138"/>
    <mergeCell ref="A139:B139"/>
    <mergeCell ref="A265:B265"/>
    <mergeCell ref="A125:B125"/>
    <mergeCell ref="A188:B188"/>
    <mergeCell ref="A119:E119"/>
    <mergeCell ref="C125:D125"/>
    <mergeCell ref="E125:F125"/>
    <mergeCell ref="D72:H72"/>
    <mergeCell ref="A71:C72"/>
    <mergeCell ref="D69:H70"/>
    <mergeCell ref="L137:M137"/>
    <mergeCell ref="L136:M136"/>
    <mergeCell ref="L135:M135"/>
    <mergeCell ref="L134:M134"/>
    <mergeCell ref="A91:B91"/>
    <mergeCell ref="C129:D129"/>
    <mergeCell ref="E129:F129"/>
    <mergeCell ref="G129:H129"/>
    <mergeCell ref="F115:H115"/>
    <mergeCell ref="A109:E109"/>
    <mergeCell ref="A136:H136"/>
    <mergeCell ref="E134:E135"/>
    <mergeCell ref="G134:H135"/>
    <mergeCell ref="F108:H108"/>
    <mergeCell ref="F113:H113"/>
    <mergeCell ref="C134:C135"/>
    <mergeCell ref="E123:F123"/>
    <mergeCell ref="A123:B123"/>
    <mergeCell ref="F116:H116"/>
    <mergeCell ref="C123:D123"/>
    <mergeCell ref="F119:H119"/>
    <mergeCell ref="F117:H117"/>
    <mergeCell ref="A132:H132"/>
    <mergeCell ref="F121:H121"/>
    <mergeCell ref="A118:E118"/>
    <mergeCell ref="C80:H80"/>
    <mergeCell ref="A88:B88"/>
    <mergeCell ref="A75:C75"/>
    <mergeCell ref="D75:H75"/>
    <mergeCell ref="C82:H82"/>
    <mergeCell ref="A85:B85"/>
    <mergeCell ref="A77:C77"/>
    <mergeCell ref="D77:H77"/>
    <mergeCell ref="A78:C78"/>
    <mergeCell ref="D78:H78"/>
    <mergeCell ref="A84:B84"/>
    <mergeCell ref="G83:H83"/>
    <mergeCell ref="F114:H114"/>
    <mergeCell ref="A115:E115"/>
    <mergeCell ref="A117:E117"/>
    <mergeCell ref="A116:E116"/>
    <mergeCell ref="A94:B94"/>
    <mergeCell ref="C94:H94"/>
    <mergeCell ref="A80:B80"/>
    <mergeCell ref="E98:F107"/>
    <mergeCell ref="G98:H107"/>
    <mergeCell ref="A99:B99"/>
    <mergeCell ref="A100:B100"/>
    <mergeCell ref="A68:C68"/>
    <mergeCell ref="D68:H68"/>
    <mergeCell ref="A87:B87"/>
    <mergeCell ref="E83:F83"/>
    <mergeCell ref="A76:C76"/>
    <mergeCell ref="D76:H76"/>
    <mergeCell ref="A38:H38"/>
    <mergeCell ref="A37:B37"/>
    <mergeCell ref="C37:E37"/>
    <mergeCell ref="A42:D42"/>
    <mergeCell ref="E42:H42"/>
    <mergeCell ref="A79:C79"/>
    <mergeCell ref="D79:H79"/>
    <mergeCell ref="C64:E64"/>
    <mergeCell ref="A52:B52"/>
    <mergeCell ref="G64:H64"/>
    <mergeCell ref="A64:B65"/>
    <mergeCell ref="C65:H65"/>
    <mergeCell ref="A58:B58"/>
    <mergeCell ref="C58:E58"/>
    <mergeCell ref="G58:H58"/>
    <mergeCell ref="A59:B59"/>
    <mergeCell ref="C59:E59"/>
    <mergeCell ref="G59:H59"/>
    <mergeCell ref="F34:H34"/>
    <mergeCell ref="F35:H35"/>
    <mergeCell ref="A41:H41"/>
    <mergeCell ref="A73:C73"/>
    <mergeCell ref="F37:H37"/>
    <mergeCell ref="A39:B39"/>
    <mergeCell ref="A46:D46"/>
    <mergeCell ref="A47:D47"/>
    <mergeCell ref="A48:H48"/>
    <mergeCell ref="G52:H52"/>
    <mergeCell ref="A53:B54"/>
    <mergeCell ref="C54:H54"/>
    <mergeCell ref="E43:H43"/>
    <mergeCell ref="A43:D43"/>
    <mergeCell ref="A66:H66"/>
    <mergeCell ref="A67:C67"/>
    <mergeCell ref="A51:B51"/>
    <mergeCell ref="C51:E51"/>
    <mergeCell ref="G51:H51"/>
    <mergeCell ref="G53:H53"/>
    <mergeCell ref="D67:H67"/>
    <mergeCell ref="C53:E53"/>
    <mergeCell ref="D71:H71"/>
    <mergeCell ref="C52:E52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E10:H10"/>
    <mergeCell ref="A11:D12"/>
    <mergeCell ref="E11:F11"/>
    <mergeCell ref="G11:H11"/>
    <mergeCell ref="E12:F12"/>
    <mergeCell ref="G12:H12"/>
    <mergeCell ref="A23:D24"/>
    <mergeCell ref="E23:H24"/>
    <mergeCell ref="A16:B16"/>
    <mergeCell ref="C16:H16"/>
    <mergeCell ref="C17:H17"/>
    <mergeCell ref="A18:B18"/>
    <mergeCell ref="C18:H18"/>
    <mergeCell ref="A17:B17"/>
    <mergeCell ref="A13:D13"/>
    <mergeCell ref="E13:H13"/>
    <mergeCell ref="A10:D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46:H146"/>
    <mergeCell ref="A152:B152"/>
    <mergeCell ref="A284:H284"/>
    <mergeCell ref="A273:B273"/>
    <mergeCell ref="A215:B215"/>
    <mergeCell ref="A221:B221"/>
    <mergeCell ref="A237:B237"/>
    <mergeCell ref="A245:B245"/>
    <mergeCell ref="C245:F245"/>
    <mergeCell ref="A162:B162"/>
    <mergeCell ref="A163:B163"/>
    <mergeCell ref="A169:B169"/>
    <mergeCell ref="A270:B270"/>
    <mergeCell ref="A264:B264"/>
    <mergeCell ref="A156:B156"/>
    <mergeCell ref="A148:B148"/>
    <mergeCell ref="A216:B216"/>
    <mergeCell ref="A217:B217"/>
    <mergeCell ref="A222:B222"/>
    <mergeCell ref="A223:B223"/>
    <mergeCell ref="A218:B218"/>
    <mergeCell ref="A219:B219"/>
    <mergeCell ref="A220:B220"/>
    <mergeCell ref="A229:B229"/>
    <mergeCell ref="A127:H127"/>
    <mergeCell ref="B142:B143"/>
    <mergeCell ref="C124:D124"/>
    <mergeCell ref="E124:F124"/>
    <mergeCell ref="B134:B135"/>
    <mergeCell ref="A134:A135"/>
    <mergeCell ref="C142:C143"/>
    <mergeCell ref="A141:H141"/>
    <mergeCell ref="A142:A143"/>
    <mergeCell ref="A133:H133"/>
    <mergeCell ref="A140:B140"/>
    <mergeCell ref="A129:B129"/>
    <mergeCell ref="A124:B124"/>
    <mergeCell ref="G126:H126"/>
    <mergeCell ref="C128:D128"/>
    <mergeCell ref="G128:H128"/>
    <mergeCell ref="A131:B131"/>
    <mergeCell ref="C131:D131"/>
    <mergeCell ref="E131:F131"/>
    <mergeCell ref="G131:H131"/>
    <mergeCell ref="A130:B130"/>
    <mergeCell ref="G125:H125"/>
    <mergeCell ref="A126:B126"/>
    <mergeCell ref="C126:D126"/>
    <mergeCell ref="A120:E120"/>
    <mergeCell ref="F111:H111"/>
    <mergeCell ref="F120:H120"/>
    <mergeCell ref="A113:E113"/>
    <mergeCell ref="F112:H112"/>
    <mergeCell ref="A111:E111"/>
    <mergeCell ref="A108:E108"/>
    <mergeCell ref="A114:E114"/>
    <mergeCell ref="A300:H300"/>
    <mergeCell ref="E128:F128"/>
    <mergeCell ref="B292:H292"/>
    <mergeCell ref="G139:H139"/>
    <mergeCell ref="G137:H137"/>
    <mergeCell ref="G138:H138"/>
    <mergeCell ref="G140:H140"/>
    <mergeCell ref="B290:H290"/>
    <mergeCell ref="A151:B151"/>
    <mergeCell ref="A153:B153"/>
    <mergeCell ref="A154:B154"/>
    <mergeCell ref="A155:B155"/>
    <mergeCell ref="B285:H285"/>
    <mergeCell ref="B286:H286"/>
    <mergeCell ref="B287:H287"/>
    <mergeCell ref="B288:H288"/>
    <mergeCell ref="A60:B61"/>
    <mergeCell ref="C60:E60"/>
    <mergeCell ref="G60:H60"/>
    <mergeCell ref="C61:H61"/>
    <mergeCell ref="A69:C70"/>
    <mergeCell ref="L145:M145"/>
    <mergeCell ref="A149:B149"/>
    <mergeCell ref="L146:M146"/>
    <mergeCell ref="A150:B150"/>
    <mergeCell ref="L147:M147"/>
    <mergeCell ref="L148:M148"/>
    <mergeCell ref="A128:B128"/>
    <mergeCell ref="D142:D143"/>
    <mergeCell ref="E142:E143"/>
    <mergeCell ref="G142:H143"/>
    <mergeCell ref="A89:B89"/>
    <mergeCell ref="F109:H109"/>
    <mergeCell ref="G124:H124"/>
    <mergeCell ref="F118:H118"/>
    <mergeCell ref="A96:B96"/>
    <mergeCell ref="C96:H96"/>
    <mergeCell ref="A97:B97"/>
    <mergeCell ref="E97:F97"/>
    <mergeCell ref="G97:H97"/>
    <mergeCell ref="L153:M153"/>
    <mergeCell ref="A157:B157"/>
    <mergeCell ref="L154:M154"/>
    <mergeCell ref="A158:B158"/>
    <mergeCell ref="L155:M155"/>
    <mergeCell ref="A159:B159"/>
    <mergeCell ref="L156:M156"/>
    <mergeCell ref="L157:M157"/>
    <mergeCell ref="A161:B161"/>
    <mergeCell ref="L158:M158"/>
    <mergeCell ref="L159:M159"/>
    <mergeCell ref="L160:M160"/>
    <mergeCell ref="L161:M161"/>
    <mergeCell ref="A165:B165"/>
    <mergeCell ref="L162:M162"/>
    <mergeCell ref="A166:B166"/>
    <mergeCell ref="L163:M163"/>
    <mergeCell ref="A167:B167"/>
    <mergeCell ref="L164:M164"/>
    <mergeCell ref="L165:M165"/>
    <mergeCell ref="L166:M166"/>
    <mergeCell ref="A170:B170"/>
    <mergeCell ref="L167:M167"/>
    <mergeCell ref="A186:B186"/>
    <mergeCell ref="L183:M183"/>
    <mergeCell ref="A187:B187"/>
    <mergeCell ref="L184:M184"/>
    <mergeCell ref="L185:M185"/>
    <mergeCell ref="A171:B171"/>
    <mergeCell ref="L168:M168"/>
    <mergeCell ref="L169:M169"/>
    <mergeCell ref="A173:B173"/>
    <mergeCell ref="L170:M170"/>
    <mergeCell ref="A174:B174"/>
    <mergeCell ref="L171:M171"/>
    <mergeCell ref="A175:B175"/>
    <mergeCell ref="L172:M172"/>
    <mergeCell ref="L173:M173"/>
    <mergeCell ref="L175:M175"/>
    <mergeCell ref="A179:B179"/>
    <mergeCell ref="L176:M176"/>
    <mergeCell ref="A180:B180"/>
    <mergeCell ref="L177:M177"/>
    <mergeCell ref="A181:B181"/>
    <mergeCell ref="L178:M178"/>
    <mergeCell ref="A182:B182"/>
    <mergeCell ref="L179:M179"/>
    <mergeCell ref="L180:M180"/>
    <mergeCell ref="L181:M181"/>
    <mergeCell ref="L182:M182"/>
    <mergeCell ref="L186:M186"/>
    <mergeCell ref="A190:B190"/>
    <mergeCell ref="L187:M187"/>
    <mergeCell ref="L198:M198"/>
    <mergeCell ref="A208:H208"/>
    <mergeCell ref="A209:B209"/>
    <mergeCell ref="L205:M205"/>
    <mergeCell ref="A177:H177"/>
    <mergeCell ref="A178:B178"/>
    <mergeCell ref="A183:B183"/>
    <mergeCell ref="A185:B185"/>
    <mergeCell ref="A191:B191"/>
    <mergeCell ref="L188:M188"/>
    <mergeCell ref="A192:B192"/>
    <mergeCell ref="L189:M189"/>
    <mergeCell ref="L190:M190"/>
    <mergeCell ref="A194:B194"/>
    <mergeCell ref="L191:M191"/>
    <mergeCell ref="A195:B195"/>
    <mergeCell ref="L192:M192"/>
    <mergeCell ref="L193:M193"/>
    <mergeCell ref="A193:B193"/>
    <mergeCell ref="L194:M194"/>
    <mergeCell ref="A189:B189"/>
    <mergeCell ref="A204:B204"/>
    <mergeCell ref="L201:M201"/>
    <mergeCell ref="A305:H305"/>
    <mergeCell ref="A302:H302"/>
    <mergeCell ref="B295:H295"/>
    <mergeCell ref="A198:B198"/>
    <mergeCell ref="L195:M195"/>
    <mergeCell ref="A199:B199"/>
    <mergeCell ref="L196:M196"/>
    <mergeCell ref="A200:B200"/>
    <mergeCell ref="L197:M197"/>
    <mergeCell ref="A196:B196"/>
    <mergeCell ref="A197:B197"/>
    <mergeCell ref="A303:H303"/>
    <mergeCell ref="A246:H246"/>
    <mergeCell ref="L211:M211"/>
    <mergeCell ref="L212:M212"/>
    <mergeCell ref="L213:M213"/>
    <mergeCell ref="L217:M217"/>
    <mergeCell ref="L218:M218"/>
    <mergeCell ref="L219:M219"/>
    <mergeCell ref="L215:M215"/>
    <mergeCell ref="L216:M216"/>
    <mergeCell ref="L224:M224"/>
    <mergeCell ref="B298:H298"/>
    <mergeCell ref="A62:B63"/>
    <mergeCell ref="C62:E62"/>
    <mergeCell ref="G62:H62"/>
    <mergeCell ref="C63:H63"/>
    <mergeCell ref="A434:B434"/>
    <mergeCell ref="A202:B202"/>
    <mergeCell ref="L199:M199"/>
    <mergeCell ref="A203:B203"/>
    <mergeCell ref="L200:M200"/>
    <mergeCell ref="A210:B210"/>
    <mergeCell ref="L206:M206"/>
    <mergeCell ref="A211:B211"/>
    <mergeCell ref="L207:M207"/>
    <mergeCell ref="A212:B212"/>
    <mergeCell ref="L208:M208"/>
    <mergeCell ref="A301:H301"/>
    <mergeCell ref="A308:H311"/>
    <mergeCell ref="A307:B307"/>
    <mergeCell ref="E307:F307"/>
    <mergeCell ref="G307:H307"/>
    <mergeCell ref="A306:H306"/>
    <mergeCell ref="A304:H304"/>
    <mergeCell ref="C307:D307"/>
  </mergeCells>
  <hyperlinks>
    <hyperlink ref="C40" r:id="rId1"/>
    <hyperlink ref="I74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9" scale="97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3" manualBreakCount="3">
    <brk id="311" max="7" man="1"/>
    <brk id="352" max="7" man="1"/>
    <brk id="390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17" t="s">
        <v>106</v>
      </c>
      <c r="C3" s="217"/>
      <c r="D3" s="217"/>
      <c r="E3" s="217"/>
      <c r="F3" s="217"/>
      <c r="G3" s="217"/>
      <c r="H3" s="217"/>
    </row>
    <row r="4" spans="1:9" x14ac:dyDescent="0.35">
      <c r="A4" s="3"/>
      <c r="B4" s="4" t="s">
        <v>107</v>
      </c>
      <c r="C4" s="4" t="s">
        <v>108</v>
      </c>
      <c r="D4" s="4" t="s">
        <v>69</v>
      </c>
      <c r="E4" s="4" t="s">
        <v>109</v>
      </c>
      <c r="F4" s="4" t="s">
        <v>115</v>
      </c>
      <c r="G4" s="4" t="s">
        <v>116</v>
      </c>
      <c r="H4" s="4" t="s">
        <v>110</v>
      </c>
    </row>
    <row r="5" spans="1:9" ht="15" customHeight="1" x14ac:dyDescent="0.35">
      <c r="A5" s="3"/>
      <c r="B5" s="6" t="s">
        <v>111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111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111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111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111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112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112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113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114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2025-09-11T11:33:35Z</cp:lastPrinted>
  <dcterms:created xsi:type="dcterms:W3CDTF">2019-07-16T09:29:46Z</dcterms:created>
  <dcterms:modified xsi:type="dcterms:W3CDTF">2025-09-11T11:34:28Z</dcterms:modified>
</cp:coreProperties>
</file>