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Sept 2025\11-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4" i="1" l="1"/>
  <c r="K185" i="1" l="1"/>
  <c r="K170" i="1"/>
  <c r="K174" i="1"/>
  <c r="K175" i="1"/>
  <c r="K180" i="1"/>
  <c r="J165" i="1"/>
  <c r="K165" i="1" s="1"/>
  <c r="L165" i="1" s="1"/>
  <c r="J164" i="1"/>
  <c r="K164" i="1" s="1"/>
  <c r="L164" i="1" s="1"/>
  <c r="J133" i="1"/>
  <c r="J132" i="1"/>
  <c r="G194" i="1"/>
  <c r="G191" i="1"/>
  <c r="G179" i="1"/>
  <c r="G189" i="1"/>
  <c r="G186" i="1"/>
  <c r="D191" i="1" l="1"/>
  <c r="D186" i="1"/>
  <c r="D181" i="1"/>
  <c r="G176" i="1"/>
  <c r="D176" i="1"/>
  <c r="D173" i="1"/>
  <c r="D172" i="1"/>
  <c r="D171" i="1"/>
  <c r="D169" i="1"/>
  <c r="D168" i="1"/>
  <c r="D167" i="1"/>
  <c r="D165" i="1"/>
  <c r="D164" i="1"/>
  <c r="D163" i="1"/>
  <c r="D160" i="1"/>
  <c r="D159" i="1"/>
  <c r="K160" i="1"/>
  <c r="D144" i="1"/>
  <c r="E153" i="1" l="1"/>
  <c r="D153" i="1"/>
  <c r="E152" i="1"/>
  <c r="D152" i="1"/>
  <c r="E151" i="1"/>
  <c r="D151" i="1"/>
  <c r="E150" i="1"/>
  <c r="D150" i="1"/>
  <c r="C128" i="1" s="1"/>
  <c r="E147" i="1"/>
  <c r="D147" i="1"/>
  <c r="E146" i="1"/>
  <c r="D146" i="1"/>
  <c r="E145" i="1"/>
  <c r="D145" i="1"/>
  <c r="E144" i="1"/>
  <c r="E143" i="1"/>
  <c r="D143" i="1"/>
  <c r="E142" i="1"/>
  <c r="D142" i="1"/>
  <c r="E194" i="1"/>
  <c r="D194" i="1"/>
  <c r="E193" i="1"/>
  <c r="D193" i="1"/>
  <c r="E191" i="1"/>
  <c r="E189" i="1"/>
  <c r="D189" i="1"/>
  <c r="E188" i="1"/>
  <c r="D188" i="1"/>
  <c r="E187" i="1"/>
  <c r="D187" i="1"/>
  <c r="E186" i="1"/>
  <c r="E184" i="1"/>
  <c r="D184" i="1"/>
  <c r="E183" i="1"/>
  <c r="D183" i="1"/>
  <c r="E182" i="1"/>
  <c r="D182" i="1"/>
  <c r="E181" i="1"/>
  <c r="E179" i="1"/>
  <c r="D179" i="1"/>
  <c r="E178" i="1"/>
  <c r="D178" i="1"/>
  <c r="E177" i="1"/>
  <c r="D177" i="1"/>
  <c r="E176" i="1"/>
  <c r="E173" i="1"/>
  <c r="E172" i="1"/>
  <c r="E171" i="1"/>
  <c r="E169" i="1"/>
  <c r="E168" i="1"/>
  <c r="E167" i="1"/>
  <c r="E165" i="1"/>
  <c r="E164" i="1"/>
  <c r="E163" i="1"/>
  <c r="E161" i="1"/>
  <c r="D161" i="1"/>
  <c r="C132" i="1" s="1"/>
  <c r="E160" i="1"/>
  <c r="E159" i="1"/>
  <c r="I158" i="1"/>
  <c r="A171" i="1"/>
  <c r="A172" i="1" s="1"/>
  <c r="A173" i="1" s="1"/>
  <c r="A191" i="1"/>
  <c r="A194" i="1" s="1"/>
  <c r="A176" i="1"/>
  <c r="A177" i="1" s="1"/>
  <c r="A178" i="1" s="1"/>
  <c r="A179" i="1" s="1"/>
  <c r="F153" i="1"/>
  <c r="H153" i="1" s="1"/>
  <c r="A151" i="1"/>
  <c r="A152" i="1" s="1"/>
  <c r="A153" i="1" s="1"/>
  <c r="C51" i="1"/>
  <c r="E43" i="1"/>
  <c r="C16" i="1"/>
  <c r="A187" i="1"/>
  <c r="A181" i="1"/>
  <c r="C133" i="1" l="1"/>
  <c r="C134" i="1" s="1"/>
  <c r="F151" i="1"/>
  <c r="H151" i="1" s="1"/>
  <c r="C127" i="1"/>
  <c r="C129" i="1" s="1"/>
  <c r="F146" i="1"/>
  <c r="H146" i="1" s="1"/>
  <c r="F184" i="1"/>
  <c r="H184" i="1" s="1"/>
  <c r="F172" i="1"/>
  <c r="H172" i="1" s="1"/>
  <c r="K172" i="1" s="1"/>
  <c r="F173" i="1"/>
  <c r="H173" i="1" s="1"/>
  <c r="K173" i="1" s="1"/>
  <c r="F176" i="1"/>
  <c r="H176" i="1" s="1"/>
  <c r="F177" i="1"/>
  <c r="H177" i="1" s="1"/>
  <c r="F178" i="1"/>
  <c r="H178" i="1" s="1"/>
  <c r="F179" i="1"/>
  <c r="H179" i="1" s="1"/>
  <c r="F188" i="1"/>
  <c r="H188" i="1" s="1"/>
  <c r="F193" i="1"/>
  <c r="H193" i="1" s="1"/>
  <c r="F194" i="1"/>
  <c r="H194" i="1" s="1"/>
  <c r="F147" i="1"/>
  <c r="H147" i="1" s="1"/>
  <c r="F150" i="1"/>
  <c r="F152" i="1"/>
  <c r="H152" i="1" s="1"/>
  <c r="F189" i="1"/>
  <c r="H189" i="1" s="1"/>
  <c r="F171" i="1"/>
  <c r="H171" i="1" s="1"/>
  <c r="K171" i="1" s="1"/>
  <c r="F167" i="1"/>
  <c r="H167" i="1" s="1"/>
  <c r="K167" i="1" s="1"/>
  <c r="F191" i="1"/>
  <c r="H191" i="1" s="1"/>
  <c r="F169" i="1"/>
  <c r="H169" i="1" s="1"/>
  <c r="K169" i="1" s="1"/>
  <c r="F168" i="1"/>
  <c r="H168" i="1" s="1"/>
  <c r="K168" i="1" s="1"/>
  <c r="F181" i="1"/>
  <c r="H181" i="1" s="1"/>
  <c r="K181" i="1" s="1"/>
  <c r="F182" i="1"/>
  <c r="H182" i="1" s="1"/>
  <c r="K182" i="1" s="1"/>
  <c r="F183" i="1"/>
  <c r="H183" i="1" s="1"/>
  <c r="K183" i="1" s="1"/>
  <c r="F186" i="1"/>
  <c r="H186" i="1" s="1"/>
  <c r="K186" i="1" s="1"/>
  <c r="F187" i="1"/>
  <c r="H187" i="1" s="1"/>
  <c r="E8" i="1"/>
  <c r="A168" i="1"/>
  <c r="A188" i="1"/>
  <c r="A182" i="1"/>
  <c r="J176" i="1" l="1"/>
  <c r="K176" i="1"/>
  <c r="K184" i="1"/>
  <c r="J184" i="1"/>
  <c r="K179" i="1"/>
  <c r="J179" i="1"/>
  <c r="K178" i="1"/>
  <c r="J178" i="1"/>
  <c r="K177" i="1"/>
  <c r="J177" i="1"/>
  <c r="G133" i="1"/>
  <c r="H150" i="1"/>
  <c r="G128" i="1" s="1"/>
  <c r="E128" i="1"/>
  <c r="E133" i="1"/>
  <c r="B197" i="1"/>
  <c r="A169" i="1"/>
  <c r="A183" i="1"/>
  <c r="F143" i="1" l="1"/>
  <c r="H143" i="1" s="1"/>
  <c r="F144" i="1"/>
  <c r="H144" i="1" s="1"/>
  <c r="F145" i="1"/>
  <c r="H145" i="1" s="1"/>
  <c r="F142" i="1"/>
  <c r="A184" i="1"/>
  <c r="H142" i="1" l="1"/>
  <c r="G127" i="1" s="1"/>
  <c r="G129" i="1" s="1"/>
  <c r="E127" i="1"/>
  <c r="E129" i="1" s="1"/>
  <c r="C54" i="1"/>
  <c r="S33" i="1" l="1"/>
  <c r="F11" i="5" l="1"/>
  <c r="G11" i="5" s="1"/>
  <c r="F10" i="5"/>
  <c r="G10" i="5" s="1"/>
  <c r="F9" i="5"/>
  <c r="G9" i="5" s="1"/>
  <c r="F8" i="5"/>
  <c r="G8" i="5" s="1"/>
  <c r="F7" i="5"/>
  <c r="G7" i="5" s="1"/>
  <c r="F6" i="5"/>
  <c r="G6" i="5" s="1"/>
  <c r="F5" i="5"/>
  <c r="G5" i="5" s="1"/>
  <c r="G12" i="5" s="1"/>
  <c r="D219" i="1"/>
  <c r="B198" i="1"/>
  <c r="F165" i="1"/>
  <c r="H165" i="1" s="1"/>
  <c r="F164" i="1"/>
  <c r="H164" i="1" s="1"/>
  <c r="F163" i="1"/>
  <c r="H163" i="1" s="1"/>
  <c r="F161" i="1"/>
  <c r="H161" i="1" s="1"/>
  <c r="F160" i="1"/>
  <c r="H160" i="1" s="1"/>
  <c r="J160" i="1" s="1"/>
  <c r="F159" i="1"/>
  <c r="A159" i="1"/>
  <c r="A160" i="1" s="1"/>
  <c r="A161" i="1" s="1"/>
  <c r="A143" i="1"/>
  <c r="A144" i="1" s="1"/>
  <c r="A145" i="1" s="1"/>
  <c r="A146" i="1" s="1"/>
  <c r="A147" i="1" s="1"/>
  <c r="C135" i="1"/>
  <c r="F124" i="1"/>
  <c r="C98" i="1"/>
  <c r="C84" i="1"/>
  <c r="C70" i="1"/>
  <c r="D58" i="1"/>
  <c r="E44" i="1"/>
  <c r="E45" i="1" s="1"/>
  <c r="E31" i="1"/>
  <c r="E28" i="1"/>
  <c r="E26" i="1"/>
  <c r="I15" i="1"/>
  <c r="Z13" i="1"/>
  <c r="E3" i="1"/>
  <c r="H99" i="1"/>
  <c r="A163" i="1"/>
  <c r="H71" i="1"/>
  <c r="H85" i="1"/>
  <c r="H159" i="1" l="1"/>
  <c r="G132" i="1" s="1"/>
  <c r="E132" i="1"/>
  <c r="J70" i="1"/>
  <c r="J72" i="1" s="1"/>
  <c r="J73" i="1"/>
  <c r="J74" i="1"/>
  <c r="J75" i="1"/>
  <c r="C74" i="1" s="1"/>
  <c r="J89" i="1"/>
  <c r="D93" i="1"/>
  <c r="D95" i="1"/>
  <c r="J88" i="1"/>
  <c r="D94" i="1"/>
  <c r="J84" i="1"/>
  <c r="J86" i="1" s="1"/>
  <c r="D92" i="1"/>
  <c r="J87" i="1"/>
  <c r="D91" i="1"/>
  <c r="D97" i="1"/>
  <c r="D96" i="1"/>
  <c r="D90" i="1"/>
  <c r="D78" i="1"/>
  <c r="D80" i="1"/>
  <c r="D79" i="1"/>
  <c r="D83" i="1"/>
  <c r="D77" i="1"/>
  <c r="D82" i="1"/>
  <c r="D76" i="1"/>
  <c r="D81" i="1"/>
  <c r="C104" i="1"/>
  <c r="J98" i="1" s="1"/>
  <c r="J100" i="1" s="1"/>
  <c r="D107" i="1"/>
  <c r="D109" i="1"/>
  <c r="J103" i="1"/>
  <c r="C102" i="1" s="1"/>
  <c r="D102" i="1" s="1"/>
  <c r="D108" i="1"/>
  <c r="J102" i="1"/>
  <c r="D106" i="1"/>
  <c r="J101" i="1"/>
  <c r="D105" i="1"/>
  <c r="D111" i="1"/>
  <c r="D110" i="1"/>
  <c r="B99" i="1"/>
  <c r="B85" i="1"/>
  <c r="B71" i="1"/>
  <c r="J76" i="1" s="1"/>
  <c r="A164" i="1"/>
  <c r="E134" i="1" l="1"/>
  <c r="E135" i="1" s="1"/>
  <c r="G134" i="1"/>
  <c r="G135" i="1" s="1"/>
  <c r="C88" i="1"/>
  <c r="D88" i="1" s="1"/>
  <c r="D74" i="1"/>
  <c r="D104" i="1"/>
  <c r="J109" i="1"/>
  <c r="J106" i="1"/>
  <c r="J108" i="1"/>
  <c r="J107" i="1"/>
  <c r="J104" i="1"/>
  <c r="J105" i="1" s="1"/>
  <c r="J110" i="1" s="1"/>
  <c r="J111" i="1" s="1"/>
  <c r="C103" i="1" s="1"/>
  <c r="E102" i="1" s="1"/>
  <c r="J95" i="1"/>
  <c r="J92" i="1"/>
  <c r="J94" i="1"/>
  <c r="J93" i="1"/>
  <c r="J90" i="1"/>
  <c r="J91" i="1" s="1"/>
  <c r="J80" i="1"/>
  <c r="J78" i="1"/>
  <c r="J79" i="1"/>
  <c r="J77" i="1"/>
  <c r="J82" i="1" s="1"/>
  <c r="J83" i="1" s="1"/>
  <c r="C75" i="1" s="1"/>
  <c r="J81" i="1"/>
  <c r="A165" i="1"/>
  <c r="J71" i="1" l="1"/>
  <c r="J96" i="1"/>
  <c r="J97" i="1" s="1"/>
  <c r="D103" i="1"/>
  <c r="I99" i="1" s="1"/>
  <c r="J99" i="1"/>
  <c r="G102" i="1"/>
  <c r="E74" i="1"/>
  <c r="D75" i="1"/>
  <c r="I71" i="1" s="1"/>
  <c r="G74" i="1"/>
  <c r="D68" i="1" s="1"/>
  <c r="C89" i="1" l="1"/>
  <c r="F69" i="1"/>
  <c r="D69" i="1"/>
  <c r="I100" i="1"/>
  <c r="I98" i="1" s="1"/>
  <c r="C100" i="1" s="1"/>
  <c r="I72" i="1"/>
  <c r="I70" i="1" s="1"/>
  <c r="C72" i="1" s="1"/>
  <c r="D89" i="1" l="1"/>
  <c r="I85" i="1" s="1"/>
  <c r="I86" i="1" s="1"/>
  <c r="E88" i="1"/>
  <c r="G88" i="1"/>
  <c r="J85" i="1"/>
  <c r="I84" i="1" l="1"/>
  <c r="C86"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E47" authorId="0" shapeId="0">
      <text>
        <r>
          <rPr>
            <b/>
            <sz val="9"/>
            <color indexed="81"/>
            <rFont val="Tahoma"/>
            <family val="2"/>
          </rPr>
          <t>Sachin:</t>
        </r>
        <r>
          <rPr>
            <sz val="9"/>
            <color indexed="81"/>
            <rFont val="Tahoma"/>
            <family val="2"/>
          </rPr>
          <t xml:space="preserve">
Building No. 
Tower No.
Wing 
Bunglow No., etc</t>
        </r>
      </text>
    </comment>
    <comment ref="C55" authorId="1" shapeId="0">
      <text>
        <r>
          <rPr>
            <b/>
            <sz val="9"/>
            <color indexed="81"/>
            <rFont val="Tahoma"/>
            <family val="2"/>
          </rPr>
          <t>SACHIN:</t>
        </r>
        <r>
          <rPr>
            <sz val="9"/>
            <color indexed="81"/>
            <rFont val="Tahoma"/>
            <family val="2"/>
          </rPr>
          <t xml:space="preserve">
Floor with height</t>
        </r>
      </text>
    </comment>
    <comment ref="D58"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1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6"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<sst xmlns="http://schemas.openxmlformats.org/spreadsheetml/2006/main" count="641" uniqueCount="350">
  <si>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</si>
  <si>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</si>
  <si>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</si>
  <si>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</si>
  <si>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</si>
  <si>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</si>
  <si>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</si>
  <si>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</si>
  <si>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</si>
  <si>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</si>
  <si>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</si>
  <si>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</si>
  <si>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</si>
  <si>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</si>
  <si>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</si>
  <si>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</si>
  <si>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</si>
  <si>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</si>
  <si>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</si>
  <si>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</si>
  <si>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</si>
  <si>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</si>
  <si>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</si>
  <si>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</si>
  <si>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</si>
  <si>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</si>
  <si>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</si>
  <si>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</si>
  <si>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</si>
  <si>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</si>
  <si>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</si>
  <si>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</si>
  <si>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</si>
  <si>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</si>
  <si>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</si>
  <si>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</si>
  <si>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</si>
  <si>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</si>
  <si>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</si>
  <si>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</si>
  <si>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</si>
  <si>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</si>
  <si>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</si>
  <si>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</si>
  <si>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</si>
  <si>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</si>
  <si>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</si>
  <si>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</si>
  <si>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</si>
  <si>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</si>
  <si>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</si>
  <si>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</si>
  <si>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</si>
  <si>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</si>
  <si>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</si>
  <si>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</si>
  <si>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</si>
  <si>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</si>
  <si>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</si>
  <si>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</si>
  <si>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</si>
  <si>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</si>
  <si>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</si>
  <si>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</si>
  <si>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</si>
  <si>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</si>
  <si>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</si>
  <si>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</si>
  <si>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</si>
  <si>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</si>
  <si>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</si>
  <si>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</si>
  <si>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</si>
  <si>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</si>
  <si>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</si>
  <si>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</si>
  <si>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</si>
  <si>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</si>
  <si>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</si>
  <si>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</si>
  <si>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</si>
  <si>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</si>
  <si>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</si>
  <si>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</si>
  <si>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</si>
  <si>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</si>
  <si>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</si>
  <si>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</si>
  <si>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</si>
  <si>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</si>
  <si>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</si>
  <si>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</si>
  <si>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</si>
  <si>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</si>
  <si>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</si>
  <si>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</si>
  <si>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</si>
  <si>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</si>
  <si>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</si>
  <si>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</si>
  <si>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</si>
  <si>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</si>
  <si>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</si>
  <si>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</si>
  <si>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</si>
  <si>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</si>
  <si>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</si>
  <si>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</si>
  <si>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</si>
  <si>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</si>
  <si>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</si>
  <si>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</si>
  <si>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</si>
  <si>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</si>
  <si>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</si>
  <si>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</si>
  <si>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</si>
  <si>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</si>
  <si>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</si>
  <si>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</si>
  <si>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</si>
  <si>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</si>
  <si>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</si>
  <si>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</si>
  <si>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</si>
  <si>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</si>
  <si>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</si>
  <si>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</si>
  <si>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</si>
  <si>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</si>
  <si>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</si>
  <si>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</si>
  <si>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</si>
  <si>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</si>
  <si>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</si>
  <si>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</si>
  <si>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</si>
  <si>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</si>
  <si>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</si>
  <si>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</si>
  <si>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</si>
  <si>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</si>
  <si>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</si>
  <si>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</si>
  <si>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</si>
  <si>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</si>
  <si>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</si>
  <si>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</si>
  <si>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</si>
  <si>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</si>
  <si>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</si>
  <si>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</si>
  <si>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</si>
  <si>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</si>
  <si>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</si>
  <si>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</si>
  <si>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</si>
  <si>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</si>
  <si>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</si>
  <si>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</si>
  <si>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</si>
  <si>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</si>
  <si>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</si>
  <si>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</si>
  <si>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</si>
  <si>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</si>
  <si>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</si>
  <si>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</si>
  <si>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</si>
  <si>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</si>
  <si>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</si>
  <si>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</si>
  <si>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</si>
  <si>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</si>
  <si>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</si>
  <si>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</si>
  <si>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</si>
  <si>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</si>
  <si>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</si>
  <si>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</si>
  <si>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</si>
  <si>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</si>
  <si>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</si>
  <si>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</si>
  <si>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</si>
  <si>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</si>
  <si>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</si>
  <si>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</si>
  <si>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</si>
  <si>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</si>
  <si>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</si>
  <si>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</si>
  <si>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</si>
  <si>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</si>
  <si>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</si>
  <si>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</si>
  <si>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</si>
  <si>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</si>
  <si>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</si>
  <si>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</si>
  <si>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</si>
  <si>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</si>
  <si>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</si>
  <si>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</si>
  <si>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</si>
  <si>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</si>
  <si>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</si>
  <si>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</si>
  <si>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</si>
  <si>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</si>
  <si>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</si>
  <si>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</si>
  <si>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</si>
  <si>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</si>
  <si>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</si>
  <si>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</si>
  <si>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</si>
  <si>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</si>
  <si>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</si>
  <si>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</si>
  <si>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</si>
  <si>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</si>
  <si>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</si>
  <si>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</si>
  <si>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</si>
  <si>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</si>
  <si>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</si>
  <si>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</si>
  <si>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</si>
  <si>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</si>
  <si>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</si>
  <si>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</si>
  <si>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</si>
  <si>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</si>
  <si>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</si>
  <si>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</si>
  <si>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</si>
  <si>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</si>
  <si>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</si>
  <si>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</si>
  <si>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</si>
  <si>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</si>
  <si>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</si>
  <si>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</si>
  <si>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</si>
  <si>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</si>
  <si>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</si>
  <si>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</si>
  <si>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</si>
  <si>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</si>
  <si>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</si>
  <si>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</si>
  <si>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</si>
  <si>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</si>
  <si>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</si>
  <si>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</si>
  <si>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</si>
  <si>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</si>
  <si>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</si>
  <si>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</si>
  <si>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</si>
  <si>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</si>
  <si>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</si>
  <si>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</si>
  <si>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</si>
  <si>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</si>
  <si>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</si>
  <si>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</si>
  <si>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</si>
  <si>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</si>
  <si>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</si>
  <si>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</si>
  <si>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</si>
  <si>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</si>
  <si>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</si>
  <si>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</si>
  <si>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</si>
  <si>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</si>
  <si>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</si>
  <si>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</si>
  <si>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</si>
  <si>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</si>
  <si>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</si>
  <si>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</si>
  <si>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</si>
  <si>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</si>
  <si>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</si>
  <si>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</si>
  <si>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</si>
  <si>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</si>
  <si>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</si>
  <si>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</si>
  <si>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</si>
  <si>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</si>
  <si>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</si>
  <si>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</si>
  <si>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</si>
  <si>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</si>
  <si>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 xml:space="preserve">Shree Sai Builders
</t>
  </si>
  <si>
    <t>Wing A &amp; B</t>
  </si>
  <si>
    <t>P51700048200</t>
  </si>
  <si>
    <t>Survey No</t>
  </si>
  <si>
    <t xml:space="preserve">Dhanashree 9067799260
</t>
  </si>
  <si>
    <t>Kulswamini</t>
  </si>
  <si>
    <t>Shirgaon</t>
  </si>
  <si>
    <t>Internal Road</t>
  </si>
  <si>
    <t>2.7 KM from Badlapur Railway Station</t>
  </si>
  <si>
    <t>Badlapur West</t>
  </si>
  <si>
    <t>Mahalakshmi Villa</t>
  </si>
  <si>
    <t xml:space="preserve">45, Hissa No. 4/A/1 Plot No.1, Hissa No.5/A/1 Plot No.1, Hissa No.5/A/2 Plot No.1 </t>
  </si>
  <si>
    <t>Open Plot</t>
  </si>
  <si>
    <t>Bunglow</t>
  </si>
  <si>
    <t>https://maps.app.goo.gl/HQeTWRMKBHiSpdta7</t>
  </si>
  <si>
    <t>19.1545709,73.2319415</t>
  </si>
  <si>
    <t>2 Wings</t>
  </si>
  <si>
    <t>KBNP/NRV/BP/5778-53</t>
  </si>
  <si>
    <t>KBNP/NRV/BP/5778/2022-2023/Unique No.53</t>
  </si>
  <si>
    <t>B Wing = G + 1st to 7th Floor</t>
  </si>
  <si>
    <t xml:space="preserve">As per RERA - 31/12/2026 </t>
  </si>
  <si>
    <t xml:space="preserve">Wing A </t>
  </si>
  <si>
    <t>Shop</t>
  </si>
  <si>
    <t>Wing B</t>
  </si>
  <si>
    <t>2BHK</t>
  </si>
  <si>
    <t>1BHK</t>
  </si>
  <si>
    <t>Wing A</t>
  </si>
  <si>
    <t>301 &amp; 501</t>
  </si>
  <si>
    <t>304 &amp; 504</t>
  </si>
  <si>
    <t>1st Floor For Residential</t>
  </si>
  <si>
    <t>7th Floor For Residential, Society Office &amp; Drivers Room</t>
  </si>
  <si>
    <t>Society Office/Drivers Room</t>
  </si>
  <si>
    <t>Flats -48, Shops -10</t>
  </si>
  <si>
    <t>Ground Floor For Commercials, Parking &amp; Lobby</t>
  </si>
  <si>
    <t xml:space="preserve"> This Name Is Taken From Google Map </t>
  </si>
  <si>
    <t>Approved Plans, CC, Cost Sheet.</t>
  </si>
  <si>
    <t>Other Plot</t>
  </si>
  <si>
    <t>12M Wide DP Road</t>
  </si>
  <si>
    <t>Wing A &amp; B = Gr/St + 1st to 7th Floor</t>
  </si>
  <si>
    <t xml:space="preserve">Wing A &amp; B = Gr/St + 1st to 7th Floor
</t>
  </si>
  <si>
    <r>
      <t xml:space="preserve">Proposed Amenities :                                                                                                                                                                                                                         </t>
    </r>
    <r>
      <rPr>
        <b/>
        <sz val="12"/>
        <color theme="1"/>
        <rFont val="Times New Roman"/>
        <family val="1"/>
      </rPr>
      <t xml:space="preserve">                                               </t>
    </r>
  </si>
  <si>
    <t>-</t>
  </si>
  <si>
    <t>We considered Gross carpet area = Net carpet + A.C.P Area.</t>
  </si>
  <si>
    <t>4300 to 4800</t>
  </si>
  <si>
    <t>Other Charges</t>
  </si>
  <si>
    <t>2nd, 4th, 6th Floor</t>
  </si>
  <si>
    <t>3rd &amp; 5th Floor</t>
  </si>
  <si>
    <t>7th Floor</t>
  </si>
  <si>
    <t>Sudhir Bhosale</t>
  </si>
  <si>
    <t>Completed</t>
  </si>
  <si>
    <t>All work completed. Please provide OC. 
Few Tenants have occupied flats in building.</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</si>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</sst>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25">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4" fillId="0" borderId="1" xfId="1" applyFont="1" applyBorder="1" applyAlignment="1" applyProtection="1">
      <alignment horizontal="center" vertical="top"/>
      <protection locked="0"/>
    </xf>
    <xf numFmtId="0" fontId="17" fillId="0" borderId="8" xfId="0" applyFont="1" applyBorder="1" applyProtection="1">
      <protection hidden="1"/>
    </xf>
    <xf numFmtId="0" fontId="11" fillId="0" borderId="3" xfId="1" applyFont="1" applyBorder="1" applyAlignment="1" applyProtection="1">
      <alignment horizontal="center" vertical="top"/>
      <protection locked="0"/>
    </xf>
    <xf numFmtId="0" fontId="11" fillId="0" borderId="4"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3" fillId="0" borderId="0" xfId="1" applyFont="1"/>
    <xf numFmtId="0" fontId="6" fillId="0" borderId="7" xfId="1" applyFont="1" applyBorder="1"/>
    <xf numFmtId="0" fontId="17" fillId="0" borderId="7" xfId="0" applyFont="1" applyBorder="1" applyProtection="1">
      <protection hidden="1"/>
    </xf>
    <xf numFmtId="1" fontId="0" fillId="0" borderId="7" xfId="0" applyNumberFormat="1" applyBorder="1"/>
    <xf numFmtId="1" fontId="0" fillId="0" borderId="7" xfId="0" applyNumberFormat="1" applyBorder="1" applyAlignment="1">
      <alignment horizontal="right"/>
    </xf>
    <xf numFmtId="1" fontId="0" fillId="0" borderId="9"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4" fillId="2" borderId="24" xfId="0" applyFont="1" applyFill="1" applyBorder="1"/>
    <xf numFmtId="0" fontId="25" fillId="0" borderId="25" xfId="0" applyFont="1" applyBorder="1"/>
    <xf numFmtId="0" fontId="25" fillId="0" borderId="1" xfId="0" applyFont="1" applyBorder="1"/>
    <xf numFmtId="0" fontId="25" fillId="0" borderId="4" xfId="0" applyFont="1" applyBorder="1"/>
    <xf numFmtId="0" fontId="11" fillId="0" borderId="1" xfId="1" applyFont="1" applyBorder="1" applyAlignment="1" applyProtection="1">
      <alignment horizontal="center" vertical="top"/>
      <protection locked="0"/>
    </xf>
    <xf numFmtId="0" fontId="11"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4" fillId="0" borderId="1" xfId="1" applyFont="1" applyBorder="1" applyAlignment="1" applyProtection="1">
      <alignment horizontal="center" vertical="top" wrapText="1"/>
      <protection locked="0"/>
    </xf>
    <xf numFmtId="1" fontId="14" fillId="0" borderId="1" xfId="1" applyNumberFormat="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0" fontId="0" fillId="0" borderId="22" xfId="0" applyFill="1" applyBorder="1"/>
    <xf numFmtId="0" fontId="0" fillId="0" borderId="5" xfId="0" applyBorder="1"/>
    <xf numFmtId="0" fontId="0" fillId="0" borderId="1" xfId="0" applyBorder="1" applyAlignment="1">
      <alignment vertical="top" wrapText="1"/>
    </xf>
    <xf numFmtId="0" fontId="0" fillId="0" borderId="1" xfId="0" applyFill="1" applyBorder="1"/>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6" fillId="0" borderId="1" xfId="1" applyNumberFormat="1" applyFont="1"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9" fillId="0" borderId="2" xfId="1" applyNumberFormat="1" applyFont="1" applyBorder="1" applyAlignment="1" applyProtection="1">
      <alignment horizontal="center" vertical="top" wrapText="1"/>
      <protection locked="0"/>
    </xf>
    <xf numFmtId="9" fontId="9" fillId="0" borderId="13" xfId="8" applyFont="1" applyFill="1" applyBorder="1" applyAlignment="1" applyProtection="1">
      <alignment horizontal="center" vertical="top" wrapText="1"/>
      <protection locked="0"/>
    </xf>
    <xf numFmtId="0" fontId="6"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wrapText="1"/>
      <protection locked="0"/>
    </xf>
    <xf numFmtId="0" fontId="6" fillId="0" borderId="22"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1" fontId="5" fillId="0" borderId="5" xfId="1" applyNumberFormat="1" applyFont="1" applyBorder="1" applyAlignment="1" applyProtection="1">
      <alignment horizontal="center" vertical="center" wrapText="1"/>
      <protection locked="0"/>
    </xf>
    <xf numFmtId="1" fontId="5" fillId="0" borderId="6" xfId="1" applyNumberFormat="1" applyFont="1" applyBorder="1" applyAlignment="1" applyProtection="1">
      <alignment horizontal="center" vertical="center" wrapText="1"/>
      <protection locked="0"/>
    </xf>
    <xf numFmtId="0" fontId="9"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0" fontId="7" fillId="0" borderId="5" xfId="1" applyFont="1" applyBorder="1" applyAlignment="1" applyProtection="1">
      <alignment horizontal="left" vertical="top" wrapText="1"/>
      <protection locked="0"/>
    </xf>
    <xf numFmtId="0" fontId="7" fillId="0" borderId="6"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5" fillId="0" borderId="2" xfId="1" applyFont="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0" fontId="7" fillId="0" borderId="19"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6" fillId="0" borderId="3"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5" fillId="0" borderId="5" xfId="1" applyFont="1" applyBorder="1" applyAlignment="1" applyProtection="1">
      <alignment horizontal="left" vertical="top" wrapText="1"/>
      <protection locked="0"/>
    </xf>
    <xf numFmtId="0" fontId="5" fillId="0" borderId="6"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14" fontId="5" fillId="0" borderId="5"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7" fillId="0" borderId="5" xfId="1" applyFont="1" applyBorder="1" applyAlignment="1" applyProtection="1">
      <alignment horizontal="left" vertical="top"/>
      <protection locked="0"/>
    </xf>
    <xf numFmtId="0" fontId="7" fillId="0" borderId="6" xfId="1" applyFont="1" applyBorder="1" applyAlignment="1" applyProtection="1">
      <alignment horizontal="left" vertical="top"/>
      <protection locked="0"/>
    </xf>
    <xf numFmtId="0" fontId="14" fillId="0" borderId="14" xfId="1" applyFont="1" applyBorder="1" applyAlignment="1" applyProtection="1">
      <alignment horizontal="left" vertical="top" wrapText="1"/>
      <protection locked="0"/>
    </xf>
    <xf numFmtId="0" fontId="14" fillId="0" borderId="15" xfId="1" applyFont="1" applyBorder="1" applyAlignment="1" applyProtection="1">
      <alignment horizontal="left" vertical="top" wrapText="1"/>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1" fontId="9" fillId="0" borderId="2" xfId="1" applyNumberFormat="1" applyFont="1" applyBorder="1" applyAlignment="1" applyProtection="1">
      <alignment horizontal="center" vertical="top" wrapText="1"/>
      <protection locked="0"/>
    </xf>
    <xf numFmtId="1" fontId="9" fillId="0" borderId="13"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1" fontId="9" fillId="0" borderId="2" xfId="0" applyNumberFormat="1" applyFont="1" applyBorder="1" applyAlignment="1" applyProtection="1">
      <alignment horizontal="center" vertical="top" wrapText="1"/>
      <protection locked="0"/>
    </xf>
    <xf numFmtId="0" fontId="9" fillId="0" borderId="2" xfId="0" applyFont="1" applyBorder="1" applyAlignment="1" applyProtection="1">
      <alignment horizontal="center" vertical="top" wrapText="1"/>
      <protection locked="0"/>
    </xf>
    <xf numFmtId="1" fontId="7" fillId="0" borderId="5" xfId="1" applyNumberFormat="1" applyFont="1" applyBorder="1" applyAlignment="1" applyProtection="1">
      <alignment horizontal="center" vertical="top" wrapText="1"/>
      <protection locked="0"/>
    </xf>
    <xf numFmtId="1" fontId="7" fillId="0" borderId="18" xfId="1" applyNumberFormat="1" applyFont="1" applyBorder="1" applyAlignment="1" applyProtection="1">
      <alignment horizontal="center" vertical="top" wrapText="1"/>
      <protection locked="0"/>
    </xf>
    <xf numFmtId="1" fontId="7" fillId="0" borderId="6" xfId="1" applyNumberFormat="1" applyFont="1" applyBorder="1" applyAlignment="1" applyProtection="1">
      <alignment horizontal="center" vertical="top" wrapText="1"/>
      <protection locked="0"/>
    </xf>
    <xf numFmtId="1" fontId="7" fillId="0" borderId="5" xfId="0" applyNumberFormat="1" applyFont="1" applyBorder="1" applyAlignment="1" applyProtection="1">
      <alignment vertical="top" wrapText="1"/>
      <protection locked="0"/>
    </xf>
    <xf numFmtId="1" fontId="7" fillId="0" borderId="18" xfId="0" applyNumberFormat="1" applyFont="1" applyBorder="1" applyAlignment="1" applyProtection="1">
      <alignment vertical="top" wrapText="1"/>
      <protection locked="0"/>
    </xf>
    <xf numFmtId="1" fontId="7" fillId="0" borderId="6"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1" fontId="7" fillId="0" borderId="5" xfId="1" applyNumberFormat="1" applyFont="1" applyBorder="1" applyAlignment="1" applyProtection="1">
      <alignment horizontal="center" vertical="center" wrapText="1"/>
      <protection locked="0"/>
    </xf>
    <xf numFmtId="1" fontId="7" fillId="0" borderId="18" xfId="1" applyNumberFormat="1" applyFont="1" applyBorder="1" applyAlignment="1" applyProtection="1">
      <alignment horizontal="center" vertical="center" wrapText="1"/>
      <protection locked="0"/>
    </xf>
    <xf numFmtId="1" fontId="7" fillId="0" borderId="6" xfId="1" applyNumberFormat="1" applyFont="1" applyBorder="1" applyAlignment="1" applyProtection="1">
      <alignment horizontal="center" vertical="center" wrapText="1"/>
      <protection locked="0"/>
    </xf>
    <xf numFmtId="0" fontId="11" fillId="0" borderId="14" xfId="1" applyFont="1" applyBorder="1" applyAlignment="1" applyProtection="1">
      <alignment horizontal="left" vertical="top" wrapText="1"/>
      <protection locked="0"/>
    </xf>
    <xf numFmtId="0" fontId="11" fillId="0" borderId="21" xfId="1" applyFont="1" applyBorder="1" applyAlignment="1" applyProtection="1">
      <alignment horizontal="left" vertical="top" wrapText="1"/>
      <protection locked="0"/>
    </xf>
    <xf numFmtId="0" fontId="11" fillId="0" borderId="22"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6" fillId="0" borderId="14" xfId="1" applyFont="1" applyBorder="1" applyAlignment="1" applyProtection="1">
      <alignment horizontal="left" vertical="top"/>
      <protection locked="0"/>
    </xf>
    <xf numFmtId="0" fontId="6" fillId="0" borderId="21" xfId="1" applyFont="1" applyBorder="1" applyAlignment="1" applyProtection="1">
      <alignment horizontal="left" vertical="top"/>
      <protection locked="0"/>
    </xf>
    <xf numFmtId="0" fontId="6" fillId="0" borderId="15" xfId="1" applyFont="1" applyBorder="1" applyAlignment="1" applyProtection="1">
      <alignment horizontal="left" vertical="top"/>
      <protection locked="0"/>
    </xf>
    <xf numFmtId="0" fontId="6" fillId="0" borderId="22" xfId="1" applyFont="1" applyBorder="1" applyAlignment="1" applyProtection="1">
      <alignment horizontal="left" vertical="top"/>
      <protection locked="0"/>
    </xf>
    <xf numFmtId="0" fontId="6" fillId="0" borderId="0" xfId="1" applyFont="1" applyAlignment="1" applyProtection="1">
      <alignment horizontal="left" vertical="top"/>
      <protection locked="0"/>
    </xf>
    <xf numFmtId="0" fontId="6" fillId="0" borderId="23" xfId="1" applyFont="1" applyBorder="1" applyAlignment="1" applyProtection="1">
      <alignment horizontal="left" vertical="top"/>
      <protection locked="0"/>
    </xf>
    <xf numFmtId="0" fontId="6" fillId="0" borderId="4" xfId="1" applyFont="1" applyBorder="1" applyAlignment="1" applyProtection="1">
      <alignment horizontal="center" vertical="top" wrapText="1"/>
      <protection locked="0"/>
    </xf>
    <xf numFmtId="0" fontId="5" fillId="0" borderId="2"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1" fontId="7" fillId="0" borderId="2" xfId="1" applyNumberFormat="1" applyFont="1" applyBorder="1" applyAlignment="1" applyProtection="1">
      <alignment horizontal="center" vertical="top" wrapText="1"/>
      <protection locked="0"/>
    </xf>
    <xf numFmtId="1" fontId="7" fillId="0" borderId="13" xfId="1" applyNumberFormat="1" applyFont="1" applyBorder="1" applyAlignment="1" applyProtection="1">
      <alignment horizontal="center" vertical="top" wrapText="1"/>
      <protection locked="0"/>
    </xf>
    <xf numFmtId="0" fontId="7" fillId="0" borderId="13" xfId="1" applyFont="1" applyBorder="1" applyAlignment="1" applyProtection="1">
      <alignment horizontal="center" vertical="top"/>
      <protection locked="0"/>
    </xf>
    <xf numFmtId="1" fontId="5" fillId="0" borderId="18" xfId="1" applyNumberFormat="1" applyFont="1" applyBorder="1" applyAlignment="1" applyProtection="1">
      <alignment horizontal="center" vertical="center" wrapText="1"/>
      <protection locked="0"/>
    </xf>
    <xf numFmtId="1" fontId="7" fillId="0" borderId="14" xfId="1" applyNumberFormat="1" applyFont="1" applyBorder="1" applyAlignment="1" applyProtection="1">
      <alignment horizontal="center" vertical="top" wrapText="1"/>
      <protection locked="0"/>
    </xf>
    <xf numFmtId="1" fontId="7" fillId="0" borderId="16" xfId="1" applyNumberFormat="1" applyFont="1" applyBorder="1" applyAlignment="1" applyProtection="1">
      <alignment horizontal="center" vertical="top" wrapText="1"/>
      <protection locked="0"/>
    </xf>
    <xf numFmtId="1" fontId="9" fillId="0" borderId="5" xfId="0" applyNumberFormat="1" applyFont="1" applyBorder="1" applyAlignment="1" applyProtection="1">
      <alignment vertical="top" wrapText="1"/>
      <protection locked="0"/>
    </xf>
    <xf numFmtId="1" fontId="9" fillId="0" borderId="18" xfId="0" applyNumberFormat="1" applyFont="1" applyBorder="1" applyAlignment="1" applyProtection="1">
      <alignment vertical="top" wrapText="1"/>
      <protection locked="0"/>
    </xf>
    <xf numFmtId="1" fontId="9" fillId="0" borderId="6" xfId="0" applyNumberFormat="1" applyFont="1" applyBorder="1" applyAlignment="1" applyProtection="1">
      <alignment vertical="top" wrapText="1"/>
      <protection locked="0"/>
    </xf>
    <xf numFmtId="1" fontId="7" fillId="0" borderId="26" xfId="0" applyNumberFormat="1" applyFont="1" applyBorder="1" applyAlignment="1" applyProtection="1">
      <alignment horizontal="center" vertical="center" wrapText="1"/>
      <protection locked="0"/>
    </xf>
    <xf numFmtId="1" fontId="7" fillId="0" borderId="27" xfId="0" applyNumberFormat="1" applyFont="1" applyBorder="1" applyAlignment="1" applyProtection="1">
      <alignment horizontal="center" vertical="center" wrapText="1"/>
      <protection locked="0"/>
    </xf>
    <xf numFmtId="0" fontId="9" fillId="0" borderId="27" xfId="0" applyFont="1" applyBorder="1" applyAlignment="1" applyProtection="1">
      <alignment horizontal="center" vertical="center"/>
      <protection locked="0"/>
    </xf>
    <xf numFmtId="1" fontId="9" fillId="0" borderId="27" xfId="0" applyNumberFormat="1" applyFont="1" applyBorder="1" applyAlignment="1" applyProtection="1">
      <alignment horizontal="center" vertical="top" wrapText="1"/>
      <protection locked="0"/>
    </xf>
    <xf numFmtId="1" fontId="12" fillId="0" borderId="5" xfId="0" applyNumberFormat="1" applyFont="1" applyBorder="1" applyAlignment="1" applyProtection="1">
      <alignment vertical="top" wrapText="1"/>
      <protection locked="0"/>
    </xf>
    <xf numFmtId="1" fontId="12" fillId="0" borderId="18" xfId="0" applyNumberFormat="1" applyFont="1" applyBorder="1" applyAlignment="1" applyProtection="1">
      <alignment vertical="top" wrapText="1"/>
      <protection locked="0"/>
    </xf>
    <xf numFmtId="1" fontId="12" fillId="0" borderId="6" xfId="0" applyNumberFormat="1" applyFont="1" applyBorder="1" applyAlignment="1" applyProtection="1">
      <alignment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67" fontId="6" fillId="0" borderId="1" xfId="9" applyNumberFormat="1" applyFont="1" applyFill="1" applyBorder="1" applyAlignment="1" applyProtection="1">
      <alignment horizontal="left" vertical="top"/>
      <protection locked="0"/>
    </xf>
    <xf numFmtId="0" fontId="7"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1" fontId="16" fillId="0" borderId="5" xfId="0" applyNumberFormat="1" applyFont="1" applyBorder="1" applyAlignment="1" applyProtection="1">
      <alignment vertical="top" wrapText="1"/>
      <protection locked="0"/>
    </xf>
    <xf numFmtId="1" fontId="16" fillId="0" borderId="18" xfId="0" applyNumberFormat="1" applyFont="1" applyBorder="1" applyAlignment="1" applyProtection="1">
      <alignment vertical="top" wrapText="1"/>
      <protection locked="0"/>
    </xf>
    <xf numFmtId="1" fontId="16" fillId="0" borderId="6" xfId="0" applyNumberFormat="1" applyFont="1" applyBorder="1" applyAlignment="1" applyProtection="1">
      <alignment vertical="top" wrapText="1"/>
      <protection locked="0"/>
    </xf>
    <xf numFmtId="1" fontId="7" fillId="0" borderId="2" xfId="0"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5"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6" xfId="1" applyFont="1" applyBorder="1" applyAlignment="1" applyProtection="1">
      <alignment horizontal="left" vertical="top" wrapText="1"/>
      <protection locked="0"/>
    </xf>
    <xf numFmtId="14" fontId="11"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1" fillId="0" borderId="5" xfId="1" applyFont="1" applyBorder="1" applyAlignment="1" applyProtection="1">
      <alignment horizontal="center" vertical="top"/>
      <protection locked="0"/>
    </xf>
    <xf numFmtId="0" fontId="11" fillId="0" borderId="18" xfId="1" applyFont="1" applyBorder="1" applyAlignment="1" applyProtection="1">
      <alignment horizontal="center" vertical="top"/>
      <protection locked="0"/>
    </xf>
    <xf numFmtId="0" fontId="11" fillId="0" borderId="6"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12" fillId="0" borderId="18" xfId="1" applyFont="1" applyBorder="1" applyAlignment="1" applyProtection="1">
      <alignment horizontal="center" vertical="top"/>
      <protection locked="0"/>
    </xf>
    <xf numFmtId="0" fontId="12" fillId="0" borderId="6"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6" fillId="0" borderId="0" xfId="1" applyFont="1" applyAlignment="1">
      <alignment horizontal="center" vertical="center"/>
    </xf>
    <xf numFmtId="1" fontId="30" fillId="0" borderId="2" xfId="1" applyNumberFormat="1" applyFont="1" applyBorder="1" applyAlignment="1" applyProtection="1">
      <alignment horizontal="center" vertical="top" wrapText="1"/>
      <protection locked="0"/>
    </xf>
    <xf numFmtId="1" fontId="30" fillId="0" borderId="13" xfId="1" applyNumberFormat="1" applyFont="1" applyBorder="1" applyAlignment="1" applyProtection="1">
      <alignment horizontal="center" vertical="top" wrapText="1"/>
      <protection locked="0"/>
    </xf>
    <xf numFmtId="0" fontId="6" fillId="0" borderId="2"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11" fillId="0" borderId="15"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4" xfId="1" applyFont="1" applyBorder="1" applyAlignment="1" applyProtection="1">
      <alignment horizontal="left" vertical="top" wrapText="1"/>
      <protection locked="0"/>
    </xf>
    <xf numFmtId="0" fontId="26" fillId="0" borderId="1" xfId="10" applyFill="1" applyBorder="1" applyAlignment="1" applyProtection="1">
      <alignment horizontal="left" vertical="top" wrapText="1"/>
      <protection locked="0"/>
    </xf>
    <xf numFmtId="1" fontId="7" fillId="0" borderId="27" xfId="0" applyNumberFormat="1" applyFont="1" applyBorder="1" applyAlignment="1" applyProtection="1">
      <alignment horizontal="center" vertical="top" wrapText="1"/>
      <protection locked="0"/>
    </xf>
    <xf numFmtId="1" fontId="7" fillId="0" borderId="28" xfId="0" applyNumberFormat="1" applyFont="1" applyBorder="1" applyAlignment="1" applyProtection="1">
      <alignment horizontal="center" vertical="top" wrapText="1"/>
      <protection locked="0"/>
    </xf>
    <xf numFmtId="0" fontId="5" fillId="0" borderId="5" xfId="1" applyFont="1" applyBorder="1" applyAlignment="1" applyProtection="1">
      <alignment vertical="top" wrapText="1"/>
      <protection locked="0"/>
    </xf>
    <xf numFmtId="0" fontId="5" fillId="0" borderId="18" xfId="1" applyFont="1" applyBorder="1" applyAlignment="1" applyProtection="1">
      <alignment vertical="top" wrapText="1"/>
      <protection locked="0"/>
    </xf>
    <xf numFmtId="0" fontId="5" fillId="0" borderId="6" xfId="1" applyFont="1" applyBorder="1" applyAlignment="1" applyProtection="1">
      <alignment vertical="top" wrapText="1"/>
      <protection locked="0"/>
    </xf>
    <xf numFmtId="0" fontId="9" fillId="0" borderId="5" xfId="1" applyFont="1" applyBorder="1" applyAlignment="1" applyProtection="1">
      <alignment horizontal="left" vertical="top"/>
      <protection locked="0"/>
    </xf>
    <xf numFmtId="0" fontId="9" fillId="0" borderId="18" xfId="1" applyFont="1" applyBorder="1" applyAlignment="1" applyProtection="1">
      <alignment horizontal="left" vertical="top"/>
      <protection locked="0"/>
    </xf>
    <xf numFmtId="0" fontId="9" fillId="0" borderId="6" xfId="1" applyFont="1" applyBorder="1" applyAlignment="1" applyProtection="1">
      <alignment horizontal="left" vertical="top"/>
      <protection locked="0"/>
    </xf>
    <xf numFmtId="1" fontId="9" fillId="0" borderId="1" xfId="0" applyNumberFormat="1" applyFont="1" applyBorder="1" applyAlignment="1" applyProtection="1">
      <alignment horizontal="center" vertical="top" wrapText="1"/>
      <protection locked="0"/>
    </xf>
    <xf numFmtId="1" fontId="5" fillId="0" borderId="1" xfId="1" applyNumberFormat="1" applyFont="1" applyFill="1" applyBorder="1" applyAlignment="1" applyProtection="1">
      <alignment horizontal="center" vertical="center" wrapText="1"/>
      <protection locked="0"/>
    </xf>
    <xf numFmtId="0" fontId="8" fillId="0" borderId="1" xfId="5" applyFont="1" applyBorder="1" applyAlignment="1">
      <alignment horizontal="left"/>
    </xf>
    <xf numFmtId="0" fontId="24" fillId="2" borderId="12" xfId="0" applyFont="1" applyFill="1" applyBorder="1"/>
    <xf numFmtId="0" fontId="25" fillId="0" borderId="6" xfId="0" applyFont="1" applyBorder="1"/>
    <xf numFmtId="9" fontId="6" fillId="0" borderId="1" xfId="8" applyFont="1" applyFill="1" applyBorder="1" applyAlignment="1" applyProtection="1">
      <alignment horizontal="center" vertical="center" wrapText="1"/>
      <protection locked="0"/>
    </xf>
    <xf numFmtId="0" fontId="7" fillId="0" borderId="1" xfId="1" applyFont="1" applyBorder="1" applyAlignment="1" applyProtection="1">
      <alignment horizontal="lef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8</xdr:col>
      <xdr:colOff>95250</xdr:colOff>
      <xdr:row>15</xdr:row>
      <xdr:rowOff>314325</xdr:rowOff>
    </xdr:from>
    <xdr:to>
      <xdr:col>13</xdr:col>
      <xdr:colOff>551850</xdr:colOff>
      <xdr:row>18</xdr:row>
      <xdr:rowOff>104674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10325" y="3905250"/>
          <a:ext cx="4800000" cy="809524"/>
        </a:xfrm>
        <a:prstGeom prst="rect">
          <a:avLst/>
        </a:prstGeom>
      </xdr:spPr>
    </xdr:pic>
    <xdr:clientData/>
  </xdr:twoCellAnchor>
  <xdr:twoCellAnchor editAs="oneCell">
    <xdr:from>
      <xdr:col>8</xdr:col>
      <xdr:colOff>295275</xdr:colOff>
      <xdr:row>49</xdr:row>
      <xdr:rowOff>0</xdr:rowOff>
    </xdr:from>
    <xdr:to>
      <xdr:col>13</xdr:col>
      <xdr:colOff>494732</xdr:colOff>
      <xdr:row>56</xdr:row>
      <xdr:rowOff>104611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610350" y="11249025"/>
          <a:ext cx="4542857" cy="1314286"/>
        </a:xfrm>
        <a:prstGeom prst="rect">
          <a:avLst/>
        </a:prstGeom>
      </xdr:spPr>
    </xdr:pic>
    <xdr:clientData/>
  </xdr:twoCellAnchor>
  <xdr:twoCellAnchor editAs="oneCell">
    <xdr:from>
      <xdr:col>1</xdr:col>
      <xdr:colOff>781050</xdr:colOff>
      <xdr:row>263</xdr:row>
      <xdr:rowOff>0</xdr:rowOff>
    </xdr:from>
    <xdr:to>
      <xdr:col>5</xdr:col>
      <xdr:colOff>547004</xdr:colOff>
      <xdr:row>282</xdr:row>
      <xdr:rowOff>125689</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3"/>
        <a:stretch>
          <a:fillRect/>
        </a:stretch>
      </xdr:blipFill>
      <xdr:spPr>
        <a:xfrm>
          <a:off x="1543050" y="56597550"/>
          <a:ext cx="3109229" cy="3926164"/>
        </a:xfrm>
        <a:prstGeom prst="rect">
          <a:avLst/>
        </a:prstGeom>
      </xdr:spPr>
    </xdr:pic>
    <xdr:clientData/>
  </xdr:twoCellAnchor>
  <xdr:twoCellAnchor editAs="oneCell">
    <xdr:from>
      <xdr:col>0</xdr:col>
      <xdr:colOff>590550</xdr:colOff>
      <xdr:row>283</xdr:row>
      <xdr:rowOff>57151</xdr:rowOff>
    </xdr:from>
    <xdr:to>
      <xdr:col>7</xdr:col>
      <xdr:colOff>116854</xdr:colOff>
      <xdr:row>303</xdr:row>
      <xdr:rowOff>101601</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590550" y="51276251"/>
          <a:ext cx="5381004" cy="3981450"/>
        </a:xfrm>
        <a:prstGeom prst="rect">
          <a:avLst/>
        </a:prstGeom>
      </xdr:spPr>
    </xdr:pic>
    <xdr:clientData/>
  </xdr:twoCellAnchor>
  <xdr:twoCellAnchor editAs="oneCell">
    <xdr:from>
      <xdr:col>1</xdr:col>
      <xdr:colOff>304800</xdr:colOff>
      <xdr:row>306</xdr:row>
      <xdr:rowOff>9525</xdr:rowOff>
    </xdr:from>
    <xdr:to>
      <xdr:col>6</xdr:col>
      <xdr:colOff>158839</xdr:colOff>
      <xdr:row>324</xdr:row>
      <xdr:rowOff>9075</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5"/>
        <a:stretch>
          <a:fillRect/>
        </a:stretch>
      </xdr:blipFill>
      <xdr:spPr>
        <a:xfrm>
          <a:off x="1066800" y="65408175"/>
          <a:ext cx="3940264" cy="3600000"/>
        </a:xfrm>
        <a:prstGeom prst="rect">
          <a:avLst/>
        </a:prstGeom>
      </xdr:spPr>
    </xdr:pic>
    <xdr:clientData/>
  </xdr:twoCellAnchor>
  <xdr:twoCellAnchor editAs="oneCell">
    <xdr:from>
      <xdr:col>0</xdr:col>
      <xdr:colOff>723900</xdr:colOff>
      <xdr:row>324</xdr:row>
      <xdr:rowOff>114300</xdr:rowOff>
    </xdr:from>
    <xdr:to>
      <xdr:col>6</xdr:col>
      <xdr:colOff>539519</xdr:colOff>
      <xdr:row>344</xdr:row>
      <xdr:rowOff>180184</xdr:rowOff>
    </xdr:to>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6"/>
        <a:stretch>
          <a:fillRect/>
        </a:stretch>
      </xdr:blipFill>
      <xdr:spPr>
        <a:xfrm>
          <a:off x="723900" y="69113400"/>
          <a:ext cx="4663844" cy="4066384"/>
        </a:xfrm>
        <a:prstGeom prst="rect">
          <a:avLst/>
        </a:prstGeom>
      </xdr:spPr>
    </xdr:pic>
    <xdr:clientData/>
  </xdr:twoCellAnchor>
  <xdr:twoCellAnchor>
    <xdr:from>
      <xdr:col>4</xdr:col>
      <xdr:colOff>152401</xdr:colOff>
      <xdr:row>336</xdr:row>
      <xdr:rowOff>57150</xdr:rowOff>
    </xdr:from>
    <xdr:to>
      <xdr:col>5</xdr:col>
      <xdr:colOff>171451</xdr:colOff>
      <xdr:row>338</xdr:row>
      <xdr:rowOff>190500</xdr:rowOff>
    </xdr:to>
    <xdr:sp macro="" textlink="">
      <xdr:nvSpPr>
        <xdr:cNvPr id="30" name="Rectangle 29">
          <a:extLst>
            <a:ext uri="{FF2B5EF4-FFF2-40B4-BE49-F238E27FC236}">
              <a16:creationId xmlns:a16="http://schemas.microsoft.com/office/drawing/2014/main" id="{00000000-0008-0000-0000-00001E000000}"/>
            </a:ext>
          </a:extLst>
        </xdr:cNvPr>
        <xdr:cNvSpPr/>
      </xdr:nvSpPr>
      <xdr:spPr>
        <a:xfrm>
          <a:off x="3476626" y="71456550"/>
          <a:ext cx="800100" cy="53340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8</xdr:col>
      <xdr:colOff>295277</xdr:colOff>
      <xdr:row>3</xdr:row>
      <xdr:rowOff>66675</xdr:rowOff>
    </xdr:from>
    <xdr:to>
      <xdr:col>13</xdr:col>
      <xdr:colOff>434065</xdr:colOff>
      <xdr:row>15</xdr:row>
      <xdr:rowOff>205425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6915152" y="1066800"/>
          <a:ext cx="4482188" cy="2520000"/>
        </a:xfrm>
        <a:prstGeom prst="rect">
          <a:avLst/>
        </a:prstGeom>
      </xdr:spPr>
    </xdr:pic>
    <xdr:clientData/>
  </xdr:twoCellAnchor>
  <xdr:twoCellAnchor>
    <xdr:from>
      <xdr:col>8</xdr:col>
      <xdr:colOff>361950</xdr:colOff>
      <xdr:row>218</xdr:row>
      <xdr:rowOff>123825</xdr:rowOff>
    </xdr:from>
    <xdr:to>
      <xdr:col>15</xdr:col>
      <xdr:colOff>756538</xdr:colOff>
      <xdr:row>259</xdr:row>
      <xdr:rowOff>129301</xdr:rowOff>
    </xdr:to>
    <xdr:grpSp>
      <xdr:nvGrpSpPr>
        <xdr:cNvPr id="40" name="Group 39">
          <a:extLst>
            <a:ext uri="{FF2B5EF4-FFF2-40B4-BE49-F238E27FC236}">
              <a16:creationId xmlns:a16="http://schemas.microsoft.com/office/drawing/2014/main" id="{F790E5B3-7F87-4094-9655-1FBA44186BFD}"/>
            </a:ext>
          </a:extLst>
        </xdr:cNvPr>
        <xdr:cNvGrpSpPr/>
      </xdr:nvGrpSpPr>
      <xdr:grpSpPr>
        <a:xfrm>
          <a:off x="7302500" y="38344475"/>
          <a:ext cx="6668388" cy="8069976"/>
          <a:chOff x="271461" y="473512"/>
          <a:chExt cx="6385813" cy="8196976"/>
        </a:xfrm>
      </xdr:grpSpPr>
      <xdr:pic>
        <xdr:nvPicPr>
          <xdr:cNvPr id="41" name="Picture 40">
            <a:extLst>
              <a:ext uri="{FF2B5EF4-FFF2-40B4-BE49-F238E27FC236}">
                <a16:creationId xmlns:a16="http://schemas.microsoft.com/office/drawing/2014/main" id="{53DDED45-8D62-457A-AFA7-882E4C416CDB}"/>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71461" y="473512"/>
            <a:ext cx="2030649" cy="2700000"/>
          </a:xfrm>
          <a:prstGeom prst="rect">
            <a:avLst/>
          </a:prstGeom>
          <a:ln>
            <a:solidFill>
              <a:schemeClr val="tx1"/>
            </a:solidFill>
          </a:ln>
        </xdr:spPr>
      </xdr:pic>
      <xdr:pic>
        <xdr:nvPicPr>
          <xdr:cNvPr id="42" name="Picture 41">
            <a:extLst>
              <a:ext uri="{FF2B5EF4-FFF2-40B4-BE49-F238E27FC236}">
                <a16:creationId xmlns:a16="http://schemas.microsoft.com/office/drawing/2014/main" id="{D2774DAF-0A48-4C4A-A98A-8506906EDD28}"/>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449043" y="473512"/>
            <a:ext cx="2030649" cy="2700000"/>
          </a:xfrm>
          <a:prstGeom prst="rect">
            <a:avLst/>
          </a:prstGeom>
          <a:ln>
            <a:solidFill>
              <a:schemeClr val="tx1"/>
            </a:solidFill>
          </a:ln>
        </xdr:spPr>
      </xdr:pic>
      <xdr:pic>
        <xdr:nvPicPr>
          <xdr:cNvPr id="43" name="Picture 42">
            <a:extLst>
              <a:ext uri="{FF2B5EF4-FFF2-40B4-BE49-F238E27FC236}">
                <a16:creationId xmlns:a16="http://schemas.microsoft.com/office/drawing/2014/main" id="{DE62968A-60C4-4581-A2F0-8CAD07962615}"/>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4626625" y="473512"/>
            <a:ext cx="2030649" cy="2700000"/>
          </a:xfrm>
          <a:prstGeom prst="rect">
            <a:avLst/>
          </a:prstGeom>
          <a:ln>
            <a:solidFill>
              <a:schemeClr val="tx1"/>
            </a:solidFill>
          </a:ln>
        </xdr:spPr>
      </xdr:pic>
      <xdr:pic>
        <xdr:nvPicPr>
          <xdr:cNvPr id="44" name="Picture 43">
            <a:extLst>
              <a:ext uri="{FF2B5EF4-FFF2-40B4-BE49-F238E27FC236}">
                <a16:creationId xmlns:a16="http://schemas.microsoft.com/office/drawing/2014/main" id="{DA3457FA-1AA7-4AF1-8E5A-CFC31DDDB9F1}"/>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582313" y="3341300"/>
            <a:ext cx="1489142" cy="1980000"/>
          </a:xfrm>
          <a:prstGeom prst="rect">
            <a:avLst/>
          </a:prstGeom>
          <a:ln>
            <a:solidFill>
              <a:schemeClr val="tx1"/>
            </a:solidFill>
          </a:ln>
        </xdr:spPr>
      </xdr:pic>
      <xdr:pic>
        <xdr:nvPicPr>
          <xdr:cNvPr id="45" name="Picture 44">
            <a:extLst>
              <a:ext uri="{FF2B5EF4-FFF2-40B4-BE49-F238E27FC236}">
                <a16:creationId xmlns:a16="http://schemas.microsoft.com/office/drawing/2014/main" id="{E728458C-2D22-4F52-80EA-FCA7622C70B9}"/>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4900997" y="3329451"/>
            <a:ext cx="1489142" cy="1980000"/>
          </a:xfrm>
          <a:prstGeom prst="rect">
            <a:avLst/>
          </a:prstGeom>
          <a:ln>
            <a:solidFill>
              <a:schemeClr val="tx1"/>
            </a:solidFill>
          </a:ln>
        </xdr:spPr>
      </xdr:pic>
      <xdr:pic>
        <xdr:nvPicPr>
          <xdr:cNvPr id="46" name="Picture 45">
            <a:extLst>
              <a:ext uri="{FF2B5EF4-FFF2-40B4-BE49-F238E27FC236}">
                <a16:creationId xmlns:a16="http://schemas.microsoft.com/office/drawing/2014/main" id="{3A8D8F6F-3837-4CA3-9A18-CDFC850AEBAA}"/>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2171470" y="3341300"/>
            <a:ext cx="2626605" cy="1980000"/>
          </a:xfrm>
          <a:prstGeom prst="rect">
            <a:avLst/>
          </a:prstGeom>
          <a:ln>
            <a:solidFill>
              <a:schemeClr val="tx1"/>
            </a:solidFill>
          </a:ln>
        </xdr:spPr>
      </xdr:pic>
      <xdr:pic>
        <xdr:nvPicPr>
          <xdr:cNvPr id="47" name="Picture 46">
            <a:extLst>
              <a:ext uri="{FF2B5EF4-FFF2-40B4-BE49-F238E27FC236}">
                <a16:creationId xmlns:a16="http://schemas.microsoft.com/office/drawing/2014/main" id="{C69942EA-7DD4-4873-9138-852D1CBD8E26}"/>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858009" y="5489088"/>
            <a:ext cx="2387823" cy="1800000"/>
          </a:xfrm>
          <a:prstGeom prst="rect">
            <a:avLst/>
          </a:prstGeom>
          <a:ln>
            <a:solidFill>
              <a:schemeClr val="tx1"/>
            </a:solidFill>
          </a:ln>
        </xdr:spPr>
      </xdr:pic>
      <xdr:pic>
        <xdr:nvPicPr>
          <xdr:cNvPr id="48" name="Picture 47">
            <a:extLst>
              <a:ext uri="{FF2B5EF4-FFF2-40B4-BE49-F238E27FC236}">
                <a16:creationId xmlns:a16="http://schemas.microsoft.com/office/drawing/2014/main" id="{4186686A-5F81-4BDB-9909-CEA0D9B93A2D}"/>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3338939" y="5489088"/>
            <a:ext cx="1353766" cy="1800000"/>
          </a:xfrm>
          <a:prstGeom prst="rect">
            <a:avLst/>
          </a:prstGeom>
          <a:ln>
            <a:solidFill>
              <a:schemeClr val="tx1"/>
            </a:solidFill>
          </a:ln>
        </xdr:spPr>
      </xdr:pic>
      <xdr:pic>
        <xdr:nvPicPr>
          <xdr:cNvPr id="49" name="Picture 48">
            <a:extLst>
              <a:ext uri="{FF2B5EF4-FFF2-40B4-BE49-F238E27FC236}">
                <a16:creationId xmlns:a16="http://schemas.microsoft.com/office/drawing/2014/main" id="{AB42FD06-7E99-4CB4-BE03-C3DF2F92C2E9}"/>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4785812" y="5489088"/>
            <a:ext cx="1353766" cy="1800000"/>
          </a:xfrm>
          <a:prstGeom prst="rect">
            <a:avLst/>
          </a:prstGeom>
          <a:ln>
            <a:solidFill>
              <a:schemeClr val="tx1"/>
            </a:solidFill>
          </a:ln>
        </xdr:spPr>
      </xdr:pic>
      <xdr:pic>
        <xdr:nvPicPr>
          <xdr:cNvPr id="50" name="Picture 49">
            <a:extLst>
              <a:ext uri="{FF2B5EF4-FFF2-40B4-BE49-F238E27FC236}">
                <a16:creationId xmlns:a16="http://schemas.microsoft.com/office/drawing/2014/main" id="{95BA7146-5DCF-45F5-B9F7-542D416A8F68}"/>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985368" y="7410488"/>
            <a:ext cx="943688" cy="1260000"/>
          </a:xfrm>
          <a:prstGeom prst="rect">
            <a:avLst/>
          </a:prstGeom>
          <a:ln>
            <a:solidFill>
              <a:schemeClr val="tx1"/>
            </a:solidFill>
          </a:ln>
        </xdr:spPr>
      </xdr:pic>
      <xdr:pic>
        <xdr:nvPicPr>
          <xdr:cNvPr id="51" name="Picture 50">
            <a:extLst>
              <a:ext uri="{FF2B5EF4-FFF2-40B4-BE49-F238E27FC236}">
                <a16:creationId xmlns:a16="http://schemas.microsoft.com/office/drawing/2014/main" id="{17F83965-5F86-4E68-B29B-B2BBBF6CDC94}"/>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3021229" y="7410488"/>
            <a:ext cx="1671476" cy="1260000"/>
          </a:xfrm>
          <a:prstGeom prst="rect">
            <a:avLst/>
          </a:prstGeom>
          <a:ln>
            <a:solidFill>
              <a:schemeClr val="tx1"/>
            </a:solidFill>
          </a:ln>
        </xdr:spPr>
      </xdr:pic>
      <xdr:sp macro="" textlink="">
        <xdr:nvSpPr>
          <xdr:cNvPr id="52" name="TextBox 308">
            <a:extLst>
              <a:ext uri="{FF2B5EF4-FFF2-40B4-BE49-F238E27FC236}">
                <a16:creationId xmlns:a16="http://schemas.microsoft.com/office/drawing/2014/main" id="{AD320797-9DEB-4670-A2BB-EDA6929F7DD8}"/>
              </a:ext>
            </a:extLst>
          </xdr:cNvPr>
          <xdr:cNvSpPr txBox="1"/>
        </xdr:nvSpPr>
        <xdr:spPr>
          <a:xfrm>
            <a:off x="962657" y="473512"/>
            <a:ext cx="32412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A</a:t>
            </a:r>
            <a:endParaRPr lang="en-IN" b="1">
              <a:solidFill>
                <a:srgbClr val="FF0000"/>
              </a:solidFill>
            </a:endParaRPr>
          </a:p>
        </xdr:txBody>
      </xdr:sp>
      <xdr:sp macro="" textlink="">
        <xdr:nvSpPr>
          <xdr:cNvPr id="53" name="TextBox 309">
            <a:extLst>
              <a:ext uri="{FF2B5EF4-FFF2-40B4-BE49-F238E27FC236}">
                <a16:creationId xmlns:a16="http://schemas.microsoft.com/office/drawing/2014/main" id="{CF9EAFE8-1504-4E4C-B8B2-6FF573196FA2}"/>
              </a:ext>
            </a:extLst>
          </xdr:cNvPr>
          <xdr:cNvSpPr txBox="1"/>
        </xdr:nvSpPr>
        <xdr:spPr>
          <a:xfrm>
            <a:off x="1642190" y="842844"/>
            <a:ext cx="31451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a:t>
            </a:r>
            <a:endParaRPr lang="en-IN" b="1">
              <a:solidFill>
                <a:srgbClr val="FF0000"/>
              </a:solidFill>
            </a:endParaRPr>
          </a:p>
        </xdr:txBody>
      </xdr:sp>
      <xdr:sp macro="" textlink="">
        <xdr:nvSpPr>
          <xdr:cNvPr id="54" name="TextBox 310">
            <a:extLst>
              <a:ext uri="{FF2B5EF4-FFF2-40B4-BE49-F238E27FC236}">
                <a16:creationId xmlns:a16="http://schemas.microsoft.com/office/drawing/2014/main" id="{28875D52-45F2-4D09-AFFC-5EBA5655EA61}"/>
              </a:ext>
            </a:extLst>
          </xdr:cNvPr>
          <xdr:cNvSpPr txBox="1"/>
        </xdr:nvSpPr>
        <xdr:spPr>
          <a:xfrm>
            <a:off x="5580833" y="685492"/>
            <a:ext cx="31451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a:t>
            </a:r>
            <a:endParaRPr lang="en-IN" b="1">
              <a:solidFill>
                <a:srgbClr val="FF0000"/>
              </a:solidFill>
            </a:endParaRPr>
          </a:p>
        </xdr:txBody>
      </xdr:sp>
      <xdr:sp macro="" textlink="">
        <xdr:nvSpPr>
          <xdr:cNvPr id="55" name="TextBox 312">
            <a:extLst>
              <a:ext uri="{FF2B5EF4-FFF2-40B4-BE49-F238E27FC236}">
                <a16:creationId xmlns:a16="http://schemas.microsoft.com/office/drawing/2014/main" id="{F3F4DE9D-1241-420D-8B4B-39958FDD6564}"/>
              </a:ext>
            </a:extLst>
          </xdr:cNvPr>
          <xdr:cNvSpPr txBox="1"/>
        </xdr:nvSpPr>
        <xdr:spPr>
          <a:xfrm>
            <a:off x="1956700" y="6416402"/>
            <a:ext cx="92365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 Wing </a:t>
            </a:r>
            <a:endParaRPr lang="en-IN" b="1">
              <a:solidFill>
                <a:srgbClr val="FF0000"/>
              </a:solidFill>
            </a:endParaRPr>
          </a:p>
        </xdr:txBody>
      </xdr:sp>
      <xdr:sp macro="" textlink="">
        <xdr:nvSpPr>
          <xdr:cNvPr id="56" name="TextBox 313">
            <a:extLst>
              <a:ext uri="{FF2B5EF4-FFF2-40B4-BE49-F238E27FC236}">
                <a16:creationId xmlns:a16="http://schemas.microsoft.com/office/drawing/2014/main" id="{28C70780-ED91-4D59-8996-B99FCD3E3F4C}"/>
              </a:ext>
            </a:extLst>
          </xdr:cNvPr>
          <xdr:cNvSpPr txBox="1"/>
        </xdr:nvSpPr>
        <xdr:spPr>
          <a:xfrm>
            <a:off x="3415648" y="6303988"/>
            <a:ext cx="92365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 Wing </a:t>
            </a:r>
            <a:endParaRPr lang="en-IN" b="1">
              <a:solidFill>
                <a:srgbClr val="FF0000"/>
              </a:solidFill>
            </a:endParaRPr>
          </a:p>
        </xdr:txBody>
      </xdr:sp>
      <xdr:sp macro="" textlink="">
        <xdr:nvSpPr>
          <xdr:cNvPr id="57" name="TextBox 314">
            <a:extLst>
              <a:ext uri="{FF2B5EF4-FFF2-40B4-BE49-F238E27FC236}">
                <a16:creationId xmlns:a16="http://schemas.microsoft.com/office/drawing/2014/main" id="{33D1C952-E660-4EC4-B756-8F21219373DC}"/>
              </a:ext>
            </a:extLst>
          </xdr:cNvPr>
          <xdr:cNvSpPr txBox="1"/>
        </xdr:nvSpPr>
        <xdr:spPr>
          <a:xfrm>
            <a:off x="5032257" y="6785734"/>
            <a:ext cx="92365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 Wing </a:t>
            </a:r>
            <a:endParaRPr lang="en-IN" b="1">
              <a:solidFill>
                <a:srgbClr val="FF0000"/>
              </a:solidFill>
            </a:endParaRPr>
          </a:p>
        </xdr:txBody>
      </xdr:sp>
      <xdr:sp macro="" textlink="">
        <xdr:nvSpPr>
          <xdr:cNvPr id="58" name="TextBox 315">
            <a:extLst>
              <a:ext uri="{FF2B5EF4-FFF2-40B4-BE49-F238E27FC236}">
                <a16:creationId xmlns:a16="http://schemas.microsoft.com/office/drawing/2014/main" id="{243925B4-4BEA-4859-8EED-48062CDF92ED}"/>
              </a:ext>
            </a:extLst>
          </xdr:cNvPr>
          <xdr:cNvSpPr txBox="1"/>
        </xdr:nvSpPr>
        <xdr:spPr>
          <a:xfrm>
            <a:off x="1018880" y="4331300"/>
            <a:ext cx="928459"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A Wing </a:t>
            </a:r>
            <a:endParaRPr lang="en-IN" b="1">
              <a:solidFill>
                <a:srgbClr val="FF0000"/>
              </a:solidFill>
            </a:endParaRPr>
          </a:p>
        </xdr:txBody>
      </xdr:sp>
      <xdr:sp macro="" textlink="">
        <xdr:nvSpPr>
          <xdr:cNvPr id="59" name="TextBox 316">
            <a:extLst>
              <a:ext uri="{FF2B5EF4-FFF2-40B4-BE49-F238E27FC236}">
                <a16:creationId xmlns:a16="http://schemas.microsoft.com/office/drawing/2014/main" id="{51654F41-406F-43B0-A4CE-D56861C4FC28}"/>
              </a:ext>
            </a:extLst>
          </xdr:cNvPr>
          <xdr:cNvSpPr txBox="1"/>
        </xdr:nvSpPr>
        <xdr:spPr>
          <a:xfrm>
            <a:off x="3020542" y="4387334"/>
            <a:ext cx="928459"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A Wing </a:t>
            </a:r>
            <a:endParaRPr lang="en-IN" b="1">
              <a:solidFill>
                <a:srgbClr val="FF0000"/>
              </a:solidFill>
            </a:endParaRPr>
          </a:p>
        </xdr:txBody>
      </xdr:sp>
      <xdr:sp macro="" textlink="">
        <xdr:nvSpPr>
          <xdr:cNvPr id="60" name="TextBox 317">
            <a:extLst>
              <a:ext uri="{FF2B5EF4-FFF2-40B4-BE49-F238E27FC236}">
                <a16:creationId xmlns:a16="http://schemas.microsoft.com/office/drawing/2014/main" id="{1EE6889F-E10E-466B-BA7F-5855A8285656}"/>
              </a:ext>
            </a:extLst>
          </xdr:cNvPr>
          <xdr:cNvSpPr txBox="1"/>
        </xdr:nvSpPr>
        <xdr:spPr>
          <a:xfrm>
            <a:off x="5331191" y="4262801"/>
            <a:ext cx="928459"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A Wing </a:t>
            </a:r>
            <a:endParaRPr lang="en-IN" b="1">
              <a:solidFill>
                <a:srgbClr val="FF0000"/>
              </a:solidFill>
            </a:endParaRPr>
          </a:p>
        </xdr:txBody>
      </xdr:sp>
      <xdr:sp macro="" textlink="">
        <xdr:nvSpPr>
          <xdr:cNvPr id="61" name="TextBox 318">
            <a:extLst>
              <a:ext uri="{FF2B5EF4-FFF2-40B4-BE49-F238E27FC236}">
                <a16:creationId xmlns:a16="http://schemas.microsoft.com/office/drawing/2014/main" id="{40F075EB-D254-4989-82DB-8986C03C1B47}"/>
              </a:ext>
            </a:extLst>
          </xdr:cNvPr>
          <xdr:cNvSpPr txBox="1"/>
        </xdr:nvSpPr>
        <xdr:spPr>
          <a:xfrm>
            <a:off x="3318714" y="500826"/>
            <a:ext cx="928459"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A Wing </a:t>
            </a:r>
            <a:endParaRPr lang="en-IN" b="1">
              <a:solidFill>
                <a:srgbClr val="FF0000"/>
              </a:solidFill>
            </a:endParaRPr>
          </a:p>
        </xdr:txBody>
      </xdr:sp>
      <xdr:sp macro="" textlink="">
        <xdr:nvSpPr>
          <xdr:cNvPr id="62" name="TextBox 319">
            <a:extLst>
              <a:ext uri="{FF2B5EF4-FFF2-40B4-BE49-F238E27FC236}">
                <a16:creationId xmlns:a16="http://schemas.microsoft.com/office/drawing/2014/main" id="{1899D61A-C789-40ED-9E35-6788D7384EBE}"/>
              </a:ext>
            </a:extLst>
          </xdr:cNvPr>
          <xdr:cNvSpPr txBox="1"/>
        </xdr:nvSpPr>
        <xdr:spPr>
          <a:xfrm>
            <a:off x="5771528" y="685492"/>
            <a:ext cx="736099"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t>
            </a:r>
            <a:endParaRPr lang="en-IN" b="1">
              <a:solidFill>
                <a:srgbClr val="FF0000"/>
              </a:solidFill>
            </a:endParaRPr>
          </a:p>
        </xdr:txBody>
      </xdr:sp>
    </xdr:grpSp>
    <xdr:clientData/>
  </xdr:twoCellAnchor>
  <xdr:twoCellAnchor>
    <xdr:from>
      <xdr:col>0</xdr:col>
      <xdr:colOff>342900</xdr:colOff>
      <xdr:row>219</xdr:row>
      <xdr:rowOff>133350</xdr:rowOff>
    </xdr:from>
    <xdr:to>
      <xdr:col>7</xdr:col>
      <xdr:colOff>589876</xdr:colOff>
      <xdr:row>251</xdr:row>
      <xdr:rowOff>102512</xdr:rowOff>
    </xdr:to>
    <xdr:grpSp>
      <xdr:nvGrpSpPr>
        <xdr:cNvPr id="5" name="Group 4"/>
        <xdr:cNvGrpSpPr/>
      </xdr:nvGrpSpPr>
      <xdr:grpSpPr>
        <a:xfrm>
          <a:off x="342900" y="38550850"/>
          <a:ext cx="6101676" cy="6262012"/>
          <a:chOff x="342900" y="38544500"/>
          <a:chExt cx="6101676" cy="6262012"/>
        </a:xfrm>
      </xdr:grpSpPr>
      <xdr:pic>
        <xdr:nvPicPr>
          <xdr:cNvPr id="76" name="Picture 75"/>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42900" y="38544500"/>
            <a:ext cx="2978284" cy="3960000"/>
          </a:xfrm>
          <a:prstGeom prst="rect">
            <a:avLst/>
          </a:prstGeom>
          <a:ln>
            <a:solidFill>
              <a:schemeClr val="tx1"/>
            </a:solidFill>
          </a:ln>
        </xdr:spPr>
      </xdr:pic>
      <xdr:pic>
        <xdr:nvPicPr>
          <xdr:cNvPr id="77" name="Picture 76"/>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1056883" y="42646512"/>
            <a:ext cx="1617750" cy="2160000"/>
          </a:xfrm>
          <a:prstGeom prst="rect">
            <a:avLst/>
          </a:prstGeom>
          <a:ln>
            <a:solidFill>
              <a:schemeClr val="tx1"/>
            </a:solidFill>
          </a:ln>
        </xdr:spPr>
      </xdr:pic>
      <xdr:pic>
        <xdr:nvPicPr>
          <xdr:cNvPr id="78" name="Picture 77"/>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3466292" y="38544500"/>
            <a:ext cx="2978284" cy="3960000"/>
          </a:xfrm>
          <a:prstGeom prst="rect">
            <a:avLst/>
          </a:prstGeom>
          <a:ln>
            <a:solidFill>
              <a:schemeClr val="tx1"/>
            </a:solidFill>
          </a:ln>
        </xdr:spPr>
      </xdr:pic>
      <xdr:pic>
        <xdr:nvPicPr>
          <xdr:cNvPr id="79" name="Picture 78"/>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2829082" y="42646512"/>
            <a:ext cx="2865387"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HQeTWRMKBHiSpdta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06"/>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9" customWidth="1"/>
    <col min="2" max="2" width="12" style="39" customWidth="1"/>
    <col min="3" max="3" width="12.7265625" style="39" customWidth="1"/>
    <col min="4" max="4" width="13.7265625" style="39" customWidth="1"/>
    <col min="5" max="5" width="11.7265625" style="39" customWidth="1"/>
    <col min="6" max="6" width="11.1796875" style="39" customWidth="1"/>
    <col min="7" max="7" width="11" style="39" customWidth="1"/>
    <col min="8" max="8" width="15.54296875" style="39" customWidth="1"/>
    <col min="9" max="9" width="17.453125" style="20" customWidth="1"/>
    <col min="10" max="10" width="11.453125" style="20" customWidth="1"/>
    <col min="11" max="11" width="10.54296875" style="20" bestFit="1" customWidth="1"/>
    <col min="12" max="12" width="13.81640625" style="20" bestFit="1" customWidth="1"/>
    <col min="13" max="13" width="11.81640625" style="20" customWidth="1"/>
    <col min="14" max="14" width="12.54296875" style="20" customWidth="1"/>
    <col min="15" max="15" width="12.1796875" style="20" customWidth="1"/>
    <col min="16" max="16" width="11.7265625" style="20" customWidth="1"/>
    <col min="17" max="18" width="9.1796875" style="20"/>
    <col min="19" max="19" width="10.81640625" style="20" bestFit="1" customWidth="1"/>
    <col min="20" max="20" width="10.7265625" style="20" customWidth="1"/>
    <col min="21" max="247" width="9.1796875" style="20"/>
    <col min="248" max="248" width="8.7265625" style="20" customWidth="1"/>
    <col min="249" max="249" width="9.81640625" style="20" customWidth="1"/>
    <col min="250" max="250" width="14.453125" style="20" customWidth="1"/>
    <col min="251" max="251" width="7.26953125" style="20" customWidth="1"/>
    <col min="252" max="252" width="5.54296875" style="20" customWidth="1"/>
    <col min="253" max="253" width="9" style="20" customWidth="1"/>
    <col min="254" max="255" width="9.81640625" style="20" customWidth="1"/>
    <col min="256" max="256" width="11.1796875" style="20" customWidth="1"/>
    <col min="257" max="257" width="2.81640625" style="20" customWidth="1"/>
    <col min="258" max="258" width="3.54296875" style="20" customWidth="1"/>
    <col min="259" max="503" width="9.1796875" style="20"/>
    <col min="504" max="504" width="8.7265625" style="20" customWidth="1"/>
    <col min="505" max="505" width="9.81640625" style="20" customWidth="1"/>
    <col min="506" max="506" width="14.453125" style="20" customWidth="1"/>
    <col min="507" max="507" width="7.26953125" style="20" customWidth="1"/>
    <col min="508" max="508" width="5.54296875" style="20" customWidth="1"/>
    <col min="509" max="509" width="9" style="20" customWidth="1"/>
    <col min="510" max="511" width="9.81640625" style="20" customWidth="1"/>
    <col min="512" max="512" width="11.1796875" style="20" customWidth="1"/>
    <col min="513" max="513" width="2.81640625" style="20" customWidth="1"/>
    <col min="514" max="514" width="3.54296875" style="20" customWidth="1"/>
    <col min="515" max="759" width="9.1796875" style="20"/>
    <col min="760" max="760" width="8.7265625" style="20" customWidth="1"/>
    <col min="761" max="761" width="9.81640625" style="20" customWidth="1"/>
    <col min="762" max="762" width="14.453125" style="20" customWidth="1"/>
    <col min="763" max="763" width="7.26953125" style="20" customWidth="1"/>
    <col min="764" max="764" width="5.54296875" style="20" customWidth="1"/>
    <col min="765" max="765" width="9" style="20" customWidth="1"/>
    <col min="766" max="767" width="9.81640625" style="20" customWidth="1"/>
    <col min="768" max="768" width="11.1796875" style="20" customWidth="1"/>
    <col min="769" max="769" width="2.81640625" style="20" customWidth="1"/>
    <col min="770" max="770" width="3.54296875" style="20" customWidth="1"/>
    <col min="771" max="1015" width="9.1796875" style="20"/>
    <col min="1016" max="1016" width="8.7265625" style="20" customWidth="1"/>
    <col min="1017" max="1017" width="9.81640625" style="20" customWidth="1"/>
    <col min="1018" max="1018" width="14.453125" style="20" customWidth="1"/>
    <col min="1019" max="1019" width="7.26953125" style="20" customWidth="1"/>
    <col min="1020" max="1020" width="5.54296875" style="20" customWidth="1"/>
    <col min="1021" max="1021" width="9" style="20" customWidth="1"/>
    <col min="1022" max="1023" width="9.81640625" style="20" customWidth="1"/>
    <col min="1024" max="1024" width="11.1796875" style="20" customWidth="1"/>
    <col min="1025" max="1025" width="2.81640625" style="20" customWidth="1"/>
    <col min="1026" max="1026" width="3.54296875" style="20" customWidth="1"/>
    <col min="1027" max="1271" width="9.1796875" style="20"/>
    <col min="1272" max="1272" width="8.7265625" style="20" customWidth="1"/>
    <col min="1273" max="1273" width="9.81640625" style="20" customWidth="1"/>
    <col min="1274" max="1274" width="14.453125" style="20" customWidth="1"/>
    <col min="1275" max="1275" width="7.26953125" style="20" customWidth="1"/>
    <col min="1276" max="1276" width="5.54296875" style="20" customWidth="1"/>
    <col min="1277" max="1277" width="9" style="20" customWidth="1"/>
    <col min="1278" max="1279" width="9.81640625" style="20" customWidth="1"/>
    <col min="1280" max="1280" width="11.1796875" style="20" customWidth="1"/>
    <col min="1281" max="1281" width="2.81640625" style="20" customWidth="1"/>
    <col min="1282" max="1282" width="3.54296875" style="20" customWidth="1"/>
    <col min="1283" max="1527" width="9.1796875" style="20"/>
    <col min="1528" max="1528" width="8.7265625" style="20" customWidth="1"/>
    <col min="1529" max="1529" width="9.81640625" style="20" customWidth="1"/>
    <col min="1530" max="1530" width="14.453125" style="20" customWidth="1"/>
    <col min="1531" max="1531" width="7.26953125" style="20" customWidth="1"/>
    <col min="1532" max="1532" width="5.54296875" style="20" customWidth="1"/>
    <col min="1533" max="1533" width="9" style="20" customWidth="1"/>
    <col min="1534" max="1535" width="9.81640625" style="20" customWidth="1"/>
    <col min="1536" max="1536" width="11.1796875" style="20" customWidth="1"/>
    <col min="1537" max="1537" width="2.81640625" style="20" customWidth="1"/>
    <col min="1538" max="1538" width="3.54296875" style="20" customWidth="1"/>
    <col min="1539" max="1783" width="9.1796875" style="20"/>
    <col min="1784" max="1784" width="8.7265625" style="20" customWidth="1"/>
    <col min="1785" max="1785" width="9.81640625" style="20" customWidth="1"/>
    <col min="1786" max="1786" width="14.453125" style="20" customWidth="1"/>
    <col min="1787" max="1787" width="7.26953125" style="20" customWidth="1"/>
    <col min="1788" max="1788" width="5.54296875" style="20" customWidth="1"/>
    <col min="1789" max="1789" width="9" style="20" customWidth="1"/>
    <col min="1790" max="1791" width="9.81640625" style="20" customWidth="1"/>
    <col min="1792" max="1792" width="11.1796875" style="20" customWidth="1"/>
    <col min="1793" max="1793" width="2.81640625" style="20" customWidth="1"/>
    <col min="1794" max="1794" width="3.54296875" style="20" customWidth="1"/>
    <col min="1795" max="2039" width="9.1796875" style="20"/>
    <col min="2040" max="2040" width="8.7265625" style="20" customWidth="1"/>
    <col min="2041" max="2041" width="9.81640625" style="20" customWidth="1"/>
    <col min="2042" max="2042" width="14.453125" style="20" customWidth="1"/>
    <col min="2043" max="2043" width="7.26953125" style="20" customWidth="1"/>
    <col min="2044" max="2044" width="5.54296875" style="20" customWidth="1"/>
    <col min="2045" max="2045" width="9" style="20" customWidth="1"/>
    <col min="2046" max="2047" width="9.81640625" style="20" customWidth="1"/>
    <col min="2048" max="2048" width="11.1796875" style="20" customWidth="1"/>
    <col min="2049" max="2049" width="2.81640625" style="20" customWidth="1"/>
    <col min="2050" max="2050" width="3.54296875" style="20" customWidth="1"/>
    <col min="2051" max="2295" width="9.1796875" style="20"/>
    <col min="2296" max="2296" width="8.7265625" style="20" customWidth="1"/>
    <col min="2297" max="2297" width="9.81640625" style="20" customWidth="1"/>
    <col min="2298" max="2298" width="14.453125" style="20" customWidth="1"/>
    <col min="2299" max="2299" width="7.26953125" style="20" customWidth="1"/>
    <col min="2300" max="2300" width="5.54296875" style="20" customWidth="1"/>
    <col min="2301" max="2301" width="9" style="20" customWidth="1"/>
    <col min="2302" max="2303" width="9.81640625" style="20" customWidth="1"/>
    <col min="2304" max="2304" width="11.1796875" style="20" customWidth="1"/>
    <col min="2305" max="2305" width="2.81640625" style="20" customWidth="1"/>
    <col min="2306" max="2306" width="3.54296875" style="20" customWidth="1"/>
    <col min="2307" max="2551" width="9.1796875" style="20"/>
    <col min="2552" max="2552" width="8.7265625" style="20" customWidth="1"/>
    <col min="2553" max="2553" width="9.81640625" style="20" customWidth="1"/>
    <col min="2554" max="2554" width="14.453125" style="20" customWidth="1"/>
    <col min="2555" max="2555" width="7.26953125" style="20" customWidth="1"/>
    <col min="2556" max="2556" width="5.54296875" style="20" customWidth="1"/>
    <col min="2557" max="2557" width="9" style="20" customWidth="1"/>
    <col min="2558" max="2559" width="9.81640625" style="20" customWidth="1"/>
    <col min="2560" max="2560" width="11.1796875" style="20" customWidth="1"/>
    <col min="2561" max="2561" width="2.81640625" style="20" customWidth="1"/>
    <col min="2562" max="2562" width="3.54296875" style="20" customWidth="1"/>
    <col min="2563" max="2807" width="9.1796875" style="20"/>
    <col min="2808" max="2808" width="8.7265625" style="20" customWidth="1"/>
    <col min="2809" max="2809" width="9.81640625" style="20" customWidth="1"/>
    <col min="2810" max="2810" width="14.453125" style="20" customWidth="1"/>
    <col min="2811" max="2811" width="7.26953125" style="20" customWidth="1"/>
    <col min="2812" max="2812" width="5.54296875" style="20" customWidth="1"/>
    <col min="2813" max="2813" width="9" style="20" customWidth="1"/>
    <col min="2814" max="2815" width="9.81640625" style="20" customWidth="1"/>
    <col min="2816" max="2816" width="11.1796875" style="20" customWidth="1"/>
    <col min="2817" max="2817" width="2.81640625" style="20" customWidth="1"/>
    <col min="2818" max="2818" width="3.54296875" style="20" customWidth="1"/>
    <col min="2819" max="3063" width="9.1796875" style="20"/>
    <col min="3064" max="3064" width="8.7265625" style="20" customWidth="1"/>
    <col min="3065" max="3065" width="9.81640625" style="20" customWidth="1"/>
    <col min="3066" max="3066" width="14.453125" style="20" customWidth="1"/>
    <col min="3067" max="3067" width="7.26953125" style="20" customWidth="1"/>
    <col min="3068" max="3068" width="5.54296875" style="20" customWidth="1"/>
    <col min="3069" max="3069" width="9" style="20" customWidth="1"/>
    <col min="3070" max="3071" width="9.81640625" style="20" customWidth="1"/>
    <col min="3072" max="3072" width="11.1796875" style="20" customWidth="1"/>
    <col min="3073" max="3073" width="2.81640625" style="20" customWidth="1"/>
    <col min="3074" max="3074" width="3.54296875" style="20" customWidth="1"/>
    <col min="3075" max="3319" width="9.1796875" style="20"/>
    <col min="3320" max="3320" width="8.7265625" style="20" customWidth="1"/>
    <col min="3321" max="3321" width="9.81640625" style="20" customWidth="1"/>
    <col min="3322" max="3322" width="14.453125" style="20" customWidth="1"/>
    <col min="3323" max="3323" width="7.26953125" style="20" customWidth="1"/>
    <col min="3324" max="3324" width="5.54296875" style="20" customWidth="1"/>
    <col min="3325" max="3325" width="9" style="20" customWidth="1"/>
    <col min="3326" max="3327" width="9.81640625" style="20" customWidth="1"/>
    <col min="3328" max="3328" width="11.1796875" style="20" customWidth="1"/>
    <col min="3329" max="3329" width="2.81640625" style="20" customWidth="1"/>
    <col min="3330" max="3330" width="3.54296875" style="20" customWidth="1"/>
    <col min="3331" max="3575" width="9.1796875" style="20"/>
    <col min="3576" max="3576" width="8.7265625" style="20" customWidth="1"/>
    <col min="3577" max="3577" width="9.81640625" style="20" customWidth="1"/>
    <col min="3578" max="3578" width="14.453125" style="20" customWidth="1"/>
    <col min="3579" max="3579" width="7.26953125" style="20" customWidth="1"/>
    <col min="3580" max="3580" width="5.54296875" style="20" customWidth="1"/>
    <col min="3581" max="3581" width="9" style="20" customWidth="1"/>
    <col min="3582" max="3583" width="9.81640625" style="20" customWidth="1"/>
    <col min="3584" max="3584" width="11.1796875" style="20" customWidth="1"/>
    <col min="3585" max="3585" width="2.81640625" style="20" customWidth="1"/>
    <col min="3586" max="3586" width="3.54296875" style="20" customWidth="1"/>
    <col min="3587" max="3831" width="9.1796875" style="20"/>
    <col min="3832" max="3832" width="8.7265625" style="20" customWidth="1"/>
    <col min="3833" max="3833" width="9.81640625" style="20" customWidth="1"/>
    <col min="3834" max="3834" width="14.453125" style="20" customWidth="1"/>
    <col min="3835" max="3835" width="7.26953125" style="20" customWidth="1"/>
    <col min="3836" max="3836" width="5.54296875" style="20" customWidth="1"/>
    <col min="3837" max="3837" width="9" style="20" customWidth="1"/>
    <col min="3838" max="3839" width="9.81640625" style="20" customWidth="1"/>
    <col min="3840" max="3840" width="11.1796875" style="20" customWidth="1"/>
    <col min="3841" max="3841" width="2.81640625" style="20" customWidth="1"/>
    <col min="3842" max="3842" width="3.54296875" style="20" customWidth="1"/>
    <col min="3843" max="4087" width="9.1796875" style="20"/>
    <col min="4088" max="4088" width="8.7265625" style="20" customWidth="1"/>
    <col min="4089" max="4089" width="9.81640625" style="20" customWidth="1"/>
    <col min="4090" max="4090" width="14.453125" style="20" customWidth="1"/>
    <col min="4091" max="4091" width="7.26953125" style="20" customWidth="1"/>
    <col min="4092" max="4092" width="5.54296875" style="20" customWidth="1"/>
    <col min="4093" max="4093" width="9" style="20" customWidth="1"/>
    <col min="4094" max="4095" width="9.81640625" style="20" customWidth="1"/>
    <col min="4096" max="4096" width="11.1796875" style="20" customWidth="1"/>
    <col min="4097" max="4097" width="2.81640625" style="20" customWidth="1"/>
    <col min="4098" max="4098" width="3.54296875" style="20" customWidth="1"/>
    <col min="4099" max="4343" width="9.1796875" style="20"/>
    <col min="4344" max="4344" width="8.7265625" style="20" customWidth="1"/>
    <col min="4345" max="4345" width="9.81640625" style="20" customWidth="1"/>
    <col min="4346" max="4346" width="14.453125" style="20" customWidth="1"/>
    <col min="4347" max="4347" width="7.26953125" style="20" customWidth="1"/>
    <col min="4348" max="4348" width="5.54296875" style="20" customWidth="1"/>
    <col min="4349" max="4349" width="9" style="20" customWidth="1"/>
    <col min="4350" max="4351" width="9.81640625" style="20" customWidth="1"/>
    <col min="4352" max="4352" width="11.1796875" style="20" customWidth="1"/>
    <col min="4353" max="4353" width="2.81640625" style="20" customWidth="1"/>
    <col min="4354" max="4354" width="3.54296875" style="20" customWidth="1"/>
    <col min="4355" max="4599" width="9.1796875" style="20"/>
    <col min="4600" max="4600" width="8.7265625" style="20" customWidth="1"/>
    <col min="4601" max="4601" width="9.81640625" style="20" customWidth="1"/>
    <col min="4602" max="4602" width="14.453125" style="20" customWidth="1"/>
    <col min="4603" max="4603" width="7.26953125" style="20" customWidth="1"/>
    <col min="4604" max="4604" width="5.54296875" style="20" customWidth="1"/>
    <col min="4605" max="4605" width="9" style="20" customWidth="1"/>
    <col min="4606" max="4607" width="9.81640625" style="20" customWidth="1"/>
    <col min="4608" max="4608" width="11.1796875" style="20" customWidth="1"/>
    <col min="4609" max="4609" width="2.81640625" style="20" customWidth="1"/>
    <col min="4610" max="4610" width="3.54296875" style="20" customWidth="1"/>
    <col min="4611" max="4855" width="9.1796875" style="20"/>
    <col min="4856" max="4856" width="8.7265625" style="20" customWidth="1"/>
    <col min="4857" max="4857" width="9.81640625" style="20" customWidth="1"/>
    <col min="4858" max="4858" width="14.453125" style="20" customWidth="1"/>
    <col min="4859" max="4859" width="7.26953125" style="20" customWidth="1"/>
    <col min="4860" max="4860" width="5.54296875" style="20" customWidth="1"/>
    <col min="4861" max="4861" width="9" style="20" customWidth="1"/>
    <col min="4862" max="4863" width="9.81640625" style="20" customWidth="1"/>
    <col min="4864" max="4864" width="11.1796875" style="20" customWidth="1"/>
    <col min="4865" max="4865" width="2.81640625" style="20" customWidth="1"/>
    <col min="4866" max="4866" width="3.54296875" style="20" customWidth="1"/>
    <col min="4867" max="5111" width="9.1796875" style="20"/>
    <col min="5112" max="5112" width="8.7265625" style="20" customWidth="1"/>
    <col min="5113" max="5113" width="9.81640625" style="20" customWidth="1"/>
    <col min="5114" max="5114" width="14.453125" style="20" customWidth="1"/>
    <col min="5115" max="5115" width="7.26953125" style="20" customWidth="1"/>
    <col min="5116" max="5116" width="5.54296875" style="20" customWidth="1"/>
    <col min="5117" max="5117" width="9" style="20" customWidth="1"/>
    <col min="5118" max="5119" width="9.81640625" style="20" customWidth="1"/>
    <col min="5120" max="5120" width="11.1796875" style="20" customWidth="1"/>
    <col min="5121" max="5121" width="2.81640625" style="20" customWidth="1"/>
    <col min="5122" max="5122" width="3.54296875" style="20" customWidth="1"/>
    <col min="5123" max="5367" width="9.1796875" style="20"/>
    <col min="5368" max="5368" width="8.7265625" style="20" customWidth="1"/>
    <col min="5369" max="5369" width="9.81640625" style="20" customWidth="1"/>
    <col min="5370" max="5370" width="14.453125" style="20" customWidth="1"/>
    <col min="5371" max="5371" width="7.26953125" style="20" customWidth="1"/>
    <col min="5372" max="5372" width="5.54296875" style="20" customWidth="1"/>
    <col min="5373" max="5373" width="9" style="20" customWidth="1"/>
    <col min="5374" max="5375" width="9.81640625" style="20" customWidth="1"/>
    <col min="5376" max="5376" width="11.1796875" style="20" customWidth="1"/>
    <col min="5377" max="5377" width="2.81640625" style="20" customWidth="1"/>
    <col min="5378" max="5378" width="3.54296875" style="20" customWidth="1"/>
    <col min="5379" max="5623" width="9.1796875" style="20"/>
    <col min="5624" max="5624" width="8.7265625" style="20" customWidth="1"/>
    <col min="5625" max="5625" width="9.81640625" style="20" customWidth="1"/>
    <col min="5626" max="5626" width="14.453125" style="20" customWidth="1"/>
    <col min="5627" max="5627" width="7.26953125" style="20" customWidth="1"/>
    <col min="5628" max="5628" width="5.54296875" style="20" customWidth="1"/>
    <col min="5629" max="5629" width="9" style="20" customWidth="1"/>
    <col min="5630" max="5631" width="9.81640625" style="20" customWidth="1"/>
    <col min="5632" max="5632" width="11.1796875" style="20" customWidth="1"/>
    <col min="5633" max="5633" width="2.81640625" style="20" customWidth="1"/>
    <col min="5634" max="5634" width="3.54296875" style="20" customWidth="1"/>
    <col min="5635" max="5879" width="9.1796875" style="20"/>
    <col min="5880" max="5880" width="8.7265625" style="20" customWidth="1"/>
    <col min="5881" max="5881" width="9.81640625" style="20" customWidth="1"/>
    <col min="5882" max="5882" width="14.453125" style="20" customWidth="1"/>
    <col min="5883" max="5883" width="7.26953125" style="20" customWidth="1"/>
    <col min="5884" max="5884" width="5.54296875" style="20" customWidth="1"/>
    <col min="5885" max="5885" width="9" style="20" customWidth="1"/>
    <col min="5886" max="5887" width="9.81640625" style="20" customWidth="1"/>
    <col min="5888" max="5888" width="11.1796875" style="20" customWidth="1"/>
    <col min="5889" max="5889" width="2.81640625" style="20" customWidth="1"/>
    <col min="5890" max="5890" width="3.54296875" style="20" customWidth="1"/>
    <col min="5891" max="6135" width="9.1796875" style="20"/>
    <col min="6136" max="6136" width="8.7265625" style="20" customWidth="1"/>
    <col min="6137" max="6137" width="9.81640625" style="20" customWidth="1"/>
    <col min="6138" max="6138" width="14.453125" style="20" customWidth="1"/>
    <col min="6139" max="6139" width="7.26953125" style="20" customWidth="1"/>
    <col min="6140" max="6140" width="5.54296875" style="20" customWidth="1"/>
    <col min="6141" max="6141" width="9" style="20" customWidth="1"/>
    <col min="6142" max="6143" width="9.81640625" style="20" customWidth="1"/>
    <col min="6144" max="6144" width="11.1796875" style="20" customWidth="1"/>
    <col min="6145" max="6145" width="2.81640625" style="20" customWidth="1"/>
    <col min="6146" max="6146" width="3.54296875" style="20" customWidth="1"/>
    <col min="6147" max="6391" width="9.1796875" style="20"/>
    <col min="6392" max="6392" width="8.7265625" style="20" customWidth="1"/>
    <col min="6393" max="6393" width="9.81640625" style="20" customWidth="1"/>
    <col min="6394" max="6394" width="14.453125" style="20" customWidth="1"/>
    <col min="6395" max="6395" width="7.26953125" style="20" customWidth="1"/>
    <col min="6396" max="6396" width="5.54296875" style="20" customWidth="1"/>
    <col min="6397" max="6397" width="9" style="20" customWidth="1"/>
    <col min="6398" max="6399" width="9.81640625" style="20" customWidth="1"/>
    <col min="6400" max="6400" width="11.1796875" style="20" customWidth="1"/>
    <col min="6401" max="6401" width="2.81640625" style="20" customWidth="1"/>
    <col min="6402" max="6402" width="3.54296875" style="20" customWidth="1"/>
    <col min="6403" max="6647" width="9.1796875" style="20"/>
    <col min="6648" max="6648" width="8.7265625" style="20" customWidth="1"/>
    <col min="6649" max="6649" width="9.81640625" style="20" customWidth="1"/>
    <col min="6650" max="6650" width="14.453125" style="20" customWidth="1"/>
    <col min="6651" max="6651" width="7.26953125" style="20" customWidth="1"/>
    <col min="6652" max="6652" width="5.54296875" style="20" customWidth="1"/>
    <col min="6653" max="6653" width="9" style="20" customWidth="1"/>
    <col min="6654" max="6655" width="9.81640625" style="20" customWidth="1"/>
    <col min="6656" max="6656" width="11.1796875" style="20" customWidth="1"/>
    <col min="6657" max="6657" width="2.81640625" style="20" customWidth="1"/>
    <col min="6658" max="6658" width="3.54296875" style="20" customWidth="1"/>
    <col min="6659" max="6903" width="9.1796875" style="20"/>
    <col min="6904" max="6904" width="8.7265625" style="20" customWidth="1"/>
    <col min="6905" max="6905" width="9.81640625" style="20" customWidth="1"/>
    <col min="6906" max="6906" width="14.453125" style="20" customWidth="1"/>
    <col min="6907" max="6907" width="7.26953125" style="20" customWidth="1"/>
    <col min="6908" max="6908" width="5.54296875" style="20" customWidth="1"/>
    <col min="6909" max="6909" width="9" style="20" customWidth="1"/>
    <col min="6910" max="6911" width="9.81640625" style="20" customWidth="1"/>
    <col min="6912" max="6912" width="11.1796875" style="20" customWidth="1"/>
    <col min="6913" max="6913" width="2.81640625" style="20" customWidth="1"/>
    <col min="6914" max="6914" width="3.54296875" style="20" customWidth="1"/>
    <col min="6915" max="7159" width="9.1796875" style="20"/>
    <col min="7160" max="7160" width="8.7265625" style="20" customWidth="1"/>
    <col min="7161" max="7161" width="9.81640625" style="20" customWidth="1"/>
    <col min="7162" max="7162" width="14.453125" style="20" customWidth="1"/>
    <col min="7163" max="7163" width="7.26953125" style="20" customWidth="1"/>
    <col min="7164" max="7164" width="5.54296875" style="20" customWidth="1"/>
    <col min="7165" max="7165" width="9" style="20" customWidth="1"/>
    <col min="7166" max="7167" width="9.81640625" style="20" customWidth="1"/>
    <col min="7168" max="7168" width="11.1796875" style="20" customWidth="1"/>
    <col min="7169" max="7169" width="2.81640625" style="20" customWidth="1"/>
    <col min="7170" max="7170" width="3.54296875" style="20" customWidth="1"/>
    <col min="7171" max="7415" width="9.1796875" style="20"/>
    <col min="7416" max="7416" width="8.7265625" style="20" customWidth="1"/>
    <col min="7417" max="7417" width="9.81640625" style="20" customWidth="1"/>
    <col min="7418" max="7418" width="14.453125" style="20" customWidth="1"/>
    <col min="7419" max="7419" width="7.26953125" style="20" customWidth="1"/>
    <col min="7420" max="7420" width="5.54296875" style="20" customWidth="1"/>
    <col min="7421" max="7421" width="9" style="20" customWidth="1"/>
    <col min="7422" max="7423" width="9.81640625" style="20" customWidth="1"/>
    <col min="7424" max="7424" width="11.1796875" style="20" customWidth="1"/>
    <col min="7425" max="7425" width="2.81640625" style="20" customWidth="1"/>
    <col min="7426" max="7426" width="3.54296875" style="20" customWidth="1"/>
    <col min="7427" max="7671" width="9.1796875" style="20"/>
    <col min="7672" max="7672" width="8.7265625" style="20" customWidth="1"/>
    <col min="7673" max="7673" width="9.81640625" style="20" customWidth="1"/>
    <col min="7674" max="7674" width="14.453125" style="20" customWidth="1"/>
    <col min="7675" max="7675" width="7.26953125" style="20" customWidth="1"/>
    <col min="7676" max="7676" width="5.54296875" style="20" customWidth="1"/>
    <col min="7677" max="7677" width="9" style="20" customWidth="1"/>
    <col min="7678" max="7679" width="9.81640625" style="20" customWidth="1"/>
    <col min="7680" max="7680" width="11.1796875" style="20" customWidth="1"/>
    <col min="7681" max="7681" width="2.81640625" style="20" customWidth="1"/>
    <col min="7682" max="7682" width="3.54296875" style="20" customWidth="1"/>
    <col min="7683" max="7927" width="9.1796875" style="20"/>
    <col min="7928" max="7928" width="8.7265625" style="20" customWidth="1"/>
    <col min="7929" max="7929" width="9.81640625" style="20" customWidth="1"/>
    <col min="7930" max="7930" width="14.453125" style="20" customWidth="1"/>
    <col min="7931" max="7931" width="7.26953125" style="20" customWidth="1"/>
    <col min="7932" max="7932" width="5.54296875" style="20" customWidth="1"/>
    <col min="7933" max="7933" width="9" style="20" customWidth="1"/>
    <col min="7934" max="7935" width="9.81640625" style="20" customWidth="1"/>
    <col min="7936" max="7936" width="11.1796875" style="20" customWidth="1"/>
    <col min="7937" max="7937" width="2.81640625" style="20" customWidth="1"/>
    <col min="7938" max="7938" width="3.54296875" style="20" customWidth="1"/>
    <col min="7939" max="8183" width="9.1796875" style="20"/>
    <col min="8184" max="8184" width="8.7265625" style="20" customWidth="1"/>
    <col min="8185" max="8185" width="9.81640625" style="20" customWidth="1"/>
    <col min="8186" max="8186" width="14.453125" style="20" customWidth="1"/>
    <col min="8187" max="8187" width="7.26953125" style="20" customWidth="1"/>
    <col min="8188" max="8188" width="5.54296875" style="20" customWidth="1"/>
    <col min="8189" max="8189" width="9" style="20" customWidth="1"/>
    <col min="8190" max="8191" width="9.81640625" style="20" customWidth="1"/>
    <col min="8192" max="8192" width="11.1796875" style="20" customWidth="1"/>
    <col min="8193" max="8193" width="2.81640625" style="20" customWidth="1"/>
    <col min="8194" max="8194" width="3.54296875" style="20" customWidth="1"/>
    <col min="8195" max="8439" width="9.1796875" style="20"/>
    <col min="8440" max="8440" width="8.7265625" style="20" customWidth="1"/>
    <col min="8441" max="8441" width="9.81640625" style="20" customWidth="1"/>
    <col min="8442" max="8442" width="14.453125" style="20" customWidth="1"/>
    <col min="8443" max="8443" width="7.26953125" style="20" customWidth="1"/>
    <col min="8444" max="8444" width="5.54296875" style="20" customWidth="1"/>
    <col min="8445" max="8445" width="9" style="20" customWidth="1"/>
    <col min="8446" max="8447" width="9.81640625" style="20" customWidth="1"/>
    <col min="8448" max="8448" width="11.1796875" style="20" customWidth="1"/>
    <col min="8449" max="8449" width="2.81640625" style="20" customWidth="1"/>
    <col min="8450" max="8450" width="3.54296875" style="20" customWidth="1"/>
    <col min="8451" max="8695" width="9.1796875" style="20"/>
    <col min="8696" max="8696" width="8.7265625" style="20" customWidth="1"/>
    <col min="8697" max="8697" width="9.81640625" style="20" customWidth="1"/>
    <col min="8698" max="8698" width="14.453125" style="20" customWidth="1"/>
    <col min="8699" max="8699" width="7.26953125" style="20" customWidth="1"/>
    <col min="8700" max="8700" width="5.54296875" style="20" customWidth="1"/>
    <col min="8701" max="8701" width="9" style="20" customWidth="1"/>
    <col min="8702" max="8703" width="9.81640625" style="20" customWidth="1"/>
    <col min="8704" max="8704" width="11.1796875" style="20" customWidth="1"/>
    <col min="8705" max="8705" width="2.81640625" style="20" customWidth="1"/>
    <col min="8706" max="8706" width="3.54296875" style="20" customWidth="1"/>
    <col min="8707" max="8951" width="9.1796875" style="20"/>
    <col min="8952" max="8952" width="8.7265625" style="20" customWidth="1"/>
    <col min="8953" max="8953" width="9.81640625" style="20" customWidth="1"/>
    <col min="8954" max="8954" width="14.453125" style="20" customWidth="1"/>
    <col min="8955" max="8955" width="7.26953125" style="20" customWidth="1"/>
    <col min="8956" max="8956" width="5.54296875" style="20" customWidth="1"/>
    <col min="8957" max="8957" width="9" style="20" customWidth="1"/>
    <col min="8958" max="8959" width="9.81640625" style="20" customWidth="1"/>
    <col min="8960" max="8960" width="11.1796875" style="20" customWidth="1"/>
    <col min="8961" max="8961" width="2.81640625" style="20" customWidth="1"/>
    <col min="8962" max="8962" width="3.54296875" style="20" customWidth="1"/>
    <col min="8963" max="9207" width="9.1796875" style="20"/>
    <col min="9208" max="9208" width="8.7265625" style="20" customWidth="1"/>
    <col min="9209" max="9209" width="9.81640625" style="20" customWidth="1"/>
    <col min="9210" max="9210" width="14.453125" style="20" customWidth="1"/>
    <col min="9211" max="9211" width="7.26953125" style="20" customWidth="1"/>
    <col min="9212" max="9212" width="5.54296875" style="20" customWidth="1"/>
    <col min="9213" max="9213" width="9" style="20" customWidth="1"/>
    <col min="9214" max="9215" width="9.81640625" style="20" customWidth="1"/>
    <col min="9216" max="9216" width="11.1796875" style="20" customWidth="1"/>
    <col min="9217" max="9217" width="2.81640625" style="20" customWidth="1"/>
    <col min="9218" max="9218" width="3.54296875" style="20" customWidth="1"/>
    <col min="9219" max="9463" width="9.1796875" style="20"/>
    <col min="9464" max="9464" width="8.7265625" style="20" customWidth="1"/>
    <col min="9465" max="9465" width="9.81640625" style="20" customWidth="1"/>
    <col min="9466" max="9466" width="14.453125" style="20" customWidth="1"/>
    <col min="9467" max="9467" width="7.26953125" style="20" customWidth="1"/>
    <col min="9468" max="9468" width="5.54296875" style="20" customWidth="1"/>
    <col min="9469" max="9469" width="9" style="20" customWidth="1"/>
    <col min="9470" max="9471" width="9.81640625" style="20" customWidth="1"/>
    <col min="9472" max="9472" width="11.1796875" style="20" customWidth="1"/>
    <col min="9473" max="9473" width="2.81640625" style="20" customWidth="1"/>
    <col min="9474" max="9474" width="3.54296875" style="20" customWidth="1"/>
    <col min="9475" max="9719" width="9.1796875" style="20"/>
    <col min="9720" max="9720" width="8.7265625" style="20" customWidth="1"/>
    <col min="9721" max="9721" width="9.81640625" style="20" customWidth="1"/>
    <col min="9722" max="9722" width="14.453125" style="20" customWidth="1"/>
    <col min="9723" max="9723" width="7.26953125" style="20" customWidth="1"/>
    <col min="9724" max="9724" width="5.54296875" style="20" customWidth="1"/>
    <col min="9725" max="9725" width="9" style="20" customWidth="1"/>
    <col min="9726" max="9727" width="9.81640625" style="20" customWidth="1"/>
    <col min="9728" max="9728" width="11.1796875" style="20" customWidth="1"/>
    <col min="9729" max="9729" width="2.81640625" style="20" customWidth="1"/>
    <col min="9730" max="9730" width="3.54296875" style="20" customWidth="1"/>
    <col min="9731" max="9975" width="9.1796875" style="20"/>
    <col min="9976" max="9976" width="8.7265625" style="20" customWidth="1"/>
    <col min="9977" max="9977" width="9.81640625" style="20" customWidth="1"/>
    <col min="9978" max="9978" width="14.453125" style="20" customWidth="1"/>
    <col min="9979" max="9979" width="7.26953125" style="20" customWidth="1"/>
    <col min="9980" max="9980" width="5.54296875" style="20" customWidth="1"/>
    <col min="9981" max="9981" width="9" style="20" customWidth="1"/>
    <col min="9982" max="9983" width="9.81640625" style="20" customWidth="1"/>
    <col min="9984" max="9984" width="11.1796875" style="20" customWidth="1"/>
    <col min="9985" max="9985" width="2.81640625" style="20" customWidth="1"/>
    <col min="9986" max="9986" width="3.54296875" style="20" customWidth="1"/>
    <col min="9987" max="10231" width="9.1796875" style="20"/>
    <col min="10232" max="10232" width="8.7265625" style="20" customWidth="1"/>
    <col min="10233" max="10233" width="9.81640625" style="20" customWidth="1"/>
    <col min="10234" max="10234" width="14.453125" style="20" customWidth="1"/>
    <col min="10235" max="10235" width="7.26953125" style="20" customWidth="1"/>
    <col min="10236" max="10236" width="5.54296875" style="20" customWidth="1"/>
    <col min="10237" max="10237" width="9" style="20" customWidth="1"/>
    <col min="10238" max="10239" width="9.81640625" style="20" customWidth="1"/>
    <col min="10240" max="10240" width="11.1796875" style="20" customWidth="1"/>
    <col min="10241" max="10241" width="2.81640625" style="20" customWidth="1"/>
    <col min="10242" max="10242" width="3.54296875" style="20" customWidth="1"/>
    <col min="10243" max="10487" width="9.1796875" style="20"/>
    <col min="10488" max="10488" width="8.7265625" style="20" customWidth="1"/>
    <col min="10489" max="10489" width="9.81640625" style="20" customWidth="1"/>
    <col min="10490" max="10490" width="14.453125" style="20" customWidth="1"/>
    <col min="10491" max="10491" width="7.26953125" style="20" customWidth="1"/>
    <col min="10492" max="10492" width="5.54296875" style="20" customWidth="1"/>
    <col min="10493" max="10493" width="9" style="20" customWidth="1"/>
    <col min="10494" max="10495" width="9.81640625" style="20" customWidth="1"/>
    <col min="10496" max="10496" width="11.1796875" style="20" customWidth="1"/>
    <col min="10497" max="10497" width="2.81640625" style="20" customWidth="1"/>
    <col min="10498" max="10498" width="3.54296875" style="20" customWidth="1"/>
    <col min="10499" max="10743" width="9.1796875" style="20"/>
    <col min="10744" max="10744" width="8.7265625" style="20" customWidth="1"/>
    <col min="10745" max="10745" width="9.81640625" style="20" customWidth="1"/>
    <col min="10746" max="10746" width="14.453125" style="20" customWidth="1"/>
    <col min="10747" max="10747" width="7.26953125" style="20" customWidth="1"/>
    <col min="10748" max="10748" width="5.54296875" style="20" customWidth="1"/>
    <col min="10749" max="10749" width="9" style="20" customWidth="1"/>
    <col min="10750" max="10751" width="9.81640625" style="20" customWidth="1"/>
    <col min="10752" max="10752" width="11.1796875" style="20" customWidth="1"/>
    <col min="10753" max="10753" width="2.81640625" style="20" customWidth="1"/>
    <col min="10754" max="10754" width="3.54296875" style="20" customWidth="1"/>
    <col min="10755" max="10999" width="9.1796875" style="20"/>
    <col min="11000" max="11000" width="8.7265625" style="20" customWidth="1"/>
    <col min="11001" max="11001" width="9.81640625" style="20" customWidth="1"/>
    <col min="11002" max="11002" width="14.453125" style="20" customWidth="1"/>
    <col min="11003" max="11003" width="7.26953125" style="20" customWidth="1"/>
    <col min="11004" max="11004" width="5.54296875" style="20" customWidth="1"/>
    <col min="11005" max="11005" width="9" style="20" customWidth="1"/>
    <col min="11006" max="11007" width="9.81640625" style="20" customWidth="1"/>
    <col min="11008" max="11008" width="11.1796875" style="20" customWidth="1"/>
    <col min="11009" max="11009" width="2.81640625" style="20" customWidth="1"/>
    <col min="11010" max="11010" width="3.54296875" style="20" customWidth="1"/>
    <col min="11011" max="11255" width="9.1796875" style="20"/>
    <col min="11256" max="11256" width="8.7265625" style="20" customWidth="1"/>
    <col min="11257" max="11257" width="9.81640625" style="20" customWidth="1"/>
    <col min="11258" max="11258" width="14.453125" style="20" customWidth="1"/>
    <col min="11259" max="11259" width="7.26953125" style="20" customWidth="1"/>
    <col min="11260" max="11260" width="5.54296875" style="20" customWidth="1"/>
    <col min="11261" max="11261" width="9" style="20" customWidth="1"/>
    <col min="11262" max="11263" width="9.81640625" style="20" customWidth="1"/>
    <col min="11264" max="11264" width="11.1796875" style="20" customWidth="1"/>
    <col min="11265" max="11265" width="2.81640625" style="20" customWidth="1"/>
    <col min="11266" max="11266" width="3.54296875" style="20" customWidth="1"/>
    <col min="11267" max="11511" width="9.1796875" style="20"/>
    <col min="11512" max="11512" width="8.7265625" style="20" customWidth="1"/>
    <col min="11513" max="11513" width="9.81640625" style="20" customWidth="1"/>
    <col min="11514" max="11514" width="14.453125" style="20" customWidth="1"/>
    <col min="11515" max="11515" width="7.26953125" style="20" customWidth="1"/>
    <col min="11516" max="11516" width="5.54296875" style="20" customWidth="1"/>
    <col min="11517" max="11517" width="9" style="20" customWidth="1"/>
    <col min="11518" max="11519" width="9.81640625" style="20" customWidth="1"/>
    <col min="11520" max="11520" width="11.1796875" style="20" customWidth="1"/>
    <col min="11521" max="11521" width="2.81640625" style="20" customWidth="1"/>
    <col min="11522" max="11522" width="3.54296875" style="20" customWidth="1"/>
    <col min="11523" max="11767" width="9.1796875" style="20"/>
    <col min="11768" max="11768" width="8.7265625" style="20" customWidth="1"/>
    <col min="11769" max="11769" width="9.81640625" style="20" customWidth="1"/>
    <col min="11770" max="11770" width="14.453125" style="20" customWidth="1"/>
    <col min="11771" max="11771" width="7.26953125" style="20" customWidth="1"/>
    <col min="11772" max="11772" width="5.54296875" style="20" customWidth="1"/>
    <col min="11773" max="11773" width="9" style="20" customWidth="1"/>
    <col min="11774" max="11775" width="9.81640625" style="20" customWidth="1"/>
    <col min="11776" max="11776" width="11.1796875" style="20" customWidth="1"/>
    <col min="11777" max="11777" width="2.81640625" style="20" customWidth="1"/>
    <col min="11778" max="11778" width="3.54296875" style="20" customWidth="1"/>
    <col min="11779" max="12023" width="9.1796875" style="20"/>
    <col min="12024" max="12024" width="8.7265625" style="20" customWidth="1"/>
    <col min="12025" max="12025" width="9.81640625" style="20" customWidth="1"/>
    <col min="12026" max="12026" width="14.453125" style="20" customWidth="1"/>
    <col min="12027" max="12027" width="7.26953125" style="20" customWidth="1"/>
    <col min="12028" max="12028" width="5.54296875" style="20" customWidth="1"/>
    <col min="12029" max="12029" width="9" style="20" customWidth="1"/>
    <col min="12030" max="12031" width="9.81640625" style="20" customWidth="1"/>
    <col min="12032" max="12032" width="11.1796875" style="20" customWidth="1"/>
    <col min="12033" max="12033" width="2.81640625" style="20" customWidth="1"/>
    <col min="12034" max="12034" width="3.54296875" style="20" customWidth="1"/>
    <col min="12035" max="12279" width="9.1796875" style="20"/>
    <col min="12280" max="12280" width="8.7265625" style="20" customWidth="1"/>
    <col min="12281" max="12281" width="9.81640625" style="20" customWidth="1"/>
    <col min="12282" max="12282" width="14.453125" style="20" customWidth="1"/>
    <col min="12283" max="12283" width="7.26953125" style="20" customWidth="1"/>
    <col min="12284" max="12284" width="5.54296875" style="20" customWidth="1"/>
    <col min="12285" max="12285" width="9" style="20" customWidth="1"/>
    <col min="12286" max="12287" width="9.81640625" style="20" customWidth="1"/>
    <col min="12288" max="12288" width="11.1796875" style="20" customWidth="1"/>
    <col min="12289" max="12289" width="2.81640625" style="20" customWidth="1"/>
    <col min="12290" max="12290" width="3.54296875" style="20" customWidth="1"/>
    <col min="12291" max="12535" width="9.1796875" style="20"/>
    <col min="12536" max="12536" width="8.7265625" style="20" customWidth="1"/>
    <col min="12537" max="12537" width="9.81640625" style="20" customWidth="1"/>
    <col min="12538" max="12538" width="14.453125" style="20" customWidth="1"/>
    <col min="12539" max="12539" width="7.26953125" style="20" customWidth="1"/>
    <col min="12540" max="12540" width="5.54296875" style="20" customWidth="1"/>
    <col min="12541" max="12541" width="9" style="20" customWidth="1"/>
    <col min="12542" max="12543" width="9.81640625" style="20" customWidth="1"/>
    <col min="12544" max="12544" width="11.1796875" style="20" customWidth="1"/>
    <col min="12545" max="12545" width="2.81640625" style="20" customWidth="1"/>
    <col min="12546" max="12546" width="3.54296875" style="20" customWidth="1"/>
    <col min="12547" max="12791" width="9.1796875" style="20"/>
    <col min="12792" max="12792" width="8.7265625" style="20" customWidth="1"/>
    <col min="12793" max="12793" width="9.81640625" style="20" customWidth="1"/>
    <col min="12794" max="12794" width="14.453125" style="20" customWidth="1"/>
    <col min="12795" max="12795" width="7.26953125" style="20" customWidth="1"/>
    <col min="12796" max="12796" width="5.54296875" style="20" customWidth="1"/>
    <col min="12797" max="12797" width="9" style="20" customWidth="1"/>
    <col min="12798" max="12799" width="9.81640625" style="20" customWidth="1"/>
    <col min="12800" max="12800" width="11.1796875" style="20" customWidth="1"/>
    <col min="12801" max="12801" width="2.81640625" style="20" customWidth="1"/>
    <col min="12802" max="12802" width="3.54296875" style="20" customWidth="1"/>
    <col min="12803" max="13047" width="9.1796875" style="20"/>
    <col min="13048" max="13048" width="8.7265625" style="20" customWidth="1"/>
    <col min="13049" max="13049" width="9.81640625" style="20" customWidth="1"/>
    <col min="13050" max="13050" width="14.453125" style="20" customWidth="1"/>
    <col min="13051" max="13051" width="7.26953125" style="20" customWidth="1"/>
    <col min="13052" max="13052" width="5.54296875" style="20" customWidth="1"/>
    <col min="13053" max="13053" width="9" style="20" customWidth="1"/>
    <col min="13054" max="13055" width="9.81640625" style="20" customWidth="1"/>
    <col min="13056" max="13056" width="11.1796875" style="20" customWidth="1"/>
    <col min="13057" max="13057" width="2.81640625" style="20" customWidth="1"/>
    <col min="13058" max="13058" width="3.54296875" style="20" customWidth="1"/>
    <col min="13059" max="13303" width="9.1796875" style="20"/>
    <col min="13304" max="13304" width="8.7265625" style="20" customWidth="1"/>
    <col min="13305" max="13305" width="9.81640625" style="20" customWidth="1"/>
    <col min="13306" max="13306" width="14.453125" style="20" customWidth="1"/>
    <col min="13307" max="13307" width="7.26953125" style="20" customWidth="1"/>
    <col min="13308" max="13308" width="5.54296875" style="20" customWidth="1"/>
    <col min="13309" max="13309" width="9" style="20" customWidth="1"/>
    <col min="13310" max="13311" width="9.81640625" style="20" customWidth="1"/>
    <col min="13312" max="13312" width="11.1796875" style="20" customWidth="1"/>
    <col min="13313" max="13313" width="2.81640625" style="20" customWidth="1"/>
    <col min="13314" max="13314" width="3.54296875" style="20" customWidth="1"/>
    <col min="13315" max="13559" width="9.1796875" style="20"/>
    <col min="13560" max="13560" width="8.7265625" style="20" customWidth="1"/>
    <col min="13561" max="13561" width="9.81640625" style="20" customWidth="1"/>
    <col min="13562" max="13562" width="14.453125" style="20" customWidth="1"/>
    <col min="13563" max="13563" width="7.26953125" style="20" customWidth="1"/>
    <col min="13564" max="13564" width="5.54296875" style="20" customWidth="1"/>
    <col min="13565" max="13565" width="9" style="20" customWidth="1"/>
    <col min="13566" max="13567" width="9.81640625" style="20" customWidth="1"/>
    <col min="13568" max="13568" width="11.1796875" style="20" customWidth="1"/>
    <col min="13569" max="13569" width="2.81640625" style="20" customWidth="1"/>
    <col min="13570" max="13570" width="3.54296875" style="20" customWidth="1"/>
    <col min="13571" max="13815" width="9.1796875" style="20"/>
    <col min="13816" max="13816" width="8.7265625" style="20" customWidth="1"/>
    <col min="13817" max="13817" width="9.81640625" style="20" customWidth="1"/>
    <col min="13818" max="13818" width="14.453125" style="20" customWidth="1"/>
    <col min="13819" max="13819" width="7.26953125" style="20" customWidth="1"/>
    <col min="13820" max="13820" width="5.54296875" style="20" customWidth="1"/>
    <col min="13821" max="13821" width="9" style="20" customWidth="1"/>
    <col min="13822" max="13823" width="9.81640625" style="20" customWidth="1"/>
    <col min="13824" max="13824" width="11.1796875" style="20" customWidth="1"/>
    <col min="13825" max="13825" width="2.81640625" style="20" customWidth="1"/>
    <col min="13826" max="13826" width="3.54296875" style="20" customWidth="1"/>
    <col min="13827" max="14071" width="9.1796875" style="20"/>
    <col min="14072" max="14072" width="8.7265625" style="20" customWidth="1"/>
    <col min="14073" max="14073" width="9.81640625" style="20" customWidth="1"/>
    <col min="14074" max="14074" width="14.453125" style="20" customWidth="1"/>
    <col min="14075" max="14075" width="7.26953125" style="20" customWidth="1"/>
    <col min="14076" max="14076" width="5.54296875" style="20" customWidth="1"/>
    <col min="14077" max="14077" width="9" style="20" customWidth="1"/>
    <col min="14078" max="14079" width="9.81640625" style="20" customWidth="1"/>
    <col min="14080" max="14080" width="11.1796875" style="20" customWidth="1"/>
    <col min="14081" max="14081" width="2.81640625" style="20" customWidth="1"/>
    <col min="14082" max="14082" width="3.54296875" style="20" customWidth="1"/>
    <col min="14083" max="14327" width="9.1796875" style="20"/>
    <col min="14328" max="14328" width="8.7265625" style="20" customWidth="1"/>
    <col min="14329" max="14329" width="9.81640625" style="20" customWidth="1"/>
    <col min="14330" max="14330" width="14.453125" style="20" customWidth="1"/>
    <col min="14331" max="14331" width="7.26953125" style="20" customWidth="1"/>
    <col min="14332" max="14332" width="5.54296875" style="20" customWidth="1"/>
    <col min="14333" max="14333" width="9" style="20" customWidth="1"/>
    <col min="14334" max="14335" width="9.81640625" style="20" customWidth="1"/>
    <col min="14336" max="14336" width="11.1796875" style="20" customWidth="1"/>
    <col min="14337" max="14337" width="2.81640625" style="20" customWidth="1"/>
    <col min="14338" max="14338" width="3.54296875" style="20" customWidth="1"/>
    <col min="14339" max="14583" width="9.1796875" style="20"/>
    <col min="14584" max="14584" width="8.7265625" style="20" customWidth="1"/>
    <col min="14585" max="14585" width="9.81640625" style="20" customWidth="1"/>
    <col min="14586" max="14586" width="14.453125" style="20" customWidth="1"/>
    <col min="14587" max="14587" width="7.26953125" style="20" customWidth="1"/>
    <col min="14588" max="14588" width="5.54296875" style="20" customWidth="1"/>
    <col min="14589" max="14589" width="9" style="20" customWidth="1"/>
    <col min="14590" max="14591" width="9.81640625" style="20" customWidth="1"/>
    <col min="14592" max="14592" width="11.1796875" style="20" customWidth="1"/>
    <col min="14593" max="14593" width="2.81640625" style="20" customWidth="1"/>
    <col min="14594" max="14594" width="3.54296875" style="20" customWidth="1"/>
    <col min="14595" max="14839" width="9.1796875" style="20"/>
    <col min="14840" max="14840" width="8.7265625" style="20" customWidth="1"/>
    <col min="14841" max="14841" width="9.81640625" style="20" customWidth="1"/>
    <col min="14842" max="14842" width="14.453125" style="20" customWidth="1"/>
    <col min="14843" max="14843" width="7.26953125" style="20" customWidth="1"/>
    <col min="14844" max="14844" width="5.54296875" style="20" customWidth="1"/>
    <col min="14845" max="14845" width="9" style="20" customWidth="1"/>
    <col min="14846" max="14847" width="9.81640625" style="20" customWidth="1"/>
    <col min="14848" max="14848" width="11.1796875" style="20" customWidth="1"/>
    <col min="14849" max="14849" width="2.81640625" style="20" customWidth="1"/>
    <col min="14850" max="14850" width="3.54296875" style="20" customWidth="1"/>
    <col min="14851" max="15095" width="9.1796875" style="20"/>
    <col min="15096" max="15096" width="8.7265625" style="20" customWidth="1"/>
    <col min="15097" max="15097" width="9.81640625" style="20" customWidth="1"/>
    <col min="15098" max="15098" width="14.453125" style="20" customWidth="1"/>
    <col min="15099" max="15099" width="7.26953125" style="20" customWidth="1"/>
    <col min="15100" max="15100" width="5.54296875" style="20" customWidth="1"/>
    <col min="15101" max="15101" width="9" style="20" customWidth="1"/>
    <col min="15102" max="15103" width="9.81640625" style="20" customWidth="1"/>
    <col min="15104" max="15104" width="11.1796875" style="20" customWidth="1"/>
    <col min="15105" max="15105" width="2.81640625" style="20" customWidth="1"/>
    <col min="15106" max="15106" width="3.54296875" style="20" customWidth="1"/>
    <col min="15107" max="15351" width="9.1796875" style="20"/>
    <col min="15352" max="15352" width="8.7265625" style="20" customWidth="1"/>
    <col min="15353" max="15353" width="9.81640625" style="20" customWidth="1"/>
    <col min="15354" max="15354" width="14.453125" style="20" customWidth="1"/>
    <col min="15355" max="15355" width="7.26953125" style="20" customWidth="1"/>
    <col min="15356" max="15356" width="5.54296875" style="20" customWidth="1"/>
    <col min="15357" max="15357" width="9" style="20" customWidth="1"/>
    <col min="15358" max="15359" width="9.81640625" style="20" customWidth="1"/>
    <col min="15360" max="15360" width="11.1796875" style="20" customWidth="1"/>
    <col min="15361" max="15361" width="2.81640625" style="20" customWidth="1"/>
    <col min="15362" max="15362" width="3.54296875" style="20" customWidth="1"/>
    <col min="15363" max="15607" width="9.1796875" style="20"/>
    <col min="15608" max="15608" width="8.7265625" style="20" customWidth="1"/>
    <col min="15609" max="15609" width="9.81640625" style="20" customWidth="1"/>
    <col min="15610" max="15610" width="14.453125" style="20" customWidth="1"/>
    <col min="15611" max="15611" width="7.26953125" style="20" customWidth="1"/>
    <col min="15612" max="15612" width="5.54296875" style="20" customWidth="1"/>
    <col min="15613" max="15613" width="9" style="20" customWidth="1"/>
    <col min="15614" max="15615" width="9.81640625" style="20" customWidth="1"/>
    <col min="15616" max="15616" width="11.1796875" style="20" customWidth="1"/>
    <col min="15617" max="15617" width="2.81640625" style="20" customWidth="1"/>
    <col min="15618" max="15618" width="3.54296875" style="20" customWidth="1"/>
    <col min="15619" max="15863" width="9.1796875" style="20"/>
    <col min="15864" max="15864" width="8.7265625" style="20" customWidth="1"/>
    <col min="15865" max="15865" width="9.81640625" style="20" customWidth="1"/>
    <col min="15866" max="15866" width="14.453125" style="20" customWidth="1"/>
    <col min="15867" max="15867" width="7.26953125" style="20" customWidth="1"/>
    <col min="15868" max="15868" width="5.54296875" style="20" customWidth="1"/>
    <col min="15869" max="15869" width="9" style="20" customWidth="1"/>
    <col min="15870" max="15871" width="9.81640625" style="20" customWidth="1"/>
    <col min="15872" max="15872" width="11.1796875" style="20" customWidth="1"/>
    <col min="15873" max="15873" width="2.81640625" style="20" customWidth="1"/>
    <col min="15874" max="15874" width="3.54296875" style="20" customWidth="1"/>
    <col min="15875" max="16119" width="9.1796875" style="20"/>
    <col min="16120" max="16120" width="8.7265625" style="20" customWidth="1"/>
    <col min="16121" max="16121" width="9.81640625" style="20" customWidth="1"/>
    <col min="16122" max="16122" width="14.453125" style="20" customWidth="1"/>
    <col min="16123" max="16123" width="7.26953125" style="20" customWidth="1"/>
    <col min="16124" max="16124" width="5.54296875" style="20" customWidth="1"/>
    <col min="16125" max="16125" width="9" style="20" customWidth="1"/>
    <col min="16126" max="16127" width="9.81640625" style="20" customWidth="1"/>
    <col min="16128" max="16128" width="11.1796875" style="20" customWidth="1"/>
    <col min="16129" max="16129" width="2.81640625" style="20" customWidth="1"/>
    <col min="16130" max="16130" width="3.54296875" style="20" customWidth="1"/>
    <col min="16131" max="16384" width="9.1796875" style="20"/>
  </cols>
  <sheetData>
    <row r="1" spans="1:26" ht="46.5" customHeight="1" x14ac:dyDescent="0.35">
      <c r="A1" s="181" t="s">
        <v>161</v>
      </c>
      <c r="B1" s="181"/>
      <c r="C1" s="181"/>
      <c r="D1" s="181"/>
      <c r="E1" s="181"/>
      <c r="F1" s="181"/>
      <c r="G1" s="181"/>
      <c r="H1" s="181"/>
    </row>
    <row r="2" spans="1:26" ht="16.5" customHeight="1" x14ac:dyDescent="0.35">
      <c r="A2" s="182" t="s">
        <v>0</v>
      </c>
      <c r="B2" s="182"/>
      <c r="C2" s="182"/>
      <c r="D2" s="182"/>
      <c r="E2" s="182"/>
      <c r="F2" s="182"/>
      <c r="G2" s="182"/>
      <c r="H2" s="182"/>
    </row>
    <row r="3" spans="1:26" x14ac:dyDescent="0.35">
      <c r="A3" s="111" t="s">
        <v>1</v>
      </c>
      <c r="B3" s="111"/>
      <c r="C3" s="111"/>
      <c r="D3" s="111"/>
      <c r="E3" s="111" t="str">
        <f ca="1">TEXT(TODAY(),"DD/MM/YYYY")</f>
        <v>11/09/2025</v>
      </c>
      <c r="F3" s="111"/>
      <c r="G3" s="111"/>
      <c r="H3" s="111"/>
      <c r="K3" s="58" t="s">
        <v>235</v>
      </c>
      <c r="L3" s="55" t="s">
        <v>233</v>
      </c>
      <c r="M3" s="55" t="s">
        <v>238</v>
      </c>
      <c r="N3" s="55" t="s">
        <v>236</v>
      </c>
      <c r="O3" s="55" t="s">
        <v>237</v>
      </c>
      <c r="P3" s="55" t="s">
        <v>239</v>
      </c>
    </row>
    <row r="4" spans="1:26" ht="15" customHeight="1" x14ac:dyDescent="0.35">
      <c r="A4" s="111" t="s">
        <v>232</v>
      </c>
      <c r="B4" s="111"/>
      <c r="C4" s="111"/>
      <c r="D4" s="111"/>
      <c r="E4" s="112" t="s">
        <v>233</v>
      </c>
      <c r="F4" s="112"/>
      <c r="G4" s="112"/>
      <c r="H4" s="112"/>
      <c r="K4" s="54" t="s">
        <v>234</v>
      </c>
      <c r="L4" s="55" t="s">
        <v>167</v>
      </c>
      <c r="M4" s="55" t="s">
        <v>243</v>
      </c>
      <c r="N4" s="55" t="s">
        <v>245</v>
      </c>
      <c r="O4" s="55" t="s">
        <v>247</v>
      </c>
      <c r="P4" s="55"/>
    </row>
    <row r="5" spans="1:26" ht="15" customHeight="1" x14ac:dyDescent="0.35">
      <c r="A5" s="111" t="s">
        <v>2</v>
      </c>
      <c r="B5" s="111"/>
      <c r="C5" s="111"/>
      <c r="D5" s="111"/>
      <c r="E5" s="112" t="s">
        <v>242</v>
      </c>
      <c r="F5" s="112"/>
      <c r="G5" s="112"/>
      <c r="H5" s="112"/>
      <c r="K5" s="54"/>
      <c r="L5" s="55" t="s">
        <v>240</v>
      </c>
      <c r="M5" s="55" t="s">
        <v>244</v>
      </c>
      <c r="N5" s="55" t="s">
        <v>246</v>
      </c>
      <c r="O5" s="55" t="s">
        <v>248</v>
      </c>
      <c r="P5" s="55"/>
    </row>
    <row r="6" spans="1:26" x14ac:dyDescent="0.35">
      <c r="A6" s="111" t="s">
        <v>3</v>
      </c>
      <c r="B6" s="111"/>
      <c r="C6" s="111"/>
      <c r="D6" s="111"/>
      <c r="E6" s="186">
        <v>45906</v>
      </c>
      <c r="F6" s="111"/>
      <c r="G6" s="111"/>
      <c r="H6" s="111"/>
      <c r="K6" s="54"/>
      <c r="L6" s="55" t="s">
        <v>241</v>
      </c>
      <c r="M6" s="55"/>
      <c r="N6" s="55"/>
      <c r="O6" s="55" t="s">
        <v>249</v>
      </c>
      <c r="P6" s="55"/>
    </row>
    <row r="7" spans="1:26" ht="16.5" customHeight="1" x14ac:dyDescent="0.35">
      <c r="A7" s="111" t="s">
        <v>4</v>
      </c>
      <c r="B7" s="111"/>
      <c r="C7" s="111"/>
      <c r="D7" s="111"/>
      <c r="E7" s="109" t="s">
        <v>298</v>
      </c>
      <c r="F7" s="109"/>
      <c r="G7" s="109"/>
      <c r="H7" s="109"/>
      <c r="K7" s="54"/>
      <c r="L7" s="55" t="s">
        <v>242</v>
      </c>
      <c r="M7" s="55"/>
      <c r="N7" s="55"/>
      <c r="O7" s="55" t="s">
        <v>249</v>
      </c>
      <c r="P7" s="55"/>
    </row>
    <row r="8" spans="1:26" ht="15" customHeight="1" x14ac:dyDescent="0.35">
      <c r="A8" s="111" t="s">
        <v>5</v>
      </c>
      <c r="B8" s="111"/>
      <c r="C8" s="111"/>
      <c r="D8" s="111"/>
      <c r="E8" s="109" t="str">
        <f>E7</f>
        <v xml:space="preserve">Shree Sai Builders
</v>
      </c>
      <c r="F8" s="109"/>
      <c r="G8" s="109"/>
      <c r="H8" s="109"/>
      <c r="K8" s="54"/>
      <c r="L8" s="55"/>
      <c r="M8" s="55"/>
      <c r="N8" s="55"/>
      <c r="O8" s="55" t="s">
        <v>250</v>
      </c>
      <c r="P8" s="55"/>
    </row>
    <row r="9" spans="1:26" ht="15.75" customHeight="1" x14ac:dyDescent="0.35">
      <c r="A9" s="111" t="s">
        <v>6</v>
      </c>
      <c r="B9" s="111"/>
      <c r="C9" s="111"/>
      <c r="D9" s="111"/>
      <c r="E9" s="183" t="s">
        <v>303</v>
      </c>
      <c r="F9" s="184"/>
      <c r="G9" s="184"/>
      <c r="H9" s="185"/>
      <c r="K9" s="54"/>
      <c r="L9" s="55"/>
      <c r="M9" s="55"/>
      <c r="N9" s="55"/>
      <c r="O9" s="55" t="s">
        <v>251</v>
      </c>
      <c r="P9" s="55"/>
    </row>
    <row r="10" spans="1:26" x14ac:dyDescent="0.35">
      <c r="A10" s="111" t="s">
        <v>164</v>
      </c>
      <c r="B10" s="111"/>
      <c r="C10" s="111"/>
      <c r="D10" s="111"/>
      <c r="E10" s="110" t="s">
        <v>302</v>
      </c>
      <c r="F10" s="111"/>
      <c r="G10" s="111"/>
      <c r="H10" s="111"/>
      <c r="K10" s="54"/>
      <c r="L10" s="55"/>
      <c r="M10" s="55"/>
      <c r="N10" s="55"/>
      <c r="O10" s="55"/>
      <c r="P10" s="55"/>
    </row>
    <row r="11" spans="1:26" x14ac:dyDescent="0.35">
      <c r="A11" s="111" t="s">
        <v>165</v>
      </c>
      <c r="B11" s="111"/>
      <c r="C11" s="111"/>
      <c r="D11" s="111"/>
      <c r="E11" s="110" t="s">
        <v>28</v>
      </c>
      <c r="F11" s="111"/>
      <c r="G11" s="111"/>
      <c r="H11" s="111"/>
    </row>
    <row r="12" spans="1:26" x14ac:dyDescent="0.35">
      <c r="A12" s="111" t="s">
        <v>7</v>
      </c>
      <c r="B12" s="111"/>
      <c r="C12" s="111"/>
      <c r="D12" s="111"/>
      <c r="E12" s="111" t="s">
        <v>299</v>
      </c>
      <c r="F12" s="111"/>
      <c r="G12" s="111"/>
      <c r="H12" s="111"/>
    </row>
    <row r="13" spans="1:26" x14ac:dyDescent="0.35">
      <c r="A13" s="111" t="s">
        <v>168</v>
      </c>
      <c r="B13" s="111"/>
      <c r="C13" s="111"/>
      <c r="D13" s="111"/>
      <c r="E13" s="112" t="s">
        <v>303</v>
      </c>
      <c r="F13" s="112"/>
      <c r="G13" s="112"/>
      <c r="H13" s="112"/>
      <c r="I13" s="20" t="s">
        <v>332</v>
      </c>
      <c r="S13" s="55" t="s">
        <v>176</v>
      </c>
      <c r="T13" s="55" t="s">
        <v>186</v>
      </c>
      <c r="U13" s="55" t="s">
        <v>169</v>
      </c>
      <c r="V13" s="55" t="s">
        <v>191</v>
      </c>
      <c r="W13" s="55" t="s">
        <v>209</v>
      </c>
      <c r="X13"/>
      <c r="Y13" t="s">
        <v>191</v>
      </c>
      <c r="Z13" t="e">
        <f ca="1">OFFSET($S$13,1,MATCH($G20,$S$13:$W$13,0)-1,15,1)</f>
        <v>#VALUE!</v>
      </c>
    </row>
    <row r="14" spans="1:26" x14ac:dyDescent="0.35">
      <c r="A14" s="87" t="s">
        <v>278</v>
      </c>
      <c r="B14" s="87"/>
      <c r="C14" s="87"/>
      <c r="D14" s="87"/>
      <c r="E14" s="94" t="s">
        <v>333</v>
      </c>
      <c r="F14" s="94"/>
      <c r="G14" s="94"/>
      <c r="H14" s="94"/>
      <c r="S14" s="55" t="s">
        <v>177</v>
      </c>
      <c r="T14" s="55" t="s">
        <v>184</v>
      </c>
      <c r="U14" s="55" t="s">
        <v>206</v>
      </c>
      <c r="V14" s="55" t="s">
        <v>192</v>
      </c>
      <c r="W14" s="55" t="s">
        <v>210</v>
      </c>
      <c r="X14"/>
      <c r="Y14"/>
      <c r="Z14"/>
    </row>
    <row r="15" spans="1:26" x14ac:dyDescent="0.35">
      <c r="A15" s="87" t="s">
        <v>8</v>
      </c>
      <c r="B15" s="87"/>
      <c r="C15" s="87"/>
      <c r="D15" s="87"/>
      <c r="E15" s="94" t="s">
        <v>300</v>
      </c>
      <c r="F15" s="112"/>
      <c r="G15" s="112"/>
      <c r="H15" s="112"/>
      <c r="I15" s="80" t="e">
        <f ca="1">OFFSET($D$5,1,MATCH($J13,$D$5:$H$5,0)-1,15,1)</f>
        <v>#N/A</v>
      </c>
      <c r="J15" s="81"/>
      <c r="K15" s="81"/>
      <c r="L15" s="81"/>
      <c r="M15" s="81"/>
      <c r="N15" s="81"/>
      <c r="O15" s="81"/>
      <c r="P15" s="81"/>
      <c r="S15" s="55" t="s">
        <v>178</v>
      </c>
      <c r="T15" s="55" t="s">
        <v>185</v>
      </c>
      <c r="U15" s="55" t="s">
        <v>207</v>
      </c>
      <c r="V15" s="55" t="s">
        <v>193</v>
      </c>
      <c r="W15" s="55" t="s">
        <v>223</v>
      </c>
      <c r="X15"/>
      <c r="Y15"/>
      <c r="Z15"/>
    </row>
    <row r="16" spans="1:26" ht="48.75" customHeight="1" x14ac:dyDescent="0.35">
      <c r="A16" s="109" t="s">
        <v>9</v>
      </c>
      <c r="B16" s="109"/>
      <c r="C16" s="109" t="str">
        <f>CONCATENATE((IF(OR(E9="",E9="NA"),"",E9)),", ",(IF(OR(A17="",A17="NA"),"",A17)),".",(IF(OR(C17="",C17="NA"),"",C17)),", near ",(IF(OR(C22="",C22="NA"),"",C22)),", ",(IF(OR(C19="",C19="NA"),"",C19)),", ",(IF(OR(C18="",C18="NA"),"",C18)),", ",(IF(OR(G19="",G19="NA"),"",G19)),", ",(IF(OR(C20="",C20="NA"),"",C20)),", ",(IF(OR(C21="",C21="NA"),"",C21)),", ",(IF(OR(G20="",G20="NA"),"",G20))," - ",(IF(OR(G21="",G21="NA"),"",G21)),".")</f>
        <v>Kulswamini, Survey No.45, Hissa No. 4/A/1 Plot No.1, Hissa No.5/A/1 Plot No.1, Hissa No.5/A/2 Plot No.1 , near Mahalakshmi Villa, Internal Road, Shirgaon, Shirgaon, Badlapur West, Ambernath, Thane  - 421503.</v>
      </c>
      <c r="D16" s="109"/>
      <c r="E16" s="109"/>
      <c r="F16" s="109"/>
      <c r="G16" s="109"/>
      <c r="H16" s="109"/>
      <c r="S16" s="55" t="s">
        <v>179</v>
      </c>
      <c r="T16" s="55" t="s">
        <v>187</v>
      </c>
      <c r="U16" s="55" t="s">
        <v>208</v>
      </c>
      <c r="V16" s="55" t="s">
        <v>194</v>
      </c>
      <c r="W16" s="55" t="s">
        <v>211</v>
      </c>
      <c r="X16"/>
      <c r="Y16"/>
      <c r="Z16"/>
    </row>
    <row r="17" spans="1:26" x14ac:dyDescent="0.35">
      <c r="A17" s="94" t="s">
        <v>301</v>
      </c>
      <c r="B17" s="94"/>
      <c r="C17" s="94" t="s">
        <v>309</v>
      </c>
      <c r="D17" s="94"/>
      <c r="E17" s="94"/>
      <c r="F17" s="94"/>
      <c r="G17" s="94"/>
      <c r="H17" s="94"/>
      <c r="S17" s="55" t="s">
        <v>180</v>
      </c>
      <c r="T17" s="55" t="s">
        <v>188</v>
      </c>
      <c r="U17" s="55" t="s">
        <v>169</v>
      </c>
      <c r="V17" s="55" t="s">
        <v>195</v>
      </c>
      <c r="W17" s="55" t="s">
        <v>212</v>
      </c>
      <c r="X17"/>
      <c r="Y17"/>
      <c r="Z17"/>
    </row>
    <row r="18" spans="1:26" ht="15.75" customHeight="1" x14ac:dyDescent="0.35">
      <c r="A18" s="110" t="s">
        <v>159</v>
      </c>
      <c r="B18" s="110"/>
      <c r="C18" s="110" t="s">
        <v>304</v>
      </c>
      <c r="D18" s="110"/>
      <c r="E18" s="110"/>
      <c r="F18" s="110"/>
      <c r="G18" s="110"/>
      <c r="H18" s="110"/>
      <c r="S18" s="55" t="s">
        <v>181</v>
      </c>
      <c r="T18" s="55" t="s">
        <v>186</v>
      </c>
      <c r="U18" s="55"/>
      <c r="V18" s="55" t="s">
        <v>196</v>
      </c>
      <c r="W18" s="55" t="s">
        <v>213</v>
      </c>
      <c r="X18"/>
      <c r="Y18"/>
      <c r="Z18"/>
    </row>
    <row r="19" spans="1:26" ht="15.75" customHeight="1" x14ac:dyDescent="0.35">
      <c r="A19" s="109" t="s">
        <v>10</v>
      </c>
      <c r="B19" s="109"/>
      <c r="C19" s="111" t="s">
        <v>305</v>
      </c>
      <c r="D19" s="111"/>
      <c r="E19" s="109" t="s">
        <v>70</v>
      </c>
      <c r="F19" s="109"/>
      <c r="G19" s="110" t="s">
        <v>304</v>
      </c>
      <c r="H19" s="110"/>
      <c r="S19" s="55" t="s">
        <v>182</v>
      </c>
      <c r="T19" s="55" t="s">
        <v>189</v>
      </c>
      <c r="U19" s="55"/>
      <c r="V19" s="55" t="s">
        <v>197</v>
      </c>
      <c r="W19" s="55" t="s">
        <v>214</v>
      </c>
      <c r="X19"/>
      <c r="Y19"/>
      <c r="Z19"/>
    </row>
    <row r="20" spans="1:26" x14ac:dyDescent="0.35">
      <c r="A20" s="87" t="s">
        <v>12</v>
      </c>
      <c r="B20" s="87"/>
      <c r="C20" s="94" t="s">
        <v>307</v>
      </c>
      <c r="D20" s="94"/>
      <c r="E20" s="94" t="s">
        <v>11</v>
      </c>
      <c r="F20" s="94"/>
      <c r="G20" s="187" t="s">
        <v>176</v>
      </c>
      <c r="H20" s="187"/>
      <c r="I20"/>
      <c r="S20" s="55" t="s">
        <v>183</v>
      </c>
      <c r="T20" s="55" t="s">
        <v>190</v>
      </c>
      <c r="U20" s="55"/>
      <c r="V20" s="55" t="s">
        <v>198</v>
      </c>
      <c r="W20" s="55" t="s">
        <v>215</v>
      </c>
      <c r="X20"/>
      <c r="Y20"/>
      <c r="Z20"/>
    </row>
    <row r="21" spans="1:26" x14ac:dyDescent="0.35">
      <c r="A21" s="87" t="s">
        <v>71</v>
      </c>
      <c r="B21" s="87"/>
      <c r="C21" s="94" t="s">
        <v>182</v>
      </c>
      <c r="D21" s="94"/>
      <c r="E21" s="94" t="s">
        <v>13</v>
      </c>
      <c r="F21" s="94"/>
      <c r="G21" s="94">
        <v>421503</v>
      </c>
      <c r="H21" s="94"/>
      <c r="S21" s="55"/>
      <c r="T21" s="55"/>
      <c r="U21" s="55"/>
      <c r="V21" s="55" t="s">
        <v>199</v>
      </c>
      <c r="W21" s="55" t="s">
        <v>216</v>
      </c>
      <c r="X21"/>
      <c r="Y21"/>
      <c r="Z21"/>
    </row>
    <row r="22" spans="1:26" ht="32.25" customHeight="1" x14ac:dyDescent="0.35">
      <c r="A22" s="87" t="s">
        <v>118</v>
      </c>
      <c r="B22" s="87"/>
      <c r="C22" s="94" t="s">
        <v>308</v>
      </c>
      <c r="D22" s="94"/>
      <c r="E22" s="94" t="s">
        <v>14</v>
      </c>
      <c r="F22" s="94"/>
      <c r="G22" s="94" t="s">
        <v>306</v>
      </c>
      <c r="H22" s="94"/>
      <c r="S22" s="55"/>
      <c r="T22" s="55"/>
      <c r="U22" s="55"/>
      <c r="V22" s="55" t="s">
        <v>200</v>
      </c>
      <c r="W22" s="55" t="s">
        <v>217</v>
      </c>
      <c r="X22"/>
      <c r="Y22"/>
      <c r="Z22"/>
    </row>
    <row r="23" spans="1:26" ht="15" customHeight="1" x14ac:dyDescent="0.35">
      <c r="A23" s="109" t="s">
        <v>73</v>
      </c>
      <c r="B23" s="109"/>
      <c r="C23" s="109"/>
      <c r="D23" s="109"/>
      <c r="E23" s="111" t="s">
        <v>15</v>
      </c>
      <c r="F23" s="111"/>
      <c r="G23" s="111"/>
      <c r="H23" s="111"/>
      <c r="S23" s="55"/>
      <c r="T23" s="55"/>
      <c r="U23" s="55"/>
      <c r="V23" s="55" t="s">
        <v>201</v>
      </c>
      <c r="W23" s="55" t="s">
        <v>218</v>
      </c>
      <c r="X23"/>
      <c r="Y23"/>
      <c r="Z23"/>
    </row>
    <row r="24" spans="1:26" ht="18.75" customHeight="1" x14ac:dyDescent="0.35">
      <c r="A24" s="109"/>
      <c r="B24" s="109"/>
      <c r="C24" s="109"/>
      <c r="D24" s="109"/>
      <c r="E24" s="111"/>
      <c r="F24" s="111"/>
      <c r="G24" s="111"/>
      <c r="H24" s="111"/>
      <c r="S24" s="55"/>
      <c r="T24" s="55"/>
      <c r="U24" s="55"/>
      <c r="V24" s="55" t="s">
        <v>202</v>
      </c>
      <c r="W24" s="55" t="s">
        <v>219</v>
      </c>
      <c r="X24"/>
      <c r="Y24"/>
      <c r="Z24"/>
    </row>
    <row r="25" spans="1:26" ht="15" customHeight="1" x14ac:dyDescent="0.35">
      <c r="A25" s="109" t="s">
        <v>16</v>
      </c>
      <c r="B25" s="109"/>
      <c r="C25" s="109"/>
      <c r="D25" s="109"/>
      <c r="E25" s="110" t="s">
        <v>17</v>
      </c>
      <c r="F25" s="110"/>
      <c r="G25" s="110"/>
      <c r="H25" s="110"/>
      <c r="S25" s="55"/>
      <c r="T25" s="55"/>
      <c r="U25" s="55"/>
      <c r="V25" s="55" t="s">
        <v>203</v>
      </c>
      <c r="W25" s="55" t="s">
        <v>220</v>
      </c>
      <c r="X25"/>
      <c r="Y25"/>
      <c r="Z25"/>
    </row>
    <row r="26" spans="1:26" ht="15" customHeight="1" x14ac:dyDescent="0.35">
      <c r="A26" s="87" t="s">
        <v>18</v>
      </c>
      <c r="B26" s="87"/>
      <c r="C26" s="87"/>
      <c r="D26" s="87"/>
      <c r="E26" s="110" t="str">
        <f>IF(AND(G20="Mumbai"),"Upper Class","Middle Class")</f>
        <v>Middle Class</v>
      </c>
      <c r="F26" s="110"/>
      <c r="G26" s="110"/>
      <c r="H26" s="110"/>
      <c r="S26" s="55"/>
      <c r="T26" s="55"/>
      <c r="U26" s="55"/>
      <c r="V26" s="55" t="s">
        <v>204</v>
      </c>
      <c r="W26" s="55" t="s">
        <v>221</v>
      </c>
      <c r="X26"/>
      <c r="Y26"/>
      <c r="Z26"/>
    </row>
    <row r="27" spans="1:26" x14ac:dyDescent="0.35">
      <c r="A27" s="87" t="s">
        <v>19</v>
      </c>
      <c r="B27" s="87"/>
      <c r="C27" s="87"/>
      <c r="D27" s="87"/>
      <c r="E27" s="110" t="s">
        <v>20</v>
      </c>
      <c r="F27" s="110"/>
      <c r="G27" s="110"/>
      <c r="H27" s="110"/>
      <c r="S27" s="55"/>
      <c r="T27" s="55"/>
      <c r="U27" s="55"/>
      <c r="V27" s="55" t="s">
        <v>205</v>
      </c>
      <c r="W27" s="55" t="s">
        <v>222</v>
      </c>
      <c r="X27"/>
      <c r="Y27"/>
      <c r="Z27"/>
    </row>
    <row r="28" spans="1:26" ht="15.75" customHeight="1" x14ac:dyDescent="0.35">
      <c r="A28" s="87" t="s">
        <v>21</v>
      </c>
      <c r="B28" s="87"/>
      <c r="C28" s="87"/>
      <c r="D28" s="87"/>
      <c r="E28" s="110" t="str">
        <f>IF(AND(G20="Mumbai"),"Developed","Developing")</f>
        <v>Developing</v>
      </c>
      <c r="F28" s="110"/>
      <c r="G28" s="110"/>
      <c r="H28" s="110"/>
    </row>
    <row r="29" spans="1:26" x14ac:dyDescent="0.35">
      <c r="A29" s="87" t="s">
        <v>22</v>
      </c>
      <c r="B29" s="87"/>
      <c r="C29" s="87"/>
      <c r="D29" s="87"/>
      <c r="E29" s="110" t="s">
        <v>23</v>
      </c>
      <c r="F29" s="110"/>
      <c r="G29" s="110"/>
      <c r="H29" s="110"/>
    </row>
    <row r="30" spans="1:26" ht="15.75" customHeight="1" x14ac:dyDescent="0.35">
      <c r="A30" s="87" t="s">
        <v>78</v>
      </c>
      <c r="B30" s="87"/>
      <c r="C30" s="87"/>
      <c r="D30" s="87"/>
      <c r="E30" s="110" t="s">
        <v>79</v>
      </c>
      <c r="F30" s="110"/>
      <c r="G30" s="110"/>
      <c r="H30" s="110"/>
    </row>
    <row r="31" spans="1:26" ht="15" customHeight="1" x14ac:dyDescent="0.35">
      <c r="A31" s="87" t="s">
        <v>30</v>
      </c>
      <c r="B31" s="87"/>
      <c r="C31" s="87"/>
      <c r="D31" s="87"/>
      <c r="E31" s="110" t="str">
        <f>IF(AND(ISNUMBER(SEARCH("Flat",D59)),ISNUMBER(SEARCH("Shop",D59)),ISNUMBER(SEARCH("Office",D59))),"Residential + Commercial",IF(AND(ISNUMBER(SEARCH("Flat",D59)),ISNUMBER(SEARCH("Shop",D59))),"Residential + Commercial",IF(AND(ISNUMBER(SEARCH("Flat",D59)),ISNUMBER(SEARCH("Office",D59))),"Residential + Commercial",IF(AND(ISNUMBER(SEARCH("Shop",D59)),ISNUMBER(SEARCH("Office",D59))),"Commercial",IF(ISNUMBER(SEARCH("Shop",D59)),"Commercial",IF(ISNUMBER(SEARCH("Office",D59)),"Commercial",IF(ISNUMBER(SEARCH("Flat",D59)),"Residential")))))))</f>
        <v>Residential + Commercial</v>
      </c>
      <c r="F31" s="110"/>
      <c r="G31" s="110"/>
      <c r="H31" s="110"/>
    </row>
    <row r="32" spans="1:26" ht="15.75" customHeight="1" x14ac:dyDescent="0.35">
      <c r="A32" s="87" t="s">
        <v>90</v>
      </c>
      <c r="B32" s="87"/>
      <c r="C32" s="87"/>
      <c r="D32" s="87"/>
      <c r="E32" s="110" t="s">
        <v>31</v>
      </c>
      <c r="F32" s="110"/>
      <c r="G32" s="110"/>
      <c r="H32" s="110"/>
    </row>
    <row r="33" spans="1:19" s="21" customFormat="1" x14ac:dyDescent="0.35">
      <c r="A33" s="195" t="s">
        <v>91</v>
      </c>
      <c r="B33" s="195"/>
      <c r="C33" s="192" t="s">
        <v>170</v>
      </c>
      <c r="D33" s="193"/>
      <c r="E33" s="194"/>
      <c r="F33" s="192" t="s">
        <v>29</v>
      </c>
      <c r="G33" s="193"/>
      <c r="H33" s="194"/>
      <c r="S33" s="21" t="e">
        <f ca="1">OFFSET($S$13,1,MATCH($G20,$S$13:$W$13,0)-1,15,1)</f>
        <v>#VALUE!</v>
      </c>
    </row>
    <row r="34" spans="1:19" s="21" customFormat="1" x14ac:dyDescent="0.35">
      <c r="A34" s="188" t="s">
        <v>24</v>
      </c>
      <c r="B34" s="188" t="s">
        <v>28</v>
      </c>
      <c r="C34" s="189" t="s">
        <v>334</v>
      </c>
      <c r="D34" s="190"/>
      <c r="E34" s="191"/>
      <c r="F34" s="189" t="s">
        <v>311</v>
      </c>
      <c r="G34" s="190"/>
      <c r="H34" s="191"/>
    </row>
    <row r="35" spans="1:19" x14ac:dyDescent="0.35">
      <c r="A35" s="188" t="s">
        <v>25</v>
      </c>
      <c r="B35" s="188" t="s">
        <v>28</v>
      </c>
      <c r="C35" s="189" t="s">
        <v>334</v>
      </c>
      <c r="D35" s="190"/>
      <c r="E35" s="191"/>
      <c r="F35" s="189" t="s">
        <v>308</v>
      </c>
      <c r="G35" s="190"/>
      <c r="H35" s="191"/>
    </row>
    <row r="36" spans="1:19" s="21" customFormat="1" x14ac:dyDescent="0.35">
      <c r="A36" s="188" t="s">
        <v>27</v>
      </c>
      <c r="B36" s="188" t="s">
        <v>28</v>
      </c>
      <c r="C36" s="189" t="s">
        <v>334</v>
      </c>
      <c r="D36" s="190"/>
      <c r="E36" s="191"/>
      <c r="F36" s="189" t="s">
        <v>310</v>
      </c>
      <c r="G36" s="190"/>
      <c r="H36" s="191"/>
    </row>
    <row r="37" spans="1:19" x14ac:dyDescent="0.35">
      <c r="A37" s="188" t="s">
        <v>26</v>
      </c>
      <c r="B37" s="188" t="s">
        <v>28</v>
      </c>
      <c r="C37" s="189" t="s">
        <v>335</v>
      </c>
      <c r="D37" s="190"/>
      <c r="E37" s="191"/>
      <c r="F37" s="189" t="s">
        <v>10</v>
      </c>
      <c r="G37" s="190"/>
      <c r="H37" s="191"/>
    </row>
    <row r="38" spans="1:19" x14ac:dyDescent="0.35">
      <c r="A38" s="87" t="s">
        <v>279</v>
      </c>
      <c r="B38" s="87"/>
      <c r="C38" s="87"/>
      <c r="D38" s="87"/>
      <c r="E38" s="87"/>
      <c r="F38" s="87"/>
      <c r="G38" s="87"/>
      <c r="H38" s="87"/>
    </row>
    <row r="39" spans="1:19" ht="15.75" customHeight="1" x14ac:dyDescent="0.35">
      <c r="A39" s="87" t="s">
        <v>162</v>
      </c>
      <c r="B39" s="87"/>
      <c r="C39" s="175" t="s">
        <v>313</v>
      </c>
      <c r="D39" s="175"/>
      <c r="E39" s="175"/>
      <c r="F39" s="175"/>
      <c r="G39" s="175"/>
      <c r="H39" s="175"/>
    </row>
    <row r="40" spans="1:19" x14ac:dyDescent="0.35">
      <c r="A40" s="87" t="s">
        <v>158</v>
      </c>
      <c r="B40" s="87"/>
      <c r="C40" s="209" t="s">
        <v>312</v>
      </c>
      <c r="D40" s="110"/>
      <c r="E40" s="110"/>
      <c r="F40" s="110"/>
      <c r="G40" s="110"/>
      <c r="H40" s="110"/>
    </row>
    <row r="41" spans="1:19" x14ac:dyDescent="0.35">
      <c r="A41" s="175" t="s">
        <v>32</v>
      </c>
      <c r="B41" s="175"/>
      <c r="C41" s="175"/>
      <c r="D41" s="175"/>
      <c r="E41" s="175"/>
      <c r="F41" s="175"/>
      <c r="G41" s="175"/>
      <c r="H41" s="175"/>
    </row>
    <row r="42" spans="1:19" x14ac:dyDescent="0.35">
      <c r="A42" s="87" t="s">
        <v>33</v>
      </c>
      <c r="B42" s="87"/>
      <c r="C42" s="87"/>
      <c r="D42" s="87"/>
      <c r="E42" s="196">
        <v>977.05</v>
      </c>
      <c r="F42" s="196"/>
      <c r="G42" s="196"/>
      <c r="H42" s="196"/>
    </row>
    <row r="43" spans="1:19" x14ac:dyDescent="0.35">
      <c r="A43" s="87" t="s">
        <v>34</v>
      </c>
      <c r="B43" s="87"/>
      <c r="C43" s="87"/>
      <c r="D43" s="87"/>
      <c r="E43" s="96">
        <f>1074.75/E42</f>
        <v>1.0999948825546289</v>
      </c>
      <c r="F43" s="96"/>
      <c r="G43" s="96"/>
      <c r="H43" s="96"/>
    </row>
    <row r="44" spans="1:19" x14ac:dyDescent="0.35">
      <c r="A44" s="87" t="s">
        <v>35</v>
      </c>
      <c r="B44" s="87"/>
      <c r="C44" s="87"/>
      <c r="D44" s="87"/>
      <c r="E44" s="96">
        <f>E46/E42-E43</f>
        <v>1.4799652013714752</v>
      </c>
      <c r="F44" s="96"/>
      <c r="G44" s="96"/>
      <c r="H44" s="96"/>
    </row>
    <row r="45" spans="1:19" x14ac:dyDescent="0.35">
      <c r="A45" s="87" t="s">
        <v>36</v>
      </c>
      <c r="B45" s="87"/>
      <c r="C45" s="87"/>
      <c r="D45" s="87"/>
      <c r="E45" s="96">
        <f>E43+E44</f>
        <v>2.5799600839261041</v>
      </c>
      <c r="F45" s="96"/>
      <c r="G45" s="96"/>
      <c r="H45" s="96"/>
    </row>
    <row r="46" spans="1:19" x14ac:dyDescent="0.35">
      <c r="A46" s="87" t="s">
        <v>89</v>
      </c>
      <c r="B46" s="87"/>
      <c r="C46" s="87"/>
      <c r="D46" s="87"/>
      <c r="E46" s="198">
        <v>2520.75</v>
      </c>
      <c r="F46" s="198"/>
      <c r="G46" s="198"/>
      <c r="H46" s="198"/>
    </row>
    <row r="47" spans="1:19" x14ac:dyDescent="0.35">
      <c r="A47" s="111" t="s">
        <v>37</v>
      </c>
      <c r="B47" s="111"/>
      <c r="C47" s="111"/>
      <c r="D47" s="111"/>
      <c r="E47" s="112" t="s">
        <v>314</v>
      </c>
      <c r="F47" s="112"/>
      <c r="G47" s="112"/>
      <c r="H47" s="112"/>
    </row>
    <row r="48" spans="1:19" x14ac:dyDescent="0.35">
      <c r="A48" s="175" t="s">
        <v>38</v>
      </c>
      <c r="B48" s="175"/>
      <c r="C48" s="175"/>
      <c r="D48" s="175"/>
      <c r="E48" s="175"/>
      <c r="F48" s="175"/>
      <c r="G48" s="175"/>
      <c r="H48" s="175"/>
    </row>
    <row r="49" spans="1:24" ht="33.75" customHeight="1" x14ac:dyDescent="0.35">
      <c r="A49" s="104" t="s">
        <v>147</v>
      </c>
      <c r="B49" s="105"/>
      <c r="C49" s="215" t="s">
        <v>261</v>
      </c>
      <c r="D49" s="216"/>
      <c r="E49" s="216"/>
      <c r="F49" s="216"/>
      <c r="G49" s="216"/>
      <c r="H49" s="217"/>
      <c r="R49" t="s">
        <v>252</v>
      </c>
      <c r="S49" t="s">
        <v>169</v>
      </c>
      <c r="T49" t="s">
        <v>176</v>
      </c>
      <c r="U49" t="s">
        <v>191</v>
      </c>
      <c r="V49" t="s">
        <v>186</v>
      </c>
    </row>
    <row r="50" spans="1:24" ht="15.75" customHeight="1" x14ac:dyDescent="0.35">
      <c r="A50" s="104" t="s">
        <v>39</v>
      </c>
      <c r="B50" s="105"/>
      <c r="C50" s="104" t="s">
        <v>315</v>
      </c>
      <c r="D50" s="106"/>
      <c r="E50" s="105"/>
      <c r="F50" s="18" t="s">
        <v>40</v>
      </c>
      <c r="G50" s="107">
        <v>44741</v>
      </c>
      <c r="H50" s="105"/>
      <c r="R50"/>
      <c r="S50" t="s">
        <v>253</v>
      </c>
      <c r="T50" t="s">
        <v>258</v>
      </c>
      <c r="U50" t="s">
        <v>269</v>
      </c>
      <c r="V50" t="s">
        <v>274</v>
      </c>
    </row>
    <row r="51" spans="1:24" x14ac:dyDescent="0.35">
      <c r="A51" s="104" t="s">
        <v>41</v>
      </c>
      <c r="B51" s="105"/>
      <c r="C51" s="104" t="str">
        <f>C50</f>
        <v>KBNP/NRV/BP/5778-53</v>
      </c>
      <c r="D51" s="106"/>
      <c r="E51" s="105"/>
      <c r="F51" s="18" t="s">
        <v>40</v>
      </c>
      <c r="G51" s="107">
        <v>44741</v>
      </c>
      <c r="H51" s="105"/>
      <c r="R51"/>
      <c r="S51" t="s">
        <v>254</v>
      </c>
      <c r="T51" t="s">
        <v>259</v>
      </c>
      <c r="U51" t="s">
        <v>267</v>
      </c>
      <c r="V51" t="s">
        <v>275</v>
      </c>
    </row>
    <row r="52" spans="1:24" s="22" customFormat="1" ht="32.25" customHeight="1" x14ac:dyDescent="0.35">
      <c r="A52" s="119" t="s">
        <v>151</v>
      </c>
      <c r="B52" s="120"/>
      <c r="C52" s="104" t="s">
        <v>316</v>
      </c>
      <c r="D52" s="106"/>
      <c r="E52" s="105"/>
      <c r="F52" s="18" t="s">
        <v>40</v>
      </c>
      <c r="G52" s="107">
        <v>44741</v>
      </c>
      <c r="H52" s="105"/>
      <c r="R52"/>
      <c r="S52" t="s">
        <v>255</v>
      </c>
      <c r="T52" t="s">
        <v>260</v>
      </c>
      <c r="U52" t="s">
        <v>257</v>
      </c>
      <c r="V52" t="s">
        <v>276</v>
      </c>
    </row>
    <row r="53" spans="1:24" s="22" customFormat="1" x14ac:dyDescent="0.35">
      <c r="A53" s="121"/>
      <c r="B53" s="122"/>
      <c r="C53" s="104" t="s">
        <v>336</v>
      </c>
      <c r="D53" s="106"/>
      <c r="E53" s="106"/>
      <c r="F53" s="106"/>
      <c r="G53" s="106"/>
      <c r="H53" s="105"/>
      <c r="R53"/>
      <c r="S53" t="s">
        <v>256</v>
      </c>
      <c r="T53" t="s">
        <v>263</v>
      </c>
      <c r="U53" t="s">
        <v>270</v>
      </c>
    </row>
    <row r="54" spans="1:24" s="22" customFormat="1" hidden="1" x14ac:dyDescent="0.35">
      <c r="A54" s="115" t="s">
        <v>280</v>
      </c>
      <c r="B54" s="116"/>
      <c r="C54" s="104" t="str">
        <f>C53</f>
        <v>Wing A &amp; B = Gr/St + 1st to 7th Floor</v>
      </c>
      <c r="D54" s="106"/>
      <c r="E54" s="105"/>
      <c r="F54" s="18" t="s">
        <v>40</v>
      </c>
      <c r="G54" s="104"/>
      <c r="H54" s="105"/>
      <c r="R54"/>
      <c r="S54" t="s">
        <v>255</v>
      </c>
      <c r="T54" t="s">
        <v>260</v>
      </c>
      <c r="U54" t="s">
        <v>257</v>
      </c>
      <c r="V54" t="s">
        <v>276</v>
      </c>
    </row>
    <row r="55" spans="1:24" s="22" customFormat="1" ht="32.25" hidden="1" customHeight="1" x14ac:dyDescent="0.35">
      <c r="A55" s="117"/>
      <c r="B55" s="118"/>
      <c r="C55" s="212"/>
      <c r="D55" s="213"/>
      <c r="E55" s="213"/>
      <c r="F55" s="213"/>
      <c r="G55" s="213"/>
      <c r="H55" s="214"/>
      <c r="R55"/>
      <c r="S55" t="s">
        <v>257</v>
      </c>
      <c r="T55" t="s">
        <v>261</v>
      </c>
      <c r="U55" t="s">
        <v>271</v>
      </c>
      <c r="V55" s="20"/>
      <c r="W55" s="20"/>
      <c r="X55" s="20"/>
    </row>
    <row r="56" spans="1:24" x14ac:dyDescent="0.35">
      <c r="A56" s="88" t="s">
        <v>42</v>
      </c>
      <c r="B56" s="89"/>
      <c r="C56" s="88" t="s">
        <v>102</v>
      </c>
      <c r="D56" s="90"/>
      <c r="E56" s="89"/>
      <c r="F56" s="43" t="s">
        <v>40</v>
      </c>
      <c r="G56" s="113" t="s">
        <v>28</v>
      </c>
      <c r="H56" s="114"/>
      <c r="R56"/>
      <c r="T56" t="s">
        <v>268</v>
      </c>
    </row>
    <row r="57" spans="1:24" x14ac:dyDescent="0.35">
      <c r="A57" s="108" t="s">
        <v>44</v>
      </c>
      <c r="B57" s="108"/>
      <c r="C57" s="108"/>
      <c r="D57" s="108"/>
      <c r="E57" s="108"/>
      <c r="F57" s="108"/>
      <c r="G57" s="108"/>
      <c r="H57" s="108"/>
      <c r="T57" t="s">
        <v>277</v>
      </c>
    </row>
    <row r="58" spans="1:24" x14ac:dyDescent="0.35">
      <c r="A58" s="109" t="s">
        <v>88</v>
      </c>
      <c r="B58" s="109"/>
      <c r="C58" s="109"/>
      <c r="D58" s="87">
        <f>E46</f>
        <v>2520.75</v>
      </c>
      <c r="E58" s="87"/>
      <c r="F58" s="87"/>
      <c r="G58" s="87"/>
      <c r="H58" s="87"/>
      <c r="R58"/>
    </row>
    <row r="59" spans="1:24" x14ac:dyDescent="0.35">
      <c r="A59" s="110" t="s">
        <v>45</v>
      </c>
      <c r="B59" s="111"/>
      <c r="C59" s="111"/>
      <c r="D59" s="112" t="s">
        <v>330</v>
      </c>
      <c r="E59" s="112"/>
      <c r="F59" s="112"/>
      <c r="G59" s="112"/>
      <c r="H59" s="112"/>
      <c r="I59" s="23"/>
      <c r="R59"/>
    </row>
    <row r="60" spans="1:24" x14ac:dyDescent="0.35">
      <c r="A60" s="141" t="s">
        <v>46</v>
      </c>
      <c r="B60" s="142"/>
      <c r="C60" s="206"/>
      <c r="D60" s="204" t="s">
        <v>337</v>
      </c>
      <c r="E60" s="205"/>
      <c r="F60" s="205"/>
      <c r="G60" s="205"/>
      <c r="H60" s="205"/>
      <c r="R60"/>
    </row>
    <row r="61" spans="1:24" ht="15.75" customHeight="1" x14ac:dyDescent="0.35">
      <c r="A61" s="141" t="s">
        <v>86</v>
      </c>
      <c r="B61" s="142"/>
      <c r="C61" s="142"/>
      <c r="D61" s="145" t="s">
        <v>336</v>
      </c>
      <c r="E61" s="146"/>
      <c r="F61" s="146"/>
      <c r="G61" s="146"/>
      <c r="H61" s="147"/>
      <c r="R61"/>
    </row>
    <row r="62" spans="1:24" ht="15.75" hidden="1" customHeight="1" x14ac:dyDescent="0.35">
      <c r="A62" s="143"/>
      <c r="B62" s="144"/>
      <c r="C62" s="144"/>
      <c r="D62" s="148" t="s">
        <v>317</v>
      </c>
      <c r="E62" s="149"/>
      <c r="F62" s="149"/>
      <c r="G62" s="149"/>
      <c r="H62" s="150"/>
      <c r="R62"/>
    </row>
    <row r="63" spans="1:24" ht="15.75" customHeight="1" x14ac:dyDescent="0.35">
      <c r="A63" s="87" t="s">
        <v>43</v>
      </c>
      <c r="B63" s="87"/>
      <c r="C63" s="87"/>
      <c r="D63" s="197" t="s">
        <v>347</v>
      </c>
      <c r="E63" s="197"/>
      <c r="F63" s="197"/>
      <c r="G63" s="197"/>
      <c r="H63" s="197"/>
      <c r="I63" s="20" t="s">
        <v>318</v>
      </c>
      <c r="J63" s="24"/>
      <c r="K63" s="23"/>
      <c r="N63" s="23"/>
      <c r="S63"/>
    </row>
    <row r="64" spans="1:24" ht="15.75" customHeight="1" x14ac:dyDescent="0.35">
      <c r="A64" s="87" t="s">
        <v>84</v>
      </c>
      <c r="B64" s="87"/>
      <c r="C64" s="87"/>
      <c r="D64" s="197" t="str">
        <f>(IF(G56="NA","60 Years",IF(G56&lt;&gt;"NA",""&amp;60-ROUNDDOWN((E3-G56)/360,0)&amp;" Years"," ")))</f>
        <v>60 Years</v>
      </c>
      <c r="E64" s="197"/>
      <c r="F64" s="197"/>
      <c r="G64" s="197"/>
      <c r="H64" s="197"/>
      <c r="N64" s="23"/>
      <c r="S64"/>
    </row>
    <row r="65" spans="1:19" ht="15.75" customHeight="1" x14ac:dyDescent="0.35">
      <c r="A65" s="87" t="s">
        <v>85</v>
      </c>
      <c r="B65" s="87"/>
      <c r="C65" s="87"/>
      <c r="D65" s="109" t="s">
        <v>23</v>
      </c>
      <c r="E65" s="109"/>
      <c r="F65" s="109"/>
      <c r="G65" s="109"/>
      <c r="H65" s="109"/>
      <c r="J65" s="25"/>
      <c r="K65" s="25"/>
      <c r="S65"/>
    </row>
    <row r="66" spans="1:19" x14ac:dyDescent="0.35">
      <c r="A66" s="112" t="s">
        <v>338</v>
      </c>
      <c r="B66" s="112"/>
      <c r="C66" s="112"/>
      <c r="D66" s="94" t="s">
        <v>28</v>
      </c>
      <c r="E66" s="94"/>
      <c r="F66" s="94"/>
      <c r="G66" s="94"/>
      <c r="H66" s="94"/>
      <c r="S66"/>
    </row>
    <row r="67" spans="1:19" x14ac:dyDescent="0.35">
      <c r="A67" s="94" t="s">
        <v>144</v>
      </c>
      <c r="B67" s="94"/>
      <c r="C67" s="94"/>
      <c r="D67" s="94" t="s">
        <v>28</v>
      </c>
      <c r="E67" s="94"/>
      <c r="F67" s="94"/>
      <c r="G67" s="94"/>
      <c r="H67" s="94"/>
      <c r="I67" s="26"/>
      <c r="J67" s="26"/>
      <c r="K67" s="26"/>
      <c r="L67" s="26"/>
      <c r="M67" s="26"/>
      <c r="N67" s="26"/>
    </row>
    <row r="68" spans="1:19" ht="15.75" customHeight="1" x14ac:dyDescent="0.35">
      <c r="A68" s="95" t="s">
        <v>83</v>
      </c>
      <c r="B68" s="95"/>
      <c r="C68" s="95"/>
      <c r="D68" s="153" t="str">
        <f ca="1">(IF(G74&gt;95%,"Nothing",IF(G74&gt;0%,"Cement, Aggregate, Steel, etc",IF(G74=0%,"Work not yet Started"))))</f>
        <v>Nothing</v>
      </c>
      <c r="E68" s="153"/>
      <c r="F68" s="153"/>
      <c r="G68" s="153"/>
      <c r="H68" s="153"/>
      <c r="J68" s="25"/>
      <c r="S68"/>
    </row>
    <row r="69" spans="1:19" ht="33.75" customHeight="1" thickBot="1" x14ac:dyDescent="0.4">
      <c r="A69" s="152" t="s">
        <v>115</v>
      </c>
      <c r="B69" s="152"/>
      <c r="C69" s="152"/>
      <c r="D69" s="153" t="str">
        <f ca="1">(IF(D68="Nothing","Yes",IF(D68="Cement, Aggregate, Steel, etc","Under Construction",IF(D68="Work not yet Started","Work not yet Started"))))</f>
        <v>Yes</v>
      </c>
      <c r="E69" s="153"/>
      <c r="F69" s="153" t="str">
        <f ca="1">(IF(D68="Nothing","Yes",IF(D68="Cement, Aggregate, Steel, etc","Under Construction",IF(D68="Work not yet Started","Work not yet Started"))))</f>
        <v>Yes</v>
      </c>
      <c r="G69" s="153"/>
      <c r="H69" s="153"/>
      <c r="S69"/>
    </row>
    <row r="70" spans="1:19" ht="15.75" customHeight="1" x14ac:dyDescent="0.35">
      <c r="A70" s="97" t="s">
        <v>136</v>
      </c>
      <c r="B70" s="98"/>
      <c r="C70" s="99" t="str">
        <f>D61</f>
        <v>Wing A &amp; B = Gr/St + 1st to 7th Floor</v>
      </c>
      <c r="D70" s="100"/>
      <c r="E70" s="100"/>
      <c r="F70" s="100"/>
      <c r="G70" s="100"/>
      <c r="H70" s="101"/>
      <c r="I70" s="47" t="str">
        <f ca="1">IF(D83=100%,"All work Completed. Possession granted to the Building.",IF(D82=100%,"All work Completed, Waiting for OC",I71&amp;""&amp;I72&amp;""&amp;J71&amp;""&amp;J70&amp;" "&amp;J72))</f>
        <v>All work Completed. Possession granted to the Building.</v>
      </c>
      <c r="J70" s="48" t="str">
        <f ca="1">(IF(C76=(D71+F71+H71),"",IF(C76&gt;0,", RCC upto "&amp;C76&amp;" Slab","")))&amp;(IF(C77=H71,"",IF(C77&gt;0,", Brickwork upto "&amp;C77&amp;" Floor","")))&amp;(IF(C78=H71,"",IF(C78&gt;0,", Internal Plaster upto "&amp;C78&amp;" Floor","")))&amp;(IF(C79=H71,"",IF(C79&gt;0,", External Plaster upto "&amp;C79&amp;" Floor","")))&amp;(IF(C80=H71,"",IF(C80&gt;0,", Flooring upto "&amp;C80&amp;" Floor","")))&amp;(IF(C81=H71,"",IF(C81&gt;0,", Painting upto "&amp;C81&amp;" Floor","")))&amp;(IF(C82=H71,"",IF(C82&gt;0,", Finishing upto "&amp;C82&amp;" Floor","")))&amp;(IF(C83=H71,"",IF(C83&gt;0,", Possession upto "&amp;C83&amp;" Floor","")))</f>
        <v/>
      </c>
      <c r="S70"/>
    </row>
    <row r="71" spans="1:19" x14ac:dyDescent="0.35">
      <c r="A71" s="16" t="s">
        <v>138</v>
      </c>
      <c r="B71" s="51">
        <f>IF(AND(ISNUMBER(SEARCH("1B",C70))),1,IF(AND(ISNUMBER(SEARCH("2B",C70))),2,IF(AND(ISNUMBER(SEARCH("3B",C70))),3,IF(AND(ISNUMBER(SEARCH("4B",C70))),4,IF(ISNUMBER(SEARCH("5B",C70)),5,0)))))</f>
        <v>0</v>
      </c>
      <c r="C71" s="45" t="s">
        <v>69</v>
      </c>
      <c r="D71" s="45">
        <v>1</v>
      </c>
      <c r="E71" s="45" t="s">
        <v>68</v>
      </c>
      <c r="F71" s="78">
        <v>0</v>
      </c>
      <c r="G71" s="46" t="s">
        <v>77</v>
      </c>
      <c r="H71" s="17">
        <f ca="1">--TRIM(RIGHT(SUBSTITUTE(LEFT(C70,_xlfn.AGGREGATE(16,6,FIND({0,1,2,3,4,5,6,7,8,9},C70,ROW(INDIRECT("1:"&amp;LEN(C70)))),1))," ",REPT(" ",LEN(C70))),LEN(C70)))</f>
        <v>7</v>
      </c>
      <c r="I71" s="49" t="str">
        <f ca="1">IF(D74=100%,"Excavation","")&amp;IF(D75=100%,", Plinth","")&amp;IF(D76=100%,", RCC Slab","")&amp;IF(D77=100%,", Brickwork","")&amp;IF(D78=100%,", Internal Plaster","")&amp;IF(D79=100%,", External Plaster","")&amp;IF(D80=100%,", Flooring","")&amp;IF(D81=100%,", Painting","")&amp;IF(D82=100%,", Building common Amenities","")</f>
        <v>Excavation, Plinth, RCC Slab, Brickwork, Internal Plaster, External Plaster, Flooring, Painting, Building common Amenities</v>
      </c>
      <c r="J71" s="50" t="str">
        <f ca="1">(IF(C74=0,"Work not yet Started.",IF(D74=25%,"Piling work in process",IF(D74=50%,"Excavation work in process",IF(D74=100%,"","0")))))&amp;(IF(C75=0%,"",IF(C75=J76,", Footing work is process",IF(C75=J77,", Footing work Completed",IF(C75=J78,", 1st Basement Completed",IF(C75=J79,", 1st &amp; 2nd Basement Completed",IF(C75=J80,", 1st to 3rd Basement Completed",IF(C75=J81,", 1st to 4th Basement Completed",IF(C75=J82,", Plinth work is process",IF(C75=J83,"","0"))))))))))</f>
        <v/>
      </c>
      <c r="S71"/>
    </row>
    <row r="72" spans="1:19" x14ac:dyDescent="0.35">
      <c r="A72" s="199" t="s">
        <v>87</v>
      </c>
      <c r="B72" s="200"/>
      <c r="C72" s="207" t="str">
        <f ca="1">I70</f>
        <v>All work Completed. Possession granted to the Building.</v>
      </c>
      <c r="D72" s="207"/>
      <c r="E72" s="207"/>
      <c r="F72" s="207"/>
      <c r="G72" s="207"/>
      <c r="H72" s="208"/>
      <c r="I72" s="49" t="str">
        <f ca="1">IF(I71&lt;&gt;""," Completed","")</f>
        <v xml:space="preserve"> Completed</v>
      </c>
      <c r="J72" s="50" t="str">
        <f ca="1">IF(J70&lt;&gt;"","Completed","")</f>
        <v/>
      </c>
      <c r="S72"/>
    </row>
    <row r="73" spans="1:19" ht="15.75" customHeight="1" x14ac:dyDescent="0.35">
      <c r="A73" s="102" t="s">
        <v>47</v>
      </c>
      <c r="B73" s="103"/>
      <c r="C73" s="42" t="s">
        <v>135</v>
      </c>
      <c r="D73" s="42" t="s">
        <v>80</v>
      </c>
      <c r="E73" s="103" t="s">
        <v>82</v>
      </c>
      <c r="F73" s="103"/>
      <c r="G73" s="103" t="s">
        <v>81</v>
      </c>
      <c r="H73" s="151"/>
      <c r="I73" s="13" t="s">
        <v>137</v>
      </c>
      <c r="J73" s="27">
        <f ca="1">H71*25%</f>
        <v>1.75</v>
      </c>
      <c r="S73"/>
    </row>
    <row r="74" spans="1:19" x14ac:dyDescent="0.35">
      <c r="A74" s="103" t="s">
        <v>124</v>
      </c>
      <c r="B74" s="103"/>
      <c r="C74" s="79">
        <f ca="1">J75</f>
        <v>7</v>
      </c>
      <c r="D74" s="19">
        <f ca="1">((100/H71)*C74)/100</f>
        <v>1</v>
      </c>
      <c r="E74" s="223">
        <f ca="1">(((C75/H71*10)+(40/(D71+F71+H71)*C76)+(7.5/(H71)*C77)+(7.5/(H71)*C78)+(10/H71*C79)+(10/H71*C80)+(5/H71*C81)+(5/H71*C82)+(5/H71*C83))/100)</f>
        <v>1</v>
      </c>
      <c r="F74" s="223"/>
      <c r="G74" s="223">
        <f ca="1">((((C74/H71)*20)+((C75/H71)*25)+(30/(H71+F71+D71)*C76)+(5/H71*C77)+(5/H71*C78)+(5/H71*C79)+(5/H71*C80)+(0/H71*C81)+(0/H71*C82)+(5/H71*C83))/100)</f>
        <v>1</v>
      </c>
      <c r="H74" s="223"/>
      <c r="I74" s="13" t="s">
        <v>97</v>
      </c>
      <c r="J74" s="28">
        <f ca="1">H71*50%</f>
        <v>3.5</v>
      </c>
    </row>
    <row r="75" spans="1:19" x14ac:dyDescent="0.35">
      <c r="A75" s="103" t="s">
        <v>48</v>
      </c>
      <c r="B75" s="103"/>
      <c r="C75" s="79">
        <f ca="1">J83</f>
        <v>7</v>
      </c>
      <c r="D75" s="19">
        <f ca="1">((100/H71)*C75)/100</f>
        <v>1</v>
      </c>
      <c r="E75" s="223"/>
      <c r="F75" s="223"/>
      <c r="G75" s="223"/>
      <c r="H75" s="223"/>
      <c r="I75" s="13" t="s">
        <v>98</v>
      </c>
      <c r="J75" s="28">
        <f ca="1">H71</f>
        <v>7</v>
      </c>
      <c r="S75"/>
    </row>
    <row r="76" spans="1:19" ht="15.75" customHeight="1" x14ac:dyDescent="0.35">
      <c r="A76" s="103" t="s">
        <v>125</v>
      </c>
      <c r="B76" s="103"/>
      <c r="C76" s="79">
        <v>8</v>
      </c>
      <c r="D76" s="19">
        <f ca="1">((100/(D71+F71+H71))*C76)/100</f>
        <v>1</v>
      </c>
      <c r="E76" s="223"/>
      <c r="F76" s="223"/>
      <c r="G76" s="223"/>
      <c r="H76" s="223"/>
      <c r="I76" s="13" t="s">
        <v>99</v>
      </c>
      <c r="J76" s="29">
        <f ca="1">(IF(B71&gt;1,(H71/(B71+2)),H71/4))</f>
        <v>1.75</v>
      </c>
      <c r="S76"/>
    </row>
    <row r="77" spans="1:19" ht="15.75" customHeight="1" x14ac:dyDescent="0.35">
      <c r="A77" s="103" t="s">
        <v>132</v>
      </c>
      <c r="B77" s="103" t="s">
        <v>126</v>
      </c>
      <c r="C77" s="79">
        <v>7</v>
      </c>
      <c r="D77" s="19">
        <f ca="1">((100/H71)*C77)/100</f>
        <v>1</v>
      </c>
      <c r="E77" s="223"/>
      <c r="F77" s="223"/>
      <c r="G77" s="223"/>
      <c r="H77" s="223"/>
      <c r="I77" s="13" t="s">
        <v>100</v>
      </c>
      <c r="J77" s="29">
        <f ca="1">(IF(B71&gt;1,(H71/(B71+2)+J76),H71/4+J76))</f>
        <v>3.5</v>
      </c>
    </row>
    <row r="78" spans="1:19" ht="15.75" customHeight="1" x14ac:dyDescent="0.35">
      <c r="A78" s="103" t="s">
        <v>133</v>
      </c>
      <c r="B78" s="103" t="s">
        <v>126</v>
      </c>
      <c r="C78" s="79">
        <v>7</v>
      </c>
      <c r="D78" s="19">
        <f ca="1">((100/H71)*C78)/100</f>
        <v>1</v>
      </c>
      <c r="E78" s="223"/>
      <c r="F78" s="223"/>
      <c r="G78" s="223"/>
      <c r="H78" s="223"/>
      <c r="I78" s="13" t="s">
        <v>142</v>
      </c>
      <c r="J78" s="29">
        <f>(IF(B71&gt;1,(H71/(B71+2)+J77),0))</f>
        <v>0</v>
      </c>
    </row>
    <row r="79" spans="1:19" ht="15" customHeight="1" x14ac:dyDescent="0.35">
      <c r="A79" s="103" t="s">
        <v>131</v>
      </c>
      <c r="B79" s="103" t="s">
        <v>128</v>
      </c>
      <c r="C79" s="79">
        <v>7</v>
      </c>
      <c r="D79" s="19">
        <f ca="1">((100/(H71))*C79)/100</f>
        <v>1</v>
      </c>
      <c r="E79" s="223"/>
      <c r="F79" s="223"/>
      <c r="G79" s="223"/>
      <c r="H79" s="223"/>
      <c r="I79" s="13" t="s">
        <v>139</v>
      </c>
      <c r="J79" s="29">
        <f>(IF(B71&gt;2,(H71/(B71+2)+J78),0))</f>
        <v>0</v>
      </c>
    </row>
    <row r="80" spans="1:19" ht="15.75" customHeight="1" x14ac:dyDescent="0.35">
      <c r="A80" s="103" t="s">
        <v>127</v>
      </c>
      <c r="B80" s="103" t="s">
        <v>127</v>
      </c>
      <c r="C80" s="79">
        <v>7</v>
      </c>
      <c r="D80" s="19">
        <f ca="1">((100/H71)*C80)/100</f>
        <v>1</v>
      </c>
      <c r="E80" s="223"/>
      <c r="F80" s="223"/>
      <c r="G80" s="223"/>
      <c r="H80" s="223"/>
      <c r="I80" s="13" t="s">
        <v>140</v>
      </c>
      <c r="J80" s="30">
        <f>(IF(B71&gt;3,(H71/(B71+2)+J79),0))</f>
        <v>0</v>
      </c>
    </row>
    <row r="81" spans="1:10" ht="15.75" customHeight="1" x14ac:dyDescent="0.35">
      <c r="A81" s="103" t="s">
        <v>134</v>
      </c>
      <c r="B81" s="103"/>
      <c r="C81" s="79">
        <v>7</v>
      </c>
      <c r="D81" s="19">
        <f ca="1">((100/H71)*C81)/100</f>
        <v>1</v>
      </c>
      <c r="E81" s="223"/>
      <c r="F81" s="223"/>
      <c r="G81" s="223"/>
      <c r="H81" s="223"/>
      <c r="I81" s="13" t="s">
        <v>141</v>
      </c>
      <c r="J81" s="29">
        <f>(IF(B71&gt;4,(H71/(B71+2)+J80),0))</f>
        <v>0</v>
      </c>
    </row>
    <row r="82" spans="1:10" ht="15.75" customHeight="1" x14ac:dyDescent="0.35">
      <c r="A82" s="103" t="s">
        <v>129</v>
      </c>
      <c r="B82" s="103" t="s">
        <v>129</v>
      </c>
      <c r="C82" s="79">
        <v>7</v>
      </c>
      <c r="D82" s="19">
        <f ca="1">((100/(H71))*C82)/100</f>
        <v>1</v>
      </c>
      <c r="E82" s="223"/>
      <c r="F82" s="223"/>
      <c r="G82" s="223"/>
      <c r="H82" s="223"/>
      <c r="I82" s="13" t="s">
        <v>143</v>
      </c>
      <c r="J82" s="29">
        <f ca="1">(IF(B71=1,(H71/(B71+3)+J77),IF(B71=0,(H71/4+J77),IF(B71&gt;1,0))))</f>
        <v>5.25</v>
      </c>
    </row>
    <row r="83" spans="1:10" ht="16" thickBot="1" x14ac:dyDescent="0.4">
      <c r="A83" s="103" t="s">
        <v>130</v>
      </c>
      <c r="B83" s="103"/>
      <c r="C83" s="79">
        <v>7</v>
      </c>
      <c r="D83" s="19">
        <f ca="1">((100/(H71))*C83)/100</f>
        <v>1</v>
      </c>
      <c r="E83" s="223"/>
      <c r="F83" s="223"/>
      <c r="G83" s="223"/>
      <c r="H83" s="223"/>
      <c r="I83" s="15" t="s">
        <v>101</v>
      </c>
      <c r="J83" s="31">
        <f ca="1">(IF(B71&gt;1.5,(H71/(B71+2)+J77+MAX(0,J78-J77)+MAX(0,J79-J78)+MAX(0,J80-J79)+MAX(0,J81-J80)+MAX(0,J82-J81)),IF(B71=1,(H71/(B71+3)+J82),IF(B71=0,H71/4+J82))))</f>
        <v>7</v>
      </c>
    </row>
    <row r="84" spans="1:10" ht="15.75" hidden="1" customHeight="1" x14ac:dyDescent="0.35">
      <c r="A84" s="224" t="s">
        <v>136</v>
      </c>
      <c r="B84" s="224"/>
      <c r="C84" s="224" t="str">
        <f>D62</f>
        <v>B Wing = G + 1st to 7th Floor</v>
      </c>
      <c r="D84" s="224"/>
      <c r="E84" s="224"/>
      <c r="F84" s="224"/>
      <c r="G84" s="224"/>
      <c r="H84" s="224"/>
      <c r="I84" s="221" t="str">
        <f ca="1">IF(D97=100%,"All work Completed. Possession granted to the Building.",IF(D96=100%,"All work Completed, Waiting for OC",I85&amp;""&amp;I86&amp;""&amp;J85&amp;""&amp;J84&amp;" "&amp;J86))</f>
        <v xml:space="preserve">Excavation, Plinth, RCC Slab, Brickwork Completed </v>
      </c>
      <c r="J84" s="48" t="str">
        <f ca="1">(IF(C90=(D85+F85+H85),"",IF(C90&gt;0,", RCC upto "&amp;C90&amp;" Slab","")))&amp;(IF(C91=H85,"",IF(C91&gt;0,", Brickwork upto "&amp;C91&amp;" Floor","")))&amp;(IF(C92=H85,"",IF(C92&gt;0,", Internal Plaster upto "&amp;C92&amp;" Floor","")))&amp;(IF(C93=H85,"",IF(C93&gt;0,", External Plaster upto "&amp;C93&amp;" Floor","")))&amp;(IF(C94=H85,"",IF(C94&gt;0,", Flooring upto "&amp;C94&amp;" Floor","")))&amp;(IF(C95=H85,"",IF(C95&gt;0,", Painting upto "&amp;C95&amp;" Floor","")))&amp;(IF(C96=H85,"",IF(C96&gt;0,", Finishing upto "&amp;C96&amp;" Floor","")))&amp;(IF(C97=H85,"",IF(C97&gt;0,", Possession upto "&amp;C97&amp;" Floor","")))</f>
        <v/>
      </c>
    </row>
    <row r="85" spans="1:10" hidden="1" x14ac:dyDescent="0.35">
      <c r="A85" s="52" t="s">
        <v>138</v>
      </c>
      <c r="B85" s="52">
        <f>IF(AND(ISNUMBER(SEARCH("1B",C84))),1,IF(AND(ISNUMBER(SEARCH("2B",C84))),2,IF(AND(ISNUMBER(SEARCH("3B",C84))),3,IF(AND(ISNUMBER(SEARCH("4B",C84))),4,IF(ISNUMBER(SEARCH("5B",C84)),5,0)))))</f>
        <v>0</v>
      </c>
      <c r="C85" s="52" t="s">
        <v>69</v>
      </c>
      <c r="D85" s="52">
        <v>1</v>
      </c>
      <c r="E85" s="52" t="s">
        <v>68</v>
      </c>
      <c r="F85" s="14">
        <v>0</v>
      </c>
      <c r="G85" s="46" t="s">
        <v>77</v>
      </c>
      <c r="H85" s="52">
        <f ca="1">--TRIM(RIGHT(SUBSTITUTE(LEFT(C84,_xlfn.AGGREGATE(16,6,FIND({0,1,2,3,4,5,6,7,8,9},C84,ROW(INDIRECT("1:"&amp;LEN(C84)))),1))," ",REPT(" ",LEN(C84))),LEN(C84)))</f>
        <v>7</v>
      </c>
      <c r="I85" s="222" t="str">
        <f ca="1">IF(D88=100%,"Excavation","")&amp;IF(D89=100%,", Plinth","")&amp;IF(D90=100%,", RCC Slab","")&amp;IF(D91=100%,", Brickwork","")&amp;IF(D92=100%,", Internal Plaster","")&amp;IF(D93=100%,", External Plaster","")&amp;IF(D94=100%,", Flooring","")&amp;IF(D95=100%,", Painting","")&amp;IF(D96=100%,", Building common Amenities","")</f>
        <v>Excavation, Plinth, RCC Slab, Brickwork</v>
      </c>
      <c r="J85" s="50" t="str">
        <f ca="1">(IF(C88=0,"Work not yet Started.",IF(D88=25%,"Piling work in process",IF(D88=50%,"Excavation work in process",IF(D88=100%,"","0")))))&amp;(IF(C89=0%,"",IF(C89=J90,", Footing work is process",IF(C89=J91,", Footing work Completed",IF(C89=J92,", 1st Basement Completed",IF(C89=J93,", 1st &amp; 2nd Basement Completed",IF(C89=J94,", 1st to 3rd Basement Completed",IF(C89=J95,", 1st to 4th Basement Completed",IF(C89=J96,", Plinth work is process",IF(C89=J97,"","0"))))))))))</f>
        <v/>
      </c>
    </row>
    <row r="86" spans="1:10" hidden="1" x14ac:dyDescent="0.35">
      <c r="A86" s="200" t="s">
        <v>87</v>
      </c>
      <c r="B86" s="200"/>
      <c r="C86" s="207" t="str">
        <f ca="1">(IF($G$56="NA",I84,"All work Completed. OC Received."))</f>
        <v xml:space="preserve">Excavation, Plinth, RCC Slab, Brickwork Completed </v>
      </c>
      <c r="D86" s="207"/>
      <c r="E86" s="207"/>
      <c r="F86" s="207"/>
      <c r="G86" s="207"/>
      <c r="H86" s="207"/>
      <c r="I86" s="222" t="str">
        <f ca="1">IF(I85&lt;&gt;""," Completed","")</f>
        <v xml:space="preserve"> Completed</v>
      </c>
      <c r="J86" s="50" t="str">
        <f ca="1">IF(J84&lt;&gt;"","Completed","")</f>
        <v/>
      </c>
    </row>
    <row r="87" spans="1:10" ht="15.75" hidden="1" customHeight="1" x14ac:dyDescent="0.35">
      <c r="A87" s="103" t="s">
        <v>47</v>
      </c>
      <c r="B87" s="103"/>
      <c r="C87" s="79" t="s">
        <v>135</v>
      </c>
      <c r="D87" s="79" t="s">
        <v>80</v>
      </c>
      <c r="E87" s="103" t="s">
        <v>82</v>
      </c>
      <c r="F87" s="103"/>
      <c r="G87" s="103" t="s">
        <v>81</v>
      </c>
      <c r="H87" s="103"/>
      <c r="I87" s="13" t="s">
        <v>137</v>
      </c>
      <c r="J87" s="27">
        <f ca="1">H85*25%</f>
        <v>1.75</v>
      </c>
    </row>
    <row r="88" spans="1:10" hidden="1" x14ac:dyDescent="0.35">
      <c r="A88" s="103" t="s">
        <v>124</v>
      </c>
      <c r="B88" s="103"/>
      <c r="C88" s="63">
        <f ca="1">J89</f>
        <v>7</v>
      </c>
      <c r="D88" s="19">
        <f ca="1">((100/H85)*C88)/100</f>
        <v>1</v>
      </c>
      <c r="E88" s="223">
        <f ca="1">(((C89/H85*10)+(40/(D85+F85+H85)*C90)+(7.5/(H85)*C91)+(7.5/(H85)*C92)+(10/H85*C93)+(10/H85*C94)+(5/H85*C95)+(5/H85*C96)+(5/H85*C97))/100)</f>
        <v>0.57499999999999996</v>
      </c>
      <c r="F88" s="223"/>
      <c r="G88" s="223">
        <f ca="1">((((C88/H85)*20)+((C89/H85)*25)+(30/(H85+F85+D85)*C90)+(5/H85*C91)+(5/H85*C92)+(5/H85*C93)+(5/H85*C94)+(0/H85*C95)+(0/H85*C96)+(5/H85*C97))/100)</f>
        <v>0.8</v>
      </c>
      <c r="H88" s="223"/>
      <c r="I88" s="13" t="s">
        <v>97</v>
      </c>
      <c r="J88" s="28">
        <f ca="1">H85*50%</f>
        <v>3.5</v>
      </c>
    </row>
    <row r="89" spans="1:10" hidden="1" x14ac:dyDescent="0.35">
      <c r="A89" s="103" t="s">
        <v>48</v>
      </c>
      <c r="B89" s="103"/>
      <c r="C89" s="64">
        <f ca="1">J97</f>
        <v>7</v>
      </c>
      <c r="D89" s="19">
        <f ca="1">((100/H85)*C89)/100</f>
        <v>1</v>
      </c>
      <c r="E89" s="223"/>
      <c r="F89" s="223"/>
      <c r="G89" s="223"/>
      <c r="H89" s="223"/>
      <c r="I89" s="13" t="s">
        <v>98</v>
      </c>
      <c r="J89" s="28">
        <f ca="1">H85</f>
        <v>7</v>
      </c>
    </row>
    <row r="90" spans="1:10" ht="15.75" hidden="1" customHeight="1" x14ac:dyDescent="0.35">
      <c r="A90" s="103" t="s">
        <v>125</v>
      </c>
      <c r="B90" s="103"/>
      <c r="C90" s="79">
        <v>8</v>
      </c>
      <c r="D90" s="19">
        <f ca="1">((100/(D85+F85+H85))*C90)/100</f>
        <v>1</v>
      </c>
      <c r="E90" s="223"/>
      <c r="F90" s="223"/>
      <c r="G90" s="223"/>
      <c r="H90" s="223"/>
      <c r="I90" s="13" t="s">
        <v>99</v>
      </c>
      <c r="J90" s="29">
        <f ca="1">(IF(B85&gt;1,(H85/(B85+2)),H85/4))</f>
        <v>1.75</v>
      </c>
    </row>
    <row r="91" spans="1:10" ht="15.75" hidden="1" customHeight="1" x14ac:dyDescent="0.35">
      <c r="A91" s="103" t="s">
        <v>132</v>
      </c>
      <c r="B91" s="103" t="s">
        <v>126</v>
      </c>
      <c r="C91" s="79">
        <v>7</v>
      </c>
      <c r="D91" s="19">
        <f ca="1">((100/H85)*C91)/100</f>
        <v>1</v>
      </c>
      <c r="E91" s="223"/>
      <c r="F91" s="223"/>
      <c r="G91" s="223"/>
      <c r="H91" s="223"/>
      <c r="I91" s="13" t="s">
        <v>100</v>
      </c>
      <c r="J91" s="29">
        <f ca="1">(IF(B85&gt;1,(H85/(B85+2)+J90),H85/4+J90))</f>
        <v>3.5</v>
      </c>
    </row>
    <row r="92" spans="1:10" ht="15.75" hidden="1" customHeight="1" x14ac:dyDescent="0.35">
      <c r="A92" s="103" t="s">
        <v>133</v>
      </c>
      <c r="B92" s="103" t="s">
        <v>126</v>
      </c>
      <c r="C92" s="79">
        <v>0</v>
      </c>
      <c r="D92" s="19">
        <f ca="1">((100/H85)*C92)/100</f>
        <v>0</v>
      </c>
      <c r="E92" s="223"/>
      <c r="F92" s="223"/>
      <c r="G92" s="223"/>
      <c r="H92" s="223"/>
      <c r="I92" s="13" t="s">
        <v>142</v>
      </c>
      <c r="J92" s="29">
        <f>(IF(B85&gt;1,(H85/(B85+2)+J91),0))</f>
        <v>0</v>
      </c>
    </row>
    <row r="93" spans="1:10" ht="15" hidden="1" customHeight="1" x14ac:dyDescent="0.35">
      <c r="A93" s="103" t="s">
        <v>131</v>
      </c>
      <c r="B93" s="103" t="s">
        <v>128</v>
      </c>
      <c r="C93" s="79">
        <v>0</v>
      </c>
      <c r="D93" s="19">
        <f ca="1">((100/(H85))*C93)/100</f>
        <v>0</v>
      </c>
      <c r="E93" s="223"/>
      <c r="F93" s="223"/>
      <c r="G93" s="223"/>
      <c r="H93" s="223"/>
      <c r="I93" s="13" t="s">
        <v>139</v>
      </c>
      <c r="J93" s="29">
        <f>(IF(B85&gt;2,(H85/(B85+2)+J92),0))</f>
        <v>0</v>
      </c>
    </row>
    <row r="94" spans="1:10" ht="15.75" hidden="1" customHeight="1" x14ac:dyDescent="0.35">
      <c r="A94" s="103" t="s">
        <v>127</v>
      </c>
      <c r="B94" s="103" t="s">
        <v>127</v>
      </c>
      <c r="C94" s="79">
        <v>0</v>
      </c>
      <c r="D94" s="19">
        <f ca="1">((100/H85)*C94)/100</f>
        <v>0</v>
      </c>
      <c r="E94" s="223"/>
      <c r="F94" s="223"/>
      <c r="G94" s="223"/>
      <c r="H94" s="223"/>
      <c r="I94" s="13" t="s">
        <v>140</v>
      </c>
      <c r="J94" s="30">
        <f>(IF(B85&gt;3,(H85/(B85+2)+J93),0))</f>
        <v>0</v>
      </c>
    </row>
    <row r="95" spans="1:10" ht="15.75" hidden="1" customHeight="1" x14ac:dyDescent="0.35">
      <c r="A95" s="103" t="s">
        <v>134</v>
      </c>
      <c r="B95" s="103"/>
      <c r="C95" s="79">
        <v>0</v>
      </c>
      <c r="D95" s="19">
        <f ca="1">((100/H85)*C95)/100</f>
        <v>0</v>
      </c>
      <c r="E95" s="223"/>
      <c r="F95" s="223"/>
      <c r="G95" s="223"/>
      <c r="H95" s="223"/>
      <c r="I95" s="13" t="s">
        <v>141</v>
      </c>
      <c r="J95" s="29">
        <f>(IF(B85&gt;4,(H85/(B85+2)+J94),0))</f>
        <v>0</v>
      </c>
    </row>
    <row r="96" spans="1:10" ht="15.75" hidden="1" customHeight="1" x14ac:dyDescent="0.35">
      <c r="A96" s="103" t="s">
        <v>129</v>
      </c>
      <c r="B96" s="103" t="s">
        <v>129</v>
      </c>
      <c r="C96" s="79">
        <v>0</v>
      </c>
      <c r="D96" s="19">
        <f ca="1">((100/(H85))*C96)/100</f>
        <v>0</v>
      </c>
      <c r="E96" s="223"/>
      <c r="F96" s="223"/>
      <c r="G96" s="223"/>
      <c r="H96" s="223"/>
      <c r="I96" s="13" t="s">
        <v>143</v>
      </c>
      <c r="J96" s="29">
        <f ca="1">(IF(B85=1,(H85/(B85+3)+J91),IF(B85=0,(H85/4+J91),IF(B85&gt;1,0))))</f>
        <v>5.25</v>
      </c>
    </row>
    <row r="97" spans="1:22" ht="16" hidden="1" thickBot="1" x14ac:dyDescent="0.4">
      <c r="A97" s="103" t="s">
        <v>130</v>
      </c>
      <c r="B97" s="103"/>
      <c r="C97" s="79">
        <v>0</v>
      </c>
      <c r="D97" s="19">
        <f ca="1">((100/(H85))*C97)/100</f>
        <v>0</v>
      </c>
      <c r="E97" s="223"/>
      <c r="F97" s="223"/>
      <c r="G97" s="223"/>
      <c r="H97" s="223"/>
      <c r="I97" s="15" t="s">
        <v>101</v>
      </c>
      <c r="J97" s="31">
        <f ca="1">(IF(B85&gt;1.5,(H85/(B85+2)+J91+MAX(0,J92-J91)+MAX(0,J93-J92)+MAX(0,J94-J93)+MAX(0,J95-J94)+MAX(0,J96-J95)),IF(B85=1,(H85/(B85+3)+J96),IF(B85=0,H85/4+J96))))</f>
        <v>7</v>
      </c>
    </row>
    <row r="98" spans="1:22" ht="15.75" hidden="1" customHeight="1" x14ac:dyDescent="0.35">
      <c r="A98" s="224" t="s">
        <v>136</v>
      </c>
      <c r="B98" s="224"/>
      <c r="C98" s="224" t="e">
        <f>#REF!</f>
        <v>#REF!</v>
      </c>
      <c r="D98" s="224"/>
      <c r="E98" s="224"/>
      <c r="F98" s="224"/>
      <c r="G98" s="224"/>
      <c r="H98" s="224"/>
      <c r="I98" s="221" t="e">
        <f ca="1">IF(D111=100%,"All work Completed. Possession granted to the Building.",IF(D110=100%,"All work Completed, Waiting for OC",I99&amp;""&amp;I100&amp;""&amp;J99&amp;""&amp;J98&amp;" "&amp;J100))</f>
        <v>#REF!</v>
      </c>
      <c r="J98" s="48" t="e">
        <f ca="1">(IF(C104=(D99+F99+H99),"",IF(C104&gt;0,", RCC upto "&amp;C104&amp;" Slab","")))&amp;(IF(C105=H99,"",IF(C105&gt;0,", Brickwork upto "&amp;C105&amp;" Floor","")))&amp;(IF(C106=H99,"",IF(C106&gt;0,", Internal Plaster upto "&amp;C106&amp;" Floor","")))&amp;(IF(C107=H99,"",IF(C107&gt;0,", External Plaster upto "&amp;C107&amp;" Floor","")))&amp;(IF(C108=H99,"",IF(C108&gt;0,", Flooring upto "&amp;C108&amp;" Floor","")))&amp;(IF(C109=H99,"",IF(C109&gt;0,", Painting upto "&amp;C109&amp;" Floor","")))&amp;(IF(C110=H99,"",IF(C110&gt;0,", Finishing upto "&amp;C110&amp;" Floor","")))&amp;(IF(C111=H99,"",IF(C111&gt;0,", Possession upto "&amp;C111&amp;" Floor","")))</f>
        <v>#REF!</v>
      </c>
    </row>
    <row r="99" spans="1:22" hidden="1" x14ac:dyDescent="0.35">
      <c r="A99" s="52" t="s">
        <v>138</v>
      </c>
      <c r="B99" s="52">
        <f>IF(AND(ISNUMBER(SEARCH("1B",C98))),1,IF(AND(ISNUMBER(SEARCH("2B",C98))),2,IF(AND(ISNUMBER(SEARCH("3B",C98))),3,IF(AND(ISNUMBER(SEARCH("4B",C98))),4,IF(ISNUMBER(SEARCH("5B",C98)),5,0)))))</f>
        <v>0</v>
      </c>
      <c r="C99" s="52" t="s">
        <v>69</v>
      </c>
      <c r="D99" s="52">
        <v>1</v>
      </c>
      <c r="E99" s="52" t="s">
        <v>68</v>
      </c>
      <c r="F99" s="14">
        <v>0</v>
      </c>
      <c r="G99" s="46" t="s">
        <v>77</v>
      </c>
      <c r="H99" s="52" t="e">
        <f ca="1">--TRIM(RIGHT(SUBSTITUTE(LEFT(C98,_xlfn.AGGREGATE(16,6,FIND({0,1,2,3,4,5,6,7,8,9},C98,ROW(INDIRECT("1:"&amp;LEN(C98)))),1))," ",REPT(" ",LEN(C98))),LEN(C98)))</f>
        <v>#REF!</v>
      </c>
      <c r="I99" s="222" t="e">
        <f ca="1">IF(D102=100%,"Excavation","")&amp;IF(D103=100%,", Plinth","")&amp;IF(D104=100%,", RCC Slab","")&amp;IF(D105=100%,", Brickwork","")&amp;IF(D106=100%,", Internal Plaster","")&amp;IF(D107=100%,", External Plaster","")&amp;IF(D108=100%,", Flooring","")&amp;IF(D109=100%,", Painting","")&amp;IF(D110=100%,", Building common Amenities","")</f>
        <v>#REF!</v>
      </c>
      <c r="J99" s="50" t="e">
        <f ca="1">(IF(C102=0,"Work not yet Started.",IF(D102=25%,"Piling work in process",IF(D102=50%,"Excavation work in process",IF(D102=100%,"","0")))))&amp;(IF(C103=0%,"",IF(C103=J104,", Footing work is process",IF(C103=J105,", Footing work Completed",IF(C103=J106,", 1st Basement Completed",IF(C103=J107,", 1st &amp; 2nd Basement Completed",IF(C103=J108,", 1st to 3rd Basement Completed",IF(C103=J109,", 1st to 4th Basement Completed",IF(C103=J110,", Plinth work is process",IF(C103=J111,"","0"))))))))))</f>
        <v>#REF!</v>
      </c>
    </row>
    <row r="100" spans="1:22" hidden="1" x14ac:dyDescent="0.35">
      <c r="A100" s="200" t="s">
        <v>87</v>
      </c>
      <c r="B100" s="200"/>
      <c r="C100" s="207" t="e">
        <f ca="1">(IF($G$56="NA",I98,"All work Completed. OC Received."))</f>
        <v>#REF!</v>
      </c>
      <c r="D100" s="207"/>
      <c r="E100" s="207"/>
      <c r="F100" s="207"/>
      <c r="G100" s="207"/>
      <c r="H100" s="207"/>
      <c r="I100" s="222" t="e">
        <f ca="1">IF(I99&lt;&gt;""," Completed","")</f>
        <v>#REF!</v>
      </c>
      <c r="J100" s="50" t="e">
        <f ca="1">IF(J98&lt;&gt;"","Completed","")</f>
        <v>#REF!</v>
      </c>
    </row>
    <row r="101" spans="1:22" ht="15.75" hidden="1" customHeight="1" x14ac:dyDescent="0.35">
      <c r="A101" s="103" t="s">
        <v>47</v>
      </c>
      <c r="B101" s="103"/>
      <c r="C101" s="79" t="s">
        <v>135</v>
      </c>
      <c r="D101" s="79" t="s">
        <v>80</v>
      </c>
      <c r="E101" s="103" t="s">
        <v>82</v>
      </c>
      <c r="F101" s="103"/>
      <c r="G101" s="103" t="s">
        <v>81</v>
      </c>
      <c r="H101" s="103"/>
      <c r="I101" s="13" t="s">
        <v>137</v>
      </c>
      <c r="J101" s="27" t="e">
        <f ca="1">H99*25%</f>
        <v>#REF!</v>
      </c>
    </row>
    <row r="102" spans="1:22" hidden="1" x14ac:dyDescent="0.35">
      <c r="A102" s="103" t="s">
        <v>124</v>
      </c>
      <c r="B102" s="103"/>
      <c r="C102" s="79" t="e">
        <f ca="1">J103</f>
        <v>#REF!</v>
      </c>
      <c r="D102" s="19" t="e">
        <f ca="1">((100/H99)*C102)/100</f>
        <v>#REF!</v>
      </c>
      <c r="E102" s="223" t="e">
        <f ca="1">(((C103/H99*10)+(40/(D99+F99+H99)*C104)+(7.5/(H99)*C105)+(7.5/(H99)*C106)+(10/H99*C107)+(10/H99*C108)+(5/H99*C109)+(5/H99*C110)+(5/H99*C111))/100)</f>
        <v>#REF!</v>
      </c>
      <c r="F102" s="223"/>
      <c r="G102" s="223" t="e">
        <f ca="1">((((C102/H99)*20)+((C103/H99)*25)+(30/(H99+F99+D99)*C104)+(5/H99*C105)+(5/H99*C106)+(5/H99*C107)+(5/H99*C108)+(0/H99*C109)+(0/H99*C110)+(5/H99*C111))/100)</f>
        <v>#REF!</v>
      </c>
      <c r="H102" s="223"/>
      <c r="I102" s="13" t="s">
        <v>97</v>
      </c>
      <c r="J102" s="28" t="e">
        <f ca="1">H99*50%</f>
        <v>#REF!</v>
      </c>
    </row>
    <row r="103" spans="1:22" hidden="1" x14ac:dyDescent="0.35">
      <c r="A103" s="103" t="s">
        <v>48</v>
      </c>
      <c r="B103" s="103"/>
      <c r="C103" s="79" t="e">
        <f ca="1">J111</f>
        <v>#REF!</v>
      </c>
      <c r="D103" s="19" t="e">
        <f ca="1">((100/H99)*C103)/100</f>
        <v>#REF!</v>
      </c>
      <c r="E103" s="223"/>
      <c r="F103" s="223"/>
      <c r="G103" s="223"/>
      <c r="H103" s="223"/>
      <c r="I103" s="13" t="s">
        <v>98</v>
      </c>
      <c r="J103" s="28" t="e">
        <f ca="1">H99</f>
        <v>#REF!</v>
      </c>
    </row>
    <row r="104" spans="1:22" ht="15.75" hidden="1" customHeight="1" x14ac:dyDescent="0.35">
      <c r="A104" s="103" t="s">
        <v>125</v>
      </c>
      <c r="B104" s="103"/>
      <c r="C104" s="79" t="e">
        <f ca="1">D99+H99</f>
        <v>#REF!</v>
      </c>
      <c r="D104" s="19" t="e">
        <f ca="1">((100/(D99+F99+H99))*C104)/100</f>
        <v>#REF!</v>
      </c>
      <c r="E104" s="223"/>
      <c r="F104" s="223"/>
      <c r="G104" s="223"/>
      <c r="H104" s="223"/>
      <c r="I104" s="13" t="s">
        <v>99</v>
      </c>
      <c r="J104" s="29" t="e">
        <f ca="1">(IF(B99&gt;1,(H99/(B99+2)),H99/4))</f>
        <v>#REF!</v>
      </c>
    </row>
    <row r="105" spans="1:22" ht="15.75" hidden="1" customHeight="1" x14ac:dyDescent="0.35">
      <c r="A105" s="103" t="s">
        <v>132</v>
      </c>
      <c r="B105" s="103" t="s">
        <v>126</v>
      </c>
      <c r="C105" s="79">
        <v>0</v>
      </c>
      <c r="D105" s="19" t="e">
        <f ca="1">((100/H99)*C105)/100</f>
        <v>#REF!</v>
      </c>
      <c r="E105" s="223"/>
      <c r="F105" s="223"/>
      <c r="G105" s="223"/>
      <c r="H105" s="223"/>
      <c r="I105" s="13" t="s">
        <v>100</v>
      </c>
      <c r="J105" s="29" t="e">
        <f ca="1">(IF(B99&gt;1,(H99/(B99+2)+J104),H99/4+J104))</f>
        <v>#REF!</v>
      </c>
    </row>
    <row r="106" spans="1:22" ht="15.75" hidden="1" customHeight="1" x14ac:dyDescent="0.35">
      <c r="A106" s="103" t="s">
        <v>133</v>
      </c>
      <c r="B106" s="103" t="s">
        <v>126</v>
      </c>
      <c r="C106" s="79">
        <v>0</v>
      </c>
      <c r="D106" s="19" t="e">
        <f ca="1">((100/H99)*C106)/100</f>
        <v>#REF!</v>
      </c>
      <c r="E106" s="223"/>
      <c r="F106" s="223"/>
      <c r="G106" s="223"/>
      <c r="H106" s="223"/>
      <c r="I106" s="13" t="s">
        <v>142</v>
      </c>
      <c r="J106" s="29">
        <f>(IF(B99&gt;1,(H99/(B99+2)+J105),0))</f>
        <v>0</v>
      </c>
    </row>
    <row r="107" spans="1:22" ht="15" hidden="1" customHeight="1" x14ac:dyDescent="0.35">
      <c r="A107" s="103" t="s">
        <v>131</v>
      </c>
      <c r="B107" s="103" t="s">
        <v>128</v>
      </c>
      <c r="C107" s="79">
        <v>0</v>
      </c>
      <c r="D107" s="19" t="e">
        <f ca="1">((100/(H99))*C107)/100</f>
        <v>#REF!</v>
      </c>
      <c r="E107" s="223"/>
      <c r="F107" s="223"/>
      <c r="G107" s="223"/>
      <c r="H107" s="223"/>
      <c r="I107" s="13" t="s">
        <v>139</v>
      </c>
      <c r="J107" s="29">
        <f>(IF(B99&gt;2,(H99/(B99+2)+J106),0))</f>
        <v>0</v>
      </c>
    </row>
    <row r="108" spans="1:22" ht="15.75" hidden="1" customHeight="1" x14ac:dyDescent="0.35">
      <c r="A108" s="103" t="s">
        <v>127</v>
      </c>
      <c r="B108" s="103" t="s">
        <v>127</v>
      </c>
      <c r="C108" s="79">
        <v>0</v>
      </c>
      <c r="D108" s="19" t="e">
        <f ca="1">((100/H99)*C108)/100</f>
        <v>#REF!</v>
      </c>
      <c r="E108" s="223"/>
      <c r="F108" s="223"/>
      <c r="G108" s="223"/>
      <c r="H108" s="223"/>
      <c r="I108" s="13" t="s">
        <v>140</v>
      </c>
      <c r="J108" s="30">
        <f>(IF(B99&gt;3,(H99/(B99+2)+J107),0))</f>
        <v>0</v>
      </c>
    </row>
    <row r="109" spans="1:22" ht="15.75" hidden="1" customHeight="1" x14ac:dyDescent="0.35">
      <c r="A109" s="103" t="s">
        <v>134</v>
      </c>
      <c r="B109" s="103"/>
      <c r="C109" s="79">
        <v>0</v>
      </c>
      <c r="D109" s="19" t="e">
        <f ca="1">((100/H99)*C109)/100</f>
        <v>#REF!</v>
      </c>
      <c r="E109" s="223"/>
      <c r="F109" s="223"/>
      <c r="G109" s="223"/>
      <c r="H109" s="223"/>
      <c r="I109" s="13" t="s">
        <v>141</v>
      </c>
      <c r="J109" s="29">
        <f>(IF(B99&gt;4,(H99/(B99+2)+J108),0))</f>
        <v>0</v>
      </c>
    </row>
    <row r="110" spans="1:22" ht="15.75" hidden="1" customHeight="1" x14ac:dyDescent="0.35">
      <c r="A110" s="103" t="s">
        <v>129</v>
      </c>
      <c r="B110" s="103" t="s">
        <v>129</v>
      </c>
      <c r="C110" s="79">
        <v>0</v>
      </c>
      <c r="D110" s="19" t="e">
        <f ca="1">((100/(H99))*C110)/100</f>
        <v>#REF!</v>
      </c>
      <c r="E110" s="223"/>
      <c r="F110" s="223"/>
      <c r="G110" s="223"/>
      <c r="H110" s="223"/>
      <c r="I110" s="13" t="s">
        <v>143</v>
      </c>
      <c r="J110" s="29" t="e">
        <f ca="1">(IF(B99=1,(H99/(B99+3)+J105),IF(B99=0,(H99/4+J105),IF(B99&gt;1,0))))</f>
        <v>#REF!</v>
      </c>
    </row>
    <row r="111" spans="1:22" ht="16" hidden="1" thickBot="1" x14ac:dyDescent="0.4">
      <c r="A111" s="103" t="s">
        <v>130</v>
      </c>
      <c r="B111" s="103"/>
      <c r="C111" s="79">
        <v>0</v>
      </c>
      <c r="D111" s="19" t="e">
        <f ca="1">((100/(H99))*C111)/100</f>
        <v>#REF!</v>
      </c>
      <c r="E111" s="223"/>
      <c r="F111" s="223"/>
      <c r="G111" s="223"/>
      <c r="H111" s="223"/>
      <c r="I111" s="15" t="s">
        <v>101</v>
      </c>
      <c r="J111" s="31" t="e">
        <f ca="1">(IF(B99&gt;1.5,(H99/(B99+2)+J105+MAX(0,J106-J105)+MAX(0,J107-J106)+MAX(0,J108-J107)+MAX(0,J109-J108)+MAX(0,J110-J109)),IF(B99=1,(H99/(B99+3)+J110),IF(B99=0,H99/4+J110))))</f>
        <v>#REF!</v>
      </c>
    </row>
    <row r="112" spans="1:22" x14ac:dyDescent="0.35">
      <c r="A112" s="175" t="s">
        <v>153</v>
      </c>
      <c r="B112" s="175"/>
      <c r="C112" s="175"/>
      <c r="D112" s="175"/>
      <c r="E112" s="175"/>
      <c r="F112" s="182" t="s">
        <v>157</v>
      </c>
      <c r="G112" s="182"/>
      <c r="H112" s="182"/>
      <c r="R112" t="s">
        <v>252</v>
      </c>
      <c r="S112" t="s">
        <v>169</v>
      </c>
      <c r="T112" t="s">
        <v>176</v>
      </c>
      <c r="U112" t="s">
        <v>191</v>
      </c>
      <c r="V112" t="s">
        <v>186</v>
      </c>
    </row>
    <row r="113" spans="1:22" x14ac:dyDescent="0.35">
      <c r="A113" s="87" t="s">
        <v>155</v>
      </c>
      <c r="B113" s="87"/>
      <c r="C113" s="87"/>
      <c r="D113" s="87"/>
      <c r="E113" s="87"/>
      <c r="F113" s="82">
        <v>4300</v>
      </c>
      <c r="G113" s="82"/>
      <c r="H113" s="82"/>
      <c r="I113" s="20" t="s">
        <v>341</v>
      </c>
      <c r="R113"/>
      <c r="S113">
        <v>800000</v>
      </c>
      <c r="T113">
        <v>150000</v>
      </c>
      <c r="U113">
        <v>100000</v>
      </c>
      <c r="V113">
        <v>100000</v>
      </c>
    </row>
    <row r="114" spans="1:22" x14ac:dyDescent="0.35">
      <c r="A114" s="87" t="s">
        <v>154</v>
      </c>
      <c r="B114" s="87"/>
      <c r="C114" s="87"/>
      <c r="D114" s="87"/>
      <c r="E114" s="87"/>
      <c r="F114" s="82">
        <v>9000</v>
      </c>
      <c r="G114" s="82"/>
      <c r="H114" s="82"/>
      <c r="R114"/>
      <c r="S114">
        <v>900000</v>
      </c>
      <c r="T114">
        <v>200000</v>
      </c>
      <c r="U114">
        <v>150000</v>
      </c>
      <c r="V114">
        <v>150000</v>
      </c>
    </row>
    <row r="115" spans="1:22" hidden="1" x14ac:dyDescent="0.35">
      <c r="A115" s="87" t="s">
        <v>156</v>
      </c>
      <c r="B115" s="87"/>
      <c r="C115" s="87"/>
      <c r="D115" s="87"/>
      <c r="E115" s="87"/>
      <c r="F115" s="82"/>
      <c r="G115" s="82"/>
      <c r="H115" s="82"/>
      <c r="R115"/>
      <c r="S115">
        <v>1000000</v>
      </c>
      <c r="T115">
        <v>250000</v>
      </c>
      <c r="U115">
        <v>200000</v>
      </c>
      <c r="V115">
        <v>200000</v>
      </c>
    </row>
    <row r="116" spans="1:22" s="32" customFormat="1" hidden="1" x14ac:dyDescent="0.35">
      <c r="A116" s="87" t="s">
        <v>172</v>
      </c>
      <c r="B116" s="87"/>
      <c r="C116" s="87"/>
      <c r="D116" s="87"/>
      <c r="E116" s="87"/>
      <c r="F116" s="82"/>
      <c r="G116" s="82"/>
      <c r="H116" s="82"/>
      <c r="R116"/>
      <c r="S116">
        <v>1100000</v>
      </c>
      <c r="T116">
        <v>300000</v>
      </c>
      <c r="U116">
        <v>250000</v>
      </c>
      <c r="V116" s="22">
        <v>250000</v>
      </c>
    </row>
    <row r="117" spans="1:22" s="32" customFormat="1" x14ac:dyDescent="0.35">
      <c r="A117" s="87" t="s">
        <v>342</v>
      </c>
      <c r="B117" s="87"/>
      <c r="C117" s="87"/>
      <c r="D117" s="87"/>
      <c r="E117" s="87"/>
      <c r="F117" s="82">
        <v>250000</v>
      </c>
      <c r="G117" s="82"/>
      <c r="H117" s="82"/>
      <c r="R117"/>
      <c r="S117">
        <v>1200000</v>
      </c>
      <c r="T117">
        <v>350000</v>
      </c>
      <c r="U117">
        <v>300000</v>
      </c>
      <c r="V117">
        <v>300000</v>
      </c>
    </row>
    <row r="118" spans="1:22" s="32" customFormat="1" hidden="1" x14ac:dyDescent="0.35">
      <c r="A118" s="87" t="s">
        <v>92</v>
      </c>
      <c r="B118" s="87"/>
      <c r="C118" s="87"/>
      <c r="D118" s="87"/>
      <c r="E118" s="87"/>
      <c r="F118" s="82"/>
      <c r="G118" s="82"/>
      <c r="H118" s="82"/>
      <c r="R118"/>
      <c r="S118">
        <v>1300000</v>
      </c>
      <c r="T118">
        <v>400000</v>
      </c>
      <c r="U118">
        <v>350000</v>
      </c>
      <c r="V118" s="22">
        <v>400000</v>
      </c>
    </row>
    <row r="119" spans="1:22" s="32" customFormat="1" hidden="1" x14ac:dyDescent="0.35">
      <c r="A119" s="87" t="s">
        <v>93</v>
      </c>
      <c r="B119" s="87"/>
      <c r="C119" s="87"/>
      <c r="D119" s="87"/>
      <c r="E119" s="87"/>
      <c r="F119" s="82"/>
      <c r="G119" s="82"/>
      <c r="H119" s="82"/>
      <c r="R119"/>
      <c r="S119">
        <v>1400000</v>
      </c>
      <c r="T119">
        <v>500000</v>
      </c>
      <c r="U119">
        <v>400000</v>
      </c>
      <c r="V119"/>
    </row>
    <row r="120" spans="1:22" s="32" customFormat="1" hidden="1" x14ac:dyDescent="0.35">
      <c r="A120" s="87" t="s">
        <v>94</v>
      </c>
      <c r="B120" s="87"/>
      <c r="C120" s="87"/>
      <c r="D120" s="87"/>
      <c r="E120" s="87"/>
      <c r="F120" s="82"/>
      <c r="G120" s="82"/>
      <c r="H120" s="82"/>
      <c r="R120"/>
      <c r="S120">
        <v>1500000</v>
      </c>
      <c r="T120">
        <v>600000</v>
      </c>
      <c r="U120">
        <v>500000</v>
      </c>
      <c r="V120" s="22"/>
    </row>
    <row r="121" spans="1:22" s="32" customFormat="1" hidden="1" x14ac:dyDescent="0.35">
      <c r="A121" s="87" t="s">
        <v>95</v>
      </c>
      <c r="B121" s="87"/>
      <c r="C121" s="87"/>
      <c r="D121" s="87"/>
      <c r="E121" s="87"/>
      <c r="F121" s="82"/>
      <c r="G121" s="82"/>
      <c r="H121" s="82"/>
      <c r="R121"/>
      <c r="S121">
        <v>1600000</v>
      </c>
      <c r="T121">
        <v>700000</v>
      </c>
      <c r="U121">
        <v>600000</v>
      </c>
      <c r="V121"/>
    </row>
    <row r="122" spans="1:22" s="32" customFormat="1" hidden="1" x14ac:dyDescent="0.35">
      <c r="A122" s="87" t="s">
        <v>96</v>
      </c>
      <c r="B122" s="87"/>
      <c r="C122" s="87"/>
      <c r="D122" s="87"/>
      <c r="E122" s="87"/>
      <c r="F122" s="82"/>
      <c r="G122" s="82"/>
      <c r="H122" s="82"/>
      <c r="R122"/>
      <c r="S122">
        <v>1700000</v>
      </c>
      <c r="T122">
        <v>800000</v>
      </c>
      <c r="U122"/>
      <c r="V122" s="22"/>
    </row>
    <row r="123" spans="1:22" x14ac:dyDescent="0.35">
      <c r="A123" s="87" t="s">
        <v>49</v>
      </c>
      <c r="B123" s="87"/>
      <c r="C123" s="87"/>
      <c r="D123" s="87"/>
      <c r="E123" s="87"/>
      <c r="F123" s="174">
        <v>200000</v>
      </c>
      <c r="G123" s="174"/>
      <c r="H123" s="174"/>
      <c r="R123"/>
      <c r="S123">
        <v>1800000</v>
      </c>
      <c r="T123">
        <v>900000</v>
      </c>
      <c r="U123"/>
    </row>
    <row r="124" spans="1:22" s="33" customFormat="1" x14ac:dyDescent="0.35">
      <c r="A124" s="175" t="s">
        <v>50</v>
      </c>
      <c r="B124" s="175"/>
      <c r="C124" s="175"/>
      <c r="D124" s="175"/>
      <c r="E124" s="175"/>
      <c r="F124" s="82">
        <f>F113*0.8</f>
        <v>3440</v>
      </c>
      <c r="G124" s="82"/>
      <c r="H124" s="82"/>
      <c r="R124" s="20"/>
      <c r="S124" s="20"/>
      <c r="T124">
        <v>1000000</v>
      </c>
      <c r="U124"/>
      <c r="V124" s="20"/>
    </row>
    <row r="125" spans="1:22" s="34" customFormat="1" ht="15.75" customHeight="1" x14ac:dyDescent="0.35">
      <c r="A125" s="173" t="s">
        <v>72</v>
      </c>
      <c r="B125" s="173"/>
      <c r="C125" s="173"/>
      <c r="D125" s="173"/>
      <c r="E125" s="173"/>
      <c r="F125" s="173"/>
      <c r="G125" s="173"/>
      <c r="H125" s="173"/>
      <c r="R125"/>
      <c r="S125" s="20"/>
      <c r="T125"/>
      <c r="U125"/>
      <c r="V125" s="20"/>
    </row>
    <row r="126" spans="1:22" s="34" customFormat="1" ht="15.75" customHeight="1" x14ac:dyDescent="0.35">
      <c r="A126" s="86" t="s">
        <v>51</v>
      </c>
      <c r="B126" s="86"/>
      <c r="C126" s="93" t="s">
        <v>75</v>
      </c>
      <c r="D126" s="93"/>
      <c r="E126" s="91" t="s">
        <v>52</v>
      </c>
      <c r="F126" s="91"/>
      <c r="G126" s="86" t="s">
        <v>53</v>
      </c>
      <c r="H126" s="86"/>
      <c r="R126"/>
      <c r="S126" s="20"/>
      <c r="T126"/>
      <c r="U126" s="20"/>
      <c r="V126" s="20"/>
    </row>
    <row r="127" spans="1:22" s="34" customFormat="1" x14ac:dyDescent="0.35">
      <c r="A127" s="92" t="s">
        <v>324</v>
      </c>
      <c r="B127" s="92"/>
      <c r="C127" s="127">
        <f>COUNT(D142:D147)</f>
        <v>6</v>
      </c>
      <c r="D127" s="128"/>
      <c r="E127" s="127">
        <f>SUM(F142:F147)</f>
        <v>1053.7902180000001</v>
      </c>
      <c r="F127" s="128"/>
      <c r="G127" s="127">
        <f>SUM(H142:H147)</f>
        <v>1580.6853270000001</v>
      </c>
      <c r="H127" s="128"/>
      <c r="R127"/>
      <c r="S127" s="20"/>
      <c r="T127"/>
      <c r="U127" s="20"/>
      <c r="V127" s="20"/>
    </row>
    <row r="128" spans="1:22" s="34" customFormat="1" x14ac:dyDescent="0.35">
      <c r="A128" s="92" t="s">
        <v>321</v>
      </c>
      <c r="B128" s="92"/>
      <c r="C128" s="127">
        <f>COUNT(D150:D153)</f>
        <v>4</v>
      </c>
      <c r="D128" s="128"/>
      <c r="E128" s="127">
        <f>SUM(F150:F153)</f>
        <v>479.34244799999999</v>
      </c>
      <c r="F128" s="128"/>
      <c r="G128" s="127">
        <f>SUM(H150:H153)</f>
        <v>719.01367200000004</v>
      </c>
      <c r="H128" s="128"/>
      <c r="R128"/>
      <c r="S128" s="20"/>
      <c r="T128"/>
      <c r="U128" s="20"/>
      <c r="V128" s="20"/>
    </row>
    <row r="129" spans="1:22" s="34" customFormat="1" x14ac:dyDescent="0.35">
      <c r="A129" s="173" t="s">
        <v>146</v>
      </c>
      <c r="B129" s="173"/>
      <c r="C129" s="218">
        <f>SUM(C127:D128)</f>
        <v>10</v>
      </c>
      <c r="D129" s="91"/>
      <c r="E129" s="218">
        <f>SUM(E127:F128)</f>
        <v>1533.132666</v>
      </c>
      <c r="F129" s="91"/>
      <c r="G129" s="218">
        <f>SUM(G127:H128)</f>
        <v>2299.6989990000002</v>
      </c>
      <c r="H129" s="91"/>
      <c r="R129"/>
      <c r="S129" s="20"/>
      <c r="T129"/>
      <c r="U129" s="20"/>
      <c r="V129" s="20"/>
    </row>
    <row r="130" spans="1:22" s="34" customFormat="1" x14ac:dyDescent="0.35">
      <c r="A130" s="173" t="s">
        <v>67</v>
      </c>
      <c r="B130" s="173"/>
      <c r="C130" s="173"/>
      <c r="D130" s="173"/>
      <c r="E130" s="173"/>
      <c r="F130" s="173"/>
      <c r="G130" s="173"/>
      <c r="H130" s="173"/>
      <c r="T130"/>
    </row>
    <row r="131" spans="1:22" s="34" customFormat="1" ht="15.75" customHeight="1" x14ac:dyDescent="0.35">
      <c r="A131" s="86" t="s">
        <v>51</v>
      </c>
      <c r="B131" s="86"/>
      <c r="C131" s="93" t="s">
        <v>75</v>
      </c>
      <c r="D131" s="93"/>
      <c r="E131" s="91" t="s">
        <v>52</v>
      </c>
      <c r="F131" s="91"/>
      <c r="G131" s="86" t="s">
        <v>53</v>
      </c>
      <c r="H131" s="86"/>
      <c r="T131"/>
    </row>
    <row r="132" spans="1:22" s="34" customFormat="1" x14ac:dyDescent="0.35">
      <c r="A132" s="92" t="s">
        <v>324</v>
      </c>
      <c r="B132" s="92"/>
      <c r="C132" s="127">
        <f>COUNT(D159:D161)+COUNT(D163:D165)*3+COUNT(D167:D169)*2+COUNT(D171:D173)</f>
        <v>21</v>
      </c>
      <c r="D132" s="127"/>
      <c r="E132" s="127">
        <f>SUM(F159:F161)+SUM(F163:F165)*3+SUM(F167:F169)*2+SUM(F171:F173)</f>
        <v>10282.92993</v>
      </c>
      <c r="F132" s="127"/>
      <c r="G132" s="127">
        <f>SUM(H159:H161)+SUM(H163:H165)*3+SUM(H167:H169)*2+SUM(H171:H173)</f>
        <v>14910.248398499996</v>
      </c>
      <c r="H132" s="127"/>
      <c r="J132" s="34">
        <f>3*7</f>
        <v>21</v>
      </c>
      <c r="T132"/>
    </row>
    <row r="133" spans="1:22" s="34" customFormat="1" x14ac:dyDescent="0.35">
      <c r="A133" s="92" t="s">
        <v>321</v>
      </c>
      <c r="B133" s="92"/>
      <c r="C133" s="127">
        <f>COUNT(D176:D179)+COUNT(D181:D184)*3+COUNT(D186:D189)*2+COUNT(D191)+COUNT(D193:D194)</f>
        <v>27</v>
      </c>
      <c r="D133" s="127"/>
      <c r="E133" s="127">
        <f>SUM(F176:F179)+SUM(F181:F184)*3+SUM(F186:F189)*2+SUM(F191)+SUM(F193:F194)</f>
        <v>10946.01924</v>
      </c>
      <c r="F133" s="127"/>
      <c r="G133" s="127">
        <f>SUM(H176:H179)+SUM(H181:H184)*3+SUM(H186:H189)*2+SUM(H191)+SUM(H193:H194)</f>
        <v>16255.625957999997</v>
      </c>
      <c r="H133" s="127"/>
      <c r="J133" s="34">
        <f>4*7</f>
        <v>28</v>
      </c>
      <c r="T133"/>
    </row>
    <row r="134" spans="1:22" s="34" customFormat="1" ht="16" thickBot="1" x14ac:dyDescent="0.4">
      <c r="A134" s="180" t="s">
        <v>146</v>
      </c>
      <c r="B134" s="180"/>
      <c r="C134" s="129">
        <f>SUM(C132:C133)</f>
        <v>48</v>
      </c>
      <c r="D134" s="130"/>
      <c r="E134" s="129">
        <f>SUM(E132:E133)</f>
        <v>21228.94917</v>
      </c>
      <c r="F134" s="130"/>
      <c r="G134" s="129">
        <f>SUM(G132:G133)</f>
        <v>31165.874356499993</v>
      </c>
      <c r="H134" s="130"/>
      <c r="T134"/>
    </row>
    <row r="135" spans="1:22" s="34" customFormat="1" ht="16" thickBot="1" x14ac:dyDescent="0.4">
      <c r="A135" s="163" t="s">
        <v>163</v>
      </c>
      <c r="B135" s="164"/>
      <c r="C135" s="165">
        <f>C129+C134</f>
        <v>58</v>
      </c>
      <c r="D135" s="165"/>
      <c r="E135" s="166">
        <f>E129+E134</f>
        <v>22762.081836000001</v>
      </c>
      <c r="F135" s="166"/>
      <c r="G135" s="210">
        <f>G129+G134</f>
        <v>33465.57335549999</v>
      </c>
      <c r="H135" s="211"/>
      <c r="T135"/>
    </row>
    <row r="136" spans="1:22" s="33" customFormat="1" x14ac:dyDescent="0.35">
      <c r="A136" s="156" t="s">
        <v>54</v>
      </c>
      <c r="B136" s="156"/>
      <c r="C136" s="156"/>
      <c r="D136" s="156"/>
      <c r="E136" s="156"/>
      <c r="F136" s="156"/>
      <c r="G136" s="156"/>
      <c r="H136" s="156"/>
      <c r="T136" s="34"/>
    </row>
    <row r="137" spans="1:22" x14ac:dyDescent="0.35">
      <c r="A137" s="85" t="s">
        <v>171</v>
      </c>
      <c r="B137" s="85"/>
      <c r="C137" s="85"/>
      <c r="D137" s="85"/>
      <c r="E137" s="85"/>
      <c r="F137" s="85"/>
      <c r="G137" s="85"/>
      <c r="H137" s="85"/>
      <c r="T137" s="34"/>
    </row>
    <row r="138" spans="1:22" ht="47.25" customHeight="1" x14ac:dyDescent="0.35">
      <c r="A138" s="154" t="s">
        <v>116</v>
      </c>
      <c r="B138" s="154" t="s">
        <v>173</v>
      </c>
      <c r="C138" s="154" t="s">
        <v>55</v>
      </c>
      <c r="D138" s="125" t="s">
        <v>230</v>
      </c>
      <c r="E138" s="202" t="s">
        <v>152</v>
      </c>
      <c r="F138" s="125" t="s">
        <v>56</v>
      </c>
      <c r="G138" s="202" t="s">
        <v>57</v>
      </c>
      <c r="H138" s="76" t="s">
        <v>145</v>
      </c>
      <c r="T138" s="34"/>
    </row>
    <row r="139" spans="1:22" s="36" customFormat="1" x14ac:dyDescent="0.35">
      <c r="A139" s="155"/>
      <c r="B139" s="155"/>
      <c r="C139" s="155"/>
      <c r="D139" s="126"/>
      <c r="E139" s="203"/>
      <c r="F139" s="126"/>
      <c r="G139" s="203"/>
      <c r="H139" s="77">
        <v>0.5</v>
      </c>
      <c r="T139" s="34"/>
    </row>
    <row r="140" spans="1:22" s="72" customFormat="1" x14ac:dyDescent="0.35">
      <c r="A140" s="131" t="s">
        <v>319</v>
      </c>
      <c r="B140" s="132"/>
      <c r="C140" s="132"/>
      <c r="D140" s="132"/>
      <c r="E140" s="132"/>
      <c r="F140" s="132"/>
      <c r="G140" s="132"/>
      <c r="H140" s="133"/>
      <c r="T140" s="34"/>
    </row>
    <row r="141" spans="1:22" s="36" customFormat="1" x14ac:dyDescent="0.35">
      <c r="A141" s="138" t="s">
        <v>331</v>
      </c>
      <c r="B141" s="139"/>
      <c r="C141" s="139"/>
      <c r="D141" s="139"/>
      <c r="E141" s="139"/>
      <c r="F141" s="139"/>
      <c r="G141" s="139"/>
      <c r="H141" s="140"/>
      <c r="J141" s="35"/>
      <c r="T141" s="34"/>
    </row>
    <row r="142" spans="1:22" s="36" customFormat="1" ht="15.75" customHeight="1" x14ac:dyDescent="0.35">
      <c r="A142" s="83">
        <v>1</v>
      </c>
      <c r="B142" s="84"/>
      <c r="C142" s="41" t="s">
        <v>320</v>
      </c>
      <c r="D142" s="73">
        <f>(3.9*4.11)*(10.764)</f>
        <v>172.53615599999998</v>
      </c>
      <c r="E142" s="73">
        <f t="shared" ref="E142:E147" si="0">0*(10.764)</f>
        <v>0</v>
      </c>
      <c r="F142" s="65">
        <f>D142+(IF(E142&lt;201,E142,IF(E142&lt;301,E142/2,E142/3)))</f>
        <v>172.53615599999998</v>
      </c>
      <c r="G142" s="66">
        <v>0</v>
      </c>
      <c r="H142" s="65">
        <f>(F142+(IF(G142&lt;101,G142,IF(G142&lt;201,G142/2,IF(G142&lt;=301,G142/3,G142/4)))))*(($H$139)+1)</f>
        <v>258.80423399999995</v>
      </c>
      <c r="I142" s="35"/>
      <c r="L142" s="201"/>
      <c r="M142" s="201"/>
      <c r="N142" s="35"/>
      <c r="T142" s="34"/>
    </row>
    <row r="143" spans="1:22" s="36" customFormat="1" ht="15.75" customHeight="1" x14ac:dyDescent="0.35">
      <c r="A143" s="83">
        <f>A142+1</f>
        <v>2</v>
      </c>
      <c r="B143" s="84"/>
      <c r="C143" s="71" t="s">
        <v>320</v>
      </c>
      <c r="D143" s="73">
        <f>(2.4*4.11)*(10.764)</f>
        <v>106.176096</v>
      </c>
      <c r="E143" s="73">
        <f t="shared" si="0"/>
        <v>0</v>
      </c>
      <c r="F143" s="65">
        <f t="shared" ref="F143:F147" si="1">D143+(IF(E143&lt;201,E143,IF(E143&lt;301,E143/2,E143/3)))</f>
        <v>106.176096</v>
      </c>
      <c r="G143" s="56">
        <v>0</v>
      </c>
      <c r="H143" s="65">
        <f t="shared" ref="H143:H147" si="2">(F143+(IF(G143&lt;101,G143,IF(G143&lt;201,G143/2,IF(G143&lt;=301,G143/3,G143/4)))))*(($H$139)+1)</f>
        <v>159.26414399999999</v>
      </c>
      <c r="I143" s="35"/>
      <c r="L143" s="201"/>
      <c r="M143" s="201"/>
      <c r="N143" s="35"/>
      <c r="T143" s="33"/>
    </row>
    <row r="144" spans="1:22" s="36" customFormat="1" ht="15.75" customHeight="1" x14ac:dyDescent="0.35">
      <c r="A144" s="83">
        <f>A143+1</f>
        <v>3</v>
      </c>
      <c r="B144" s="84"/>
      <c r="C144" s="71" t="s">
        <v>320</v>
      </c>
      <c r="D144" s="73">
        <f>(2.74*8.99)*(10.764)</f>
        <v>265.14530640000004</v>
      </c>
      <c r="E144" s="73">
        <f t="shared" si="0"/>
        <v>0</v>
      </c>
      <c r="F144" s="65">
        <f t="shared" si="1"/>
        <v>265.14530640000004</v>
      </c>
      <c r="G144" s="56">
        <v>0</v>
      </c>
      <c r="H144" s="65">
        <f t="shared" si="2"/>
        <v>397.71795960000009</v>
      </c>
      <c r="I144" s="35"/>
      <c r="L144" s="201"/>
      <c r="M144" s="201"/>
      <c r="N144" s="35"/>
      <c r="T144" s="20"/>
    </row>
    <row r="145" spans="1:20" s="36" customFormat="1" ht="15.75" customHeight="1" x14ac:dyDescent="0.35">
      <c r="A145" s="83">
        <f>A144+1</f>
        <v>4</v>
      </c>
      <c r="B145" s="84"/>
      <c r="C145" s="71" t="s">
        <v>320</v>
      </c>
      <c r="D145" s="73">
        <f>(2.4*4.11)*(10.764)</f>
        <v>106.176096</v>
      </c>
      <c r="E145" s="73">
        <f t="shared" si="0"/>
        <v>0</v>
      </c>
      <c r="F145" s="65">
        <f t="shared" si="1"/>
        <v>106.176096</v>
      </c>
      <c r="G145" s="56">
        <v>0</v>
      </c>
      <c r="H145" s="65">
        <f t="shared" si="2"/>
        <v>159.26414399999999</v>
      </c>
      <c r="I145" s="35"/>
      <c r="L145" s="201"/>
      <c r="M145" s="201"/>
      <c r="N145" s="35"/>
      <c r="T145" s="20"/>
    </row>
    <row r="146" spans="1:20" s="72" customFormat="1" ht="15.75" customHeight="1" x14ac:dyDescent="0.35">
      <c r="A146" s="83">
        <f t="shared" ref="A146:A147" si="3">A145+1</f>
        <v>5</v>
      </c>
      <c r="B146" s="84"/>
      <c r="C146" s="71" t="s">
        <v>320</v>
      </c>
      <c r="D146" s="73">
        <f>(2.74*4.11)*(10.764)</f>
        <v>121.21770960000001</v>
      </c>
      <c r="E146" s="73">
        <f t="shared" si="0"/>
        <v>0</v>
      </c>
      <c r="F146" s="71">
        <f t="shared" si="1"/>
        <v>121.21770960000001</v>
      </c>
      <c r="G146" s="71">
        <v>0</v>
      </c>
      <c r="H146" s="71">
        <f t="shared" si="2"/>
        <v>181.8265644</v>
      </c>
      <c r="I146" s="35"/>
      <c r="N146" s="35"/>
      <c r="T146" s="20"/>
    </row>
    <row r="147" spans="1:20" s="72" customFormat="1" ht="15.75" customHeight="1" x14ac:dyDescent="0.35">
      <c r="A147" s="83">
        <f t="shared" si="3"/>
        <v>6</v>
      </c>
      <c r="B147" s="84"/>
      <c r="C147" s="71" t="s">
        <v>320</v>
      </c>
      <c r="D147" s="73">
        <f>(2.85*9.21)*(10.764)</f>
        <v>282.53885400000001</v>
      </c>
      <c r="E147" s="73">
        <f t="shared" si="0"/>
        <v>0</v>
      </c>
      <c r="F147" s="71">
        <f t="shared" si="1"/>
        <v>282.53885400000001</v>
      </c>
      <c r="G147" s="71">
        <v>0</v>
      </c>
      <c r="H147" s="71">
        <f t="shared" si="2"/>
        <v>423.80828100000002</v>
      </c>
      <c r="I147" s="35"/>
      <c r="N147" s="35"/>
      <c r="T147" s="20"/>
    </row>
    <row r="148" spans="1:20" s="72" customFormat="1" ht="15.75" customHeight="1" x14ac:dyDescent="0.35">
      <c r="A148" s="131" t="s">
        <v>321</v>
      </c>
      <c r="B148" s="132"/>
      <c r="C148" s="132"/>
      <c r="D148" s="132"/>
      <c r="E148" s="132"/>
      <c r="F148" s="132"/>
      <c r="G148" s="132"/>
      <c r="H148" s="133"/>
      <c r="I148" s="35"/>
      <c r="N148" s="35"/>
      <c r="T148" s="20"/>
    </row>
    <row r="149" spans="1:20" s="72" customFormat="1" ht="15.75" customHeight="1" x14ac:dyDescent="0.35">
      <c r="A149" s="138" t="s">
        <v>331</v>
      </c>
      <c r="B149" s="139"/>
      <c r="C149" s="139"/>
      <c r="D149" s="139"/>
      <c r="E149" s="139"/>
      <c r="F149" s="139"/>
      <c r="G149" s="139"/>
      <c r="H149" s="140"/>
      <c r="I149" s="35"/>
      <c r="N149" s="35"/>
      <c r="T149" s="20"/>
    </row>
    <row r="150" spans="1:20" s="72" customFormat="1" ht="15.75" customHeight="1" x14ac:dyDescent="0.35">
      <c r="A150" s="83">
        <v>1</v>
      </c>
      <c r="B150" s="84"/>
      <c r="C150" s="71" t="s">
        <v>320</v>
      </c>
      <c r="D150" s="73">
        <f>(2.7*3.96)*(10.764)</f>
        <v>115.08868799999999</v>
      </c>
      <c r="E150" s="73">
        <f>0*(10.764)</f>
        <v>0</v>
      </c>
      <c r="F150" s="71">
        <f>D150+(IF(E150&lt;201,E150,IF(E150&lt;301,E150/2,E150/3)))</f>
        <v>115.08868799999999</v>
      </c>
      <c r="G150" s="66">
        <v>0</v>
      </c>
      <c r="H150" s="71">
        <f>(F150+(IF(G150&lt;101,G150,IF(G150&lt;201,G150/2,IF(G150&lt;=301,G150/3,G150/4)))))*(($H$139)+1)</f>
        <v>172.63303199999999</v>
      </c>
      <c r="I150" s="35"/>
      <c r="N150" s="35"/>
      <c r="T150" s="20"/>
    </row>
    <row r="151" spans="1:20" s="72" customFormat="1" ht="15.75" customHeight="1" x14ac:dyDescent="0.35">
      <c r="A151" s="83">
        <f>A150+1</f>
        <v>2</v>
      </c>
      <c r="B151" s="84"/>
      <c r="C151" s="71" t="s">
        <v>320</v>
      </c>
      <c r="D151" s="73">
        <f>(2.1*4.7)*(10.764)</f>
        <v>106.24068</v>
      </c>
      <c r="E151" s="73">
        <f>0*(10.764)</f>
        <v>0</v>
      </c>
      <c r="F151" s="71">
        <f t="shared" ref="F151:F153" si="4">D151+(IF(E151&lt;201,E151,IF(E151&lt;301,E151/2,E151/3)))</f>
        <v>106.24068</v>
      </c>
      <c r="G151" s="71">
        <v>0</v>
      </c>
      <c r="H151" s="71">
        <f t="shared" ref="H151:H153" si="5">(F151+(IF(G151&lt;101,G151,IF(G151&lt;201,G151/2,IF(G151&lt;=301,G151/3,G151/4)))))*(($H$139)+1)</f>
        <v>159.36102</v>
      </c>
      <c r="I151" s="35"/>
      <c r="N151" s="35"/>
      <c r="T151" s="20"/>
    </row>
    <row r="152" spans="1:20" s="72" customFormat="1" ht="15.75" customHeight="1" x14ac:dyDescent="0.35">
      <c r="A152" s="83">
        <f>A151+1</f>
        <v>3</v>
      </c>
      <c r="B152" s="84"/>
      <c r="C152" s="71" t="s">
        <v>320</v>
      </c>
      <c r="D152" s="73">
        <f>(2.7*4.7)*(10.764)</f>
        <v>136.59515999999999</v>
      </c>
      <c r="E152" s="73">
        <f>0*(10.764)</f>
        <v>0</v>
      </c>
      <c r="F152" s="71">
        <f t="shared" si="4"/>
        <v>136.59515999999999</v>
      </c>
      <c r="G152" s="71">
        <v>0</v>
      </c>
      <c r="H152" s="71">
        <f t="shared" si="5"/>
        <v>204.89274</v>
      </c>
      <c r="I152" s="35"/>
      <c r="N152" s="35"/>
      <c r="T152" s="20"/>
    </row>
    <row r="153" spans="1:20" s="72" customFormat="1" ht="15.75" customHeight="1" x14ac:dyDescent="0.35">
      <c r="A153" s="83">
        <f>A152+1</f>
        <v>4</v>
      </c>
      <c r="B153" s="84"/>
      <c r="C153" s="71" t="s">
        <v>320</v>
      </c>
      <c r="D153" s="73">
        <f>(2.4*4.7)*(10.764)</f>
        <v>121.41791999999998</v>
      </c>
      <c r="E153" s="73">
        <f>0*(10.764)</f>
        <v>0</v>
      </c>
      <c r="F153" s="71">
        <f t="shared" si="4"/>
        <v>121.41791999999998</v>
      </c>
      <c r="G153" s="71">
        <v>0</v>
      </c>
      <c r="H153" s="71">
        <f t="shared" si="5"/>
        <v>182.12687999999997</v>
      </c>
      <c r="I153" s="35"/>
      <c r="N153" s="35"/>
      <c r="T153" s="20"/>
    </row>
    <row r="154" spans="1:20" s="36" customFormat="1" x14ac:dyDescent="0.35">
      <c r="A154" s="83"/>
      <c r="B154" s="157"/>
      <c r="C154" s="157"/>
      <c r="D154" s="157"/>
      <c r="E154" s="157"/>
      <c r="F154" s="157"/>
      <c r="G154" s="157"/>
      <c r="H154" s="84"/>
      <c r="I154" s="35"/>
      <c r="N154" s="35"/>
    </row>
    <row r="155" spans="1:20" ht="47.25" customHeight="1" x14ac:dyDescent="0.35">
      <c r="A155" s="158" t="s">
        <v>117</v>
      </c>
      <c r="B155" s="154" t="s">
        <v>174</v>
      </c>
      <c r="C155" s="154" t="s">
        <v>55</v>
      </c>
      <c r="D155" s="125" t="s">
        <v>230</v>
      </c>
      <c r="E155" s="125" t="s">
        <v>229</v>
      </c>
      <c r="F155" s="125" t="s">
        <v>56</v>
      </c>
      <c r="G155" s="202" t="s">
        <v>57</v>
      </c>
      <c r="H155" s="76" t="s">
        <v>145</v>
      </c>
      <c r="I155" s="35"/>
      <c r="T155" s="36"/>
    </row>
    <row r="156" spans="1:20" s="36" customFormat="1" x14ac:dyDescent="0.35">
      <c r="A156" s="159"/>
      <c r="B156" s="155"/>
      <c r="C156" s="155"/>
      <c r="D156" s="126"/>
      <c r="E156" s="126"/>
      <c r="F156" s="126"/>
      <c r="G156" s="203"/>
      <c r="H156" s="77">
        <v>0.45</v>
      </c>
      <c r="I156" s="35"/>
    </row>
    <row r="157" spans="1:20" s="36" customFormat="1" x14ac:dyDescent="0.35">
      <c r="A157" s="131" t="s">
        <v>324</v>
      </c>
      <c r="B157" s="132"/>
      <c r="C157" s="132"/>
      <c r="D157" s="132"/>
      <c r="E157" s="132"/>
      <c r="F157" s="132"/>
      <c r="G157" s="132"/>
      <c r="H157" s="133"/>
      <c r="I157" s="35"/>
      <c r="L157" s="201"/>
      <c r="M157" s="201"/>
    </row>
    <row r="158" spans="1:20" s="36" customFormat="1" x14ac:dyDescent="0.35">
      <c r="A158" s="176" t="s">
        <v>327</v>
      </c>
      <c r="B158" s="176"/>
      <c r="C158" s="176"/>
      <c r="D158" s="176"/>
      <c r="E158" s="176"/>
      <c r="F158" s="176"/>
      <c r="G158" s="176"/>
      <c r="H158" s="176"/>
      <c r="I158" s="73">
        <f>10.764</f>
        <v>10.763999999999999</v>
      </c>
      <c r="N158" s="35"/>
    </row>
    <row r="159" spans="1:20" s="36" customFormat="1" x14ac:dyDescent="0.35">
      <c r="A159" s="124">
        <f>LEFT(A158,SUM(LEN(A158)-LEN(SUBSTITUTE(A158,{"0","1","2","3","4","5","6","7","8","9"},""))))*100+1</f>
        <v>101</v>
      </c>
      <c r="B159" s="124"/>
      <c r="C159" s="41" t="s">
        <v>322</v>
      </c>
      <c r="D159" s="73">
        <f>((2.7*4.9+2.85*2.15+2.7*3.05+2.85*3.05+1.2*1.85+1.2*1.85+1*1.8+0.9*4+0.5*0.6+0.5*0.6+1*1))*(10.764)</f>
        <v>513.71189999999979</v>
      </c>
      <c r="E159" s="73">
        <f>(0.75*2.85)*(10.764)</f>
        <v>23.008050000000001</v>
      </c>
      <c r="F159" s="56">
        <f>D159+E159</f>
        <v>536.71994999999981</v>
      </c>
      <c r="G159" s="56">
        <v>0</v>
      </c>
      <c r="H159" s="56">
        <f>F159*(($H$156)+1)+(IF(G159&lt;101,G159,IF(G159&lt;201,G159/2,IF(G159&lt;=301,G159/3,G159/4))))</f>
        <v>778.2439274999997</v>
      </c>
      <c r="I159" s="35"/>
      <c r="N159" s="35"/>
    </row>
    <row r="160" spans="1:20" s="36" customFormat="1" x14ac:dyDescent="0.35">
      <c r="A160" s="124">
        <f>A159+1</f>
        <v>102</v>
      </c>
      <c r="B160" s="124"/>
      <c r="C160" s="71" t="s">
        <v>322</v>
      </c>
      <c r="D160" s="73">
        <f>((2.7*4.4+2.4*2.75+2.7*3.05+2.4*3.65+1.8*1.3+0.9*2.4+2.1*1.2))*(10.764)</f>
        <v>457.41618000000011</v>
      </c>
      <c r="E160" s="73">
        <f>(0.75*(2.7+2.7+3.05))*(10.764)</f>
        <v>68.216849999999994</v>
      </c>
      <c r="F160" s="56">
        <f>D160+E160</f>
        <v>525.63303000000008</v>
      </c>
      <c r="G160" s="56">
        <v>0</v>
      </c>
      <c r="H160" s="56">
        <f>F160*(($H$156)+1)+(IF(G160&lt;101,G160,IF(G160&lt;201,G160/2,IF(G160&lt;=301,G160/3,G160/4))))</f>
        <v>762.1678935000001</v>
      </c>
      <c r="I160" s="35"/>
      <c r="J160" s="36">
        <f>3108000/H160</f>
        <v>4077.8416757068494</v>
      </c>
      <c r="K160" s="36">
        <f>(2.75*3.05+I162)*10.764</f>
        <v>90.283049999999989</v>
      </c>
      <c r="N160" s="35"/>
    </row>
    <row r="161" spans="1:14" s="36" customFormat="1" x14ac:dyDescent="0.35">
      <c r="A161" s="124">
        <f>A160+1</f>
        <v>103</v>
      </c>
      <c r="B161" s="124"/>
      <c r="C161" s="71" t="s">
        <v>323</v>
      </c>
      <c r="D161" s="73">
        <f>((2.7*4.7+2.4*2.3+2.7*3.05+1.8*1.3+2.1*1.2+0.9*2.4))*(10.764)</f>
        <v>360.21726000000001</v>
      </c>
      <c r="E161" s="73">
        <f>(0.75*(2.7+3.05))*(10.764)</f>
        <v>46.419750000000001</v>
      </c>
      <c r="F161" s="56">
        <f>D161+E161</f>
        <v>406.63701000000003</v>
      </c>
      <c r="G161" s="56">
        <v>0</v>
      </c>
      <c r="H161" s="56">
        <f>F161*(($H$156)+1)+(IF(G161&lt;101,G161,IF(G161&lt;201,G161/2,IF(G161&lt;=301,G161/3,G161/4))))</f>
        <v>589.62366450000002</v>
      </c>
      <c r="I161" s="35"/>
      <c r="N161" s="35"/>
    </row>
    <row r="162" spans="1:14" s="36" customFormat="1" ht="15.75" customHeight="1" x14ac:dyDescent="0.35">
      <c r="A162" s="138" t="s">
        <v>343</v>
      </c>
      <c r="B162" s="139"/>
      <c r="C162" s="139"/>
      <c r="D162" s="139"/>
      <c r="E162" s="139"/>
      <c r="F162" s="139"/>
      <c r="G162" s="139"/>
      <c r="H162" s="140"/>
      <c r="I162" s="35"/>
    </row>
    <row r="163" spans="1:14" s="36" customFormat="1" ht="15.75" customHeight="1" x14ac:dyDescent="0.35">
      <c r="A163" s="83" t="str">
        <f ca="1">(SUMPRODUCT(MID(0&amp;(LEFT(A162,SUM(LEN(A162)-LEN(SUBSTITUTE(A162,{"0","1","2"},""))))), LARGE(INDEX(ISNUMBER(--MID((LEFT(A162,SUM(LEN(A162)-LEN(SUBSTITUTE(A162,{"0","1","2"},""))))), ROW(INDIRECT("1:"&amp;LEN((LEFT(A162,SUM(LEN(A162)-LEN(SUBSTITUTE(A162,{"0","1","2"},"")))))))), 1)) * ROW(INDIRECT("1:"&amp;LEN((LEFT(A162,SUM(LEN(A162)-LEN(SUBSTITUTE(A162,{"0","1","2"},"")))))))), 0), ROW(INDIRECT("1:"&amp;LEN((LEFT(A162,SUM(LEN(A162)-LEN(SUBSTITUTE(A162,{"0","1","2"},"")))))))))+1, 1) * 10^ROW(INDIRECT("1:"&amp;LEN((LEFT(A162,SUM(LEN(A162)-LEN(SUBSTITUTE(A162,{"0","1","2"},""))))))))/10))*100+1&amp;""&amp;" ,.., "&amp;""&amp;(SUMPRODUCT(MID(0&amp;(--TRIM(RIGHT(SUBSTITUTE(LEFT(A162,_xlfn.AGGREGATE(16,6,FIND({0,1,2,3,4,5,6,7,8,9},A162,ROW(INDIRECT("1:"&amp;LEN(A162)))),1))," ",REPT(" ",LEN(A162))),LEN(A162)))), LARGE(INDEX(ISNUMBER(--MID((--TRIM(RIGHT(SUBSTITUTE(LEFT(A162,_xlfn.AGGREGATE(16,6,FIND({0,1,2,3,4,5,6,7,8,9},A162,ROW(INDIRECT("1:"&amp;LEN(A162)))),1))," ",REPT(" ",LEN(A162))),LEN(A162)))), ROW(INDIRECT("1:"&amp;LEN((--TRIM(RIGHT(SUBSTITUTE(LEFT(A162,_xlfn.AGGREGATE(16,6,FIND({0,1,2,3,4,5,6,7,8,9},A162,ROW(INDIRECT("1:"&amp;LEN(A162)))),1))," ",REPT(" ",LEN(A162))),LEN(A162))))))), 1)) * ROW(INDIRECT("1:"&amp;LEN((--TRIM(RIGHT(SUBSTITUTE(LEFT(A162,_xlfn.AGGREGATE(16,6,FIND({0,1,2,3,4,5,6,7,8,9},A162,ROW(INDIRECT("1:"&amp;LEN(A162)))),1))," ",REPT(" ",LEN(A162))),LEN(A162))))))), 0), ROW(INDIRECT("1:"&amp;LEN((--TRIM(RIGHT(SUBSTITUTE(LEFT(A162,_xlfn.AGGREGATE(16,6,FIND({0,1,2,3,4,5,6,7,8,9},A162,ROW(INDIRECT("1:"&amp;LEN(A162)))),1))," ",REPT(" ",LEN(A162))),LEN(A162))))))))+1, 1) * 10^ROW(INDIRECT("1:"&amp;LEN((--TRIM(RIGHT(SUBSTITUTE(LEFT(A162,_xlfn.AGGREGATE(16,6,FIND({0,1,2,3,4,5,6,7,8,9},A162,ROW(INDIRECT("1:"&amp;LEN(A162)))),1))," ",REPT(" ",LEN(A162))),LEN(A162)))))))/10))*100+1</f>
        <v>201 ,.., 601</v>
      </c>
      <c r="B163" s="84"/>
      <c r="C163" s="71" t="s">
        <v>322</v>
      </c>
      <c r="D163" s="73">
        <f>((2.7*4.9+2.85*2.15+2.7*3.05+2.85*3.05+1.2*1.85+1.2*1.85+1*1.8+0.9*4+0.5*0.6+0.5*0.6+1*1))*(10.764)</f>
        <v>513.71189999999979</v>
      </c>
      <c r="E163" s="73">
        <f>(0.75*2.85)*(10.764)</f>
        <v>23.008050000000001</v>
      </c>
      <c r="F163" s="56">
        <f>D163+E163</f>
        <v>536.71994999999981</v>
      </c>
      <c r="G163" s="56">
        <v>0</v>
      </c>
      <c r="H163" s="56">
        <f>F163*(($H$156)+1)+(IF(G163&lt;101,G163,IF(G163&lt;201,G163/2,IF(G163&lt;=301,G163/3,G163/4))))</f>
        <v>778.2439274999997</v>
      </c>
      <c r="I163" s="35"/>
    </row>
    <row r="164" spans="1:14" s="36" customFormat="1" ht="15.75" customHeight="1" x14ac:dyDescent="0.35">
      <c r="A164" s="83" t="str">
        <f ca="1">(SUMPRODUCT(MID(0&amp;(LEFT(A163,SUM(LEN(A163)-LEN(SUBSTITUTE(A163,{"0","1","2"},""))))), LARGE(INDEX(ISNUMBER(--MID((LEFT(A163,SUM(LEN(A163)-LEN(SUBSTITUTE(A163,{"0","1","2"},""))))), ROW(INDIRECT("1:"&amp;LEN((LEFT(A163,SUM(LEN(A163)-LEN(SUBSTITUTE(A163,{"0","1","2"},"")))))))), 1)) * ROW(INDIRECT("1:"&amp;LEN((LEFT(A163,SUM(LEN(A163)-LEN(SUBSTITUTE(A163,{"0","1","2"},"")))))))), 0), ROW(INDIRECT("1:"&amp;LEN((LEFT(A163,SUM(LEN(A163)-LEN(SUBSTITUTE(A163,{"0","1","2"},"")))))))))+1, 1) * 10^ROW(INDIRECT("1:"&amp;LEN((LEFT(A163,SUM(LEN(A163)-LEN(SUBSTITUTE(A163,{"0","1","2"},""))))))))/10))*1+1&amp;""&amp;" ,.., "&amp;""&amp;(SUMPRODUCT(MID(0&amp;(--TRIM(RIGHT(SUBSTITUTE(LEFT(A163,_xlfn.AGGREGATE(16,6,FIND({0,1,2,3,4,5,6,7,8,9},A163,ROW(INDIRECT("1:"&amp;LEN(A163)))),1))," ",REPT(" ",LEN(A163))),LEN(A163)))), LARGE(INDEX(ISNUMBER(--MID((--TRIM(RIGHT(SUBSTITUTE(LEFT(A163,_xlfn.AGGREGATE(16,6,FIND({0,1,2,3,4,5,6,7,8,9},A163,ROW(INDIRECT("1:"&amp;LEN(A163)))),1))," ",REPT(" ",LEN(A163))),LEN(A163)))), ROW(INDIRECT("1:"&amp;LEN((--TRIM(RIGHT(SUBSTITUTE(LEFT(A163,_xlfn.AGGREGATE(16,6,FIND({0,1,2,3,4,5,6,7,8,9},A163,ROW(INDIRECT("1:"&amp;LEN(A163)))),1))," ",REPT(" ",LEN(A163))),LEN(A163))))))), 1)) * ROW(INDIRECT("1:"&amp;LEN((--TRIM(RIGHT(SUBSTITUTE(LEFT(A163,_xlfn.AGGREGATE(16,6,FIND({0,1,2,3,4,5,6,7,8,9},A163,ROW(INDIRECT("1:"&amp;LEN(A163)))),1))," ",REPT(" ",LEN(A163))),LEN(A163))))))), 0), ROW(INDIRECT("1:"&amp;LEN((--TRIM(RIGHT(SUBSTITUTE(LEFT(A163,_xlfn.AGGREGATE(16,6,FIND({0,1,2,3,4,5,6,7,8,9},A163,ROW(INDIRECT("1:"&amp;LEN(A163)))),1))," ",REPT(" ",LEN(A163))),LEN(A163))))))))+1, 1) * 10^ROW(INDIRECT("1:"&amp;LEN((--TRIM(RIGHT(SUBSTITUTE(LEFT(A163,_xlfn.AGGREGATE(16,6,FIND({0,1,2,3,4,5,6,7,8,9},A163,ROW(INDIRECT("1:"&amp;LEN(A163)))),1))," ",REPT(" ",LEN(A163))),LEN(A163)))))))/10))*1+1</f>
        <v>202 ,.., 602</v>
      </c>
      <c r="B164" s="84"/>
      <c r="C164" s="71" t="s">
        <v>322</v>
      </c>
      <c r="D164" s="73">
        <f>((2.7*4.4+2.4*2.75+2.7*3.05+2.4*3.65+1.8*1.3+0.9*2.4+2.1*1.2))*(10.764)</f>
        <v>457.41618000000011</v>
      </c>
      <c r="E164" s="73">
        <f>(0.75*(2.7+2.7+3.05))*(10.764)</f>
        <v>68.216849999999994</v>
      </c>
      <c r="F164" s="56">
        <f>D164+E164</f>
        <v>525.63303000000008</v>
      </c>
      <c r="G164" s="56">
        <v>0</v>
      </c>
      <c r="H164" s="56">
        <f>F164*(($H$156)+1)+(IF(G164&lt;101,G164,IF(G164&lt;201,G164/2,IF(G164&lt;=301,G164/3,G164/4))))</f>
        <v>762.1678935000001</v>
      </c>
      <c r="I164" s="35"/>
      <c r="J164" s="36">
        <f>50.63*10.764</f>
        <v>544.98131999999998</v>
      </c>
      <c r="K164" s="36">
        <f>J164*1.45</f>
        <v>790.22291399999995</v>
      </c>
      <c r="L164" s="36">
        <f>3108000/K164</f>
        <v>3933.067423048682</v>
      </c>
    </row>
    <row r="165" spans="1:14" s="36" customFormat="1" ht="15.75" customHeight="1" x14ac:dyDescent="0.35">
      <c r="A165" s="83" t="str">
        <f ca="1">(SUMPRODUCT(MID(0&amp;(LEFT(A164,SUM(LEN(A164)-LEN(SUBSTITUTE(A164,{"0","1","2"},""))))), LARGE(INDEX(ISNUMBER(--MID((LEFT(A164,SUM(LEN(A164)-LEN(SUBSTITUTE(A164,{"0","1","2"},""))))), ROW(INDIRECT("1:"&amp;LEN((LEFT(A164,SUM(LEN(A164)-LEN(SUBSTITUTE(A164,{"0","1","2"},"")))))))), 1)) * ROW(INDIRECT("1:"&amp;LEN((LEFT(A164,SUM(LEN(A164)-LEN(SUBSTITUTE(A164,{"0","1","2"},"")))))))), 0), ROW(INDIRECT("1:"&amp;LEN((LEFT(A164,SUM(LEN(A164)-LEN(SUBSTITUTE(A164,{"0","1","2"},"")))))))))+1, 1) * 10^ROW(INDIRECT("1:"&amp;LEN((LEFT(A164,SUM(LEN(A164)-LEN(SUBSTITUTE(A164,{"0","1","2"},""))))))))/10))*1+1&amp;""&amp;" ,.., "&amp;""&amp;(SUMPRODUCT(MID(0&amp;(--TRIM(RIGHT(SUBSTITUTE(LEFT(A164,_xlfn.AGGREGATE(16,6,FIND({0,1,2,3,4,5,6,7,8,9},A164,ROW(INDIRECT("1:"&amp;LEN(A164)))),1))," ",REPT(" ",LEN(A164))),LEN(A164)))), LARGE(INDEX(ISNUMBER(--MID((--TRIM(RIGHT(SUBSTITUTE(LEFT(A164,_xlfn.AGGREGATE(16,6,FIND({0,1,2,3,4,5,6,7,8,9},A164,ROW(INDIRECT("1:"&amp;LEN(A164)))),1))," ",REPT(" ",LEN(A164))),LEN(A164)))), ROW(INDIRECT("1:"&amp;LEN((--TRIM(RIGHT(SUBSTITUTE(LEFT(A164,_xlfn.AGGREGATE(16,6,FIND({0,1,2,3,4,5,6,7,8,9},A164,ROW(INDIRECT("1:"&amp;LEN(A164)))),1))," ",REPT(" ",LEN(A164))),LEN(A164))))))), 1)) * ROW(INDIRECT("1:"&amp;LEN((--TRIM(RIGHT(SUBSTITUTE(LEFT(A164,_xlfn.AGGREGATE(16,6,FIND({0,1,2,3,4,5,6,7,8,9},A164,ROW(INDIRECT("1:"&amp;LEN(A164)))),1))," ",REPT(" ",LEN(A164))),LEN(A164))))))), 0), ROW(INDIRECT("1:"&amp;LEN((--TRIM(RIGHT(SUBSTITUTE(LEFT(A164,_xlfn.AGGREGATE(16,6,FIND({0,1,2,3,4,5,6,7,8,9},A164,ROW(INDIRECT("1:"&amp;LEN(A164)))),1))," ",REPT(" ",LEN(A164))),LEN(A164))))))))+1, 1) * 10^ROW(INDIRECT("1:"&amp;LEN((--TRIM(RIGHT(SUBSTITUTE(LEFT(A164,_xlfn.AGGREGATE(16,6,FIND({0,1,2,3,4,5,6,7,8,9},A164,ROW(INDIRECT("1:"&amp;LEN(A164)))),1))," ",REPT(" ",LEN(A164))),LEN(A164)))))))/10))*1+1</f>
        <v>203 ,.., 603</v>
      </c>
      <c r="B165" s="84"/>
      <c r="C165" s="71" t="s">
        <v>323</v>
      </c>
      <c r="D165" s="73">
        <f>((2.7*4.7+2.4*2.3+2.7*3.05+1.8*1.3+2.1*1.2+0.9*2.4))*(10.764)</f>
        <v>360.21726000000001</v>
      </c>
      <c r="E165" s="73">
        <f>(0.75*(2.7+3.05))*(10.764)</f>
        <v>46.419750000000001</v>
      </c>
      <c r="F165" s="56">
        <f>D165+E165</f>
        <v>406.63701000000003</v>
      </c>
      <c r="G165" s="56">
        <v>0</v>
      </c>
      <c r="H165" s="56">
        <f>F165*(($H$156)+1)+(IF(G165&lt;101,G165,IF(G165&lt;201,G165/2,IF(G165&lt;=301,G165/3,G165/4))))</f>
        <v>589.62366450000002</v>
      </c>
      <c r="I165" s="35"/>
      <c r="J165" s="36">
        <f>35.11*10.764</f>
        <v>377.92403999999999</v>
      </c>
      <c r="K165" s="36">
        <f>J165*1.45</f>
        <v>547.98985800000003</v>
      </c>
      <c r="L165" s="36">
        <f>2405000/K165</f>
        <v>4388.7673556177378</v>
      </c>
    </row>
    <row r="166" spans="1:14" s="72" customFormat="1" ht="15.75" customHeight="1" x14ac:dyDescent="0.35">
      <c r="A166" s="138" t="s">
        <v>344</v>
      </c>
      <c r="B166" s="139"/>
      <c r="C166" s="139"/>
      <c r="D166" s="139"/>
      <c r="E166" s="139"/>
      <c r="F166" s="139"/>
      <c r="G166" s="139"/>
      <c r="H166" s="140"/>
      <c r="I166" s="35"/>
      <c r="J166" s="72">
        <v>4300</v>
      </c>
      <c r="K166" s="72">
        <v>4300</v>
      </c>
    </row>
    <row r="167" spans="1:14" s="72" customFormat="1" x14ac:dyDescent="0.35">
      <c r="A167" s="83" t="s">
        <v>325</v>
      </c>
      <c r="B167" s="84"/>
      <c r="C167" s="71" t="s">
        <v>322</v>
      </c>
      <c r="D167" s="73">
        <f>((2.7*4.9+2.85*2.15+2.7*3.05+2.85*3.05+1.2*1.85+1.2*1.85+1*1.8+0.9*4+0.5*0.6+0.5*0.6+1*1))*(10.764)</f>
        <v>513.71189999999979</v>
      </c>
      <c r="E167" s="73">
        <f>(0.75*2.85)*(10.764)</f>
        <v>23.008050000000001</v>
      </c>
      <c r="F167" s="71">
        <f>D167+E167</f>
        <v>536.71994999999981</v>
      </c>
      <c r="G167" s="71">
        <v>0</v>
      </c>
      <c r="H167" s="71">
        <f>F167*(($H$156)+1)+(IF(G167&lt;101,G167,IF(G167&lt;201,G167/2,IF(G167&lt;=301,G167/3,G167/4))))</f>
        <v>778.2439274999997</v>
      </c>
      <c r="I167" s="35"/>
      <c r="K167" s="72">
        <f>K$166*H167</f>
        <v>3346448.8882499989</v>
      </c>
    </row>
    <row r="168" spans="1:14" s="72" customFormat="1" x14ac:dyDescent="0.35">
      <c r="A168" s="83" t="str">
        <f ca="1">(SUMPRODUCT(MID(0&amp;(LEFT(A167,SUM(LEN(A167)-LEN(SUBSTITUTE(A167,{"0","1","2"},""))))), LARGE(INDEX(ISNUMBER(--MID((LEFT(A167,SUM(LEN(A167)-LEN(SUBSTITUTE(A167,{"0","1","2"},""))))), ROW(INDIRECT("1:"&amp;LEN((LEFT(A167,SUM(LEN(A167)-LEN(SUBSTITUTE(A167,{"0","1","2"},"")))))))), 1)) * ROW(INDIRECT("1:"&amp;LEN((LEFT(A167,SUM(LEN(A167)-LEN(SUBSTITUTE(A167,{"0","1","2"},"")))))))), 0), ROW(INDIRECT("1:"&amp;LEN((LEFT(A167,SUM(LEN(A167)-LEN(SUBSTITUTE(A167,{"0","1","2"},"")))))))))+1, 1) * 10^ROW(INDIRECT("1:"&amp;LEN((LEFT(A167,SUM(LEN(A167)-LEN(SUBSTITUTE(A167,{"0","1","2"},""))))))))/10))*1+1&amp;""&amp;" &amp; "&amp;""&amp;(SUMPRODUCT(MID(0&amp;(--TRIM(RIGHT(SUBSTITUTE(LEFT(A167,_xlfn.AGGREGATE(16,6,FIND({0,1,2,3,4,5,6,7,8,9},A167,ROW(INDIRECT("1:"&amp;LEN(A167)))),1))," ",REPT(" ",LEN(A167))),LEN(A167)))), LARGE(INDEX(ISNUMBER(--MID((--TRIM(RIGHT(SUBSTITUTE(LEFT(A167,_xlfn.AGGREGATE(16,6,FIND({0,1,2,3,4,5,6,7,8,9},A167,ROW(INDIRECT("1:"&amp;LEN(A167)))),1))," ",REPT(" ",LEN(A167))),LEN(A167)))), ROW(INDIRECT("1:"&amp;LEN((--TRIM(RIGHT(SUBSTITUTE(LEFT(A167,_xlfn.AGGREGATE(16,6,FIND({0,1,2,3,4,5,6,7,8,9},A167,ROW(INDIRECT("1:"&amp;LEN(A167)))),1))," ",REPT(" ",LEN(A167))),LEN(A167))))))), 1)) * ROW(INDIRECT("1:"&amp;LEN((--TRIM(RIGHT(SUBSTITUTE(LEFT(A167,_xlfn.AGGREGATE(16,6,FIND({0,1,2,3,4,5,6,7,8,9},A167,ROW(INDIRECT("1:"&amp;LEN(A167)))),1))," ",REPT(" ",LEN(A167))),LEN(A167))))))), 0), ROW(INDIRECT("1:"&amp;LEN((--TRIM(RIGHT(SUBSTITUTE(LEFT(A167,_xlfn.AGGREGATE(16,6,FIND({0,1,2,3,4,5,6,7,8,9},A167,ROW(INDIRECT("1:"&amp;LEN(A167)))),1))," ",REPT(" ",LEN(A167))),LEN(A167))))))))+1, 1) * 10^ROW(INDIRECT("1:"&amp;LEN((--TRIM(RIGHT(SUBSTITUTE(LEFT(A167,_xlfn.AGGREGATE(16,6,FIND({0,1,2,3,4,5,6,7,8,9},A167,ROW(INDIRECT("1:"&amp;LEN(A167)))),1))," ",REPT(" ",LEN(A167))),LEN(A167)))))))/10))*1+1</f>
        <v>302 &amp; 502</v>
      </c>
      <c r="B168" s="84"/>
      <c r="C168" s="71" t="s">
        <v>322</v>
      </c>
      <c r="D168" s="73">
        <f>((2.7*4.4+2.4*2.75+2.7*3.05+2.4*3.65+1.8*1.3+0.9*2.4+2.1*1.2))*(10.764)</f>
        <v>457.41618000000011</v>
      </c>
      <c r="E168" s="73">
        <f>(0.75*(2.7+2.7+3.05))*(10.764)</f>
        <v>68.216849999999994</v>
      </c>
      <c r="F168" s="71">
        <f>D168+E168</f>
        <v>525.63303000000008</v>
      </c>
      <c r="G168" s="71">
        <v>0</v>
      </c>
      <c r="H168" s="71">
        <f>F168*(($H$156)+1)+(IF(G168&lt;101,G168,IF(G168&lt;201,G168/2,IF(G168&lt;=301,G168/3,G168/4))))</f>
        <v>762.1678935000001</v>
      </c>
      <c r="I168" s="35"/>
      <c r="K168" s="75">
        <f t="shared" ref="K168:K186" si="6">K$166*H168</f>
        <v>3277321.9420500007</v>
      </c>
    </row>
    <row r="169" spans="1:14" s="72" customFormat="1" x14ac:dyDescent="0.35">
      <c r="A169" s="83" t="str">
        <f ca="1">(SUMPRODUCT(MID(0&amp;(LEFT(A168,SUM(LEN(A168)-LEN(SUBSTITUTE(A168,{"0","1","2"},""))))), LARGE(INDEX(ISNUMBER(--MID((LEFT(A168,SUM(LEN(A168)-LEN(SUBSTITUTE(A168,{"0","1","2"},""))))), ROW(INDIRECT("1:"&amp;LEN((LEFT(A168,SUM(LEN(A168)-LEN(SUBSTITUTE(A168,{"0","1","2"},"")))))))), 1)) * ROW(INDIRECT("1:"&amp;LEN((LEFT(A168,SUM(LEN(A168)-LEN(SUBSTITUTE(A168,{"0","1","2"},"")))))))), 0), ROW(INDIRECT("1:"&amp;LEN((LEFT(A168,SUM(LEN(A168)-LEN(SUBSTITUTE(A168,{"0","1","2"},"")))))))))+1, 1) * 10^ROW(INDIRECT("1:"&amp;LEN((LEFT(A168,SUM(LEN(A168)-LEN(SUBSTITUTE(A168,{"0","1","2"},""))))))))/10))*1+1&amp;""&amp;" &amp; "&amp;""&amp;(SUMPRODUCT(MID(0&amp;(--TRIM(RIGHT(SUBSTITUTE(LEFT(A168,_xlfn.AGGREGATE(16,6,FIND({0,1,2,3,4,5,6,7,8,9},A168,ROW(INDIRECT("1:"&amp;LEN(A168)))),1))," ",REPT(" ",LEN(A168))),LEN(A168)))), LARGE(INDEX(ISNUMBER(--MID((--TRIM(RIGHT(SUBSTITUTE(LEFT(A168,_xlfn.AGGREGATE(16,6,FIND({0,1,2,3,4,5,6,7,8,9},A168,ROW(INDIRECT("1:"&amp;LEN(A168)))),1))," ",REPT(" ",LEN(A168))),LEN(A168)))), ROW(INDIRECT("1:"&amp;LEN((--TRIM(RIGHT(SUBSTITUTE(LEFT(A168,_xlfn.AGGREGATE(16,6,FIND({0,1,2,3,4,5,6,7,8,9},A168,ROW(INDIRECT("1:"&amp;LEN(A168)))),1))," ",REPT(" ",LEN(A168))),LEN(A168))))))), 1)) * ROW(INDIRECT("1:"&amp;LEN((--TRIM(RIGHT(SUBSTITUTE(LEFT(A168,_xlfn.AGGREGATE(16,6,FIND({0,1,2,3,4,5,6,7,8,9},A168,ROW(INDIRECT("1:"&amp;LEN(A168)))),1))," ",REPT(" ",LEN(A168))),LEN(A168))))))), 0), ROW(INDIRECT("1:"&amp;LEN((--TRIM(RIGHT(SUBSTITUTE(LEFT(A168,_xlfn.AGGREGATE(16,6,FIND({0,1,2,3,4,5,6,7,8,9},A168,ROW(INDIRECT("1:"&amp;LEN(A168)))),1))," ",REPT(" ",LEN(A168))),LEN(A168))))))))+1, 1) * 10^ROW(INDIRECT("1:"&amp;LEN((--TRIM(RIGHT(SUBSTITUTE(LEFT(A168,_xlfn.AGGREGATE(16,6,FIND({0,1,2,3,4,5,6,7,8,9},A168,ROW(INDIRECT("1:"&amp;LEN(A168)))),1))," ",REPT(" ",LEN(A168))),LEN(A168)))))))/10))*1+1</f>
        <v>303 &amp; 503</v>
      </c>
      <c r="B169" s="84"/>
      <c r="C169" s="71" t="s">
        <v>323</v>
      </c>
      <c r="D169" s="73">
        <f>((2.7*4.7+2.4*2.3+2.7*3.05+1.8*1.3+2.1*1.2+0.9*2.4))*(10.764)</f>
        <v>360.21726000000001</v>
      </c>
      <c r="E169" s="73">
        <f>(0.75*(2.7+3.05))*(10.764)</f>
        <v>46.419750000000001</v>
      </c>
      <c r="F169" s="71">
        <f>D169+E169</f>
        <v>406.63701000000003</v>
      </c>
      <c r="G169" s="71">
        <v>0</v>
      </c>
      <c r="H169" s="71">
        <f>F169*(($H$156)+1)+(IF(G169&lt;101,G169,IF(G169&lt;201,G169/2,IF(G169&lt;=301,G169/3,G169/4))))</f>
        <v>589.62366450000002</v>
      </c>
      <c r="I169" s="35"/>
      <c r="K169" s="75">
        <f t="shared" si="6"/>
        <v>2535381.7573500001</v>
      </c>
    </row>
    <row r="170" spans="1:14" s="72" customFormat="1" x14ac:dyDescent="0.35">
      <c r="A170" s="176" t="s">
        <v>345</v>
      </c>
      <c r="B170" s="176"/>
      <c r="C170" s="176"/>
      <c r="D170" s="176"/>
      <c r="E170" s="176"/>
      <c r="F170" s="176"/>
      <c r="G170" s="176"/>
      <c r="H170" s="176"/>
      <c r="I170" s="35"/>
      <c r="K170" s="75">
        <f t="shared" si="6"/>
        <v>0</v>
      </c>
    </row>
    <row r="171" spans="1:14" s="72" customFormat="1" x14ac:dyDescent="0.35">
      <c r="A171" s="219">
        <f>LEFT(A170,SUM(LEN(A170)-LEN(SUBSTITUTE(A170,{"0","1","2","3","4","5","6","7","8","9"},""))))*100+1</f>
        <v>701</v>
      </c>
      <c r="B171" s="219"/>
      <c r="C171" s="66" t="s">
        <v>322</v>
      </c>
      <c r="D171" s="73">
        <f>((2.7*4.9+2.85*2.15+2.7*3.05+2.85*3.05+1.2*1.85+1.2*1.85+1*1.8+0.9*4+0.5*0.6+0.5*0.6+1*1))*(10.764)</f>
        <v>513.71189999999979</v>
      </c>
      <c r="E171" s="73">
        <f>(0.75*2.85)*(10.764)</f>
        <v>23.008050000000001</v>
      </c>
      <c r="F171" s="66">
        <f>D171+E171</f>
        <v>536.71994999999981</v>
      </c>
      <c r="G171" s="66">
        <v>0</v>
      </c>
      <c r="H171" s="66">
        <f>F171*(($H$156)+1)+(IF(G171&lt;101,G171,IF(G171&lt;201,G171/2,IF(G171&lt;=301,G171/3,G171/4))))</f>
        <v>778.2439274999997</v>
      </c>
      <c r="I171" s="35"/>
      <c r="K171" s="75">
        <f t="shared" si="6"/>
        <v>3346448.8882499989</v>
      </c>
    </row>
    <row r="172" spans="1:14" s="72" customFormat="1" x14ac:dyDescent="0.35">
      <c r="A172" s="219">
        <f>A171+1</f>
        <v>702</v>
      </c>
      <c r="B172" s="219"/>
      <c r="C172" s="66" t="s">
        <v>322</v>
      </c>
      <c r="D172" s="73">
        <f>((2.7*4.4+2.4*2.75+2.7*3.05+2.4*3.65+1.8*1.3+0.9*2.4+2.1*1.2))*(10.764)</f>
        <v>457.41618000000011</v>
      </c>
      <c r="E172" s="73">
        <f>(0.75*(2.7+2.7+3.05))*(10.764)</f>
        <v>68.216849999999994</v>
      </c>
      <c r="F172" s="66">
        <f>D172+E172</f>
        <v>525.63303000000008</v>
      </c>
      <c r="G172" s="66">
        <v>0</v>
      </c>
      <c r="H172" s="66">
        <f>F172*(($H$156)+1)+(IF(G172&lt;101,G172,IF(G172&lt;201,G172/2,IF(G172&lt;=301,G172/3,G172/4))))</f>
        <v>762.1678935000001</v>
      </c>
      <c r="I172" s="35"/>
      <c r="K172" s="75">
        <f t="shared" si="6"/>
        <v>3277321.9420500007</v>
      </c>
    </row>
    <row r="173" spans="1:14" s="72" customFormat="1" x14ac:dyDescent="0.35">
      <c r="A173" s="219">
        <f>A172+1</f>
        <v>703</v>
      </c>
      <c r="B173" s="219"/>
      <c r="C173" s="66" t="s">
        <v>323</v>
      </c>
      <c r="D173" s="73">
        <f>((2.7*4.7+2.4*2.3+2.7*3.05+1.8*1.3+2.1*1.2+0.9*2.4))*(10.764)</f>
        <v>360.21726000000001</v>
      </c>
      <c r="E173" s="73">
        <f>(0.75*(2.7+3.05))*(10.764)</f>
        <v>46.419750000000001</v>
      </c>
      <c r="F173" s="66">
        <f>D173+E173</f>
        <v>406.63701000000003</v>
      </c>
      <c r="G173" s="66">
        <v>0</v>
      </c>
      <c r="H173" s="66">
        <f>F173*(($H$156)+1)+(IF(G173&lt;101,G173,IF(G173&lt;201,G173/2,IF(G173&lt;=301,G173/3,G173/4))))</f>
        <v>589.62366450000002</v>
      </c>
      <c r="I173" s="35"/>
      <c r="K173" s="75">
        <f t="shared" si="6"/>
        <v>2535381.7573500001</v>
      </c>
    </row>
    <row r="174" spans="1:14" s="72" customFormat="1" x14ac:dyDescent="0.35">
      <c r="A174" s="131" t="s">
        <v>321</v>
      </c>
      <c r="B174" s="132"/>
      <c r="C174" s="132"/>
      <c r="D174" s="132"/>
      <c r="E174" s="132"/>
      <c r="F174" s="132"/>
      <c r="G174" s="132"/>
      <c r="H174" s="133"/>
      <c r="I174" s="35"/>
      <c r="K174" s="75">
        <f t="shared" si="6"/>
        <v>0</v>
      </c>
    </row>
    <row r="175" spans="1:14" s="72" customFormat="1" x14ac:dyDescent="0.35">
      <c r="A175" s="176" t="s">
        <v>327</v>
      </c>
      <c r="B175" s="176"/>
      <c r="C175" s="176"/>
      <c r="D175" s="176"/>
      <c r="E175" s="176"/>
      <c r="F175" s="176"/>
      <c r="G175" s="176"/>
      <c r="H175" s="176"/>
      <c r="I175" s="35"/>
      <c r="K175" s="75">
        <f t="shared" si="6"/>
        <v>0</v>
      </c>
    </row>
    <row r="176" spans="1:14" s="72" customFormat="1" x14ac:dyDescent="0.35">
      <c r="A176" s="124">
        <f>LEFT(A175,SUM(LEN(A175)-LEN(SUBSTITUTE(A175,{"0","1","2","3","4","5","6","7","8","9"},""))))*100+1</f>
        <v>101</v>
      </c>
      <c r="B176" s="124"/>
      <c r="C176" s="71" t="s">
        <v>323</v>
      </c>
      <c r="D176" s="73">
        <f>((4.4*2.7+2.6*2.1+2.75*3.3+1.55*1.2+1.2*0.9+1.5*0.9+1*1.2))*(10.764)</f>
        <v>343.42542000000003</v>
      </c>
      <c r="E176" s="73">
        <f>(0.75*(2.7+2.6))*(10.764)</f>
        <v>42.786900000000003</v>
      </c>
      <c r="F176" s="71">
        <f>D176+E176</f>
        <v>386.21232000000003</v>
      </c>
      <c r="G176" s="71">
        <f>(2*2.75)*10.764</f>
        <v>59.201999999999998</v>
      </c>
      <c r="H176" s="71">
        <f>F176*(($H$156)+1)+(IF(G176&lt;101,G176,IF(G176&lt;201,G176/2,IF(G176&lt;=301,G176/3,G176/4))))</f>
        <v>619.20986400000004</v>
      </c>
      <c r="I176" s="35"/>
      <c r="J176" s="72">
        <f>2750000/H176</f>
        <v>4441.1437218319243</v>
      </c>
      <c r="K176" s="75">
        <f t="shared" si="6"/>
        <v>2662602.4152000002</v>
      </c>
    </row>
    <row r="177" spans="1:11" s="72" customFormat="1" ht="15.75" customHeight="1" x14ac:dyDescent="0.35">
      <c r="A177" s="124">
        <f>A176+1</f>
        <v>102</v>
      </c>
      <c r="B177" s="124"/>
      <c r="C177" s="71" t="s">
        <v>323</v>
      </c>
      <c r="D177" s="73">
        <f>((4.5*2.7+2.1*2.3+2.75*3.3+1.65*1.2+0.9*1.2+2.4*0.9+1.3*1.2))*(10.764)</f>
        <v>353.43593999999996</v>
      </c>
      <c r="E177" s="73">
        <f>(0.75*(2.75+2.3+2.7))*(10.764)</f>
        <v>62.565749999999994</v>
      </c>
      <c r="F177" s="71">
        <f>D177+E177</f>
        <v>416.00168999999994</v>
      </c>
      <c r="G177" s="71">
        <v>0</v>
      </c>
      <c r="H177" s="71">
        <f>F177*(($H$156)+1)+(IF(G177&lt;101,G177,IF(G177&lt;201,G177/2,IF(G177&lt;=301,G177/3,G177/4))))</f>
        <v>603.20245049999994</v>
      </c>
      <c r="I177" s="35"/>
      <c r="J177" s="75">
        <f t="shared" ref="J177" si="7">2750000/H177</f>
        <v>4559.000046701568</v>
      </c>
      <c r="K177" s="75">
        <f t="shared" si="6"/>
        <v>2593770.5371499998</v>
      </c>
    </row>
    <row r="178" spans="1:11" s="72" customFormat="1" x14ac:dyDescent="0.35">
      <c r="A178" s="124">
        <f>A177+1</f>
        <v>103</v>
      </c>
      <c r="B178" s="124"/>
      <c r="C178" s="71" t="s">
        <v>323</v>
      </c>
      <c r="D178" s="73">
        <f>((4.5*2.7+2.55*2.3+3.3*2.75+1.8*1.2+1.8*1.2+0.9*2.3))*(10.764)</f>
        <v>360.37871999999993</v>
      </c>
      <c r="E178" s="73">
        <f>(0.75*(2.7+2.75))*(10.764)</f>
        <v>43.99785</v>
      </c>
      <c r="F178" s="71">
        <f>D178+E178</f>
        <v>404.3765699999999</v>
      </c>
      <c r="G178" s="71">
        <v>0</v>
      </c>
      <c r="H178" s="71">
        <f>F178*(($H$156)+1)+(IF(G178&lt;101,G178,IF(G178&lt;201,G178/2,IF(G178&lt;=301,G178/3,G178/4))))</f>
        <v>586.34602649999988</v>
      </c>
      <c r="I178" s="35"/>
      <c r="J178" s="75">
        <f>3000000/H178</f>
        <v>5116.4327281409496</v>
      </c>
      <c r="K178" s="75">
        <f t="shared" si="6"/>
        <v>2521287.9139499995</v>
      </c>
    </row>
    <row r="179" spans="1:11" s="72" customFormat="1" x14ac:dyDescent="0.35">
      <c r="A179" s="124">
        <f>A178+1</f>
        <v>104</v>
      </c>
      <c r="B179" s="124"/>
      <c r="C179" s="71" t="s">
        <v>323</v>
      </c>
      <c r="D179" s="73">
        <f>((2.7*4.7+2.1*2.3+2.7*3.35+1.8*1.2+1.2*2.1+0.9*2.1+0.9*1.2))*(10.764)</f>
        <v>368.29025999999999</v>
      </c>
      <c r="E179" s="73">
        <f>(0.75*(2.1+2.7))*(10.764)</f>
        <v>38.750400000000006</v>
      </c>
      <c r="F179" s="71">
        <f>D179+E179</f>
        <v>407.04066</v>
      </c>
      <c r="G179" s="71">
        <f>(2.7*2.4+1.5*3.5)*10.764</f>
        <v>126.26172</v>
      </c>
      <c r="H179" s="71">
        <f>F179*(($H$156)+1)+(IF(G179&lt;101,G179,IF(G179&lt;201,G179/2,IF(G179&lt;=301,G179/3,G179/4))))</f>
        <v>653.33981699999993</v>
      </c>
      <c r="I179" s="35"/>
      <c r="J179" s="75">
        <f>3000000/H179</f>
        <v>4591.7911658520579</v>
      </c>
      <c r="K179" s="75">
        <f t="shared" si="6"/>
        <v>2809361.2130999998</v>
      </c>
    </row>
    <row r="180" spans="1:11" s="72" customFormat="1" x14ac:dyDescent="0.35">
      <c r="A180" s="138" t="s">
        <v>343</v>
      </c>
      <c r="B180" s="139"/>
      <c r="C180" s="139"/>
      <c r="D180" s="139"/>
      <c r="E180" s="139"/>
      <c r="F180" s="139"/>
      <c r="G180" s="139"/>
      <c r="H180" s="140"/>
      <c r="I180" s="35"/>
      <c r="K180" s="75">
        <f t="shared" si="6"/>
        <v>0</v>
      </c>
    </row>
    <row r="181" spans="1:11" s="72" customFormat="1" x14ac:dyDescent="0.35">
      <c r="A181" s="83" t="str">
        <f ca="1">(SUMPRODUCT(MID(0&amp;(LEFT(A180,SUM(LEN(A180)-LEN(SUBSTITUTE(A180,{"0","1","2"},""))))), LARGE(INDEX(ISNUMBER(--MID((LEFT(A180,SUM(LEN(A180)-LEN(SUBSTITUTE(A180,{"0","1","2"},""))))), ROW(INDIRECT("1:"&amp;LEN((LEFT(A180,SUM(LEN(A180)-LEN(SUBSTITUTE(A180,{"0","1","2"},"")))))))), 1)) * ROW(INDIRECT("1:"&amp;LEN((LEFT(A180,SUM(LEN(A180)-LEN(SUBSTITUTE(A180,{"0","1","2"},"")))))))), 0), ROW(INDIRECT("1:"&amp;LEN((LEFT(A180,SUM(LEN(A180)-LEN(SUBSTITUTE(A180,{"0","1","2"},"")))))))))+1, 1) * 10^ROW(INDIRECT("1:"&amp;LEN((LEFT(A180,SUM(LEN(A180)-LEN(SUBSTITUTE(A180,{"0","1","2"},""))))))))/10))*100+1&amp;""&amp;" ,.., "&amp;""&amp;(SUMPRODUCT(MID(0&amp;(--TRIM(RIGHT(SUBSTITUTE(LEFT(A180,_xlfn.AGGREGATE(16,6,FIND({0,1,2,3,4,5,6,7,8,9},A180,ROW(INDIRECT("1:"&amp;LEN(A180)))),1))," ",REPT(" ",LEN(A180))),LEN(A180)))), LARGE(INDEX(ISNUMBER(--MID((--TRIM(RIGHT(SUBSTITUTE(LEFT(A180,_xlfn.AGGREGATE(16,6,FIND({0,1,2,3,4,5,6,7,8,9},A180,ROW(INDIRECT("1:"&amp;LEN(A180)))),1))," ",REPT(" ",LEN(A180))),LEN(A180)))), ROW(INDIRECT("1:"&amp;LEN((--TRIM(RIGHT(SUBSTITUTE(LEFT(A180,_xlfn.AGGREGATE(16,6,FIND({0,1,2,3,4,5,6,7,8,9},A180,ROW(INDIRECT("1:"&amp;LEN(A180)))),1))," ",REPT(" ",LEN(A180))),LEN(A180))))))), 1)) * ROW(INDIRECT("1:"&amp;LEN((--TRIM(RIGHT(SUBSTITUTE(LEFT(A180,_xlfn.AGGREGATE(16,6,FIND({0,1,2,3,4,5,6,7,8,9},A180,ROW(INDIRECT("1:"&amp;LEN(A180)))),1))," ",REPT(" ",LEN(A180))),LEN(A180))))))), 0), ROW(INDIRECT("1:"&amp;LEN((--TRIM(RIGHT(SUBSTITUTE(LEFT(A180,_xlfn.AGGREGATE(16,6,FIND({0,1,2,3,4,5,6,7,8,9},A180,ROW(INDIRECT("1:"&amp;LEN(A180)))),1))," ",REPT(" ",LEN(A180))),LEN(A180))))))))+1, 1) * 10^ROW(INDIRECT("1:"&amp;LEN((--TRIM(RIGHT(SUBSTITUTE(LEFT(A180,_xlfn.AGGREGATE(16,6,FIND({0,1,2,3,4,5,6,7,8,9},A180,ROW(INDIRECT("1:"&amp;LEN(A180)))),1))," ",REPT(" ",LEN(A180))),LEN(A180)))))))/10))*100+1</f>
        <v>201 ,.., 601</v>
      </c>
      <c r="B181" s="84"/>
      <c r="C181" s="71" t="s">
        <v>323</v>
      </c>
      <c r="D181" s="73">
        <f>((4.4*2.7+2.6*2.1+2.75*3.3+1.55*1.2+1.2*0.9+1.5*0.9+1*1.2))*(10.764)</f>
        <v>343.42542000000003</v>
      </c>
      <c r="E181" s="73">
        <f>(0.75*(2.7+2.6+2.75))*(10.764)</f>
        <v>64.987650000000002</v>
      </c>
      <c r="F181" s="71">
        <f>D181+E181</f>
        <v>408.41307000000006</v>
      </c>
      <c r="G181" s="71">
        <v>0</v>
      </c>
      <c r="H181" s="71">
        <f>F181*(($H$156)+1)+(IF(G181&lt;101,G181,IF(G181&lt;201,G181/2,IF(G181&lt;=301,G181/3,G181/4))))</f>
        <v>592.19895150000002</v>
      </c>
      <c r="I181" s="35"/>
      <c r="K181" s="75">
        <f t="shared" si="6"/>
        <v>2546455.4914500001</v>
      </c>
    </row>
    <row r="182" spans="1:11" s="72" customFormat="1" x14ac:dyDescent="0.35">
      <c r="A182" s="83" t="str">
        <f ca="1">(SUMPRODUCT(MID(0&amp;(LEFT(A181,SUM(LEN(A181)-LEN(SUBSTITUTE(A181,{"0","1","2"},""))))), LARGE(INDEX(ISNUMBER(--MID((LEFT(A181,SUM(LEN(A181)-LEN(SUBSTITUTE(A181,{"0","1","2"},""))))), ROW(INDIRECT("1:"&amp;LEN((LEFT(A181,SUM(LEN(A181)-LEN(SUBSTITUTE(A181,{"0","1","2"},"")))))))), 1)) * ROW(INDIRECT("1:"&amp;LEN((LEFT(A181,SUM(LEN(A181)-LEN(SUBSTITUTE(A181,{"0","1","2"},"")))))))), 0), ROW(INDIRECT("1:"&amp;LEN((LEFT(A181,SUM(LEN(A181)-LEN(SUBSTITUTE(A181,{"0","1","2"},"")))))))))+1, 1) * 10^ROW(INDIRECT("1:"&amp;LEN((LEFT(A181,SUM(LEN(A181)-LEN(SUBSTITUTE(A181,{"0","1","2"},""))))))))/10))*1+1&amp;""&amp;" ,.., "&amp;""&amp;(SUMPRODUCT(MID(0&amp;(--TRIM(RIGHT(SUBSTITUTE(LEFT(A181,_xlfn.AGGREGATE(16,6,FIND({0,1,2,3,4,5,6,7,8,9},A181,ROW(INDIRECT("1:"&amp;LEN(A181)))),1))," ",REPT(" ",LEN(A181))),LEN(A181)))), LARGE(INDEX(ISNUMBER(--MID((--TRIM(RIGHT(SUBSTITUTE(LEFT(A181,_xlfn.AGGREGATE(16,6,FIND({0,1,2,3,4,5,6,7,8,9},A181,ROW(INDIRECT("1:"&amp;LEN(A181)))),1))," ",REPT(" ",LEN(A181))),LEN(A181)))), ROW(INDIRECT("1:"&amp;LEN((--TRIM(RIGHT(SUBSTITUTE(LEFT(A181,_xlfn.AGGREGATE(16,6,FIND({0,1,2,3,4,5,6,7,8,9},A181,ROW(INDIRECT("1:"&amp;LEN(A181)))),1))," ",REPT(" ",LEN(A181))),LEN(A181))))))), 1)) * ROW(INDIRECT("1:"&amp;LEN((--TRIM(RIGHT(SUBSTITUTE(LEFT(A181,_xlfn.AGGREGATE(16,6,FIND({0,1,2,3,4,5,6,7,8,9},A181,ROW(INDIRECT("1:"&amp;LEN(A181)))),1))," ",REPT(" ",LEN(A181))),LEN(A181))))))), 0), ROW(INDIRECT("1:"&amp;LEN((--TRIM(RIGHT(SUBSTITUTE(LEFT(A181,_xlfn.AGGREGATE(16,6,FIND({0,1,2,3,4,5,6,7,8,9},A181,ROW(INDIRECT("1:"&amp;LEN(A181)))),1))," ",REPT(" ",LEN(A181))),LEN(A181))))))))+1, 1) * 10^ROW(INDIRECT("1:"&amp;LEN((--TRIM(RIGHT(SUBSTITUTE(LEFT(A181,_xlfn.AGGREGATE(16,6,FIND({0,1,2,3,4,5,6,7,8,9},A181,ROW(INDIRECT("1:"&amp;LEN(A181)))),1))," ",REPT(" ",LEN(A181))),LEN(A181)))))))/10))*1+1</f>
        <v>202 ,.., 602</v>
      </c>
      <c r="B182" s="84"/>
      <c r="C182" s="71" t="s">
        <v>323</v>
      </c>
      <c r="D182" s="73">
        <f>((4.5*2.7+2.1*2.3+2.75*3.3+1.65*1.2+0.9*1.2+2.4*0.9+1.3*1.2))*(10.764)</f>
        <v>353.43593999999996</v>
      </c>
      <c r="E182" s="73">
        <f>(0.75*(2.75+2.3+2.7))*(10.764)</f>
        <v>62.565749999999994</v>
      </c>
      <c r="F182" s="71">
        <f>D182+E182</f>
        <v>416.00168999999994</v>
      </c>
      <c r="G182" s="71">
        <v>0</v>
      </c>
      <c r="H182" s="71">
        <f>F182*(($H$156)+1)+(IF(G182&lt;101,G182,IF(G182&lt;201,G182/2,IF(G182&lt;=301,G182/3,G182/4))))</f>
        <v>603.20245049999994</v>
      </c>
      <c r="I182" s="35"/>
      <c r="K182" s="75">
        <f>K$166*H182</f>
        <v>2593770.5371499998</v>
      </c>
    </row>
    <row r="183" spans="1:11" s="72" customFormat="1" x14ac:dyDescent="0.35">
      <c r="A183" s="83" t="str">
        <f ca="1">(SUMPRODUCT(MID(0&amp;(LEFT(A182,SUM(LEN(A182)-LEN(SUBSTITUTE(A182,{"0","1","2"},""))))), LARGE(INDEX(ISNUMBER(--MID((LEFT(A182,SUM(LEN(A182)-LEN(SUBSTITUTE(A182,{"0","1","2"},""))))), ROW(INDIRECT("1:"&amp;LEN((LEFT(A182,SUM(LEN(A182)-LEN(SUBSTITUTE(A182,{"0","1","2"},"")))))))), 1)) * ROW(INDIRECT("1:"&amp;LEN((LEFT(A182,SUM(LEN(A182)-LEN(SUBSTITUTE(A182,{"0","1","2"},"")))))))), 0), ROW(INDIRECT("1:"&amp;LEN((LEFT(A182,SUM(LEN(A182)-LEN(SUBSTITUTE(A182,{"0","1","2"},"")))))))))+1, 1) * 10^ROW(INDIRECT("1:"&amp;LEN((LEFT(A182,SUM(LEN(A182)-LEN(SUBSTITUTE(A182,{"0","1","2"},""))))))))/10))*1+1&amp;""&amp;" ,.., "&amp;""&amp;(SUMPRODUCT(MID(0&amp;(--TRIM(RIGHT(SUBSTITUTE(LEFT(A182,_xlfn.AGGREGATE(16,6,FIND({0,1,2,3,4,5,6,7,8,9},A182,ROW(INDIRECT("1:"&amp;LEN(A182)))),1))," ",REPT(" ",LEN(A182))),LEN(A182)))), LARGE(INDEX(ISNUMBER(--MID((--TRIM(RIGHT(SUBSTITUTE(LEFT(A182,_xlfn.AGGREGATE(16,6,FIND({0,1,2,3,4,5,6,7,8,9},A182,ROW(INDIRECT("1:"&amp;LEN(A182)))),1))," ",REPT(" ",LEN(A182))),LEN(A182)))), ROW(INDIRECT("1:"&amp;LEN((--TRIM(RIGHT(SUBSTITUTE(LEFT(A182,_xlfn.AGGREGATE(16,6,FIND({0,1,2,3,4,5,6,7,8,9},A182,ROW(INDIRECT("1:"&amp;LEN(A182)))),1))," ",REPT(" ",LEN(A182))),LEN(A182))))))), 1)) * ROW(INDIRECT("1:"&amp;LEN((--TRIM(RIGHT(SUBSTITUTE(LEFT(A182,_xlfn.AGGREGATE(16,6,FIND({0,1,2,3,4,5,6,7,8,9},A182,ROW(INDIRECT("1:"&amp;LEN(A182)))),1))," ",REPT(" ",LEN(A182))),LEN(A182))))))), 0), ROW(INDIRECT("1:"&amp;LEN((--TRIM(RIGHT(SUBSTITUTE(LEFT(A182,_xlfn.AGGREGATE(16,6,FIND({0,1,2,3,4,5,6,7,8,9},A182,ROW(INDIRECT("1:"&amp;LEN(A182)))),1))," ",REPT(" ",LEN(A182))),LEN(A182))))))))+1, 1) * 10^ROW(INDIRECT("1:"&amp;LEN((--TRIM(RIGHT(SUBSTITUTE(LEFT(A182,_xlfn.AGGREGATE(16,6,FIND({0,1,2,3,4,5,6,7,8,9},A182,ROW(INDIRECT("1:"&amp;LEN(A182)))),1))," ",REPT(" ",LEN(A182))),LEN(A182)))))))/10))*1+1</f>
        <v>203 ,.., 603</v>
      </c>
      <c r="B183" s="84"/>
      <c r="C183" s="71" t="s">
        <v>323</v>
      </c>
      <c r="D183" s="73">
        <f>((4.5*2.7+2.55*2.3+3.3*2.75+1.8*1.2+1.8*1.2+0.9*2.3))*(10.764)</f>
        <v>360.37871999999993</v>
      </c>
      <c r="E183" s="73">
        <f>(0.75*(2.7+2.75))*(10.764)</f>
        <v>43.99785</v>
      </c>
      <c r="F183" s="71">
        <f>D183+E183</f>
        <v>404.3765699999999</v>
      </c>
      <c r="G183" s="71">
        <v>0</v>
      </c>
      <c r="H183" s="71">
        <f>F183*(($H$156)+1)+(IF(G183&lt;101,G183,IF(G183&lt;201,G183/2,IF(G183&lt;=301,G183/3,G183/4))))</f>
        <v>586.34602649999988</v>
      </c>
      <c r="I183" s="35"/>
      <c r="K183" s="75">
        <f t="shared" si="6"/>
        <v>2521287.9139499995</v>
      </c>
    </row>
    <row r="184" spans="1:11" s="72" customFormat="1" x14ac:dyDescent="0.35">
      <c r="A184" s="83" t="str">
        <f ca="1">(SUMPRODUCT(MID(0&amp;(LEFT(A183,SUM(LEN(A183)-LEN(SUBSTITUTE(A183,{"0","1","2"},""))))), LARGE(INDEX(ISNUMBER(--MID((LEFT(A183,SUM(LEN(A183)-LEN(SUBSTITUTE(A183,{"0","1","2"},""))))), ROW(INDIRECT("1:"&amp;LEN((LEFT(A183,SUM(LEN(A183)-LEN(SUBSTITUTE(A183,{"0","1","2"},"")))))))), 1)) * ROW(INDIRECT("1:"&amp;LEN((LEFT(A183,SUM(LEN(A183)-LEN(SUBSTITUTE(A183,{"0","1","2"},"")))))))), 0), ROW(INDIRECT("1:"&amp;LEN((LEFT(A183,SUM(LEN(A183)-LEN(SUBSTITUTE(A183,{"0","1","2"},"")))))))))+1, 1) * 10^ROW(INDIRECT("1:"&amp;LEN((LEFT(A183,SUM(LEN(A183)-LEN(SUBSTITUTE(A183,{"0","1","2"},""))))))))/10))*1+1&amp;""&amp;" ,.., "&amp;""&amp;(SUMPRODUCT(MID(0&amp;(--TRIM(RIGHT(SUBSTITUTE(LEFT(A183,_xlfn.AGGREGATE(16,6,FIND({0,1,2,3,4,5,6,7,8,9},A183,ROW(INDIRECT("1:"&amp;LEN(A183)))),1))," ",REPT(" ",LEN(A183))),LEN(A183)))), LARGE(INDEX(ISNUMBER(--MID((--TRIM(RIGHT(SUBSTITUTE(LEFT(A183,_xlfn.AGGREGATE(16,6,FIND({0,1,2,3,4,5,6,7,8,9},A183,ROW(INDIRECT("1:"&amp;LEN(A183)))),1))," ",REPT(" ",LEN(A183))),LEN(A183)))), ROW(INDIRECT("1:"&amp;LEN((--TRIM(RIGHT(SUBSTITUTE(LEFT(A183,_xlfn.AGGREGATE(16,6,FIND({0,1,2,3,4,5,6,7,8,9},A183,ROW(INDIRECT("1:"&amp;LEN(A183)))),1))," ",REPT(" ",LEN(A183))),LEN(A183))))))), 1)) * ROW(INDIRECT("1:"&amp;LEN((--TRIM(RIGHT(SUBSTITUTE(LEFT(A183,_xlfn.AGGREGATE(16,6,FIND({0,1,2,3,4,5,6,7,8,9},A183,ROW(INDIRECT("1:"&amp;LEN(A183)))),1))," ",REPT(" ",LEN(A183))),LEN(A183))))))), 0), ROW(INDIRECT("1:"&amp;LEN((--TRIM(RIGHT(SUBSTITUTE(LEFT(A183,_xlfn.AGGREGATE(16,6,FIND({0,1,2,3,4,5,6,7,8,9},A183,ROW(INDIRECT("1:"&amp;LEN(A183)))),1))," ",REPT(" ",LEN(A183))),LEN(A183))))))))+1, 1) * 10^ROW(INDIRECT("1:"&amp;LEN((--TRIM(RIGHT(SUBSTITUTE(LEFT(A183,_xlfn.AGGREGATE(16,6,FIND({0,1,2,3,4,5,6,7,8,9},A183,ROW(INDIRECT("1:"&amp;LEN(A183)))),1))," ",REPT(" ",LEN(A183))),LEN(A183)))))))/10))*1+1</f>
        <v>204 ,.., 604</v>
      </c>
      <c r="B184" s="84"/>
      <c r="C184" s="71" t="s">
        <v>323</v>
      </c>
      <c r="D184" s="73">
        <f>((2.7*4.7+2.1*2.3+2.7*3.35+1.8*1.2+1.2*2.1+0.9*2.1+0.9*1.2))*(10.764)</f>
        <v>368.29025999999999</v>
      </c>
      <c r="E184" s="73">
        <f>(0.75*(2.1+2.7))*(10.764)</f>
        <v>38.750400000000006</v>
      </c>
      <c r="F184" s="71">
        <f>D184+E184</f>
        <v>407.04066</v>
      </c>
      <c r="G184" s="71">
        <v>0</v>
      </c>
      <c r="H184" s="71">
        <f>F184*(($H$156)+1)+(IF(G184&lt;101,G184,IF(G184&lt;201,G184/2,IF(G184&lt;=301,G184/3,G184/4))))</f>
        <v>590.20895699999994</v>
      </c>
      <c r="I184" s="35"/>
      <c r="J184" s="72">
        <f>3000000/H184</f>
        <v>5082.945564311387</v>
      </c>
      <c r="K184" s="75">
        <f t="shared" si="6"/>
        <v>2537898.5151</v>
      </c>
    </row>
    <row r="185" spans="1:11" s="72" customFormat="1" x14ac:dyDescent="0.35">
      <c r="A185" s="138" t="s">
        <v>344</v>
      </c>
      <c r="B185" s="139"/>
      <c r="C185" s="139"/>
      <c r="D185" s="139"/>
      <c r="E185" s="139"/>
      <c r="F185" s="139"/>
      <c r="G185" s="139"/>
      <c r="H185" s="140"/>
      <c r="I185" s="35"/>
      <c r="K185" s="75">
        <f t="shared" si="6"/>
        <v>0</v>
      </c>
    </row>
    <row r="186" spans="1:11" s="72" customFormat="1" x14ac:dyDescent="0.35">
      <c r="A186" s="83" t="s">
        <v>325</v>
      </c>
      <c r="B186" s="84"/>
      <c r="C186" s="71" t="s">
        <v>323</v>
      </c>
      <c r="D186" s="73">
        <f>((4.4*2.7+2.6*2.1+2.75*3.3+1.55*1.2+1.2*0.9+1.5*0.9+1*1.2))*(10.764)</f>
        <v>343.42542000000003</v>
      </c>
      <c r="E186" s="73">
        <f>(0.75*(2.7+2.6))*(10.764)</f>
        <v>42.786900000000003</v>
      </c>
      <c r="F186" s="71">
        <f>D186+E186</f>
        <v>386.21232000000003</v>
      </c>
      <c r="G186" s="74">
        <f>(2*2.75)*10.764</f>
        <v>59.201999999999998</v>
      </c>
      <c r="H186" s="71">
        <f>F186*(($H$156)+1)+(IF(G186&lt;101,G186,IF(G186&lt;201,G186/2,IF(G186&lt;=301,G186/3,G186/4))))</f>
        <v>619.20986400000004</v>
      </c>
      <c r="I186" s="35"/>
      <c r="K186" s="75">
        <f t="shared" si="6"/>
        <v>2662602.4152000002</v>
      </c>
    </row>
    <row r="187" spans="1:11" s="72" customFormat="1" x14ac:dyDescent="0.35">
      <c r="A187" s="83" t="str">
        <f ca="1">(SUMPRODUCT(MID(0&amp;(LEFT(A186,SUM(LEN(A186)-LEN(SUBSTITUTE(A186,{"0","1","2"},""))))), LARGE(INDEX(ISNUMBER(--MID((LEFT(A186,SUM(LEN(A186)-LEN(SUBSTITUTE(A186,{"0","1","2"},""))))), ROW(INDIRECT("1:"&amp;LEN((LEFT(A186,SUM(LEN(A186)-LEN(SUBSTITUTE(A186,{"0","1","2"},"")))))))), 1)) * ROW(INDIRECT("1:"&amp;LEN((LEFT(A186,SUM(LEN(A186)-LEN(SUBSTITUTE(A186,{"0","1","2"},"")))))))), 0), ROW(INDIRECT("1:"&amp;LEN((LEFT(A186,SUM(LEN(A186)-LEN(SUBSTITUTE(A186,{"0","1","2"},"")))))))))+1, 1) * 10^ROW(INDIRECT("1:"&amp;LEN((LEFT(A186,SUM(LEN(A186)-LEN(SUBSTITUTE(A186,{"0","1","2"},""))))))))/10))*1+1&amp;""&amp;" &amp; "&amp;""&amp;(SUMPRODUCT(MID(0&amp;(--TRIM(RIGHT(SUBSTITUTE(LEFT(A186,_xlfn.AGGREGATE(16,6,FIND({0,1,2,3,4,5,6,7,8,9},A186,ROW(INDIRECT("1:"&amp;LEN(A186)))),1))," ",REPT(" ",LEN(A186))),LEN(A186)))), LARGE(INDEX(ISNUMBER(--MID((--TRIM(RIGHT(SUBSTITUTE(LEFT(A186,_xlfn.AGGREGATE(16,6,FIND({0,1,2,3,4,5,6,7,8,9},A186,ROW(INDIRECT("1:"&amp;LEN(A186)))),1))," ",REPT(" ",LEN(A186))),LEN(A186)))), ROW(INDIRECT("1:"&amp;LEN((--TRIM(RIGHT(SUBSTITUTE(LEFT(A186,_xlfn.AGGREGATE(16,6,FIND({0,1,2,3,4,5,6,7,8,9},A186,ROW(INDIRECT("1:"&amp;LEN(A186)))),1))," ",REPT(" ",LEN(A186))),LEN(A186))))))), 1)) * ROW(INDIRECT("1:"&amp;LEN((--TRIM(RIGHT(SUBSTITUTE(LEFT(A186,_xlfn.AGGREGATE(16,6,FIND({0,1,2,3,4,5,6,7,8,9},A186,ROW(INDIRECT("1:"&amp;LEN(A186)))),1))," ",REPT(" ",LEN(A186))),LEN(A186))))))), 0), ROW(INDIRECT("1:"&amp;LEN((--TRIM(RIGHT(SUBSTITUTE(LEFT(A186,_xlfn.AGGREGATE(16,6,FIND({0,1,2,3,4,5,6,7,8,9},A186,ROW(INDIRECT("1:"&amp;LEN(A186)))),1))," ",REPT(" ",LEN(A186))),LEN(A186))))))))+1, 1) * 10^ROW(INDIRECT("1:"&amp;LEN((--TRIM(RIGHT(SUBSTITUTE(LEFT(A186,_xlfn.AGGREGATE(16,6,FIND({0,1,2,3,4,5,6,7,8,9},A186,ROW(INDIRECT("1:"&amp;LEN(A186)))),1))," ",REPT(" ",LEN(A186))),LEN(A186)))))))/10))*1+1</f>
        <v>302 &amp; 502</v>
      </c>
      <c r="B187" s="84"/>
      <c r="C187" s="71" t="s">
        <v>323</v>
      </c>
      <c r="D187" s="73">
        <f>((4.5*2.7+2.1*2.3+2.75*3.3+1.65*1.2+0.9*1.2+2.4*0.9+1.3*1.2))*(10.764)</f>
        <v>353.43593999999996</v>
      </c>
      <c r="E187" s="73">
        <f>(0.75*(2.75+2.3+2.7))*(10.764)</f>
        <v>62.565749999999994</v>
      </c>
      <c r="F187" s="71">
        <f>D187+E187</f>
        <v>416.00168999999994</v>
      </c>
      <c r="G187" s="71">
        <v>0</v>
      </c>
      <c r="H187" s="71">
        <f>F187*(($H$156)+1)+(IF(G187&lt;101,G187,IF(G187&lt;201,G187/2,IF(G187&lt;=301,G187/3,G187/4))))</f>
        <v>603.20245049999994</v>
      </c>
      <c r="I187" s="35"/>
    </row>
    <row r="188" spans="1:11" s="72" customFormat="1" x14ac:dyDescent="0.35">
      <c r="A188" s="83" t="str">
        <f ca="1">(SUMPRODUCT(MID(0&amp;(LEFT(A187,SUM(LEN(A187)-LEN(SUBSTITUTE(A187,{"0","1","2"},""))))), LARGE(INDEX(ISNUMBER(--MID((LEFT(A187,SUM(LEN(A187)-LEN(SUBSTITUTE(A187,{"0","1","2"},""))))), ROW(INDIRECT("1:"&amp;LEN((LEFT(A187,SUM(LEN(A187)-LEN(SUBSTITUTE(A187,{"0","1","2"},"")))))))), 1)) * ROW(INDIRECT("1:"&amp;LEN((LEFT(A187,SUM(LEN(A187)-LEN(SUBSTITUTE(A187,{"0","1","2"},"")))))))), 0), ROW(INDIRECT("1:"&amp;LEN((LEFT(A187,SUM(LEN(A187)-LEN(SUBSTITUTE(A187,{"0","1","2"},"")))))))))+1, 1) * 10^ROW(INDIRECT("1:"&amp;LEN((LEFT(A187,SUM(LEN(A187)-LEN(SUBSTITUTE(A187,{"0","1","2"},""))))))))/10))*1+1&amp;""&amp;" &amp; "&amp;""&amp;(SUMPRODUCT(MID(0&amp;(--TRIM(RIGHT(SUBSTITUTE(LEFT(A187,_xlfn.AGGREGATE(16,6,FIND({0,1,2,3,4,5,6,7,8,9},A187,ROW(INDIRECT("1:"&amp;LEN(A187)))),1))," ",REPT(" ",LEN(A187))),LEN(A187)))), LARGE(INDEX(ISNUMBER(--MID((--TRIM(RIGHT(SUBSTITUTE(LEFT(A187,_xlfn.AGGREGATE(16,6,FIND({0,1,2,3,4,5,6,7,8,9},A187,ROW(INDIRECT("1:"&amp;LEN(A187)))),1))," ",REPT(" ",LEN(A187))),LEN(A187)))), ROW(INDIRECT("1:"&amp;LEN((--TRIM(RIGHT(SUBSTITUTE(LEFT(A187,_xlfn.AGGREGATE(16,6,FIND({0,1,2,3,4,5,6,7,8,9},A187,ROW(INDIRECT("1:"&amp;LEN(A187)))),1))," ",REPT(" ",LEN(A187))),LEN(A187))))))), 1)) * ROW(INDIRECT("1:"&amp;LEN((--TRIM(RIGHT(SUBSTITUTE(LEFT(A187,_xlfn.AGGREGATE(16,6,FIND({0,1,2,3,4,5,6,7,8,9},A187,ROW(INDIRECT("1:"&amp;LEN(A187)))),1))," ",REPT(" ",LEN(A187))),LEN(A187))))))), 0), ROW(INDIRECT("1:"&amp;LEN((--TRIM(RIGHT(SUBSTITUTE(LEFT(A187,_xlfn.AGGREGATE(16,6,FIND({0,1,2,3,4,5,6,7,8,9},A187,ROW(INDIRECT("1:"&amp;LEN(A187)))),1))," ",REPT(" ",LEN(A187))),LEN(A187))))))))+1, 1) * 10^ROW(INDIRECT("1:"&amp;LEN((--TRIM(RIGHT(SUBSTITUTE(LEFT(A187,_xlfn.AGGREGATE(16,6,FIND({0,1,2,3,4,5,6,7,8,9},A187,ROW(INDIRECT("1:"&amp;LEN(A187)))),1))," ",REPT(" ",LEN(A187))),LEN(A187)))))))/10))*1+1</f>
        <v>303 &amp; 503</v>
      </c>
      <c r="B188" s="84"/>
      <c r="C188" s="71" t="s">
        <v>323</v>
      </c>
      <c r="D188" s="73">
        <f>((4.5*2.7+2.55*2.3+3.3*2.75+1.8*1.2+1.8*1.2+0.9*2.3))*(10.764)</f>
        <v>360.37871999999993</v>
      </c>
      <c r="E188" s="73">
        <f>(0.75*(2.7+2.75))*(10.764)</f>
        <v>43.99785</v>
      </c>
      <c r="F188" s="71">
        <f t="shared" ref="F188:F189" si="8">D188+E188</f>
        <v>404.3765699999999</v>
      </c>
      <c r="G188" s="71">
        <v>0</v>
      </c>
      <c r="H188" s="71">
        <f>F188*(($H$156)+1)+(IF(G188&lt;101,G188,IF(G188&lt;201,G188/2,IF(G188&lt;=301,G188/3,G188/4))))</f>
        <v>586.34602649999988</v>
      </c>
      <c r="I188" s="35"/>
    </row>
    <row r="189" spans="1:11" s="72" customFormat="1" x14ac:dyDescent="0.35">
      <c r="A189" s="83" t="s">
        <v>326</v>
      </c>
      <c r="B189" s="84"/>
      <c r="C189" s="71" t="s">
        <v>323</v>
      </c>
      <c r="D189" s="73">
        <f>((2.7*4.7+2.1*2.3+2.7*3.35+1.8*1.2+1.2*2.1+0.9*2.1+0.9*1.2))*(10.764)</f>
        <v>368.29025999999999</v>
      </c>
      <c r="E189" s="73">
        <f>(0.75*(2.1+2.7))*(10.764)</f>
        <v>38.750400000000006</v>
      </c>
      <c r="F189" s="71">
        <f t="shared" si="8"/>
        <v>407.04066</v>
      </c>
      <c r="G189" s="71">
        <f>(1.3*2)*10.764</f>
        <v>27.9864</v>
      </c>
      <c r="H189" s="71">
        <f>F189*(($H$156)+1)+(IF(G189&lt;101,G189,IF(G189&lt;201,G189/2,IF(G189&lt;=301,G189/3,G189/4))))</f>
        <v>618.19535699999994</v>
      </c>
      <c r="I189" s="35"/>
    </row>
    <row r="190" spans="1:11" s="72" customFormat="1" x14ac:dyDescent="0.35">
      <c r="A190" s="176" t="s">
        <v>328</v>
      </c>
      <c r="B190" s="176"/>
      <c r="C190" s="176"/>
      <c r="D190" s="176"/>
      <c r="E190" s="176"/>
      <c r="F190" s="176"/>
      <c r="G190" s="176"/>
      <c r="H190" s="176"/>
      <c r="I190" s="35"/>
    </row>
    <row r="191" spans="1:11" s="72" customFormat="1" x14ac:dyDescent="0.35">
      <c r="A191" s="124">
        <f>LEFT(A190,SUM(LEN(A190)-LEN(SUBSTITUTE(A190,{"0","1","2","3","4","5","6","7","8","9"},""))))*100+1</f>
        <v>701</v>
      </c>
      <c r="B191" s="124"/>
      <c r="C191" s="71" t="s">
        <v>323</v>
      </c>
      <c r="D191" s="73">
        <f>((4.4*2.7+2.6*2.1+2.75*3.3+1.55*1.2+1.2*0.9+1.5*0.9+1*1.2))*(10.764)</f>
        <v>343.42542000000003</v>
      </c>
      <c r="E191" s="73">
        <f>(0.75*(2.7+2.6))*(10.764)</f>
        <v>42.786900000000003</v>
      </c>
      <c r="F191" s="71">
        <f>D191+E191</f>
        <v>386.21232000000003</v>
      </c>
      <c r="G191" s="74">
        <f>(2*2.75)*10.764</f>
        <v>59.201999999999998</v>
      </c>
      <c r="H191" s="71">
        <f>F191*(($H$156)+1)+(IF(G191&lt;101,G191,IF(G191&lt;201,G191/2,IF(G191&lt;=301,G191/3,G191/4))))</f>
        <v>619.20986400000004</v>
      </c>
      <c r="I191" s="35"/>
    </row>
    <row r="192" spans="1:11" s="72" customFormat="1" x14ac:dyDescent="0.35">
      <c r="A192" s="124" t="s">
        <v>339</v>
      </c>
      <c r="B192" s="124"/>
      <c r="C192" s="83" t="s">
        <v>329</v>
      </c>
      <c r="D192" s="157"/>
      <c r="E192" s="157"/>
      <c r="F192" s="157"/>
      <c r="G192" s="157"/>
      <c r="H192" s="84"/>
      <c r="I192" s="35"/>
    </row>
    <row r="193" spans="1:20" s="72" customFormat="1" x14ac:dyDescent="0.35">
      <c r="A193" s="124">
        <v>702</v>
      </c>
      <c r="B193" s="124"/>
      <c r="C193" s="71" t="s">
        <v>323</v>
      </c>
      <c r="D193" s="73">
        <f>((4.5*2.7+2.55*2.3+3.3*2.75+1.8*1.2+1.8*1.2+0.9*2.3))*(10.764)</f>
        <v>360.37871999999993</v>
      </c>
      <c r="E193" s="73">
        <f>(0.75*(2.7+2.75))*(10.764)</f>
        <v>43.99785</v>
      </c>
      <c r="F193" s="71">
        <f>D193+E193</f>
        <v>404.3765699999999</v>
      </c>
      <c r="G193" s="71">
        <v>0</v>
      </c>
      <c r="H193" s="71">
        <f>F193*(($H$156)+1)+(IF(G193&lt;101,G193,IF(G193&lt;201,G193/2,IF(G193&lt;=301,G193/3,G193/4))))</f>
        <v>586.34602649999988</v>
      </c>
      <c r="I193" s="35"/>
    </row>
    <row r="194" spans="1:20" s="72" customFormat="1" x14ac:dyDescent="0.35">
      <c r="A194" s="124">
        <f>A193+1</f>
        <v>703</v>
      </c>
      <c r="B194" s="124"/>
      <c r="C194" s="71" t="s">
        <v>323</v>
      </c>
      <c r="D194" s="73">
        <f>((2.7*4.7+2.1*2.3+2.7*3.35+1.8*1.2+1.2*2.1+0.9*2.1+0.9*1.2))*(10.764)</f>
        <v>368.29025999999999</v>
      </c>
      <c r="E194" s="73">
        <f>(0.75*(2.1+2.7))*(10.764)</f>
        <v>38.750400000000006</v>
      </c>
      <c r="F194" s="71">
        <f>D194+E194</f>
        <v>407.04066</v>
      </c>
      <c r="G194" s="74">
        <f>(1.3*2)*10.764</f>
        <v>27.9864</v>
      </c>
      <c r="H194" s="71">
        <f>F194*(($H$156)+1)+(IF(G194&lt;101,G194,IF(G194&lt;201,G194/2,IF(G194&lt;=301,G194/3,G194/4))))</f>
        <v>618.19535699999994</v>
      </c>
      <c r="I194" s="35"/>
    </row>
    <row r="195" spans="1:20" s="34" customFormat="1" ht="16.5" customHeight="1" x14ac:dyDescent="0.35">
      <c r="A195" s="137" t="s">
        <v>65</v>
      </c>
      <c r="B195" s="137"/>
      <c r="C195" s="137"/>
      <c r="D195" s="137"/>
      <c r="E195" s="137"/>
      <c r="F195" s="137"/>
      <c r="G195" s="137"/>
      <c r="H195" s="137"/>
      <c r="T195" s="36"/>
    </row>
    <row r="196" spans="1:20" s="34" customFormat="1" ht="31.5" customHeight="1" x14ac:dyDescent="0.35">
      <c r="A196" s="44" t="s">
        <v>149</v>
      </c>
      <c r="B196" s="160" t="s">
        <v>348</v>
      </c>
      <c r="C196" s="161"/>
      <c r="D196" s="161"/>
      <c r="E196" s="161"/>
      <c r="F196" s="161"/>
      <c r="G196" s="161"/>
      <c r="H196" s="162"/>
      <c r="T196" s="36"/>
    </row>
    <row r="197" spans="1:20" s="34" customFormat="1" x14ac:dyDescent="0.35">
      <c r="A197" s="44" t="s">
        <v>149</v>
      </c>
      <c r="B197" s="167" t="str">
        <f>(IF(H155="Saleable area Loading :","We have considered Saleable area of Flats as per our Calculation.","We considered Saleable area of Flat as per Builder area Sheet."))</f>
        <v>We have considered Saleable area of Flats as per our Calculation.</v>
      </c>
      <c r="C197" s="168"/>
      <c r="D197" s="168"/>
      <c r="E197" s="168"/>
      <c r="F197" s="168"/>
      <c r="G197" s="168"/>
      <c r="H197" s="169"/>
      <c r="T197" s="36"/>
    </row>
    <row r="198" spans="1:20" s="34" customFormat="1" x14ac:dyDescent="0.35">
      <c r="A198" s="44" t="s">
        <v>149</v>
      </c>
      <c r="B198" s="167" t="str">
        <f>(IF(H138="Saleable area Loading :","We have considered Saleable area of Commercial as per our Calculation.","We considered Saleable area of Commercial as per Builder area Sheet."))</f>
        <v>We have considered Saleable area of Commercial as per our Calculation.</v>
      </c>
      <c r="C198" s="168"/>
      <c r="D198" s="168"/>
      <c r="E198" s="168"/>
      <c r="F198" s="168"/>
      <c r="G198" s="168"/>
      <c r="H198" s="169"/>
      <c r="T198" s="36"/>
    </row>
    <row r="199" spans="1:20" s="34" customFormat="1" ht="17.25" customHeight="1" x14ac:dyDescent="0.35">
      <c r="A199" s="44" t="s">
        <v>149</v>
      </c>
      <c r="B199" s="134" t="s">
        <v>119</v>
      </c>
      <c r="C199" s="135"/>
      <c r="D199" s="135"/>
      <c r="E199" s="135"/>
      <c r="F199" s="135"/>
      <c r="G199" s="135"/>
      <c r="H199" s="136"/>
      <c r="T199" s="36"/>
    </row>
    <row r="200" spans="1:20" s="34" customFormat="1" x14ac:dyDescent="0.35">
      <c r="A200" s="44" t="s">
        <v>149</v>
      </c>
      <c r="B200" s="134" t="s">
        <v>340</v>
      </c>
      <c r="C200" s="135"/>
      <c r="D200" s="135"/>
      <c r="E200" s="135"/>
      <c r="F200" s="135"/>
      <c r="G200" s="135"/>
      <c r="H200" s="136"/>
    </row>
    <row r="201" spans="1:20" s="34" customFormat="1" x14ac:dyDescent="0.35">
      <c r="A201" s="44" t="s">
        <v>149</v>
      </c>
      <c r="B201" s="134" t="s">
        <v>148</v>
      </c>
      <c r="C201" s="135"/>
      <c r="D201" s="135"/>
      <c r="E201" s="135"/>
      <c r="F201" s="135"/>
      <c r="G201" s="135"/>
      <c r="H201" s="136"/>
    </row>
    <row r="202" spans="1:20" s="34" customFormat="1" x14ac:dyDescent="0.35">
      <c r="A202" s="44" t="s">
        <v>149</v>
      </c>
      <c r="B202" s="134" t="s">
        <v>120</v>
      </c>
      <c r="C202" s="135"/>
      <c r="D202" s="135"/>
      <c r="E202" s="135"/>
      <c r="F202" s="135"/>
      <c r="G202" s="135"/>
      <c r="H202" s="136"/>
    </row>
    <row r="203" spans="1:20" s="34" customFormat="1" ht="33" hidden="1" customHeight="1" x14ac:dyDescent="0.35">
      <c r="A203" s="44" t="s">
        <v>149</v>
      </c>
      <c r="B203" s="134" t="s">
        <v>150</v>
      </c>
      <c r="C203" s="135"/>
      <c r="D203" s="135"/>
      <c r="E203" s="135"/>
      <c r="F203" s="135"/>
      <c r="G203" s="135"/>
      <c r="H203" s="136"/>
    </row>
    <row r="204" spans="1:20" s="34" customFormat="1" x14ac:dyDescent="0.35">
      <c r="A204" s="44" t="s">
        <v>149</v>
      </c>
      <c r="B204" s="134" t="s">
        <v>121</v>
      </c>
      <c r="C204" s="135"/>
      <c r="D204" s="135"/>
      <c r="E204" s="135"/>
      <c r="F204" s="135"/>
      <c r="G204" s="135"/>
      <c r="H204" s="136"/>
    </row>
    <row r="205" spans="1:20" s="34" customFormat="1" ht="30.75" customHeight="1" x14ac:dyDescent="0.35">
      <c r="A205" s="53" t="s">
        <v>149</v>
      </c>
      <c r="B205" s="160" t="s">
        <v>175</v>
      </c>
      <c r="C205" s="161"/>
      <c r="D205" s="161"/>
      <c r="E205" s="161"/>
      <c r="F205" s="161"/>
      <c r="G205" s="161"/>
      <c r="H205" s="162"/>
    </row>
    <row r="206" spans="1:20" hidden="1" x14ac:dyDescent="0.35">
      <c r="A206" s="57" t="s">
        <v>149</v>
      </c>
      <c r="B206" s="177" t="s">
        <v>231</v>
      </c>
      <c r="C206" s="178"/>
      <c r="D206" s="178"/>
      <c r="E206" s="178"/>
      <c r="F206" s="178"/>
      <c r="G206" s="178"/>
      <c r="H206" s="179"/>
      <c r="T206" s="34"/>
    </row>
    <row r="207" spans="1:20" x14ac:dyDescent="0.35">
      <c r="A207" s="108" t="s">
        <v>58</v>
      </c>
      <c r="B207" s="108"/>
      <c r="C207" s="108"/>
      <c r="D207" s="108"/>
      <c r="E207" s="108"/>
      <c r="F207" s="108"/>
      <c r="G207" s="108"/>
      <c r="H207" s="108"/>
      <c r="T207" s="34"/>
    </row>
    <row r="208" spans="1:20" ht="15.75" customHeight="1" x14ac:dyDescent="0.35">
      <c r="A208" s="87" t="s">
        <v>59</v>
      </c>
      <c r="B208" s="87"/>
      <c r="C208" s="87"/>
      <c r="D208" s="87"/>
      <c r="E208" s="87"/>
      <c r="F208" s="87"/>
      <c r="G208" s="87"/>
      <c r="H208" s="87"/>
      <c r="T208" s="34"/>
    </row>
    <row r="209" spans="1:20" x14ac:dyDescent="0.35">
      <c r="A209" s="123" t="s">
        <v>60</v>
      </c>
      <c r="B209" s="123"/>
      <c r="C209" s="123"/>
      <c r="D209" s="123"/>
      <c r="E209" s="123"/>
      <c r="F209" s="123"/>
      <c r="G209" s="123"/>
      <c r="H209" s="123"/>
      <c r="T209" s="34"/>
    </row>
    <row r="210" spans="1:20" x14ac:dyDescent="0.35">
      <c r="A210" s="87" t="s">
        <v>61</v>
      </c>
      <c r="B210" s="87"/>
      <c r="C210" s="87"/>
      <c r="D210" s="87"/>
      <c r="E210" s="87"/>
      <c r="F210" s="87"/>
      <c r="G210" s="87"/>
      <c r="H210" s="87"/>
      <c r="T210" s="34"/>
    </row>
    <row r="211" spans="1:20" x14ac:dyDescent="0.35">
      <c r="A211" s="87" t="s">
        <v>62</v>
      </c>
      <c r="B211" s="87"/>
      <c r="C211" s="87"/>
      <c r="D211" s="87"/>
      <c r="E211" s="87"/>
      <c r="F211" s="87"/>
      <c r="G211" s="87"/>
      <c r="H211" s="87"/>
      <c r="T211" s="34"/>
    </row>
    <row r="212" spans="1:20" ht="34" customHeight="1" x14ac:dyDescent="0.35">
      <c r="A212" s="87" t="s">
        <v>122</v>
      </c>
      <c r="B212" s="87"/>
      <c r="C212" s="87"/>
      <c r="D212" s="87"/>
      <c r="E212" s="87"/>
      <c r="F212" s="87"/>
      <c r="G212" s="87"/>
      <c r="H212" s="87"/>
    </row>
    <row r="213" spans="1:20" x14ac:dyDescent="0.35">
      <c r="A213" s="109" t="s">
        <v>123</v>
      </c>
      <c r="B213" s="109"/>
      <c r="C213" s="109"/>
      <c r="D213" s="109"/>
      <c r="E213" s="109"/>
      <c r="F213" s="109"/>
      <c r="G213" s="109"/>
      <c r="H213" s="109"/>
    </row>
    <row r="214" spans="1:20" x14ac:dyDescent="0.35">
      <c r="A214" s="171" t="s">
        <v>74</v>
      </c>
      <c r="B214" s="171"/>
      <c r="C214" s="171" t="s">
        <v>346</v>
      </c>
      <c r="D214" s="171"/>
      <c r="E214" s="171" t="s">
        <v>103</v>
      </c>
      <c r="F214" s="171"/>
      <c r="G214" s="172" t="s">
        <v>349</v>
      </c>
      <c r="H214" s="172"/>
    </row>
    <row r="215" spans="1:20" x14ac:dyDescent="0.35">
      <c r="A215" s="170" t="s">
        <v>76</v>
      </c>
      <c r="B215" s="170"/>
      <c r="C215" s="170"/>
      <c r="D215" s="170"/>
      <c r="E215" s="170"/>
      <c r="F215" s="170"/>
      <c r="G215" s="170"/>
      <c r="H215" s="170"/>
    </row>
    <row r="216" spans="1:20" x14ac:dyDescent="0.35">
      <c r="A216" s="170"/>
      <c r="B216" s="170"/>
      <c r="C216" s="170"/>
      <c r="D216" s="170"/>
      <c r="E216" s="170"/>
      <c r="F216" s="170"/>
      <c r="G216" s="170"/>
      <c r="H216" s="170"/>
    </row>
    <row r="217" spans="1:20" x14ac:dyDescent="0.35">
      <c r="A217" s="170"/>
      <c r="B217" s="170"/>
      <c r="C217" s="170"/>
      <c r="D217" s="170"/>
      <c r="E217" s="170"/>
      <c r="F217" s="170"/>
      <c r="G217" s="170"/>
      <c r="H217" s="170"/>
    </row>
    <row r="218" spans="1:20" x14ac:dyDescent="0.35">
      <c r="A218" s="170"/>
      <c r="B218" s="170"/>
      <c r="C218" s="170"/>
      <c r="D218" s="170"/>
      <c r="E218" s="170"/>
      <c r="F218" s="170"/>
      <c r="G218" s="170"/>
      <c r="H218" s="170"/>
    </row>
    <row r="219" spans="1:20" x14ac:dyDescent="0.35">
      <c r="A219" s="37" t="s">
        <v>63</v>
      </c>
      <c r="B219" s="38"/>
      <c r="C219" s="38"/>
      <c r="D219" s="37" t="str">
        <f>E9</f>
        <v>Kulswamini</v>
      </c>
      <c r="F219" s="38"/>
      <c r="G219" s="38"/>
      <c r="H219" s="38"/>
    </row>
    <row r="220" spans="1:20" x14ac:dyDescent="0.35">
      <c r="A220" s="38"/>
      <c r="B220" s="38"/>
      <c r="C220" s="38"/>
      <c r="D220" s="38"/>
      <c r="E220" s="38"/>
      <c r="F220" s="38"/>
      <c r="G220" s="38"/>
      <c r="H220" s="38"/>
    </row>
    <row r="221" spans="1:20" ht="15" customHeight="1" x14ac:dyDescent="0.35">
      <c r="A221" s="38"/>
      <c r="B221" s="38"/>
      <c r="C221" s="38"/>
      <c r="D221" s="38"/>
      <c r="E221" s="38"/>
      <c r="F221" s="38"/>
      <c r="G221" s="38"/>
      <c r="H221" s="38"/>
    </row>
    <row r="263" spans="1:1" x14ac:dyDescent="0.35">
      <c r="A263" s="40" t="s">
        <v>160</v>
      </c>
    </row>
    <row r="306" spans="1:1" x14ac:dyDescent="0.35">
      <c r="A306" s="40" t="s">
        <v>64</v>
      </c>
    </row>
  </sheetData>
  <mergeCells count="366">
    <mergeCell ref="A194:B194"/>
    <mergeCell ref="A170:H170"/>
    <mergeCell ref="A171:B171"/>
    <mergeCell ref="A173:B173"/>
    <mergeCell ref="C192:H192"/>
    <mergeCell ref="A185:H185"/>
    <mergeCell ref="A186:B186"/>
    <mergeCell ref="A187:B187"/>
    <mergeCell ref="A188:B188"/>
    <mergeCell ref="A189:B189"/>
    <mergeCell ref="A190:H190"/>
    <mergeCell ref="A191:B191"/>
    <mergeCell ref="A192:B192"/>
    <mergeCell ref="A193:B193"/>
    <mergeCell ref="A177:B177"/>
    <mergeCell ref="A178:B178"/>
    <mergeCell ref="A179:B179"/>
    <mergeCell ref="A180:H180"/>
    <mergeCell ref="A181:B181"/>
    <mergeCell ref="A182:B182"/>
    <mergeCell ref="A183:B183"/>
    <mergeCell ref="A184:B184"/>
    <mergeCell ref="A166:H166"/>
    <mergeCell ref="A167:B167"/>
    <mergeCell ref="A168:B168"/>
    <mergeCell ref="A169:B169"/>
    <mergeCell ref="A172:B172"/>
    <mergeCell ref="A174:H174"/>
    <mergeCell ref="A175:H175"/>
    <mergeCell ref="A176:B176"/>
    <mergeCell ref="A140:H140"/>
    <mergeCell ref="A146:B146"/>
    <mergeCell ref="A147:B147"/>
    <mergeCell ref="A148:H148"/>
    <mergeCell ref="A149:H149"/>
    <mergeCell ref="A150:B150"/>
    <mergeCell ref="A151:B151"/>
    <mergeCell ref="A152:B152"/>
    <mergeCell ref="A153:B153"/>
    <mergeCell ref="C100:H100"/>
    <mergeCell ref="A101:B101"/>
    <mergeCell ref="A122:E122"/>
    <mergeCell ref="G134:H134"/>
    <mergeCell ref="C128:D128"/>
    <mergeCell ref="E128:F128"/>
    <mergeCell ref="G128:H128"/>
    <mergeCell ref="A129:B129"/>
    <mergeCell ref="C129:D129"/>
    <mergeCell ref="E129:F129"/>
    <mergeCell ref="G129:H129"/>
    <mergeCell ref="A133:B133"/>
    <mergeCell ref="C133:D133"/>
    <mergeCell ref="E133:F133"/>
    <mergeCell ref="G133:H133"/>
    <mergeCell ref="A49:B49"/>
    <mergeCell ref="C49:H49"/>
    <mergeCell ref="B201:H201"/>
    <mergeCell ref="A103:B103"/>
    <mergeCell ref="A104:B104"/>
    <mergeCell ref="G88:H97"/>
    <mergeCell ref="A89:B89"/>
    <mergeCell ref="A90:B90"/>
    <mergeCell ref="A91:B91"/>
    <mergeCell ref="F114:H114"/>
    <mergeCell ref="A114:E114"/>
    <mergeCell ref="D138:D139"/>
    <mergeCell ref="A116:E116"/>
    <mergeCell ref="A107:B107"/>
    <mergeCell ref="A109:B109"/>
    <mergeCell ref="A110:B110"/>
    <mergeCell ref="A115:E115"/>
    <mergeCell ref="A112:E112"/>
    <mergeCell ref="F116:H116"/>
    <mergeCell ref="G101:H101"/>
    <mergeCell ref="A100:B100"/>
    <mergeCell ref="G138:G139"/>
    <mergeCell ref="A76:B76"/>
    <mergeCell ref="A66:C66"/>
    <mergeCell ref="L157:M157"/>
    <mergeCell ref="A160:B160"/>
    <mergeCell ref="A161:B161"/>
    <mergeCell ref="A40:B40"/>
    <mergeCell ref="C40:H40"/>
    <mergeCell ref="F138:F139"/>
    <mergeCell ref="C127:D127"/>
    <mergeCell ref="E127:F127"/>
    <mergeCell ref="B138:B139"/>
    <mergeCell ref="A138:A139"/>
    <mergeCell ref="C155:C156"/>
    <mergeCell ref="G155:G156"/>
    <mergeCell ref="G135:H135"/>
    <mergeCell ref="C55:H55"/>
    <mergeCell ref="A73:B73"/>
    <mergeCell ref="A70:B70"/>
    <mergeCell ref="C70:H70"/>
    <mergeCell ref="A78:B78"/>
    <mergeCell ref="A65:C65"/>
    <mergeCell ref="D65:H65"/>
    <mergeCell ref="C72:H72"/>
    <mergeCell ref="A75:B75"/>
    <mergeCell ref="A77:B77"/>
    <mergeCell ref="E73:F73"/>
    <mergeCell ref="A39:B39"/>
    <mergeCell ref="C39:H39"/>
    <mergeCell ref="A46:D46"/>
    <mergeCell ref="L145:M145"/>
    <mergeCell ref="L144:M144"/>
    <mergeCell ref="L143:M143"/>
    <mergeCell ref="L142:M142"/>
    <mergeCell ref="A81:B81"/>
    <mergeCell ref="C132:D132"/>
    <mergeCell ref="E132:F132"/>
    <mergeCell ref="G132:H132"/>
    <mergeCell ref="A113:E113"/>
    <mergeCell ref="A98:B98"/>
    <mergeCell ref="C98:H98"/>
    <mergeCell ref="A141:H141"/>
    <mergeCell ref="E138:E139"/>
    <mergeCell ref="A88:B88"/>
    <mergeCell ref="A47:D47"/>
    <mergeCell ref="A48:H48"/>
    <mergeCell ref="D60:H60"/>
    <mergeCell ref="A60:C60"/>
    <mergeCell ref="A80:B80"/>
    <mergeCell ref="C86:H86"/>
    <mergeCell ref="A45:D45"/>
    <mergeCell ref="A38:H38"/>
    <mergeCell ref="A37:B37"/>
    <mergeCell ref="C37:E37"/>
    <mergeCell ref="G102:H111"/>
    <mergeCell ref="A42:D42"/>
    <mergeCell ref="E42:H42"/>
    <mergeCell ref="A41:H41"/>
    <mergeCell ref="A63:C63"/>
    <mergeCell ref="A64:C64"/>
    <mergeCell ref="D63:H63"/>
    <mergeCell ref="E74:F83"/>
    <mergeCell ref="G74:H83"/>
    <mergeCell ref="A82:B82"/>
    <mergeCell ref="A83:B83"/>
    <mergeCell ref="D64:H64"/>
    <mergeCell ref="A44:D44"/>
    <mergeCell ref="E44:H44"/>
    <mergeCell ref="E45:H45"/>
    <mergeCell ref="E46:H46"/>
    <mergeCell ref="A87:B87"/>
    <mergeCell ref="E47:H47"/>
    <mergeCell ref="A86:B86"/>
    <mergeCell ref="F37:H37"/>
    <mergeCell ref="A72:B72"/>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G73:H73"/>
    <mergeCell ref="A215:H218"/>
    <mergeCell ref="A214:B214"/>
    <mergeCell ref="E214:F214"/>
    <mergeCell ref="C214:D214"/>
    <mergeCell ref="G214:H214"/>
    <mergeCell ref="A125:H125"/>
    <mergeCell ref="A123:E123"/>
    <mergeCell ref="F123:H123"/>
    <mergeCell ref="A124:E124"/>
    <mergeCell ref="F124:H124"/>
    <mergeCell ref="A158:H158"/>
    <mergeCell ref="A132:B132"/>
    <mergeCell ref="A165:B165"/>
    <mergeCell ref="A127:B127"/>
    <mergeCell ref="A210:H210"/>
    <mergeCell ref="A130:H130"/>
    <mergeCell ref="A213:H213"/>
    <mergeCell ref="B206:H206"/>
    <mergeCell ref="A117:E117"/>
    <mergeCell ref="A97:B97"/>
    <mergeCell ref="A102:B102"/>
    <mergeCell ref="A134:B134"/>
    <mergeCell ref="E134:F134"/>
    <mergeCell ref="C138:C139"/>
    <mergeCell ref="B155:B156"/>
    <mergeCell ref="A208:H208"/>
    <mergeCell ref="F112:H112"/>
    <mergeCell ref="F117:H117"/>
    <mergeCell ref="A145:B145"/>
    <mergeCell ref="A144:B144"/>
    <mergeCell ref="A154:H154"/>
    <mergeCell ref="E131:F131"/>
    <mergeCell ref="A136:H136"/>
    <mergeCell ref="A155:A156"/>
    <mergeCell ref="F155:F156"/>
    <mergeCell ref="A163:B163"/>
    <mergeCell ref="A142:B142"/>
    <mergeCell ref="B205:H205"/>
    <mergeCell ref="A135:B135"/>
    <mergeCell ref="C135:D135"/>
    <mergeCell ref="E135:F135"/>
    <mergeCell ref="B204:H204"/>
    <mergeCell ref="B202:H202"/>
    <mergeCell ref="B198:H198"/>
    <mergeCell ref="B203:H203"/>
    <mergeCell ref="B196:H196"/>
    <mergeCell ref="B197:H197"/>
    <mergeCell ref="A61:C62"/>
    <mergeCell ref="D61:H61"/>
    <mergeCell ref="D62:H62"/>
    <mergeCell ref="C51:E51"/>
    <mergeCell ref="E87:F87"/>
    <mergeCell ref="G87:H87"/>
    <mergeCell ref="A118:E118"/>
    <mergeCell ref="F118:H118"/>
    <mergeCell ref="A120:E120"/>
    <mergeCell ref="F115:H115"/>
    <mergeCell ref="A119:E119"/>
    <mergeCell ref="A105:B105"/>
    <mergeCell ref="A106:B106"/>
    <mergeCell ref="E88:F97"/>
    <mergeCell ref="A95:B95"/>
    <mergeCell ref="A96:B96"/>
    <mergeCell ref="E101:F101"/>
    <mergeCell ref="E102:F111"/>
    <mergeCell ref="D66:H66"/>
    <mergeCell ref="A69:C69"/>
    <mergeCell ref="D69:H69"/>
    <mergeCell ref="A67:C67"/>
    <mergeCell ref="D68:H68"/>
    <mergeCell ref="A74:B74"/>
    <mergeCell ref="A212:H212"/>
    <mergeCell ref="A209:H209"/>
    <mergeCell ref="A159:B159"/>
    <mergeCell ref="A131:B131"/>
    <mergeCell ref="D155:D156"/>
    <mergeCell ref="E155:E156"/>
    <mergeCell ref="A92:B92"/>
    <mergeCell ref="A93:B93"/>
    <mergeCell ref="A94:B94"/>
    <mergeCell ref="A108:B108"/>
    <mergeCell ref="F113:H113"/>
    <mergeCell ref="G127:H127"/>
    <mergeCell ref="A111:B111"/>
    <mergeCell ref="F119:H119"/>
    <mergeCell ref="C126:D126"/>
    <mergeCell ref="C134:D134"/>
    <mergeCell ref="A157:H157"/>
    <mergeCell ref="B199:H199"/>
    <mergeCell ref="B200:H200"/>
    <mergeCell ref="A195:H195"/>
    <mergeCell ref="A162:H162"/>
    <mergeCell ref="A211:H211"/>
    <mergeCell ref="A207:H207"/>
    <mergeCell ref="G131:H131"/>
    <mergeCell ref="C50:E50"/>
    <mergeCell ref="G50:H50"/>
    <mergeCell ref="G52:H52"/>
    <mergeCell ref="A51:B51"/>
    <mergeCell ref="A57:H57"/>
    <mergeCell ref="A58:C58"/>
    <mergeCell ref="A59:C59"/>
    <mergeCell ref="D59:H59"/>
    <mergeCell ref="G56:H56"/>
    <mergeCell ref="A54:B55"/>
    <mergeCell ref="C54:E54"/>
    <mergeCell ref="G54:H54"/>
    <mergeCell ref="G51:H51"/>
    <mergeCell ref="A52:B53"/>
    <mergeCell ref="C53:H53"/>
    <mergeCell ref="C52:E52"/>
    <mergeCell ref="I15:P15"/>
    <mergeCell ref="F122:H122"/>
    <mergeCell ref="F120:H120"/>
    <mergeCell ref="A164:B164"/>
    <mergeCell ref="A137:H137"/>
    <mergeCell ref="G126:H126"/>
    <mergeCell ref="A121:E121"/>
    <mergeCell ref="A143:B143"/>
    <mergeCell ref="A56:B56"/>
    <mergeCell ref="C56:E56"/>
    <mergeCell ref="D58:H58"/>
    <mergeCell ref="F121:H121"/>
    <mergeCell ref="E126:F126"/>
    <mergeCell ref="A126:B126"/>
    <mergeCell ref="A128:B128"/>
    <mergeCell ref="C131:D131"/>
    <mergeCell ref="D67:H67"/>
    <mergeCell ref="A68:C68"/>
    <mergeCell ref="E43:H43"/>
    <mergeCell ref="A43:D43"/>
    <mergeCell ref="A84:B84"/>
    <mergeCell ref="C84:H84"/>
    <mergeCell ref="A79:B79"/>
    <mergeCell ref="A50:B50"/>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38:E139">
      <formula1>"Attached Loft area,Attached Otla area,Attached Mezzanine area"</formula1>
    </dataValidation>
    <dataValidation type="list" allowBlank="1" showInputMessage="1" showErrorMessage="1" sqref="F112:H112">
      <formula1>"On Saleable Area,On Builtup Area,On Carpet Area,On Plot Area"</formula1>
    </dataValidation>
    <dataValidation type="list" allowBlank="1" showInputMessage="1" showErrorMessage="1" sqref="F123:H123">
      <formula1>OFFSET($S$112,1,MATCH($G20,$S$112:$W$112,0)-1,15,1)</formula1>
    </dataValidation>
    <dataValidation type="list" allowBlank="1" showInputMessage="1" showErrorMessage="1" sqref="B138:B139">
      <formula1>"Shop No. (Sale Plan),Sale / Rehab,Sale / Mhada"</formula1>
    </dataValidation>
    <dataValidation type="list" allowBlank="1" showInputMessage="1" showErrorMessage="1" sqref="B155:B156">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5:E156">
      <formula1>"Fungible area,Balcony Area,Chajja Area,Cornice Area,AP Area,WS Area"</formula1>
    </dataValidation>
    <dataValidation type="list" allowBlank="1" showInputMessage="1" showErrorMessage="1" sqref="H139 H156">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79">
      <formula1>0</formula1>
      <formula2>H71</formula2>
    </dataValidation>
    <dataValidation type="list" allowBlank="1" showInputMessage="1" showErrorMessage="1" sqref="H138 H155">
      <formula1>"Saleable area Loading :,Builder Saleable Area"</formula1>
    </dataValidation>
    <dataValidation type="list" allowBlank="1" showInputMessage="1" showErrorMessage="1" sqref="D138:D139 D155:D156">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scale="98" fitToHeight="0" orientation="portrait" r:id="rId2"/>
  <headerFooter>
    <oddHeader>&amp;C&amp;G</oddHeader>
    <oddFooter>&amp;L&amp;"Times New Roman,Bold"&amp;12Ref No: &amp;F&amp;C&amp;G&amp;R&amp;"Times New Roman,Bold"&amp;12&amp;P</oddFooter>
  </headerFooter>
  <rowBreaks count="3" manualBreakCount="3">
    <brk id="218" max="16383" man="1"/>
    <brk id="261" max="16383" man="1"/>
    <brk id="305"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20" t="s">
        <v>104</v>
      </c>
      <c r="C3" s="220"/>
      <c r="D3" s="220"/>
      <c r="E3" s="220"/>
      <c r="F3" s="220"/>
      <c r="G3" s="220"/>
      <c r="H3" s="220"/>
    </row>
    <row r="4" spans="1:9" x14ac:dyDescent="0.35">
      <c r="A4" s="2"/>
      <c r="B4" s="3" t="s">
        <v>105</v>
      </c>
      <c r="C4" s="3" t="s">
        <v>106</v>
      </c>
      <c r="D4" s="3" t="s">
        <v>66</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4"/>
      <c r="C4" s="54" t="s">
        <v>11</v>
      </c>
      <c r="D4" s="55" t="s">
        <v>176</v>
      </c>
      <c r="E4" s="55" t="s">
        <v>186</v>
      </c>
      <c r="F4" s="55" t="s">
        <v>169</v>
      </c>
      <c r="G4" s="55" t="s">
        <v>191</v>
      </c>
      <c r="H4" s="55" t="s">
        <v>209</v>
      </c>
      <c r="J4" t="s">
        <v>191</v>
      </c>
      <c r="K4" t="s">
        <v>207</v>
      </c>
    </row>
    <row r="5" spans="2:11" x14ac:dyDescent="0.35">
      <c r="B5" s="54"/>
      <c r="C5" s="54"/>
      <c r="D5" s="55" t="s">
        <v>177</v>
      </c>
      <c r="E5" s="55" t="s">
        <v>184</v>
      </c>
      <c r="F5" s="55" t="s">
        <v>206</v>
      </c>
      <c r="G5" s="55" t="s">
        <v>192</v>
      </c>
      <c r="H5" s="55" t="s">
        <v>210</v>
      </c>
    </row>
    <row r="6" spans="2:11" x14ac:dyDescent="0.35">
      <c r="B6" s="54"/>
      <c r="C6" s="54"/>
      <c r="D6" s="55" t="s">
        <v>178</v>
      </c>
      <c r="E6" s="55" t="s">
        <v>185</v>
      </c>
      <c r="F6" s="55" t="s">
        <v>207</v>
      </c>
      <c r="G6" s="55" t="s">
        <v>193</v>
      </c>
      <c r="H6" s="55" t="s">
        <v>223</v>
      </c>
    </row>
    <row r="7" spans="2:11" x14ac:dyDescent="0.35">
      <c r="B7" s="54"/>
      <c r="C7" s="54"/>
      <c r="D7" s="55" t="s">
        <v>179</v>
      </c>
      <c r="E7" s="55" t="s">
        <v>187</v>
      </c>
      <c r="F7" s="55" t="s">
        <v>208</v>
      </c>
      <c r="G7" s="55" t="s">
        <v>194</v>
      </c>
      <c r="H7" s="55" t="s">
        <v>211</v>
      </c>
    </row>
    <row r="8" spans="2:11" x14ac:dyDescent="0.35">
      <c r="B8" s="54"/>
      <c r="C8" s="54"/>
      <c r="D8" s="55" t="s">
        <v>180</v>
      </c>
      <c r="E8" s="55" t="s">
        <v>188</v>
      </c>
      <c r="F8" s="55"/>
      <c r="G8" s="55" t="s">
        <v>195</v>
      </c>
      <c r="H8" s="55" t="s">
        <v>212</v>
      </c>
    </row>
    <row r="9" spans="2:11" x14ac:dyDescent="0.35">
      <c r="B9" s="54"/>
      <c r="C9" s="54"/>
      <c r="D9" s="55" t="s">
        <v>181</v>
      </c>
      <c r="E9" s="55" t="s">
        <v>186</v>
      </c>
      <c r="F9" s="55"/>
      <c r="G9" s="55" t="s">
        <v>196</v>
      </c>
      <c r="H9" s="55" t="s">
        <v>213</v>
      </c>
    </row>
    <row r="10" spans="2:11" x14ac:dyDescent="0.35">
      <c r="B10" s="54"/>
      <c r="C10" s="54"/>
      <c r="D10" s="55" t="s">
        <v>182</v>
      </c>
      <c r="E10" s="55" t="s">
        <v>189</v>
      </c>
      <c r="F10" s="55"/>
      <c r="G10" s="55" t="s">
        <v>197</v>
      </c>
      <c r="H10" s="55" t="s">
        <v>214</v>
      </c>
    </row>
    <row r="11" spans="2:11" x14ac:dyDescent="0.35">
      <c r="B11" s="54"/>
      <c r="C11" s="54"/>
      <c r="D11" s="55" t="s">
        <v>183</v>
      </c>
      <c r="E11" s="55" t="s">
        <v>190</v>
      </c>
      <c r="F11" s="55"/>
      <c r="G11" s="55" t="s">
        <v>198</v>
      </c>
      <c r="H11" s="55" t="s">
        <v>215</v>
      </c>
    </row>
    <row r="12" spans="2:11" x14ac:dyDescent="0.35">
      <c r="B12" s="54"/>
      <c r="C12" s="54"/>
      <c r="D12" s="55"/>
      <c r="E12" s="55"/>
      <c r="F12" s="55"/>
      <c r="G12" s="55" t="s">
        <v>199</v>
      </c>
      <c r="H12" s="55" t="s">
        <v>216</v>
      </c>
    </row>
    <row r="13" spans="2:11" x14ac:dyDescent="0.35">
      <c r="B13" s="54"/>
      <c r="C13" s="54"/>
      <c r="D13" s="55"/>
      <c r="E13" s="55"/>
      <c r="F13" s="55"/>
      <c r="G13" s="55" t="s">
        <v>200</v>
      </c>
      <c r="H13" s="55" t="s">
        <v>217</v>
      </c>
    </row>
    <row r="14" spans="2:11" x14ac:dyDescent="0.35">
      <c r="B14" s="54"/>
      <c r="C14" s="54"/>
      <c r="D14" s="55"/>
      <c r="E14" s="55"/>
      <c r="F14" s="55"/>
      <c r="G14" s="55" t="s">
        <v>201</v>
      </c>
      <c r="H14" s="55" t="s">
        <v>218</v>
      </c>
    </row>
    <row r="15" spans="2:11" x14ac:dyDescent="0.35">
      <c r="B15" s="54"/>
      <c r="C15" s="54"/>
      <c r="D15" s="55"/>
      <c r="E15" s="55"/>
      <c r="F15" s="55"/>
      <c r="G15" s="55" t="s">
        <v>202</v>
      </c>
      <c r="H15" s="55" t="s">
        <v>219</v>
      </c>
    </row>
    <row r="16" spans="2:11" x14ac:dyDescent="0.35">
      <c r="B16" s="54"/>
      <c r="C16" s="54"/>
      <c r="D16" s="55"/>
      <c r="E16" s="55"/>
      <c r="F16" s="55"/>
      <c r="G16" s="55" t="s">
        <v>203</v>
      </c>
      <c r="H16" s="55" t="s">
        <v>220</v>
      </c>
    </row>
    <row r="17" spans="2:8" x14ac:dyDescent="0.35">
      <c r="B17" s="54"/>
      <c r="C17" s="54"/>
      <c r="D17" s="55"/>
      <c r="E17" s="55"/>
      <c r="F17" s="55"/>
      <c r="G17" s="55" t="s">
        <v>204</v>
      </c>
      <c r="H17" s="55" t="s">
        <v>221</v>
      </c>
    </row>
    <row r="18" spans="2:8" x14ac:dyDescent="0.35">
      <c r="B18" s="54"/>
      <c r="C18" s="54"/>
      <c r="D18" s="55"/>
      <c r="E18" s="55"/>
      <c r="F18" s="55"/>
      <c r="G18" s="55" t="s">
        <v>205</v>
      </c>
      <c r="H18" s="55" t="s">
        <v>222</v>
      </c>
    </row>
    <row r="24" spans="2:8" x14ac:dyDescent="0.35">
      <c r="C24" t="s">
        <v>166</v>
      </c>
    </row>
    <row r="25" spans="2:8" x14ac:dyDescent="0.35">
      <c r="C25" t="s">
        <v>224</v>
      </c>
    </row>
    <row r="26" spans="2:8" x14ac:dyDescent="0.35">
      <c r="C26" t="s">
        <v>225</v>
      </c>
    </row>
    <row r="27" spans="2:8" x14ac:dyDescent="0.35">
      <c r="C27" t="s">
        <v>226</v>
      </c>
    </row>
    <row r="28" spans="2:8" x14ac:dyDescent="0.35">
      <c r="C28" t="s">
        <v>227</v>
      </c>
    </row>
    <row r="29" spans="2:8" x14ac:dyDescent="0.35">
      <c r="C29" t="s">
        <v>228</v>
      </c>
    </row>
    <row r="30" spans="2:8" x14ac:dyDescent="0.35">
      <c r="C30" t="s">
        <v>166</v>
      </c>
    </row>
    <row r="33" spans="3:11" x14ac:dyDescent="0.35">
      <c r="J33">
        <v>1</v>
      </c>
      <c r="K33">
        <v>2</v>
      </c>
    </row>
    <row r="34" spans="3:11" x14ac:dyDescent="0.35">
      <c r="C34" s="58" t="s">
        <v>235</v>
      </c>
      <c r="D34" s="55" t="s">
        <v>233</v>
      </c>
      <c r="E34" s="55" t="s">
        <v>238</v>
      </c>
      <c r="F34" s="55" t="s">
        <v>236</v>
      </c>
      <c r="G34" s="55" t="s">
        <v>237</v>
      </c>
      <c r="H34" s="55" t="s">
        <v>239</v>
      </c>
      <c r="J34" t="s">
        <v>191</v>
      </c>
      <c r="K34" t="s">
        <v>207</v>
      </c>
    </row>
    <row r="35" spans="3:11" x14ac:dyDescent="0.35">
      <c r="C35" s="54" t="s">
        <v>234</v>
      </c>
      <c r="D35" s="55" t="s">
        <v>167</v>
      </c>
      <c r="E35" s="55" t="s">
        <v>243</v>
      </c>
      <c r="F35" s="55" t="s">
        <v>245</v>
      </c>
      <c r="G35" s="55" t="s">
        <v>247</v>
      </c>
      <c r="H35" s="55"/>
    </row>
    <row r="36" spans="3:11" x14ac:dyDescent="0.35">
      <c r="C36" s="54"/>
      <c r="D36" s="55" t="s">
        <v>240</v>
      </c>
      <c r="E36" s="55" t="s">
        <v>244</v>
      </c>
      <c r="F36" s="55" t="s">
        <v>246</v>
      </c>
      <c r="G36" s="55" t="s">
        <v>248</v>
      </c>
      <c r="H36" s="55"/>
    </row>
    <row r="37" spans="3:11" x14ac:dyDescent="0.35">
      <c r="C37" s="54"/>
      <c r="D37" s="55" t="s">
        <v>241</v>
      </c>
      <c r="E37" s="55"/>
      <c r="F37" s="55"/>
      <c r="G37" s="55" t="s">
        <v>249</v>
      </c>
      <c r="H37" s="55"/>
    </row>
    <row r="38" spans="3:11" x14ac:dyDescent="0.35">
      <c r="C38" s="54"/>
      <c r="D38" s="55" t="s">
        <v>242</v>
      </c>
      <c r="E38" s="55"/>
      <c r="F38" s="55"/>
      <c r="G38" s="55" t="s">
        <v>249</v>
      </c>
      <c r="H38" s="55"/>
    </row>
    <row r="39" spans="3:11" x14ac:dyDescent="0.35">
      <c r="C39" s="54"/>
      <c r="D39" s="55"/>
      <c r="E39" s="55"/>
      <c r="F39" s="55"/>
      <c r="G39" s="55" t="s">
        <v>250</v>
      </c>
      <c r="H39" s="55"/>
    </row>
    <row r="40" spans="3:11" x14ac:dyDescent="0.35">
      <c r="C40" s="54"/>
      <c r="D40" s="55"/>
      <c r="E40" s="55"/>
      <c r="F40" s="55"/>
      <c r="G40" s="55" t="s">
        <v>251</v>
      </c>
      <c r="H40" s="55"/>
    </row>
    <row r="41" spans="3:11" x14ac:dyDescent="0.35">
      <c r="C41" s="54"/>
      <c r="D41" s="55"/>
      <c r="E41" s="55"/>
      <c r="F41" s="55"/>
      <c r="G41" s="55"/>
      <c r="H41" s="55"/>
    </row>
    <row r="43" spans="3:11" x14ac:dyDescent="0.35">
      <c r="C43" t="s">
        <v>252</v>
      </c>
    </row>
    <row r="44" spans="3:11" x14ac:dyDescent="0.35">
      <c r="C44" t="s">
        <v>169</v>
      </c>
      <c r="D44" t="s">
        <v>253</v>
      </c>
    </row>
    <row r="45" spans="3:11" x14ac:dyDescent="0.35">
      <c r="D45" t="s">
        <v>254</v>
      </c>
    </row>
    <row r="46" spans="3:11" x14ac:dyDescent="0.35">
      <c r="D46" t="s">
        <v>255</v>
      </c>
    </row>
    <row r="47" spans="3:11" x14ac:dyDescent="0.35">
      <c r="D47" t="s">
        <v>256</v>
      </c>
    </row>
    <row r="48" spans="3:11" x14ac:dyDescent="0.35">
      <c r="D48" t="s">
        <v>257</v>
      </c>
    </row>
    <row r="49" spans="3:4" x14ac:dyDescent="0.35">
      <c r="C49" t="s">
        <v>176</v>
      </c>
      <c r="D49" t="s">
        <v>258</v>
      </c>
    </row>
    <row r="50" spans="3:4" x14ac:dyDescent="0.35">
      <c r="D50" t="s">
        <v>259</v>
      </c>
    </row>
    <row r="51" spans="3:4" x14ac:dyDescent="0.35">
      <c r="D51" t="s">
        <v>260</v>
      </c>
    </row>
    <row r="52" spans="3:4" x14ac:dyDescent="0.35">
      <c r="D52" t="s">
        <v>263</v>
      </c>
    </row>
    <row r="53" spans="3:4" x14ac:dyDescent="0.35">
      <c r="D53" t="s">
        <v>261</v>
      </c>
    </row>
    <row r="54" spans="3:4" x14ac:dyDescent="0.35">
      <c r="D54" t="s">
        <v>262</v>
      </c>
    </row>
    <row r="55" spans="3:4" x14ac:dyDescent="0.35">
      <c r="D55" t="s">
        <v>264</v>
      </c>
    </row>
    <row r="56" spans="3:4" x14ac:dyDescent="0.35">
      <c r="D56" t="s">
        <v>265</v>
      </c>
    </row>
    <row r="57" spans="3:4" x14ac:dyDescent="0.35">
      <c r="D57" t="s">
        <v>266</v>
      </c>
    </row>
    <row r="58" spans="3:4" x14ac:dyDescent="0.35">
      <c r="D58" t="s">
        <v>268</v>
      </c>
    </row>
    <row r="59" spans="3:4" x14ac:dyDescent="0.35">
      <c r="D59" t="s">
        <v>277</v>
      </c>
    </row>
    <row r="60" spans="3:4" x14ac:dyDescent="0.35">
      <c r="C60" t="s">
        <v>191</v>
      </c>
      <c r="D60" t="s">
        <v>269</v>
      </c>
    </row>
    <row r="61" spans="3:4" x14ac:dyDescent="0.35">
      <c r="D61" t="s">
        <v>267</v>
      </c>
    </row>
    <row r="62" spans="3:4" x14ac:dyDescent="0.35">
      <c r="D62" t="s">
        <v>257</v>
      </c>
    </row>
    <row r="63" spans="3:4" x14ac:dyDescent="0.35">
      <c r="D63" t="s">
        <v>270</v>
      </c>
    </row>
    <row r="64" spans="3:4" x14ac:dyDescent="0.35">
      <c r="D64" t="s">
        <v>271</v>
      </c>
    </row>
    <row r="65" spans="3:4" x14ac:dyDescent="0.35">
      <c r="D65" t="s">
        <v>272</v>
      </c>
    </row>
    <row r="66" spans="3:4" x14ac:dyDescent="0.35">
      <c r="D66" t="s">
        <v>273</v>
      </c>
    </row>
    <row r="67" spans="3:4" x14ac:dyDescent="0.35">
      <c r="C67" t="s">
        <v>186</v>
      </c>
      <c r="D67" t="s">
        <v>274</v>
      </c>
    </row>
    <row r="68" spans="3:4" x14ac:dyDescent="0.35">
      <c r="D68" t="s">
        <v>275</v>
      </c>
    </row>
    <row r="69" spans="3:4" x14ac:dyDescent="0.35">
      <c r="D69" t="s">
        <v>276</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4.5" x14ac:dyDescent="0.35"/>
  <cols>
    <col min="2" max="2" width="3" bestFit="1" customWidth="1"/>
    <col min="3" max="3" width="130" customWidth="1"/>
  </cols>
  <sheetData>
    <row r="2" spans="2:3" ht="15" customHeight="1" x14ac:dyDescent="0.35">
      <c r="B2" s="59">
        <v>1</v>
      </c>
      <c r="C2" s="62" t="s">
        <v>281</v>
      </c>
    </row>
    <row r="3" spans="2:3" x14ac:dyDescent="0.35">
      <c r="B3" s="59">
        <v>2</v>
      </c>
      <c r="C3" s="60" t="s">
        <v>282</v>
      </c>
    </row>
    <row r="4" spans="2:3" x14ac:dyDescent="0.35">
      <c r="B4" s="59">
        <v>3</v>
      </c>
      <c r="C4" s="61" t="s">
        <v>283</v>
      </c>
    </row>
    <row r="5" spans="2:3" x14ac:dyDescent="0.35">
      <c r="B5" s="59">
        <v>4</v>
      </c>
      <c r="C5" s="60" t="s">
        <v>284</v>
      </c>
    </row>
    <row r="6" spans="2:3" x14ac:dyDescent="0.35">
      <c r="B6" s="59">
        <v>5</v>
      </c>
      <c r="C6" s="61" t="s">
        <v>285</v>
      </c>
    </row>
    <row r="7" spans="2:3" ht="29" x14ac:dyDescent="0.35">
      <c r="B7" s="59">
        <v>6</v>
      </c>
      <c r="C7" s="60" t="s">
        <v>286</v>
      </c>
    </row>
    <row r="8" spans="2:3" ht="72.5" x14ac:dyDescent="0.35">
      <c r="B8" s="59">
        <v>7</v>
      </c>
      <c r="C8" s="60" t="s">
        <v>287</v>
      </c>
    </row>
    <row r="9" spans="2:3" x14ac:dyDescent="0.35">
      <c r="B9" s="59">
        <v>8</v>
      </c>
      <c r="C9" s="61" t="s">
        <v>288</v>
      </c>
    </row>
    <row r="10" spans="2:3" x14ac:dyDescent="0.35">
      <c r="B10" s="59">
        <v>9</v>
      </c>
      <c r="C10" s="61" t="s">
        <v>289</v>
      </c>
    </row>
    <row r="11" spans="2:3" x14ac:dyDescent="0.35">
      <c r="B11" s="59">
        <v>10</v>
      </c>
      <c r="C11" s="61" t="s">
        <v>290</v>
      </c>
    </row>
    <row r="12" spans="2:3" x14ac:dyDescent="0.35">
      <c r="B12" s="59">
        <v>11</v>
      </c>
      <c r="C12" s="61" t="s">
        <v>291</v>
      </c>
    </row>
    <row r="13" spans="2:3" x14ac:dyDescent="0.35">
      <c r="B13" s="59">
        <v>12</v>
      </c>
      <c r="C13" s="61" t="s">
        <v>292</v>
      </c>
    </row>
    <row r="14" spans="2:3" x14ac:dyDescent="0.35">
      <c r="B14" s="59">
        <v>13</v>
      </c>
      <c r="C14" s="61" t="s">
        <v>293</v>
      </c>
    </row>
    <row r="15" spans="2:3" x14ac:dyDescent="0.35">
      <c r="B15" s="59">
        <v>14</v>
      </c>
      <c r="C15" s="61" t="s">
        <v>283</v>
      </c>
    </row>
    <row r="16" spans="2:3" x14ac:dyDescent="0.35">
      <c r="B16" s="59">
        <v>15</v>
      </c>
      <c r="C16" s="61" t="s">
        <v>294</v>
      </c>
    </row>
    <row r="17" spans="2:3" ht="31.5" customHeight="1" x14ac:dyDescent="0.35">
      <c r="B17" s="67">
        <v>16</v>
      </c>
      <c r="C17" s="69" t="s">
        <v>295</v>
      </c>
    </row>
    <row r="18" spans="2:3" x14ac:dyDescent="0.35">
      <c r="B18" s="68">
        <v>17</v>
      </c>
      <c r="C18" s="69" t="s">
        <v>296</v>
      </c>
    </row>
    <row r="19" spans="2:3" x14ac:dyDescent="0.35">
      <c r="B19" s="67">
        <v>18</v>
      </c>
      <c r="C19" s="59" t="s">
        <v>297</v>
      </c>
    </row>
    <row r="20" spans="2:3" x14ac:dyDescent="0.35">
      <c r="B20" s="68">
        <v>19</v>
      </c>
      <c r="C20" s="59"/>
    </row>
    <row r="21" spans="2:3" x14ac:dyDescent="0.35">
      <c r="B21" s="70">
        <v>20</v>
      </c>
      <c r="C21" s="59"/>
    </row>
    <row r="22" spans="2:3" x14ac:dyDescent="0.35">
      <c r="B22" s="59"/>
      <c r="C22" s="59"/>
    </row>
    <row r="23" spans="2:3" x14ac:dyDescent="0.35">
      <c r="B23" s="59"/>
      <c r="C23" s="59"/>
    </row>
    <row r="24" spans="2:3" x14ac:dyDescent="0.35">
      <c r="B24" s="59"/>
      <c r="C24" s="59"/>
    </row>
    <row r="25" spans="2:3" x14ac:dyDescent="0.35">
      <c r="B25" s="59"/>
      <c r="C25" s="59"/>
    </row>
    <row r="26" spans="2:3" x14ac:dyDescent="0.35">
      <c r="B26" s="59"/>
      <c r="C26" s="59"/>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2025-06-05T09:03:22Z</cp:lastPrinted>
  <dcterms:created xsi:type="dcterms:W3CDTF">2019-07-16T09:29:46Z</dcterms:created>
  <dcterms:modified xsi:type="dcterms:W3CDTF">2025-09-11T10:05:29Z</dcterms:modified>
</cp:coreProperties>
</file>