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1" l="1"/>
  <c r="J91" i="1"/>
  <c r="J90" i="1"/>
  <c r="J89" i="1"/>
  <c r="C88" i="1"/>
  <c r="H82" i="1"/>
  <c r="D94" i="1" l="1"/>
  <c r="D90" i="1"/>
  <c r="J86" i="1"/>
  <c r="C85" i="1" s="1"/>
  <c r="G85" i="1" s="1"/>
  <c r="D93" i="1"/>
  <c r="D92" i="1"/>
  <c r="D88" i="1"/>
  <c r="E85" i="1"/>
  <c r="D87" i="1"/>
  <c r="D91" i="1"/>
  <c r="J87" i="1"/>
  <c r="J88" i="1" s="1"/>
  <c r="J93" i="1" s="1"/>
  <c r="J94" i="1" s="1"/>
  <c r="J84" i="1"/>
  <c r="D86" i="1"/>
  <c r="D89" i="1"/>
  <c r="J85" i="1"/>
  <c r="C74" i="1"/>
  <c r="D85" i="1" l="1"/>
  <c r="I81" i="1" s="1"/>
  <c r="C83" i="1" s="1"/>
  <c r="J106" i="1"/>
  <c r="J105" i="1"/>
  <c r="J104" i="1"/>
  <c r="J103" i="1"/>
  <c r="H96" i="1"/>
  <c r="D108" i="1" l="1"/>
  <c r="D106" i="1"/>
  <c r="D102" i="1"/>
  <c r="D104" i="1"/>
  <c r="J101" i="1"/>
  <c r="J102" i="1" s="1"/>
  <c r="J99" i="1"/>
  <c r="D107" i="1"/>
  <c r="D105" i="1"/>
  <c r="D103" i="1"/>
  <c r="D101" i="1"/>
  <c r="J98" i="1"/>
  <c r="J100" i="1"/>
  <c r="D427" i="1"/>
  <c r="F427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20" i="1"/>
  <c r="F420" i="1" s="1"/>
  <c r="D419" i="1"/>
  <c r="F419" i="1" s="1"/>
  <c r="D418" i="1"/>
  <c r="F418" i="1" s="1"/>
  <c r="D417" i="1"/>
  <c r="F417" i="1" s="1"/>
  <c r="D416" i="1"/>
  <c r="F416" i="1" s="1"/>
  <c r="G414" i="1"/>
  <c r="D414" i="1"/>
  <c r="F414" i="1" s="1"/>
  <c r="D412" i="1"/>
  <c r="F412" i="1" s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D402" i="1"/>
  <c r="F402" i="1" s="1"/>
  <c r="D401" i="1"/>
  <c r="F401" i="1" s="1"/>
  <c r="D400" i="1"/>
  <c r="F400" i="1" s="1"/>
  <c r="G399" i="1"/>
  <c r="D399" i="1"/>
  <c r="F399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D391" i="1"/>
  <c r="F391" i="1" s="1"/>
  <c r="D390" i="1"/>
  <c r="F390" i="1" s="1"/>
  <c r="D389" i="1"/>
  <c r="F389" i="1" s="1"/>
  <c r="D388" i="1"/>
  <c r="F388" i="1" s="1"/>
  <c r="D387" i="1"/>
  <c r="F387" i="1" s="1"/>
  <c r="D386" i="1"/>
  <c r="F386" i="1" s="1"/>
  <c r="D385" i="1"/>
  <c r="F385" i="1" s="1"/>
  <c r="D384" i="1"/>
  <c r="F384" i="1" s="1"/>
  <c r="G384" i="1"/>
  <c r="D382" i="1"/>
  <c r="D381" i="1"/>
  <c r="D380" i="1"/>
  <c r="D379" i="1"/>
  <c r="D378" i="1"/>
  <c r="D377" i="1"/>
  <c r="D376" i="1"/>
  <c r="D375" i="1"/>
  <c r="A367" i="1"/>
  <c r="A368" i="1" s="1"/>
  <c r="D373" i="1"/>
  <c r="D372" i="1"/>
  <c r="D371" i="1"/>
  <c r="D370" i="1"/>
  <c r="D368" i="1"/>
  <c r="D367" i="1"/>
  <c r="D366" i="1"/>
  <c r="D362" i="1"/>
  <c r="F362" i="1" s="1"/>
  <c r="D361" i="1"/>
  <c r="F361" i="1" s="1"/>
  <c r="I361" i="1" s="1"/>
  <c r="D360" i="1"/>
  <c r="F360" i="1" s="1"/>
  <c r="D358" i="1"/>
  <c r="F358" i="1" s="1"/>
  <c r="D357" i="1"/>
  <c r="F357" i="1" s="1"/>
  <c r="D356" i="1"/>
  <c r="F356" i="1" s="1"/>
  <c r="D355" i="1"/>
  <c r="F355" i="1" s="1"/>
  <c r="I355" i="1" s="1"/>
  <c r="D354" i="1"/>
  <c r="F354" i="1" s="1"/>
  <c r="D353" i="1"/>
  <c r="F353" i="1" s="1"/>
  <c r="D352" i="1"/>
  <c r="F352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D345" i="1"/>
  <c r="F345" i="1" s="1"/>
  <c r="G345" i="1"/>
  <c r="D343" i="1"/>
  <c r="F343" i="1" s="1"/>
  <c r="D342" i="1"/>
  <c r="F342" i="1" s="1"/>
  <c r="I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I336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G326" i="1"/>
  <c r="G307" i="1"/>
  <c r="D324" i="1"/>
  <c r="F324" i="1" s="1"/>
  <c r="D323" i="1"/>
  <c r="F323" i="1" s="1"/>
  <c r="I323" i="1" s="1"/>
  <c r="D322" i="1"/>
  <c r="D321" i="1"/>
  <c r="F321" i="1" s="1"/>
  <c r="D320" i="1"/>
  <c r="F320" i="1" s="1"/>
  <c r="D319" i="1"/>
  <c r="F319" i="1" s="1"/>
  <c r="D318" i="1"/>
  <c r="F318" i="1" s="1"/>
  <c r="D317" i="1"/>
  <c r="F317" i="1" s="1"/>
  <c r="I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F322" i="1"/>
  <c r="D305" i="1"/>
  <c r="D289" i="1"/>
  <c r="D287" i="1"/>
  <c r="D271" i="1"/>
  <c r="F271" i="1" s="1"/>
  <c r="D270" i="1"/>
  <c r="D269" i="1"/>
  <c r="F269" i="1" s="1"/>
  <c r="D268" i="1"/>
  <c r="F268" i="1" s="1"/>
  <c r="D267" i="1"/>
  <c r="F267" i="1" s="1"/>
  <c r="D266" i="1"/>
  <c r="F266" i="1" s="1"/>
  <c r="D265" i="1"/>
  <c r="F265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F270" i="1"/>
  <c r="A267" i="1"/>
  <c r="A268" i="1" s="1"/>
  <c r="A269" i="1" s="1"/>
  <c r="A265" i="1"/>
  <c r="A261" i="1"/>
  <c r="A262" i="1" s="1"/>
  <c r="A263" i="1" s="1"/>
  <c r="A258" i="1"/>
  <c r="A259" i="1" s="1"/>
  <c r="A255" i="1"/>
  <c r="A256" i="1" s="1"/>
  <c r="G254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3" i="1"/>
  <c r="D232" i="1"/>
  <c r="D231" i="1"/>
  <c r="D230" i="1"/>
  <c r="D229" i="1"/>
  <c r="D228" i="1"/>
  <c r="D227" i="1"/>
  <c r="D225" i="1"/>
  <c r="D224" i="1"/>
  <c r="D223" i="1"/>
  <c r="D222" i="1"/>
  <c r="D221" i="1"/>
  <c r="J107" i="1" l="1"/>
  <c r="C99" i="1"/>
  <c r="D99" i="1" s="1"/>
  <c r="E126" i="1"/>
  <c r="C126" i="1"/>
  <c r="C128" i="1"/>
  <c r="E128" i="1"/>
  <c r="D215" i="1"/>
  <c r="F215" i="1" s="1"/>
  <c r="D214" i="1"/>
  <c r="F214" i="1" s="1"/>
  <c r="D213" i="1"/>
  <c r="D212" i="1"/>
  <c r="F212" i="1" s="1"/>
  <c r="D211" i="1"/>
  <c r="F211" i="1" s="1"/>
  <c r="A211" i="1"/>
  <c r="A212" i="1" s="1"/>
  <c r="A213" i="1" s="1"/>
  <c r="A214" i="1" s="1"/>
  <c r="A215" i="1" s="1"/>
  <c r="D210" i="1"/>
  <c r="F210" i="1" s="1"/>
  <c r="D209" i="1"/>
  <c r="F209" i="1" s="1"/>
  <c r="D207" i="1"/>
  <c r="F207" i="1" s="1"/>
  <c r="D206" i="1"/>
  <c r="F206" i="1" s="1"/>
  <c r="D205" i="1"/>
  <c r="F205" i="1" s="1"/>
  <c r="D204" i="1"/>
  <c r="F204" i="1" s="1"/>
  <c r="D203" i="1"/>
  <c r="F203" i="1" s="1"/>
  <c r="I203" i="1" s="1"/>
  <c r="D202" i="1"/>
  <c r="F202" i="1" s="1"/>
  <c r="D201" i="1"/>
  <c r="F201" i="1" s="1"/>
  <c r="D200" i="1"/>
  <c r="F200" i="1" s="1"/>
  <c r="A200" i="1"/>
  <c r="A201" i="1" s="1"/>
  <c r="A202" i="1" s="1"/>
  <c r="A203" i="1" s="1"/>
  <c r="A204" i="1" s="1"/>
  <c r="A205" i="1" s="1"/>
  <c r="A206" i="1" s="1"/>
  <c r="D199" i="1"/>
  <c r="F199" i="1" s="1"/>
  <c r="F213" i="1"/>
  <c r="I208" i="1"/>
  <c r="G199" i="1"/>
  <c r="D197" i="1"/>
  <c r="D196" i="1"/>
  <c r="D195" i="1"/>
  <c r="D194" i="1"/>
  <c r="D193" i="1"/>
  <c r="A193" i="1"/>
  <c r="A194" i="1" s="1"/>
  <c r="A195" i="1" s="1"/>
  <c r="A196" i="1" s="1"/>
  <c r="A197" i="1" s="1"/>
  <c r="D192" i="1"/>
  <c r="D191" i="1"/>
  <c r="D190" i="1"/>
  <c r="D189" i="1"/>
  <c r="D188" i="1"/>
  <c r="D187" i="1"/>
  <c r="D186" i="1"/>
  <c r="D185" i="1"/>
  <c r="D184" i="1"/>
  <c r="D183" i="1"/>
  <c r="D182" i="1"/>
  <c r="A182" i="1"/>
  <c r="A183" i="1" s="1"/>
  <c r="A184" i="1" s="1"/>
  <c r="A185" i="1" s="1"/>
  <c r="A186" i="1" s="1"/>
  <c r="A187" i="1" s="1"/>
  <c r="A188" i="1" s="1"/>
  <c r="D181" i="1"/>
  <c r="F181" i="1" s="1"/>
  <c r="D179" i="1"/>
  <c r="D178" i="1"/>
  <c r="D177" i="1"/>
  <c r="D176" i="1"/>
  <c r="D175" i="1"/>
  <c r="D174" i="1"/>
  <c r="D173" i="1"/>
  <c r="D172" i="1"/>
  <c r="D171" i="1"/>
  <c r="D169" i="1"/>
  <c r="D168" i="1"/>
  <c r="D167" i="1"/>
  <c r="D166" i="1"/>
  <c r="D165" i="1"/>
  <c r="D164" i="1"/>
  <c r="D163" i="1"/>
  <c r="A153" i="1"/>
  <c r="A154" i="1" s="1"/>
  <c r="A156" i="1"/>
  <c r="A157" i="1" s="1"/>
  <c r="A159" i="1"/>
  <c r="A160" i="1" s="1"/>
  <c r="A161" i="1" s="1"/>
  <c r="D161" i="1"/>
  <c r="D160" i="1"/>
  <c r="D159" i="1"/>
  <c r="D158" i="1"/>
  <c r="D157" i="1"/>
  <c r="D156" i="1"/>
  <c r="D155" i="1"/>
  <c r="D154" i="1"/>
  <c r="D153" i="1"/>
  <c r="D152" i="1"/>
  <c r="J108" i="1" l="1"/>
  <c r="C125" i="1"/>
  <c r="E125" i="1"/>
  <c r="G48" i="1"/>
  <c r="C48" i="1"/>
  <c r="C100" i="1" l="1"/>
  <c r="E99" i="1" s="1"/>
  <c r="I95" i="1" s="1"/>
  <c r="C97" i="1" s="1"/>
  <c r="D304" i="1"/>
  <c r="D303" i="1"/>
  <c r="D302" i="1"/>
  <c r="D301" i="1"/>
  <c r="D300" i="1"/>
  <c r="D299" i="1"/>
  <c r="D298" i="1"/>
  <c r="D297" i="1"/>
  <c r="D296" i="1"/>
  <c r="D295" i="1"/>
  <c r="D294" i="1"/>
  <c r="D288" i="1"/>
  <c r="D286" i="1"/>
  <c r="D285" i="1"/>
  <c r="D284" i="1"/>
  <c r="D283" i="1"/>
  <c r="D281" i="1"/>
  <c r="D280" i="1"/>
  <c r="D279" i="1"/>
  <c r="D278" i="1"/>
  <c r="D100" i="1" l="1"/>
  <c r="G99" i="1"/>
  <c r="E127" i="1"/>
  <c r="C127" i="1"/>
  <c r="F11" i="5"/>
  <c r="F5" i="5"/>
  <c r="F298" i="1" l="1"/>
  <c r="F299" i="1"/>
  <c r="G375" i="1"/>
  <c r="G366" i="1"/>
  <c r="F382" i="1"/>
  <c r="F381" i="1"/>
  <c r="F380" i="1"/>
  <c r="F379" i="1"/>
  <c r="F378" i="1"/>
  <c r="F377" i="1"/>
  <c r="F376" i="1"/>
  <c r="A376" i="1"/>
  <c r="A377" i="1" s="1"/>
  <c r="F375" i="1"/>
  <c r="F372" i="1"/>
  <c r="F371" i="1"/>
  <c r="D369" i="1"/>
  <c r="F369" i="1" s="1"/>
  <c r="F367" i="1"/>
  <c r="F373" i="1"/>
  <c r="I373" i="1" s="1"/>
  <c r="F370" i="1"/>
  <c r="F368" i="1"/>
  <c r="F366" i="1"/>
  <c r="F305" i="1"/>
  <c r="F304" i="1"/>
  <c r="I304" i="1" s="1"/>
  <c r="A304" i="1"/>
  <c r="A305" i="1" s="1"/>
  <c r="F303" i="1"/>
  <c r="F302" i="1"/>
  <c r="A302" i="1"/>
  <c r="F301" i="1"/>
  <c r="F300" i="1"/>
  <c r="A298" i="1"/>
  <c r="A299" i="1" s="1"/>
  <c r="A300" i="1" s="1"/>
  <c r="F297" i="1"/>
  <c r="F296" i="1"/>
  <c r="F295" i="1"/>
  <c r="A295" i="1"/>
  <c r="A296" i="1" s="1"/>
  <c r="F294" i="1"/>
  <c r="A292" i="1"/>
  <c r="A293" i="1" s="1"/>
  <c r="G291" i="1"/>
  <c r="F289" i="1"/>
  <c r="F288" i="1"/>
  <c r="F287" i="1"/>
  <c r="F284" i="1"/>
  <c r="F283" i="1"/>
  <c r="F280" i="1"/>
  <c r="F278" i="1"/>
  <c r="A288" i="1"/>
  <c r="A289" i="1" s="1"/>
  <c r="F286" i="1"/>
  <c r="A286" i="1"/>
  <c r="F285" i="1"/>
  <c r="A282" i="1"/>
  <c r="A283" i="1" s="1"/>
  <c r="A284" i="1" s="1"/>
  <c r="F281" i="1"/>
  <c r="F279" i="1"/>
  <c r="A279" i="1"/>
  <c r="A280" i="1" s="1"/>
  <c r="A276" i="1"/>
  <c r="A277" i="1" s="1"/>
  <c r="G275" i="1"/>
  <c r="F252" i="1"/>
  <c r="F237" i="1"/>
  <c r="F238" i="1"/>
  <c r="F241" i="1"/>
  <c r="F240" i="1"/>
  <c r="F249" i="1"/>
  <c r="F248" i="1"/>
  <c r="F247" i="1"/>
  <c r="F245" i="1"/>
  <c r="F243" i="1"/>
  <c r="F233" i="1"/>
  <c r="F231" i="1"/>
  <c r="F230" i="1"/>
  <c r="F229" i="1"/>
  <c r="F228" i="1"/>
  <c r="F227" i="1"/>
  <c r="I227" i="1" s="1"/>
  <c r="F224" i="1"/>
  <c r="I224" i="1" s="1"/>
  <c r="F221" i="1"/>
  <c r="F251" i="1"/>
  <c r="F250" i="1"/>
  <c r="A248" i="1"/>
  <c r="A249" i="1" s="1"/>
  <c r="A250" i="1" s="1"/>
  <c r="F246" i="1"/>
  <c r="A246" i="1"/>
  <c r="F244" i="1"/>
  <c r="F242" i="1"/>
  <c r="A242" i="1"/>
  <c r="A243" i="1" s="1"/>
  <c r="A244" i="1" s="1"/>
  <c r="F239" i="1"/>
  <c r="A239" i="1"/>
  <c r="A240" i="1" s="1"/>
  <c r="F236" i="1"/>
  <c r="A236" i="1"/>
  <c r="A237" i="1" s="1"/>
  <c r="G235" i="1"/>
  <c r="F235" i="1"/>
  <c r="A232" i="1"/>
  <c r="A233" i="1" s="1"/>
  <c r="A230" i="1"/>
  <c r="A226" i="1"/>
  <c r="A227" i="1" s="1"/>
  <c r="A228" i="1" s="1"/>
  <c r="F225" i="1"/>
  <c r="F223" i="1"/>
  <c r="I223" i="1" s="1"/>
  <c r="A223" i="1"/>
  <c r="A224" i="1" s="1"/>
  <c r="F222" i="1"/>
  <c r="A220" i="1"/>
  <c r="A221" i="1" s="1"/>
  <c r="G219" i="1"/>
  <c r="F140" i="1"/>
  <c r="G140" i="1"/>
  <c r="G141" i="1" s="1"/>
  <c r="G142" i="1" s="1"/>
  <c r="G143" i="1" s="1"/>
  <c r="G144" i="1" s="1"/>
  <c r="G145" i="1" s="1"/>
  <c r="G146" i="1" s="1"/>
  <c r="A141" i="1"/>
  <c r="A142" i="1" s="1"/>
  <c r="A143" i="1" s="1"/>
  <c r="A144" i="1" s="1"/>
  <c r="A145" i="1" s="1"/>
  <c r="A146" i="1" s="1"/>
  <c r="F141" i="1"/>
  <c r="F142" i="1"/>
  <c r="F143" i="1"/>
  <c r="F144" i="1"/>
  <c r="F145" i="1"/>
  <c r="F146" i="1"/>
  <c r="F188" i="1"/>
  <c r="F197" i="1"/>
  <c r="F196" i="1"/>
  <c r="F195" i="1"/>
  <c r="F194" i="1"/>
  <c r="F193" i="1"/>
  <c r="F192" i="1"/>
  <c r="F191" i="1"/>
  <c r="F190" i="1"/>
  <c r="I190" i="1" s="1"/>
  <c r="F189" i="1"/>
  <c r="F187" i="1"/>
  <c r="F186" i="1"/>
  <c r="F185" i="1"/>
  <c r="I185" i="1" s="1"/>
  <c r="F184" i="1"/>
  <c r="F183" i="1"/>
  <c r="F182" i="1"/>
  <c r="G181" i="1"/>
  <c r="F176" i="1"/>
  <c r="F177" i="1"/>
  <c r="F173" i="1"/>
  <c r="F172" i="1"/>
  <c r="I172" i="1" s="1"/>
  <c r="F171" i="1"/>
  <c r="F168" i="1"/>
  <c r="F169" i="1"/>
  <c r="I169" i="1" s="1"/>
  <c r="F167" i="1"/>
  <c r="I167" i="1" s="1"/>
  <c r="F179" i="1"/>
  <c r="F178" i="1"/>
  <c r="A176" i="1"/>
  <c r="A177" i="1" s="1"/>
  <c r="A178" i="1" s="1"/>
  <c r="F175" i="1"/>
  <c r="F174" i="1"/>
  <c r="A174" i="1"/>
  <c r="A170" i="1"/>
  <c r="A171" i="1" s="1"/>
  <c r="A172" i="1" s="1"/>
  <c r="A167" i="1"/>
  <c r="A168" i="1" s="1"/>
  <c r="F165" i="1"/>
  <c r="F164" i="1"/>
  <c r="A164" i="1"/>
  <c r="A165" i="1" s="1"/>
  <c r="G163" i="1"/>
  <c r="F163" i="1"/>
  <c r="F161" i="1"/>
  <c r="F159" i="1"/>
  <c r="F158" i="1"/>
  <c r="F160" i="1"/>
  <c r="G127" i="1" l="1"/>
  <c r="G128" i="1"/>
  <c r="F166" i="1"/>
  <c r="F232" i="1"/>
  <c r="G126" i="1" s="1"/>
  <c r="I152" i="1"/>
  <c r="C129" i="1" l="1"/>
  <c r="E129" i="1"/>
  <c r="F122" i="1"/>
  <c r="B430" i="1" l="1"/>
  <c r="C14" i="1" l="1"/>
  <c r="E28" i="1" l="1"/>
  <c r="F157" i="1" l="1"/>
  <c r="F156" i="1"/>
  <c r="F155" i="1"/>
  <c r="I155" i="1" s="1"/>
  <c r="F153" i="1"/>
  <c r="F152" i="1"/>
  <c r="F154" i="1"/>
  <c r="G125" i="1" l="1"/>
  <c r="G129" i="1" s="1"/>
  <c r="G11" i="5" l="1"/>
  <c r="F10" i="5"/>
  <c r="G10" i="5" s="1"/>
  <c r="F9" i="5"/>
  <c r="G9" i="5" s="1"/>
  <c r="F8" i="5"/>
  <c r="G8" i="5" s="1"/>
  <c r="F7" i="5"/>
  <c r="G7" i="5" s="1"/>
  <c r="F6" i="5"/>
  <c r="G6" i="5" s="1"/>
  <c r="G5" i="5"/>
  <c r="D451" i="1"/>
  <c r="G152" i="1"/>
  <c r="J78" i="1"/>
  <c r="J77" i="1"/>
  <c r="J76" i="1"/>
  <c r="J75" i="1"/>
  <c r="D53" i="1"/>
  <c r="G49" i="1"/>
  <c r="E41" i="1"/>
  <c r="E42" i="1" s="1"/>
  <c r="E25" i="1"/>
  <c r="E23" i="1"/>
  <c r="E7" i="1"/>
  <c r="E3" i="1"/>
  <c r="D61" i="1" s="1"/>
  <c r="H68" i="1"/>
  <c r="G12" i="5" l="1"/>
  <c r="D73" i="1"/>
  <c r="J71" i="1"/>
  <c r="D80" i="1"/>
  <c r="D78" i="1"/>
  <c r="D76" i="1"/>
  <c r="D74" i="1"/>
  <c r="J72" i="1"/>
  <c r="C71" i="1" s="1"/>
  <c r="J70" i="1"/>
  <c r="J73" i="1"/>
  <c r="J74" i="1" s="1"/>
  <c r="J79" i="1" s="1"/>
  <c r="J80" i="1" s="1"/>
  <c r="D79" i="1"/>
  <c r="D75" i="1"/>
  <c r="D77" i="1"/>
  <c r="D71" i="1" l="1"/>
  <c r="E71" i="1"/>
  <c r="D72" i="1"/>
  <c r="G71" i="1"/>
  <c r="D65" i="1" s="1"/>
  <c r="D66" i="1" s="1"/>
  <c r="I67" i="1" l="1"/>
  <c r="C69" i="1" s="1"/>
  <c r="F66" i="1"/>
</calcChain>
</file>

<file path=xl/sharedStrings.xml><?xml version="1.0" encoding="utf-8"?>
<sst xmlns="http://schemas.openxmlformats.org/spreadsheetml/2006/main" count="629" uniqueCount="256">
  <si>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</si>
  <si>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</si>
  <si>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</si>
  <si>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</si>
  <si>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</si>
  <si>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</si>
  <si>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</si>
  <si>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</si>
  <si>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</si>
  <si>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</si>
  <si>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</si>
  <si>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</si>
  <si>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</si>
  <si>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</si>
  <si>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</si>
  <si>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</si>
  <si>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</si>
  <si>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</si>
  <si>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</si>
  <si>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</si>
  <si>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</si>
  <si>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</si>
  <si>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</si>
  <si>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</si>
  <si>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</si>
  <si>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</si>
  <si>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</si>
  <si>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</si>
  <si>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</si>
  <si>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</si>
  <si>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</si>
  <si>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</si>
  <si>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</si>
  <si>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</si>
  <si>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</si>
  <si>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</si>
  <si>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</si>
  <si>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</si>
  <si>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</si>
  <si>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</si>
  <si>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</si>
  <si>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</si>
  <si>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</si>
  <si>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</si>
  <si>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</si>
  <si>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</si>
  <si>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</si>
  <si>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</si>
  <si>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</si>
  <si>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</si>
  <si>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</si>
  <si>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</si>
  <si>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</si>
  <si>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</si>
  <si>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</si>
  <si>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</si>
  <si>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</si>
  <si>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</si>
  <si>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</si>
  <si>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</si>
  <si>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</si>
  <si>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</si>
  <si>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</si>
  <si>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</si>
  <si>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</si>
  <si>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</si>
  <si>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</si>
  <si>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</si>
  <si>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</si>
  <si>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</si>
  <si>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</si>
  <si>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</si>
  <si>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</si>
  <si>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</si>
  <si>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</si>
  <si>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</si>
  <si>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</si>
  <si>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</si>
  <si>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</si>
  <si>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</si>
  <si>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</si>
  <si>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</si>
  <si>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</si>
  <si>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</si>
  <si>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</si>
  <si>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</si>
  <si>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</si>
  <si>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</si>
  <si>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</si>
  <si>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</si>
  <si>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</si>
  <si>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</si>
  <si>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</si>
  <si>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</si>
  <si>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</si>
  <si>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</si>
  <si>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</si>
  <si>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</si>
  <si>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</si>
  <si>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</si>
  <si>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</si>
  <si>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</si>
  <si>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</si>
  <si>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</si>
  <si>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</si>
  <si>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</si>
  <si>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</si>
  <si>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</si>
  <si>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</si>
  <si>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</si>
  <si>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</si>
  <si>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</si>
  <si>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</si>
  <si>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</si>
  <si>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</si>
  <si>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</si>
  <si>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</si>
  <si>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</si>
  <si>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</si>
  <si>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</si>
  <si>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</si>
  <si>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</si>
  <si>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</si>
  <si>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</si>
  <si>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</si>
  <si>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</si>
  <si>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</si>
  <si>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</si>
  <si>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</si>
  <si>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</si>
  <si>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</si>
  <si>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</si>
  <si>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</si>
  <si>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</si>
  <si>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</si>
  <si>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</si>
  <si>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</si>
  <si>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</si>
  <si>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</si>
  <si>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</si>
  <si>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</si>
  <si>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</si>
  <si>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</si>
  <si>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</si>
  <si>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</si>
  <si>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</si>
  <si>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</si>
  <si>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</si>
  <si>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</si>
  <si>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</si>
  <si>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</si>
  <si>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</si>
  <si>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</si>
  <si>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</si>
  <si>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</si>
  <si>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</si>
  <si>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</si>
  <si>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</si>
  <si>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</si>
  <si>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</si>
  <si>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</si>
  <si>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</si>
  <si>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</si>
  <si>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</si>
  <si>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</si>
  <si>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</si>
  <si>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</si>
  <si>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</si>
  <si>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</si>
  <si>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Axis Sanpada</t>
  </si>
  <si>
    <t xml:space="preserve">P51700032925
</t>
  </si>
  <si>
    <t>Tower C</t>
  </si>
  <si>
    <t>1BHK</t>
  </si>
  <si>
    <t>6.2 KM from Bhiwandi Railway Station</t>
  </si>
  <si>
    <t>Tower - C, D, E &amp; F</t>
  </si>
  <si>
    <t>Tata Housing Entrance Road</t>
  </si>
  <si>
    <t>Village</t>
  </si>
  <si>
    <t>Ranjnoli</t>
  </si>
  <si>
    <t>Bhiwandi</t>
  </si>
  <si>
    <t>Thane</t>
  </si>
  <si>
    <t>Tata Housing Amantra</t>
  </si>
  <si>
    <t>Survey No</t>
  </si>
  <si>
    <t>32, 34, 35 Pt., 36/1 Pt.36/2 Pt., 36/A Pt., 36/B Pt., 37/1 Pt., 37/2 Pt., 37/B Pt., 37/C Pt., &amp; 50Pt</t>
  </si>
  <si>
    <t>Open Plot</t>
  </si>
  <si>
    <t>4 Towers</t>
  </si>
  <si>
    <t>Mumbai Metropolitan Region Development Authority (MMRDA)</t>
  </si>
  <si>
    <t>Tower D = Gr + 1st to 15th Floor</t>
  </si>
  <si>
    <t>Tower E = Gr + 1st to 15th Floor</t>
  </si>
  <si>
    <t>Tower F = Gr + 1st to 15th Floor</t>
  </si>
  <si>
    <t>As per RERA - 30/04/2026</t>
  </si>
  <si>
    <t>2BHK</t>
  </si>
  <si>
    <t>3BHK</t>
  </si>
  <si>
    <t xml:space="preserve">1st Floor For Residential </t>
  </si>
  <si>
    <t>Double Height</t>
  </si>
  <si>
    <t>Tower D</t>
  </si>
  <si>
    <t xml:space="preserve">Tower C </t>
  </si>
  <si>
    <t>Ground Floor For Parking &amp; Amenities</t>
  </si>
  <si>
    <t>Trampoline Area/Kids Area Below</t>
  </si>
  <si>
    <t>Entrance Lobby</t>
  </si>
  <si>
    <t>We considered Gross carpet area = Net carpet + Enclose balcony.</t>
  </si>
  <si>
    <t xml:space="preserve">Tower E </t>
  </si>
  <si>
    <t>Tower F</t>
  </si>
  <si>
    <t>Tower E</t>
  </si>
  <si>
    <t>1st Floor For Residential  &amp; Parking</t>
  </si>
  <si>
    <t>Parking Area</t>
  </si>
  <si>
    <t>Bhiwandi West</t>
  </si>
  <si>
    <t>Housing</t>
  </si>
  <si>
    <t>1bhk</t>
  </si>
  <si>
    <t>2bhk</t>
  </si>
  <si>
    <t>Tower C, D, E &amp; F = Gr + 1st to 14th Floor</t>
  </si>
  <si>
    <t>Ground Floor For Residential &amp; Parking</t>
  </si>
  <si>
    <t>flat numbering not mention on approved floor plan so assume flat no.3 . Refer to 2nd floor plan.</t>
  </si>
  <si>
    <t>We have done APF for Tower C, D, E &amp; F as it is registered on Rera Site.</t>
  </si>
  <si>
    <t>Common Area Maintenance (for 24 month)</t>
  </si>
  <si>
    <t>M/s.Mahindra Lifespace Developers Limited</t>
  </si>
  <si>
    <t>SROT/BSNA/2501/BP/Ranjnoli18/CC/1178/2022</t>
  </si>
  <si>
    <t xml:space="preserve">06/09/2022
</t>
  </si>
  <si>
    <t xml:space="preserve">Tower C, D = Gr/St + 1st to 14th Floor
Tower E &amp; F = Gr/St + 1st to 3rd - Part Residential &amp; Part Podium + 4th to 14th Floor
</t>
  </si>
  <si>
    <t>9th Floor (Part Refuge Area)</t>
  </si>
  <si>
    <t>Refuge Area</t>
  </si>
  <si>
    <t>4th Floor</t>
  </si>
  <si>
    <t>9th Floor For Residential (Part Refuge Area)</t>
  </si>
  <si>
    <t>Flats - 899</t>
  </si>
  <si>
    <t>Approved Plans, CC, Sale Plans</t>
  </si>
  <si>
    <t>1st Floor</t>
  </si>
  <si>
    <t xml:space="preserve">2nd to 8th &amp; 10th to 14th Floor </t>
  </si>
  <si>
    <t xml:space="preserve">2nd to 8th, 10th to 14th Floor </t>
  </si>
  <si>
    <t xml:space="preserve">2nd &amp; 3rd Floor </t>
  </si>
  <si>
    <t xml:space="preserve">4th Floor </t>
  </si>
  <si>
    <t>5th to 8th &amp; 10th to 14th Floor</t>
  </si>
  <si>
    <t>2nd &amp; 3rd Floor (Part Parking)</t>
  </si>
  <si>
    <t xml:space="preserve">5th to 8th, 10th to 14th Floor </t>
  </si>
  <si>
    <t xml:space="preserve">1.Vitrified tiles flooring 2. Granite Kitchen Platform  3. Decorative Enternace  etc. 
</t>
  </si>
  <si>
    <t>Tower E &amp; F = Gr + 1st to 14th Floor</t>
  </si>
  <si>
    <t>6000 to 6600</t>
  </si>
  <si>
    <t xml:space="preserve">Commencement-CC No
Valid Up to: </t>
  </si>
  <si>
    <t>Rushikesh</t>
  </si>
  <si>
    <t>Verbal</t>
  </si>
  <si>
    <t>6600 to 6800</t>
  </si>
  <si>
    <t>Gaurav</t>
  </si>
  <si>
    <t xml:space="preserve">Verbal </t>
  </si>
  <si>
    <t>D605 case</t>
  </si>
  <si>
    <t>Mahindra Happinest Kalyan 2 Project A</t>
  </si>
  <si>
    <t>Location Link</t>
  </si>
  <si>
    <t>https://goo.gl/maps/D77rgHP7ub9PrirB6</t>
  </si>
  <si>
    <t>On Site, we meet Mr. Danish - 7350701810.</t>
  </si>
  <si>
    <t>Latitude, Longitude</t>
  </si>
  <si>
    <t>19.264733,73.080948</t>
  </si>
  <si>
    <t>Office No. 1031, Wing J, Akshar Business Park, Plot No. 03 Sector 25, Near APMC Market,  
Vashi, Navi Mumbai, Maharashtra 400703 TEL: 022-46090378/79/80                                                                                                     E mail : vsjcapf@gmail.com. Web site : www.vsjadon.com</t>
  </si>
  <si>
    <t>Site met person ( Name &amp; Contact No.)</t>
  </si>
  <si>
    <t>Mangesh Bapardekar</t>
  </si>
  <si>
    <t>Mr. Raj : 9324959889</t>
  </si>
  <si>
    <t>Tower C = Gr + 1st to 14th Floor</t>
  </si>
  <si>
    <t>Tower D = Gr + 1st to 14th Floor</t>
  </si>
  <si>
    <t>Wing C = Construction work is in process at the time of visit. Internal photographs are not allowed (Slow Speed).
Wing D = Work is same as last visit (dtd.08/06/2025) but work is in process. Internal photos was not allowed. (Very Slow Speed).
Wing E &amp; F = Construction work is same as last visit dtd. 11/03/2025.
Photographs are taken from the gate.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</si>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</sst>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9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0" fontId="8" fillId="0" borderId="11" xfId="1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3" fillId="0" borderId="0" xfId="1" applyFont="1" applyProtection="1">
      <protection hidden="1"/>
    </xf>
    <xf numFmtId="0" fontId="13" fillId="0" borderId="13" xfId="1" applyFont="1" applyBorder="1" applyProtection="1"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hidden="1"/>
    </xf>
    <xf numFmtId="0" fontId="13" fillId="0" borderId="13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Border="1" applyProtection="1">
      <protection hidden="1"/>
    </xf>
    <xf numFmtId="1" fontId="24" fillId="0" borderId="15" xfId="0" applyNumberFormat="1" applyFont="1" applyBorder="1"/>
    <xf numFmtId="0" fontId="1" fillId="0" borderId="1" xfId="5" applyFont="1" applyBorder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8" fillId="3" borderId="28" xfId="1" applyNumberFormat="1" applyFont="1" applyFill="1" applyBorder="1" applyAlignment="1">
      <alignment vertical="center"/>
    </xf>
    <xf numFmtId="1" fontId="8" fillId="3" borderId="0" xfId="1" applyNumberFormat="1" applyFont="1" applyFill="1" applyAlignment="1">
      <alignment vertical="center"/>
    </xf>
    <xf numFmtId="14" fontId="8" fillId="3" borderId="0" xfId="1" applyNumberFormat="1" applyFont="1" applyFill="1"/>
    <xf numFmtId="0" fontId="8" fillId="3" borderId="0" xfId="1" applyFont="1" applyFill="1"/>
    <xf numFmtId="14" fontId="17" fillId="0" borderId="0" xfId="1" applyNumberFormat="1" applyFont="1"/>
    <xf numFmtId="0" fontId="8" fillId="0" borderId="0" xfId="1" applyFont="1" applyFill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14" fillId="0" borderId="24" xfId="1" applyFont="1" applyBorder="1" applyAlignment="1" applyProtection="1">
      <alignment horizontal="left" vertical="top"/>
      <protection locked="0"/>
    </xf>
    <xf numFmtId="0" fontId="14" fillId="0" borderId="10" xfId="1" applyFont="1" applyBorder="1" applyAlignment="1" applyProtection="1">
      <alignment horizontal="left" vertical="top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6" fillId="0" borderId="20" xfId="1" applyFont="1" applyBorder="1" applyAlignment="1" applyProtection="1">
      <alignment horizontal="left" vertical="top"/>
      <protection locked="0"/>
    </xf>
    <xf numFmtId="0" fontId="16" fillId="0" borderId="27" xfId="1" applyFont="1" applyBorder="1" applyAlignment="1" applyProtection="1">
      <alignment horizontal="left" vertical="top"/>
      <protection locked="0"/>
    </xf>
    <xf numFmtId="0" fontId="16" fillId="0" borderId="21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9" xfId="1" applyNumberFormat="1" applyFont="1" applyBorder="1" applyAlignment="1" applyProtection="1">
      <alignment horizontal="left" vertical="top"/>
      <protection locked="0"/>
    </xf>
    <xf numFmtId="167" fontId="7" fillId="0" borderId="24" xfId="1" applyNumberFormat="1" applyFont="1" applyBorder="1" applyAlignment="1" applyProtection="1">
      <alignment horizontal="left" vertical="top"/>
      <protection locked="0"/>
    </xf>
    <xf numFmtId="167" fontId="7" fillId="0" borderId="10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68" fontId="14" fillId="2" borderId="1" xfId="9" applyNumberFormat="1" applyFont="1" applyFill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5" applyFont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25" fillId="0" borderId="1" xfId="10" applyBorder="1" applyAlignment="1" applyProtection="1">
      <alignment horizontal="left"/>
      <protection locked="0"/>
    </xf>
    <xf numFmtId="0" fontId="13" fillId="0" borderId="30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center" wrapText="1"/>
      <protection locked="0"/>
    </xf>
    <xf numFmtId="9" fontId="13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9" xfId="1" applyFont="1" applyFill="1" applyBorder="1" applyAlignment="1" applyProtection="1">
      <alignment horizontal="left" vertical="top"/>
      <protection locked="0"/>
    </xf>
    <xf numFmtId="0" fontId="9" fillId="0" borderId="19" xfId="1" applyFont="1" applyFill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1" fontId="11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511</xdr:row>
      <xdr:rowOff>104775</xdr:rowOff>
    </xdr:from>
    <xdr:to>
      <xdr:col>6</xdr:col>
      <xdr:colOff>634129</xdr:colOff>
      <xdr:row>527</xdr:row>
      <xdr:rowOff>144375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72723375"/>
          <a:ext cx="487275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219075</xdr:colOff>
      <xdr:row>494</xdr:row>
      <xdr:rowOff>19050</xdr:rowOff>
    </xdr:from>
    <xdr:to>
      <xdr:col>6</xdr:col>
      <xdr:colOff>634129</xdr:colOff>
      <xdr:row>510</xdr:row>
      <xdr:rowOff>58649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69237225"/>
          <a:ext cx="487275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628650</xdr:colOff>
      <xdr:row>450</xdr:row>
      <xdr:rowOff>28575</xdr:rowOff>
    </xdr:from>
    <xdr:to>
      <xdr:col>15</xdr:col>
      <xdr:colOff>541144</xdr:colOff>
      <xdr:row>491</xdr:row>
      <xdr:rowOff>71943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7473950" y="88534875"/>
          <a:ext cx="5792594" cy="8107868"/>
          <a:chOff x="502483" y="-57973"/>
          <a:chExt cx="5532244" cy="8234868"/>
        </a:xfrm>
      </xdr:grpSpPr>
      <xdr:pic>
        <xdr:nvPicPr>
          <xdr:cNvPr id="19" name="Picture 18" descr="insp-200528-1525.jpg (959×1280)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7540" y="601689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insp-200528-843.jpg (959×1280)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7540" y="-57973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insp-200528-845.jpg (959×1280)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81358" y="601689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insp-200528-847.jpg (1079×810)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86532" y="3699461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insp-200528-861.jpg (959×1280)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48298" y="3699461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insp-200528-862.jpg (959×1280)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2483" y="-57973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361950</xdr:colOff>
      <xdr:row>448</xdr:row>
      <xdr:rowOff>146685</xdr:rowOff>
    </xdr:from>
    <xdr:to>
      <xdr:col>15</xdr:col>
      <xdr:colOff>758711</xdr:colOff>
      <xdr:row>488</xdr:row>
      <xdr:rowOff>74070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207250" y="88259285"/>
          <a:ext cx="6276861" cy="7795035"/>
          <a:chOff x="232172" y="217170"/>
          <a:chExt cx="6165101" cy="7846470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6246" y="3240405"/>
            <a:ext cx="383695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1880930" y="6263640"/>
            <a:ext cx="2867585" cy="1800000"/>
            <a:chOff x="1041328" y="6263640"/>
            <a:chExt cx="2867585" cy="180000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41328" y="62636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60319" y="62636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232172" y="217170"/>
            <a:ext cx="6165101" cy="2880000"/>
            <a:chOff x="232172" y="217170"/>
            <a:chExt cx="6165101" cy="288000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172" y="21717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60320" y="217170"/>
              <a:ext cx="3836953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177800</xdr:colOff>
      <xdr:row>451</xdr:row>
      <xdr:rowOff>69850</xdr:rowOff>
    </xdr:from>
    <xdr:to>
      <xdr:col>7</xdr:col>
      <xdr:colOff>592544</xdr:colOff>
      <xdr:row>492</xdr:row>
      <xdr:rowOff>25400</xdr:rowOff>
    </xdr:to>
    <xdr:grpSp>
      <xdr:nvGrpSpPr>
        <xdr:cNvPr id="4" name="Group 3"/>
        <xdr:cNvGrpSpPr/>
      </xdr:nvGrpSpPr>
      <xdr:grpSpPr>
        <a:xfrm>
          <a:off x="177800" y="88773000"/>
          <a:ext cx="6390094" cy="8020050"/>
          <a:chOff x="177800" y="88785700"/>
          <a:chExt cx="6390094" cy="8020050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3690" y="95149406"/>
            <a:ext cx="1618313" cy="165634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855" y="88785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3856" y="88785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3990" y="92867553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9286755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49581" y="9286755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2362699</xdr:colOff>
      <xdr:row>26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279599</xdr:colOff>
      <xdr:row>28</xdr:row>
      <xdr:rowOff>85321</xdr:rowOff>
    </xdr:from>
    <xdr:to>
      <xdr:col>7</xdr:col>
      <xdr:colOff>333885</xdr:colOff>
      <xdr:row>39</xdr:row>
      <xdr:rowOff>149821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6775" y="5430527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638686</xdr:colOff>
      <xdr:row>27</xdr:row>
      <xdr:rowOff>109535</xdr:rowOff>
    </xdr:from>
    <xdr:to>
      <xdr:col>13</xdr:col>
      <xdr:colOff>468855</xdr:colOff>
      <xdr:row>38</xdr:row>
      <xdr:rowOff>174035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451" y="5264241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279600</xdr:colOff>
      <xdr:row>15</xdr:row>
      <xdr:rowOff>0</xdr:rowOff>
    </xdr:from>
    <xdr:to>
      <xdr:col>7</xdr:col>
      <xdr:colOff>333886</xdr:colOff>
      <xdr:row>26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6776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638686</xdr:colOff>
      <xdr:row>15</xdr:row>
      <xdr:rowOff>23451</xdr:rowOff>
    </xdr:from>
    <xdr:to>
      <xdr:col>13</xdr:col>
      <xdr:colOff>468855</xdr:colOff>
      <xdr:row>26</xdr:row>
      <xdr:rowOff>87951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451" y="2892157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77rgHP7ub9PrirB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494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53" t="s">
        <v>248</v>
      </c>
      <c r="B1" s="153"/>
      <c r="C1" s="153"/>
      <c r="D1" s="153"/>
      <c r="E1" s="153"/>
      <c r="F1" s="153"/>
      <c r="G1" s="153"/>
      <c r="H1" s="153"/>
    </row>
    <row r="2" spans="1:8" ht="16.5" customHeight="1" x14ac:dyDescent="0.35">
      <c r="A2" s="154" t="s">
        <v>0</v>
      </c>
      <c r="B2" s="154"/>
      <c r="C2" s="154"/>
      <c r="D2" s="154"/>
      <c r="E2" s="154"/>
      <c r="F2" s="154"/>
      <c r="G2" s="154"/>
      <c r="H2" s="154"/>
    </row>
    <row r="3" spans="1:8" x14ac:dyDescent="0.35">
      <c r="A3" s="112" t="s">
        <v>1</v>
      </c>
      <c r="B3" s="112"/>
      <c r="C3" s="112"/>
      <c r="D3" s="112"/>
      <c r="E3" s="155" t="str">
        <f ca="1">TEXT(TODAY(),"DD/MM/YYYY")</f>
        <v>11/09/2025</v>
      </c>
      <c r="F3" s="155"/>
      <c r="G3" s="155"/>
      <c r="H3" s="155"/>
    </row>
    <row r="4" spans="1:8" ht="15" customHeight="1" x14ac:dyDescent="0.35">
      <c r="A4" s="112" t="s">
        <v>2</v>
      </c>
      <c r="B4" s="112"/>
      <c r="C4" s="112"/>
      <c r="D4" s="112"/>
      <c r="E4" s="156" t="s">
        <v>169</v>
      </c>
      <c r="F4" s="156"/>
      <c r="G4" s="156"/>
      <c r="H4" s="156"/>
    </row>
    <row r="5" spans="1:8" x14ac:dyDescent="0.35">
      <c r="A5" s="112" t="s">
        <v>3</v>
      </c>
      <c r="B5" s="112"/>
      <c r="C5" s="112"/>
      <c r="D5" s="112"/>
      <c r="E5" s="150">
        <v>45907</v>
      </c>
      <c r="F5" s="151"/>
      <c r="G5" s="151"/>
      <c r="H5" s="152"/>
    </row>
    <row r="6" spans="1:8" ht="16.5" customHeight="1" x14ac:dyDescent="0.35">
      <c r="A6" s="112" t="s">
        <v>4</v>
      </c>
      <c r="B6" s="112"/>
      <c r="C6" s="112"/>
      <c r="D6" s="112"/>
      <c r="E6" s="142" t="s">
        <v>214</v>
      </c>
      <c r="F6" s="142"/>
      <c r="G6" s="142"/>
      <c r="H6" s="142"/>
    </row>
    <row r="7" spans="1:8" ht="15" customHeight="1" x14ac:dyDescent="0.35">
      <c r="A7" s="112" t="s">
        <v>5</v>
      </c>
      <c r="B7" s="112"/>
      <c r="C7" s="112"/>
      <c r="D7" s="112"/>
      <c r="E7" s="142" t="str">
        <f>E6</f>
        <v>M/s.Mahindra Lifespace Developers Limited</v>
      </c>
      <c r="F7" s="142"/>
      <c r="G7" s="142"/>
      <c r="H7" s="142"/>
    </row>
    <row r="8" spans="1:8" x14ac:dyDescent="0.35">
      <c r="A8" s="112" t="s">
        <v>6</v>
      </c>
      <c r="B8" s="112"/>
      <c r="C8" s="112"/>
      <c r="D8" s="112"/>
      <c r="E8" s="127" t="s">
        <v>242</v>
      </c>
      <c r="F8" s="127"/>
      <c r="G8" s="127"/>
      <c r="H8" s="127"/>
    </row>
    <row r="9" spans="1:8" x14ac:dyDescent="0.35">
      <c r="A9" s="112" t="s">
        <v>128</v>
      </c>
      <c r="B9" s="112"/>
      <c r="C9" s="112"/>
      <c r="D9" s="112"/>
      <c r="E9" s="112">
        <v>8879541331</v>
      </c>
      <c r="F9" s="112"/>
      <c r="G9" s="112"/>
      <c r="H9" s="112"/>
    </row>
    <row r="10" spans="1:8" x14ac:dyDescent="0.35">
      <c r="A10" s="112" t="s">
        <v>249</v>
      </c>
      <c r="B10" s="112"/>
      <c r="C10" s="112"/>
      <c r="D10" s="112"/>
      <c r="E10" s="112" t="s">
        <v>251</v>
      </c>
      <c r="F10" s="112"/>
      <c r="G10" s="112"/>
      <c r="H10" s="112"/>
    </row>
    <row r="11" spans="1:8" x14ac:dyDescent="0.35">
      <c r="A11" s="131" t="s">
        <v>7</v>
      </c>
      <c r="B11" s="131"/>
      <c r="C11" s="131"/>
      <c r="D11" s="131"/>
      <c r="E11" s="131" t="s">
        <v>174</v>
      </c>
      <c r="F11" s="131"/>
      <c r="G11" s="131"/>
      <c r="H11" s="131"/>
    </row>
    <row r="12" spans="1:8" x14ac:dyDescent="0.35">
      <c r="A12" s="112" t="s">
        <v>8</v>
      </c>
      <c r="B12" s="112"/>
      <c r="C12" s="112"/>
      <c r="D12" s="112"/>
      <c r="E12" s="146" t="s">
        <v>223</v>
      </c>
      <c r="F12" s="146"/>
      <c r="G12" s="146"/>
      <c r="H12" s="146"/>
    </row>
    <row r="13" spans="1:8" x14ac:dyDescent="0.35">
      <c r="A13" s="112" t="s">
        <v>9</v>
      </c>
      <c r="B13" s="112"/>
      <c r="C13" s="112"/>
      <c r="D13" s="112"/>
      <c r="E13" s="146" t="s">
        <v>170</v>
      </c>
      <c r="F13" s="130"/>
      <c r="G13" s="130"/>
      <c r="H13" s="130"/>
    </row>
    <row r="14" spans="1:8" ht="63.75" customHeight="1" x14ac:dyDescent="0.35">
      <c r="A14" s="142" t="s">
        <v>10</v>
      </c>
      <c r="B14" s="142"/>
      <c r="C14" s="14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Mahindra Happinest Kalyan 2 Project A, Survey No.32, 34, 35 Pt., 36/1 Pt.36/2 Pt., 36/A Pt., 36/B Pt., 37/1 Pt., 37/2 Pt., 37/B Pt., 37/C Pt., &amp; 50Pt, near Tata Housing Amantra, Tata Housing Entrance Road, Ranjnoli, Bhiwandi West, Bhiwandi, Thane - 421311.</v>
      </c>
      <c r="D14" s="142"/>
      <c r="E14" s="142"/>
      <c r="F14" s="142"/>
      <c r="G14" s="142"/>
      <c r="H14" s="142"/>
    </row>
    <row r="15" spans="1:8" ht="32.25" customHeight="1" x14ac:dyDescent="0.35">
      <c r="A15" s="146" t="s">
        <v>181</v>
      </c>
      <c r="B15" s="146"/>
      <c r="C15" s="134" t="s">
        <v>182</v>
      </c>
      <c r="D15" s="134"/>
      <c r="E15" s="134"/>
      <c r="F15" s="134"/>
      <c r="G15" s="134"/>
      <c r="H15" s="134"/>
    </row>
    <row r="16" spans="1:8" ht="15.75" customHeight="1" x14ac:dyDescent="0.35">
      <c r="A16" s="142" t="s">
        <v>11</v>
      </c>
      <c r="B16" s="142"/>
      <c r="C16" s="131" t="s">
        <v>175</v>
      </c>
      <c r="D16" s="131"/>
      <c r="E16" s="142" t="s">
        <v>176</v>
      </c>
      <c r="F16" s="142"/>
      <c r="G16" s="134" t="s">
        <v>177</v>
      </c>
      <c r="H16" s="134"/>
    </row>
    <row r="17" spans="1:8" x14ac:dyDescent="0.35">
      <c r="A17" s="112" t="s">
        <v>13</v>
      </c>
      <c r="B17" s="112"/>
      <c r="C17" s="134" t="s">
        <v>205</v>
      </c>
      <c r="D17" s="134"/>
      <c r="E17" s="142" t="s">
        <v>12</v>
      </c>
      <c r="F17" s="142"/>
      <c r="G17" s="147" t="s">
        <v>179</v>
      </c>
      <c r="H17" s="148"/>
    </row>
    <row r="18" spans="1:8" x14ac:dyDescent="0.35">
      <c r="A18" s="112" t="s">
        <v>76</v>
      </c>
      <c r="B18" s="112"/>
      <c r="C18" s="134" t="s">
        <v>178</v>
      </c>
      <c r="D18" s="134"/>
      <c r="E18" s="142" t="s">
        <v>14</v>
      </c>
      <c r="F18" s="142"/>
      <c r="G18" s="134">
        <v>421311</v>
      </c>
      <c r="H18" s="134"/>
    </row>
    <row r="19" spans="1:8" ht="30.75" customHeight="1" x14ac:dyDescent="0.35">
      <c r="A19" s="112" t="s">
        <v>129</v>
      </c>
      <c r="B19" s="112"/>
      <c r="C19" s="149" t="s">
        <v>180</v>
      </c>
      <c r="D19" s="149"/>
      <c r="E19" s="142" t="s">
        <v>15</v>
      </c>
      <c r="F19" s="142"/>
      <c r="G19" s="146" t="s">
        <v>173</v>
      </c>
      <c r="H19" s="146"/>
    </row>
    <row r="20" spans="1:8" ht="15" customHeight="1" x14ac:dyDescent="0.35">
      <c r="A20" s="142" t="s">
        <v>78</v>
      </c>
      <c r="B20" s="142"/>
      <c r="C20" s="142"/>
      <c r="D20" s="142"/>
      <c r="E20" s="131" t="s">
        <v>16</v>
      </c>
      <c r="F20" s="131"/>
      <c r="G20" s="131"/>
      <c r="H20" s="131"/>
    </row>
    <row r="21" spans="1:8" ht="15.75" customHeight="1" x14ac:dyDescent="0.35">
      <c r="A21" s="142"/>
      <c r="B21" s="142"/>
      <c r="C21" s="142"/>
      <c r="D21" s="142"/>
      <c r="E21" s="131"/>
      <c r="F21" s="131"/>
      <c r="G21" s="131"/>
      <c r="H21" s="131"/>
    </row>
    <row r="22" spans="1:8" ht="15" customHeight="1" x14ac:dyDescent="0.35">
      <c r="A22" s="142" t="s">
        <v>17</v>
      </c>
      <c r="B22" s="142"/>
      <c r="C22" s="142"/>
      <c r="D22" s="142"/>
      <c r="E22" s="134" t="s">
        <v>18</v>
      </c>
      <c r="F22" s="134"/>
      <c r="G22" s="134"/>
      <c r="H22" s="134"/>
    </row>
    <row r="23" spans="1:8" ht="15" customHeight="1" x14ac:dyDescent="0.35">
      <c r="A23" s="112" t="s">
        <v>19</v>
      </c>
      <c r="B23" s="112"/>
      <c r="C23" s="112"/>
      <c r="D23" s="112"/>
      <c r="E23" s="134" t="str">
        <f>IF(AND(G17="Mumbai"),"Upper Class","Middle Class")</f>
        <v>Middle Class</v>
      </c>
      <c r="F23" s="134"/>
      <c r="G23" s="134"/>
      <c r="H23" s="134"/>
    </row>
    <row r="24" spans="1:8" x14ac:dyDescent="0.35">
      <c r="A24" s="112" t="s">
        <v>20</v>
      </c>
      <c r="B24" s="112"/>
      <c r="C24" s="112"/>
      <c r="D24" s="112"/>
      <c r="E24" s="134" t="s">
        <v>21</v>
      </c>
      <c r="F24" s="134"/>
      <c r="G24" s="134"/>
      <c r="H24" s="134"/>
    </row>
    <row r="25" spans="1:8" ht="15.75" customHeight="1" x14ac:dyDescent="0.35">
      <c r="A25" s="112" t="s">
        <v>22</v>
      </c>
      <c r="B25" s="112"/>
      <c r="C25" s="112"/>
      <c r="D25" s="112"/>
      <c r="E25" s="134" t="str">
        <f>IF(AND(G17="Mumbai"),"Developed","Developing")</f>
        <v>Developing</v>
      </c>
      <c r="F25" s="134"/>
      <c r="G25" s="134"/>
      <c r="H25" s="134"/>
    </row>
    <row r="26" spans="1:8" x14ac:dyDescent="0.35">
      <c r="A26" s="112" t="s">
        <v>23</v>
      </c>
      <c r="B26" s="112"/>
      <c r="C26" s="112"/>
      <c r="D26" s="112"/>
      <c r="E26" s="134" t="s">
        <v>24</v>
      </c>
      <c r="F26" s="134"/>
      <c r="G26" s="134"/>
      <c r="H26" s="134"/>
    </row>
    <row r="27" spans="1:8" x14ac:dyDescent="0.35">
      <c r="A27" s="112" t="s">
        <v>83</v>
      </c>
      <c r="B27" s="112"/>
      <c r="C27" s="112"/>
      <c r="D27" s="112"/>
      <c r="E27" s="134" t="s">
        <v>84</v>
      </c>
      <c r="F27" s="134"/>
      <c r="G27" s="134"/>
      <c r="H27" s="134"/>
    </row>
    <row r="28" spans="1:8" ht="15" customHeight="1" x14ac:dyDescent="0.35">
      <c r="A28" s="142" t="s">
        <v>33</v>
      </c>
      <c r="B28" s="142"/>
      <c r="C28" s="142"/>
      <c r="D28" s="142"/>
      <c r="E28" s="143" t="str">
        <f>IF(ISNUMBER(SEARCH("Shop",D54)),"Residential + Commercial",IF(ISNUMBER(SEARCH("Office",D54)),"Residential + Commercial",IF(SEARCH("Flats",D54),"Residential","")))</f>
        <v>Residential</v>
      </c>
      <c r="F28" s="143"/>
      <c r="G28" s="143"/>
      <c r="H28" s="143"/>
    </row>
    <row r="29" spans="1:8" x14ac:dyDescent="0.35">
      <c r="A29" s="142" t="s">
        <v>95</v>
      </c>
      <c r="B29" s="142"/>
      <c r="C29" s="142"/>
      <c r="D29" s="142"/>
      <c r="E29" s="142" t="s">
        <v>34</v>
      </c>
      <c r="F29" s="142"/>
      <c r="G29" s="142"/>
      <c r="H29" s="142"/>
    </row>
    <row r="30" spans="1:8" s="6" customFormat="1" x14ac:dyDescent="0.35">
      <c r="A30" s="145" t="s">
        <v>96</v>
      </c>
      <c r="B30" s="145"/>
      <c r="C30" s="144" t="s">
        <v>29</v>
      </c>
      <c r="D30" s="144"/>
      <c r="E30" s="144"/>
      <c r="F30" s="144" t="s">
        <v>31</v>
      </c>
      <c r="G30" s="144"/>
      <c r="H30" s="144"/>
    </row>
    <row r="31" spans="1:8" s="6" customFormat="1" x14ac:dyDescent="0.35">
      <c r="A31" s="139" t="s">
        <v>25</v>
      </c>
      <c r="B31" s="139" t="s">
        <v>30</v>
      </c>
      <c r="C31" s="126" t="s">
        <v>30</v>
      </c>
      <c r="D31" s="126"/>
      <c r="E31" s="126"/>
      <c r="F31" s="126" t="s">
        <v>183</v>
      </c>
      <c r="G31" s="126"/>
      <c r="H31" s="126"/>
    </row>
    <row r="32" spans="1:8" x14ac:dyDescent="0.35">
      <c r="A32" s="139" t="s">
        <v>26</v>
      </c>
      <c r="B32" s="139" t="s">
        <v>30</v>
      </c>
      <c r="C32" s="126" t="s">
        <v>30</v>
      </c>
      <c r="D32" s="126"/>
      <c r="E32" s="126"/>
      <c r="F32" s="126" t="s">
        <v>183</v>
      </c>
      <c r="G32" s="126"/>
      <c r="H32" s="126"/>
    </row>
    <row r="33" spans="1:8" s="6" customFormat="1" x14ac:dyDescent="0.35">
      <c r="A33" s="139" t="s">
        <v>28</v>
      </c>
      <c r="B33" s="139" t="s">
        <v>30</v>
      </c>
      <c r="C33" s="126" t="s">
        <v>30</v>
      </c>
      <c r="D33" s="126"/>
      <c r="E33" s="126"/>
      <c r="F33" s="126" t="s">
        <v>180</v>
      </c>
      <c r="G33" s="126"/>
      <c r="H33" s="126"/>
    </row>
    <row r="34" spans="1:8" x14ac:dyDescent="0.35">
      <c r="A34" s="139" t="s">
        <v>27</v>
      </c>
      <c r="B34" s="139" t="s">
        <v>30</v>
      </c>
      <c r="C34" s="126" t="s">
        <v>30</v>
      </c>
      <c r="D34" s="126"/>
      <c r="E34" s="126"/>
      <c r="F34" s="126" t="s">
        <v>183</v>
      </c>
      <c r="G34" s="126"/>
      <c r="H34" s="126"/>
    </row>
    <row r="35" spans="1:8" x14ac:dyDescent="0.35">
      <c r="A35" s="112" t="s">
        <v>32</v>
      </c>
      <c r="B35" s="112"/>
      <c r="C35" s="112"/>
      <c r="D35" s="112"/>
      <c r="E35" s="112"/>
      <c r="F35" s="112"/>
      <c r="G35" s="112"/>
      <c r="H35" s="112"/>
    </row>
    <row r="36" spans="1:8" ht="15.75" customHeight="1" x14ac:dyDescent="0.35">
      <c r="A36" s="127" t="s">
        <v>246</v>
      </c>
      <c r="B36" s="127"/>
      <c r="C36" s="197" t="s">
        <v>247</v>
      </c>
      <c r="D36" s="197"/>
      <c r="E36" s="197"/>
      <c r="F36" s="197"/>
      <c r="G36" s="197"/>
      <c r="H36" s="197"/>
    </row>
    <row r="37" spans="1:8" ht="15.75" customHeight="1" x14ac:dyDescent="0.35">
      <c r="A37" s="127" t="s">
        <v>243</v>
      </c>
      <c r="B37" s="127"/>
      <c r="C37" s="198" t="s">
        <v>244</v>
      </c>
      <c r="D37" s="197"/>
      <c r="E37" s="197"/>
      <c r="F37" s="197"/>
      <c r="G37" s="197"/>
      <c r="H37" s="197"/>
    </row>
    <row r="38" spans="1:8" x14ac:dyDescent="0.35">
      <c r="A38" s="127" t="s">
        <v>35</v>
      </c>
      <c r="B38" s="127"/>
      <c r="C38" s="127"/>
      <c r="D38" s="127"/>
      <c r="E38" s="127"/>
      <c r="F38" s="127"/>
      <c r="G38" s="127"/>
      <c r="H38" s="127"/>
    </row>
    <row r="39" spans="1:8" x14ac:dyDescent="0.35">
      <c r="A39" s="112" t="s">
        <v>36</v>
      </c>
      <c r="B39" s="112"/>
      <c r="C39" s="112"/>
      <c r="D39" s="112"/>
      <c r="E39" s="141">
        <v>41356.080000000002</v>
      </c>
      <c r="F39" s="141"/>
      <c r="G39" s="141"/>
      <c r="H39" s="141"/>
    </row>
    <row r="40" spans="1:8" x14ac:dyDescent="0.35">
      <c r="A40" s="112" t="s">
        <v>37</v>
      </c>
      <c r="B40" s="112"/>
      <c r="C40" s="112"/>
      <c r="D40" s="112"/>
      <c r="E40" s="140">
        <v>1.1000000000000001</v>
      </c>
      <c r="F40" s="140"/>
      <c r="G40" s="140"/>
      <c r="H40" s="140"/>
    </row>
    <row r="41" spans="1:8" x14ac:dyDescent="0.35">
      <c r="A41" s="112" t="s">
        <v>38</v>
      </c>
      <c r="B41" s="112"/>
      <c r="C41" s="112"/>
      <c r="D41" s="112"/>
      <c r="E41" s="140">
        <f>E43/E39-E40</f>
        <v>1.2120000735079337</v>
      </c>
      <c r="F41" s="140"/>
      <c r="G41" s="140"/>
      <c r="H41" s="140"/>
    </row>
    <row r="42" spans="1:8" x14ac:dyDescent="0.35">
      <c r="A42" s="112" t="s">
        <v>39</v>
      </c>
      <c r="B42" s="112"/>
      <c r="C42" s="112"/>
      <c r="D42" s="112"/>
      <c r="E42" s="140">
        <f>E40+E41</f>
        <v>2.3120000735079338</v>
      </c>
      <c r="F42" s="140"/>
      <c r="G42" s="140"/>
      <c r="H42" s="140"/>
    </row>
    <row r="43" spans="1:8" x14ac:dyDescent="0.35">
      <c r="A43" s="112" t="s">
        <v>94</v>
      </c>
      <c r="B43" s="112"/>
      <c r="C43" s="112"/>
      <c r="D43" s="112"/>
      <c r="E43" s="129">
        <v>95615.26</v>
      </c>
      <c r="F43" s="129"/>
      <c r="G43" s="129"/>
      <c r="H43" s="129"/>
    </row>
    <row r="44" spans="1:8" x14ac:dyDescent="0.35">
      <c r="A44" s="131" t="s">
        <v>40</v>
      </c>
      <c r="B44" s="131"/>
      <c r="C44" s="131"/>
      <c r="D44" s="131"/>
      <c r="E44" s="130" t="s">
        <v>184</v>
      </c>
      <c r="F44" s="130"/>
      <c r="G44" s="130"/>
      <c r="H44" s="130"/>
    </row>
    <row r="45" spans="1:8" x14ac:dyDescent="0.35">
      <c r="A45" s="127" t="s">
        <v>41</v>
      </c>
      <c r="B45" s="127"/>
      <c r="C45" s="127"/>
      <c r="D45" s="127"/>
      <c r="E45" s="127"/>
      <c r="F45" s="127"/>
      <c r="G45" s="127"/>
      <c r="H45" s="127"/>
    </row>
    <row r="46" spans="1:8" ht="33.75" customHeight="1" x14ac:dyDescent="0.35">
      <c r="A46" s="106" t="s">
        <v>158</v>
      </c>
      <c r="B46" s="107"/>
      <c r="C46" s="108" t="s">
        <v>185</v>
      </c>
      <c r="D46" s="109"/>
      <c r="E46" s="109"/>
      <c r="F46" s="109"/>
      <c r="G46" s="109"/>
      <c r="H46" s="110"/>
    </row>
    <row r="47" spans="1:8" ht="32.25" customHeight="1" x14ac:dyDescent="0.35">
      <c r="A47" s="134" t="s">
        <v>42</v>
      </c>
      <c r="B47" s="134"/>
      <c r="C47" s="138" t="s">
        <v>215</v>
      </c>
      <c r="D47" s="138"/>
      <c r="E47" s="138"/>
      <c r="F47" s="56" t="s">
        <v>43</v>
      </c>
      <c r="G47" s="133" t="s">
        <v>216</v>
      </c>
      <c r="H47" s="133"/>
    </row>
    <row r="48" spans="1:8" ht="30" customHeight="1" x14ac:dyDescent="0.35">
      <c r="A48" s="131" t="s">
        <v>44</v>
      </c>
      <c r="B48" s="131"/>
      <c r="C48" s="138" t="str">
        <f>C47</f>
        <v>SROT/BSNA/2501/BP/Ranjnoli18/CC/1178/2022</v>
      </c>
      <c r="D48" s="138"/>
      <c r="E48" s="138"/>
      <c r="F48" s="56" t="s">
        <v>43</v>
      </c>
      <c r="G48" s="133" t="str">
        <f>G47</f>
        <v xml:space="preserve">06/09/2022
</v>
      </c>
      <c r="H48" s="133"/>
    </row>
    <row r="49" spans="1:14" s="5" customFormat="1" ht="30" customHeight="1" x14ac:dyDescent="0.35">
      <c r="A49" s="134" t="s">
        <v>235</v>
      </c>
      <c r="B49" s="134"/>
      <c r="C49" s="138" t="s">
        <v>215</v>
      </c>
      <c r="D49" s="157"/>
      <c r="E49" s="157"/>
      <c r="F49" s="8" t="s">
        <v>43</v>
      </c>
      <c r="G49" s="133" t="str">
        <f>G48</f>
        <v xml:space="preserve">06/09/2022
</v>
      </c>
      <c r="H49" s="133"/>
    </row>
    <row r="50" spans="1:14" s="5" customFormat="1" ht="48.75" customHeight="1" x14ac:dyDescent="0.35">
      <c r="A50" s="134"/>
      <c r="B50" s="134"/>
      <c r="C50" s="135" t="s">
        <v>217</v>
      </c>
      <c r="D50" s="136"/>
      <c r="E50" s="136"/>
      <c r="F50" s="136"/>
      <c r="G50" s="136"/>
      <c r="H50" s="137"/>
    </row>
    <row r="51" spans="1:14" x14ac:dyDescent="0.35">
      <c r="A51" s="186" t="s">
        <v>45</v>
      </c>
      <c r="B51" s="186"/>
      <c r="C51" s="187" t="s">
        <v>109</v>
      </c>
      <c r="D51" s="188"/>
      <c r="E51" s="188" t="s">
        <v>46</v>
      </c>
      <c r="F51" s="39" t="s">
        <v>43</v>
      </c>
      <c r="G51" s="189" t="s">
        <v>30</v>
      </c>
      <c r="H51" s="189"/>
    </row>
    <row r="52" spans="1:14" x14ac:dyDescent="0.35">
      <c r="A52" s="182" t="s">
        <v>48</v>
      </c>
      <c r="B52" s="182"/>
      <c r="C52" s="182"/>
      <c r="D52" s="182"/>
      <c r="E52" s="182"/>
      <c r="F52" s="182"/>
      <c r="G52" s="182"/>
      <c r="H52" s="182"/>
    </row>
    <row r="53" spans="1:14" x14ac:dyDescent="0.35">
      <c r="A53" s="142" t="s">
        <v>93</v>
      </c>
      <c r="B53" s="142"/>
      <c r="C53" s="142"/>
      <c r="D53" s="112">
        <f>E43</f>
        <v>95615.26</v>
      </c>
      <c r="E53" s="112"/>
      <c r="F53" s="112"/>
      <c r="G53" s="112"/>
      <c r="H53" s="112"/>
    </row>
    <row r="54" spans="1:14" x14ac:dyDescent="0.35">
      <c r="A54" s="134" t="s">
        <v>49</v>
      </c>
      <c r="B54" s="131"/>
      <c r="C54" s="131"/>
      <c r="D54" s="131" t="s">
        <v>222</v>
      </c>
      <c r="E54" s="131"/>
      <c r="F54" s="131"/>
      <c r="G54" s="131"/>
      <c r="H54" s="131"/>
      <c r="I54" s="32"/>
    </row>
    <row r="55" spans="1:14" x14ac:dyDescent="0.35">
      <c r="A55" s="116" t="s">
        <v>50</v>
      </c>
      <c r="B55" s="117"/>
      <c r="C55" s="118"/>
      <c r="D55" s="128" t="s">
        <v>209</v>
      </c>
      <c r="E55" s="132"/>
      <c r="F55" s="132"/>
      <c r="G55" s="132"/>
      <c r="H55" s="132"/>
    </row>
    <row r="56" spans="1:14" ht="15.75" customHeight="1" x14ac:dyDescent="0.35">
      <c r="A56" s="116" t="s">
        <v>91</v>
      </c>
      <c r="B56" s="117"/>
      <c r="C56" s="118"/>
      <c r="D56" s="190" t="s">
        <v>209</v>
      </c>
      <c r="E56" s="191"/>
      <c r="F56" s="191"/>
      <c r="G56" s="191"/>
      <c r="H56" s="192"/>
    </row>
    <row r="57" spans="1:14" ht="15.75" hidden="1" customHeight="1" x14ac:dyDescent="0.35">
      <c r="A57" s="119"/>
      <c r="B57" s="120"/>
      <c r="C57" s="121"/>
      <c r="D57" s="113" t="s">
        <v>186</v>
      </c>
      <c r="E57" s="114"/>
      <c r="F57" s="114"/>
      <c r="G57" s="114"/>
      <c r="H57" s="115"/>
    </row>
    <row r="58" spans="1:14" ht="15.75" hidden="1" customHeight="1" x14ac:dyDescent="0.35">
      <c r="A58" s="119"/>
      <c r="B58" s="120"/>
      <c r="C58" s="121"/>
      <c r="D58" s="113" t="s">
        <v>187</v>
      </c>
      <c r="E58" s="114"/>
      <c r="F58" s="114"/>
      <c r="G58" s="114"/>
      <c r="H58" s="115"/>
    </row>
    <row r="59" spans="1:14" ht="15.75" hidden="1" customHeight="1" x14ac:dyDescent="0.35">
      <c r="A59" s="122"/>
      <c r="B59" s="123"/>
      <c r="C59" s="124"/>
      <c r="D59" s="113" t="s">
        <v>188</v>
      </c>
      <c r="E59" s="114"/>
      <c r="F59" s="114"/>
      <c r="G59" s="114"/>
      <c r="H59" s="115"/>
    </row>
    <row r="60" spans="1:14" ht="15.75" customHeight="1" x14ac:dyDescent="0.35">
      <c r="A60" s="112" t="s">
        <v>47</v>
      </c>
      <c r="B60" s="112"/>
      <c r="C60" s="112"/>
      <c r="D60" s="142" t="s">
        <v>189</v>
      </c>
      <c r="E60" s="142"/>
      <c r="F60" s="142"/>
      <c r="G60" s="142"/>
      <c r="H60" s="142"/>
      <c r="J60" s="31"/>
      <c r="K60" s="32"/>
      <c r="N60" s="32"/>
    </row>
    <row r="61" spans="1:14" ht="15.75" customHeight="1" x14ac:dyDescent="0.35">
      <c r="A61" s="112" t="s">
        <v>89</v>
      </c>
      <c r="B61" s="112"/>
      <c r="C61" s="112"/>
      <c r="D61" s="158" t="str">
        <f>(IF(G51="NA","60 Years After Completion",IF(G51&lt;&gt;"NA",""&amp;60-ROUNDDOWN((E3-G51)/360,0)&amp;" Years"," ")))</f>
        <v>60 Years After Completion</v>
      </c>
      <c r="E61" s="158"/>
      <c r="F61" s="158"/>
      <c r="G61" s="158"/>
      <c r="H61" s="158"/>
      <c r="N61" s="32"/>
    </row>
    <row r="62" spans="1:14" ht="15.75" customHeight="1" x14ac:dyDescent="0.35">
      <c r="A62" s="112" t="s">
        <v>90</v>
      </c>
      <c r="B62" s="112"/>
      <c r="C62" s="112"/>
      <c r="D62" s="142" t="s">
        <v>24</v>
      </c>
      <c r="E62" s="142"/>
      <c r="F62" s="142"/>
      <c r="G62" s="142"/>
      <c r="H62" s="142"/>
      <c r="J62" s="13"/>
      <c r="K62" s="13"/>
    </row>
    <row r="63" spans="1:14" ht="30" customHeight="1" x14ac:dyDescent="0.35">
      <c r="A63" s="112" t="s">
        <v>77</v>
      </c>
      <c r="B63" s="112"/>
      <c r="C63" s="112"/>
      <c r="D63" s="134" t="s">
        <v>232</v>
      </c>
      <c r="E63" s="142"/>
      <c r="F63" s="142"/>
      <c r="G63" s="142"/>
      <c r="H63" s="142"/>
    </row>
    <row r="64" spans="1:14" x14ac:dyDescent="0.35">
      <c r="A64" s="142" t="s">
        <v>155</v>
      </c>
      <c r="B64" s="142"/>
      <c r="C64" s="142"/>
      <c r="D64" s="142" t="s">
        <v>30</v>
      </c>
      <c r="E64" s="142"/>
      <c r="F64" s="142"/>
      <c r="G64" s="142"/>
      <c r="H64" s="142"/>
      <c r="I64" s="37"/>
      <c r="J64" s="37"/>
      <c r="K64" s="37"/>
      <c r="L64" s="37"/>
      <c r="M64" s="37"/>
      <c r="N64" s="37"/>
    </row>
    <row r="65" spans="1:10" ht="15.75" customHeight="1" x14ac:dyDescent="0.35">
      <c r="A65" s="194" t="s">
        <v>88</v>
      </c>
      <c r="B65" s="194"/>
      <c r="C65" s="194"/>
      <c r="D65" s="128" t="str">
        <f ca="1">(IF(G71&gt;95%,"Nothing",IF(G71&gt;0%,"Cement, Aggregate, Steel, etc",IF(G71=0%,"Work not yet Started"))))</f>
        <v>Cement, Aggregate, Steel, etc</v>
      </c>
      <c r="E65" s="128"/>
      <c r="F65" s="128"/>
      <c r="G65" s="128"/>
      <c r="H65" s="128"/>
      <c r="J65" s="13"/>
    </row>
    <row r="66" spans="1:10" ht="33.75" customHeight="1" thickBot="1" x14ac:dyDescent="0.4">
      <c r="A66" s="193" t="s">
        <v>122</v>
      </c>
      <c r="B66" s="193"/>
      <c r="C66" s="193"/>
      <c r="D66" s="128" t="str">
        <f ca="1">(IF(D65="Nothing","Yes",IF(D65="Cement, Aggregate, Steel, etc","Under Construction",IF(D65="Work not yet Started","Work not yet Started"))))</f>
        <v>Under Construction</v>
      </c>
      <c r="E66" s="128"/>
      <c r="F66" s="128" t="str">
        <f ca="1">(IF(D65="Nothing","Yes",IF(D65="Cement, Aggregate, Steel, etc","Under Construction",IF(D65="Work not yet Started","Work not yet Started"))))</f>
        <v>Under Construction</v>
      </c>
      <c r="G66" s="128"/>
      <c r="H66" s="128"/>
    </row>
    <row r="67" spans="1:10" ht="15.75" customHeight="1" x14ac:dyDescent="0.35">
      <c r="A67" s="170" t="s">
        <v>147</v>
      </c>
      <c r="B67" s="171"/>
      <c r="C67" s="172" t="s">
        <v>252</v>
      </c>
      <c r="D67" s="173"/>
      <c r="E67" s="173"/>
      <c r="F67" s="173"/>
      <c r="G67" s="173"/>
      <c r="H67" s="174"/>
      <c r="I67" s="33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 Completed",IF(C73&gt;0,", RCC upto "&amp;C73&amp;" Slab Completed",""))&amp;(IF(C74=H68,", Brickwork Completed",IF(C74&gt;0,", Brickwork upto "&amp;C74&amp;" Floor Completed",""))&amp;(IF(C75=H68,", Internal Plaster Completed",IF(C75&gt;0,", Internal Plaster upto "&amp;C75&amp;" Floor Completed",""))&amp;(IF(C76=H68,", External Plaster Completed",IF(C76&gt;0,", External Plaster upto "&amp;C76&amp;" Floor Completed",""))&amp;(IF(C77=H68,", Flooring Completed",IF(C77&gt;0,", Flooring upto "&amp;C77&amp;" Floor Completed",""))&amp;(IF(C78=H68,", Painting Completed",IF(C78&gt;0,", Painting upto "&amp;C78&amp;" Floor Completed",""))&amp;(IF(C79&gt;0,", Finishing upto "&amp;C79&amp;" Floor Completed","")&amp;(IF(C73&gt;0.5,".",""))))))))))))))</f>
        <v>Excavation work Completed. Plinth work completed, RCC Slab Completed, Brickwork Completed, Internal Plaster Completed, External Plaster upto 13 Floor Completed, Flooring upto 3 Floor Completed, Painting upto 2 Floor Completed.</v>
      </c>
      <c r="J67" s="15"/>
    </row>
    <row r="68" spans="1:10" s="5" customFormat="1" x14ac:dyDescent="0.35">
      <c r="A68" s="34" t="s">
        <v>149</v>
      </c>
      <c r="B68" s="35">
        <v>0</v>
      </c>
      <c r="C68" s="35" t="s">
        <v>75</v>
      </c>
      <c r="D68" s="35">
        <v>1</v>
      </c>
      <c r="E68" s="35" t="s">
        <v>74</v>
      </c>
      <c r="F68" s="35">
        <v>0</v>
      </c>
      <c r="G68" s="35" t="s">
        <v>82</v>
      </c>
      <c r="H68" s="36">
        <f ca="1">--TRIM(RIGHT(SUBSTITUTE(LEFT(C67,_xlfn.AGGREGATE(16,6,FIND({0,1,2,3,4,5,6,7,8,9},C67,ROW(INDIRECT("1:"&amp;LEN(C67)))),1))," ",REPT(" ",LEN(C67))),LEN(C67)))</f>
        <v>14</v>
      </c>
      <c r="I68" s="40"/>
      <c r="J68" s="41"/>
    </row>
    <row r="69" spans="1:10" s="5" customFormat="1" ht="48.75" customHeight="1" x14ac:dyDescent="0.35">
      <c r="A69" s="175" t="s">
        <v>92</v>
      </c>
      <c r="B69" s="176"/>
      <c r="C69" s="177" t="str">
        <f ca="1">(IF($G$51="NA",I67,"All work Completed. OC Received."))</f>
        <v>Excavation work Completed. Plinth work completed, RCC Slab Completed, Brickwork Completed, Internal Plaster Completed, External Plaster upto 13 Floor Completed, Flooring upto 3 Floor Completed, Painting upto 2 Floor Completed.</v>
      </c>
      <c r="D69" s="177"/>
      <c r="E69" s="177"/>
      <c r="F69" s="177"/>
      <c r="G69" s="177"/>
      <c r="H69" s="178"/>
      <c r="I69" s="40" t="s">
        <v>108</v>
      </c>
      <c r="J69" s="41"/>
    </row>
    <row r="70" spans="1:10" s="5" customFormat="1" ht="15.75" customHeight="1" x14ac:dyDescent="0.35">
      <c r="A70" s="72" t="s">
        <v>51</v>
      </c>
      <c r="B70" s="73"/>
      <c r="C70" s="42" t="s">
        <v>146</v>
      </c>
      <c r="D70" s="42" t="s">
        <v>85</v>
      </c>
      <c r="E70" s="73" t="s">
        <v>87</v>
      </c>
      <c r="F70" s="73"/>
      <c r="G70" s="73" t="s">
        <v>86</v>
      </c>
      <c r="H70" s="169"/>
      <c r="I70" s="43" t="s">
        <v>148</v>
      </c>
      <c r="J70" s="44">
        <f ca="1">H68*25%</f>
        <v>3.5</v>
      </c>
    </row>
    <row r="71" spans="1:10" s="5" customFormat="1" x14ac:dyDescent="0.35">
      <c r="A71" s="72" t="s">
        <v>135</v>
      </c>
      <c r="B71" s="73"/>
      <c r="C71" s="45">
        <f ca="1">J72</f>
        <v>14</v>
      </c>
      <c r="D71" s="46">
        <f ca="1">((100/H68)*C71)/100</f>
        <v>1</v>
      </c>
      <c r="E71" s="68">
        <f ca="1">(((C72/H68*10)+(40/(D68+F68+H68)*C73)+(7.5/(H68)*C74)+(7.5/(H68)*C75)+(10/H68*C76)+(10/H68*C77)+(5/H68*C78)+(5/H68*C79)+(5/H68*C80))/100)</f>
        <v>0.77142857142857135</v>
      </c>
      <c r="F71" s="68"/>
      <c r="G71" s="68">
        <f ca="1">((((C71/H68)*20)+((C72/H68)*25)+(30/(H68+F68+D68)*C73)+(5/H68*C74)+(5/H68*C75)+(5/H68*C76)+(5/H68*C77)+(0/H68*C78)+(0/H68*C79)+(5/H68*C80))/100)</f>
        <v>0.90714285714285703</v>
      </c>
      <c r="H71" s="70"/>
      <c r="I71" s="43" t="s">
        <v>103</v>
      </c>
      <c r="J71" s="47">
        <f ca="1">H68*50%</f>
        <v>7</v>
      </c>
    </row>
    <row r="72" spans="1:10" s="5" customFormat="1" x14ac:dyDescent="0.35">
      <c r="A72" s="72" t="s">
        <v>52</v>
      </c>
      <c r="B72" s="73"/>
      <c r="C72" s="48">
        <v>14</v>
      </c>
      <c r="D72" s="46">
        <f ca="1">((100/H68)*C72)/100</f>
        <v>1</v>
      </c>
      <c r="E72" s="68"/>
      <c r="F72" s="68"/>
      <c r="G72" s="68"/>
      <c r="H72" s="70"/>
      <c r="I72" s="43" t="s">
        <v>104</v>
      </c>
      <c r="J72" s="47">
        <f ca="1">H68</f>
        <v>14</v>
      </c>
    </row>
    <row r="73" spans="1:10" s="5" customFormat="1" ht="15.75" customHeight="1" x14ac:dyDescent="0.35">
      <c r="A73" s="72" t="s">
        <v>136</v>
      </c>
      <c r="B73" s="73"/>
      <c r="C73" s="48">
        <v>15</v>
      </c>
      <c r="D73" s="46">
        <f ca="1">((100/(D68+F68+H68))*C73)/100</f>
        <v>1</v>
      </c>
      <c r="E73" s="68"/>
      <c r="F73" s="68"/>
      <c r="G73" s="68"/>
      <c r="H73" s="70"/>
      <c r="I73" s="43" t="s">
        <v>105</v>
      </c>
      <c r="J73" s="49">
        <f ca="1">(IF(B68&gt;1,(H68/(B68+2)),H68/4))</f>
        <v>3.5</v>
      </c>
    </row>
    <row r="74" spans="1:10" s="5" customFormat="1" ht="15.75" customHeight="1" x14ac:dyDescent="0.35">
      <c r="A74" s="72" t="s">
        <v>143</v>
      </c>
      <c r="B74" s="73" t="s">
        <v>137</v>
      </c>
      <c r="C74" s="48">
        <f>C73-1</f>
        <v>14</v>
      </c>
      <c r="D74" s="46">
        <f ca="1">((100/H68)*C74)/100</f>
        <v>1</v>
      </c>
      <c r="E74" s="68"/>
      <c r="F74" s="68"/>
      <c r="G74" s="68"/>
      <c r="H74" s="70"/>
      <c r="I74" s="43" t="s">
        <v>106</v>
      </c>
      <c r="J74" s="49">
        <f ca="1">(IF(B68&gt;1,(H68/(B68+2)+J73),H68/4+J73))</f>
        <v>7</v>
      </c>
    </row>
    <row r="75" spans="1:10" s="5" customFormat="1" ht="15.75" customHeight="1" x14ac:dyDescent="0.35">
      <c r="A75" s="72" t="s">
        <v>144</v>
      </c>
      <c r="B75" s="73" t="s">
        <v>137</v>
      </c>
      <c r="C75" s="48">
        <v>14</v>
      </c>
      <c r="D75" s="46">
        <f ca="1">((100/H68)*C75)/100</f>
        <v>1</v>
      </c>
      <c r="E75" s="68"/>
      <c r="F75" s="68"/>
      <c r="G75" s="68"/>
      <c r="H75" s="70"/>
      <c r="I75" s="43" t="s">
        <v>153</v>
      </c>
      <c r="J75" s="49">
        <f>(IF(B68&gt;1,(H68/(B68+2)+J74),0))</f>
        <v>0</v>
      </c>
    </row>
    <row r="76" spans="1:10" s="5" customFormat="1" ht="15" customHeight="1" x14ac:dyDescent="0.35">
      <c r="A76" s="72" t="s">
        <v>142</v>
      </c>
      <c r="B76" s="73" t="s">
        <v>139</v>
      </c>
      <c r="C76" s="48">
        <v>13</v>
      </c>
      <c r="D76" s="46">
        <f ca="1">((100/(H68))*C76)/100</f>
        <v>0.9285714285714286</v>
      </c>
      <c r="E76" s="68"/>
      <c r="F76" s="68"/>
      <c r="G76" s="68"/>
      <c r="H76" s="70"/>
      <c r="I76" s="43" t="s">
        <v>150</v>
      </c>
      <c r="J76" s="49">
        <f>(IF(B68&gt;2,(H68/(B68+2)+J75),0))</f>
        <v>0</v>
      </c>
    </row>
    <row r="77" spans="1:10" s="5" customFormat="1" ht="15.75" customHeight="1" x14ac:dyDescent="0.35">
      <c r="A77" s="72" t="s">
        <v>138</v>
      </c>
      <c r="B77" s="73" t="s">
        <v>138</v>
      </c>
      <c r="C77" s="45">
        <v>3</v>
      </c>
      <c r="D77" s="46">
        <f ca="1">((100/H68)*C77)/100</f>
        <v>0.2142857142857143</v>
      </c>
      <c r="E77" s="68"/>
      <c r="F77" s="68"/>
      <c r="G77" s="68"/>
      <c r="H77" s="70"/>
      <c r="I77" s="43" t="s">
        <v>151</v>
      </c>
      <c r="J77" s="50">
        <f>(IF(B68&gt;3,(H68/(B68+2)+J76),0))</f>
        <v>0</v>
      </c>
    </row>
    <row r="78" spans="1:10" s="5" customFormat="1" ht="15.75" customHeight="1" x14ac:dyDescent="0.35">
      <c r="A78" s="72" t="s">
        <v>145</v>
      </c>
      <c r="B78" s="73"/>
      <c r="C78" s="45">
        <v>2</v>
      </c>
      <c r="D78" s="46">
        <f ca="1">((100/H68)*C78)/100</f>
        <v>0.14285714285714288</v>
      </c>
      <c r="E78" s="68"/>
      <c r="F78" s="68"/>
      <c r="G78" s="68"/>
      <c r="H78" s="70"/>
      <c r="I78" s="43" t="s">
        <v>152</v>
      </c>
      <c r="J78" s="49">
        <f>(IF(B68&gt;4,(H68/(B68+2)+J77),0))</f>
        <v>0</v>
      </c>
    </row>
    <row r="79" spans="1:10" s="5" customFormat="1" ht="15.75" customHeight="1" x14ac:dyDescent="0.35">
      <c r="A79" s="72" t="s">
        <v>140</v>
      </c>
      <c r="B79" s="73" t="s">
        <v>140</v>
      </c>
      <c r="C79" s="45">
        <v>0</v>
      </c>
      <c r="D79" s="46">
        <f ca="1">((100/(H68))*C79)/100</f>
        <v>0</v>
      </c>
      <c r="E79" s="68"/>
      <c r="F79" s="68"/>
      <c r="G79" s="68"/>
      <c r="H79" s="70"/>
      <c r="I79" s="43" t="s">
        <v>154</v>
      </c>
      <c r="J79" s="49">
        <f ca="1">(IF(B68=1,(H68/(B68+3)+J74),IF(B68=0,(H68/4+J74),IF(B68&gt;1,0))))</f>
        <v>10.5</v>
      </c>
    </row>
    <row r="80" spans="1:10" s="5" customFormat="1" ht="16" thickBot="1" x14ac:dyDescent="0.4">
      <c r="A80" s="74" t="s">
        <v>141</v>
      </c>
      <c r="B80" s="75"/>
      <c r="C80" s="51">
        <v>0</v>
      </c>
      <c r="D80" s="52">
        <f ca="1">((100/(H68))*C80)/100</f>
        <v>0</v>
      </c>
      <c r="E80" s="69"/>
      <c r="F80" s="69"/>
      <c r="G80" s="69"/>
      <c r="H80" s="71"/>
      <c r="I80" s="53" t="s">
        <v>107</v>
      </c>
      <c r="J80" s="54">
        <f ca="1">(IF(B68&gt;1.5,(H68/(B68+2)+J74+MAX(0,J75-J74)+MAX(0,J76-J75)+MAX(0,J77-J76)+MAX(0,J78-J77)+MAX(0,J79-J78)),IF(B68=1,(H68/(B68+3)+J79),IF(B68=0,H68/4+J79))))</f>
        <v>14</v>
      </c>
    </row>
    <row r="81" spans="1:10" ht="15.75" customHeight="1" x14ac:dyDescent="0.35">
      <c r="A81" s="170" t="s">
        <v>147</v>
      </c>
      <c r="B81" s="171"/>
      <c r="C81" s="172" t="s">
        <v>253</v>
      </c>
      <c r="D81" s="173"/>
      <c r="E81" s="173"/>
      <c r="F81" s="173"/>
      <c r="G81" s="173"/>
      <c r="H81" s="174"/>
      <c r="I81" s="33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 Completed",IF(C87&gt;0,", RCC upto "&amp;C87&amp;" Slab Completed",""))&amp;(IF(C88=H82,", Brickwork Completed",IF(C88&gt;0,", Brickwork upto "&amp;C88&amp;" Floor Completed",""))&amp;(IF(C89=H82,", Internal Plaster Completed",IF(C89&gt;0,", Internal Plaster upto "&amp;C89&amp;" Floor Completed",""))&amp;(IF(C90=H82,", External Plaster Completed",IF(C90&gt;0,", External Plaster upto "&amp;C90&amp;" Floor Completed",""))&amp;(IF(C91=H82,", Flooring Completed",IF(C91&gt;0,", Flooring upto "&amp;C91&amp;" Floor Completed",""))&amp;(IF(C92=H82,", Painting Completed",IF(C92&gt;0,", Painting upto "&amp;C92&amp;" Floor Completed",""))&amp;(IF(C93&gt;0,", Finishing upto "&amp;C93&amp;" Floor Completed","")&amp;(IF(C87&gt;0.5,".",""))))))))))))))</f>
        <v>Excavation work Completed. Plinth work completed, RCC Slab Completed, Brickwork Completed, Internal Plaster Completed, External Plaster upto 13 Floor Completed, Flooring upto 3 Floor Completed.</v>
      </c>
      <c r="J81" s="15"/>
    </row>
    <row r="82" spans="1:10" s="5" customFormat="1" x14ac:dyDescent="0.35">
      <c r="A82" s="34" t="s">
        <v>149</v>
      </c>
      <c r="B82" s="67">
        <v>0</v>
      </c>
      <c r="C82" s="67" t="s">
        <v>75</v>
      </c>
      <c r="D82" s="67">
        <v>1</v>
      </c>
      <c r="E82" s="67" t="s">
        <v>74</v>
      </c>
      <c r="F82" s="67">
        <v>0</v>
      </c>
      <c r="G82" s="67" t="s">
        <v>82</v>
      </c>
      <c r="H82" s="36">
        <f ca="1">--TRIM(RIGHT(SUBSTITUTE(LEFT(C81,_xlfn.AGGREGATE(16,6,FIND({0,1,2,3,4,5,6,7,8,9},C81,ROW(INDIRECT("1:"&amp;LEN(C81)))),1))," ",REPT(" ",LEN(C81))),LEN(C81)))</f>
        <v>14</v>
      </c>
      <c r="I82" s="40"/>
      <c r="J82" s="41"/>
    </row>
    <row r="83" spans="1:10" s="5" customFormat="1" ht="48.75" customHeight="1" x14ac:dyDescent="0.35">
      <c r="A83" s="175" t="s">
        <v>92</v>
      </c>
      <c r="B83" s="176"/>
      <c r="C83" s="177" t="str">
        <f ca="1">(IF($G$51="NA",I81,"All work Completed. OC Received."))</f>
        <v>Excavation work Completed. Plinth work completed, RCC Slab Completed, Brickwork Completed, Internal Plaster Completed, External Plaster upto 13 Floor Completed, Flooring upto 3 Floor Completed.</v>
      </c>
      <c r="D83" s="177"/>
      <c r="E83" s="177"/>
      <c r="F83" s="177"/>
      <c r="G83" s="177"/>
      <c r="H83" s="178"/>
      <c r="I83" s="40" t="s">
        <v>108</v>
      </c>
      <c r="J83" s="41"/>
    </row>
    <row r="84" spans="1:10" s="5" customFormat="1" ht="15.75" customHeight="1" x14ac:dyDescent="0.35">
      <c r="A84" s="72" t="s">
        <v>51</v>
      </c>
      <c r="B84" s="73"/>
      <c r="C84" s="65" t="s">
        <v>146</v>
      </c>
      <c r="D84" s="65" t="s">
        <v>85</v>
      </c>
      <c r="E84" s="73" t="s">
        <v>87</v>
      </c>
      <c r="F84" s="73"/>
      <c r="G84" s="73" t="s">
        <v>86</v>
      </c>
      <c r="H84" s="169"/>
      <c r="I84" s="43" t="s">
        <v>148</v>
      </c>
      <c r="J84" s="44">
        <f ca="1">H82*25%</f>
        <v>3.5</v>
      </c>
    </row>
    <row r="85" spans="1:10" s="5" customFormat="1" x14ac:dyDescent="0.35">
      <c r="A85" s="72" t="s">
        <v>135</v>
      </c>
      <c r="B85" s="73"/>
      <c r="C85" s="45">
        <f ca="1">J86</f>
        <v>14</v>
      </c>
      <c r="D85" s="66">
        <f ca="1">((100/H82)*C85)/100</f>
        <v>1</v>
      </c>
      <c r="E85" s="68">
        <f ca="1">(((C86/H82*10)+(40/(D82+F82+H82)*C87)+(7.5/(H82)*C88)+(7.5/(H82)*C89)+(10/H82*C90)+(10/H82*C91)+(5/H82*C92)+(5/H82*C93)+(5/H82*C94))/100)</f>
        <v>0.76428571428571435</v>
      </c>
      <c r="F85" s="68"/>
      <c r="G85" s="68">
        <f ca="1">((((C85/H82)*20)+((C86/H82)*25)+(30/(H82+F82+D82)*C87)+(5/H82*C88)+(5/H82*C89)+(5/H82*C90)+(5/H82*C91)+(0/H82*C92)+(0/H82*C93)+(5/H82*C94))/100)</f>
        <v>0.90714285714285703</v>
      </c>
      <c r="H85" s="70"/>
      <c r="I85" s="43" t="s">
        <v>103</v>
      </c>
      <c r="J85" s="47">
        <f ca="1">H82*50%</f>
        <v>7</v>
      </c>
    </row>
    <row r="86" spans="1:10" s="5" customFormat="1" x14ac:dyDescent="0.35">
      <c r="A86" s="72" t="s">
        <v>52</v>
      </c>
      <c r="B86" s="73"/>
      <c r="C86" s="48">
        <v>14</v>
      </c>
      <c r="D86" s="66">
        <f ca="1">((100/H82)*C86)/100</f>
        <v>1</v>
      </c>
      <c r="E86" s="68"/>
      <c r="F86" s="68"/>
      <c r="G86" s="68"/>
      <c r="H86" s="70"/>
      <c r="I86" s="43" t="s">
        <v>104</v>
      </c>
      <c r="J86" s="47">
        <f ca="1">H82</f>
        <v>14</v>
      </c>
    </row>
    <row r="87" spans="1:10" s="5" customFormat="1" ht="15.75" customHeight="1" x14ac:dyDescent="0.35">
      <c r="A87" s="72" t="s">
        <v>136</v>
      </c>
      <c r="B87" s="73"/>
      <c r="C87" s="48">
        <v>15</v>
      </c>
      <c r="D87" s="66">
        <f ca="1">((100/(D82+F82+H82))*C87)/100</f>
        <v>1</v>
      </c>
      <c r="E87" s="68"/>
      <c r="F87" s="68"/>
      <c r="G87" s="68"/>
      <c r="H87" s="70"/>
      <c r="I87" s="43" t="s">
        <v>105</v>
      </c>
      <c r="J87" s="49">
        <f ca="1">(IF(B82&gt;1,(H82/(B82+2)),H82/4))</f>
        <v>3.5</v>
      </c>
    </row>
    <row r="88" spans="1:10" s="5" customFormat="1" ht="15.75" customHeight="1" x14ac:dyDescent="0.35">
      <c r="A88" s="72" t="s">
        <v>143</v>
      </c>
      <c r="B88" s="73" t="s">
        <v>137</v>
      </c>
      <c r="C88" s="48">
        <f>C87-1</f>
        <v>14</v>
      </c>
      <c r="D88" s="66">
        <f ca="1">((100/H82)*C88)/100</f>
        <v>1</v>
      </c>
      <c r="E88" s="68"/>
      <c r="F88" s="68"/>
      <c r="G88" s="68"/>
      <c r="H88" s="70"/>
      <c r="I88" s="43" t="s">
        <v>106</v>
      </c>
      <c r="J88" s="49">
        <f ca="1">(IF(B82&gt;1,(H82/(B82+2)+J87),H82/4+J87))</f>
        <v>7</v>
      </c>
    </row>
    <row r="89" spans="1:10" s="5" customFormat="1" ht="15.75" customHeight="1" x14ac:dyDescent="0.35">
      <c r="A89" s="72" t="s">
        <v>144</v>
      </c>
      <c r="B89" s="73" t="s">
        <v>137</v>
      </c>
      <c r="C89" s="48">
        <v>14</v>
      </c>
      <c r="D89" s="66">
        <f ca="1">((100/H82)*C89)/100</f>
        <v>1</v>
      </c>
      <c r="E89" s="68"/>
      <c r="F89" s="68"/>
      <c r="G89" s="68"/>
      <c r="H89" s="70"/>
      <c r="I89" s="43" t="s">
        <v>153</v>
      </c>
      <c r="J89" s="49">
        <f>(IF(B82&gt;1,(H82/(B82+2)+J88),0))</f>
        <v>0</v>
      </c>
    </row>
    <row r="90" spans="1:10" s="5" customFormat="1" ht="15" customHeight="1" x14ac:dyDescent="0.35">
      <c r="A90" s="72" t="s">
        <v>142</v>
      </c>
      <c r="B90" s="73" t="s">
        <v>139</v>
      </c>
      <c r="C90" s="48">
        <v>13</v>
      </c>
      <c r="D90" s="66">
        <f ca="1">((100/(H82))*C90)/100</f>
        <v>0.9285714285714286</v>
      </c>
      <c r="E90" s="68"/>
      <c r="F90" s="68"/>
      <c r="G90" s="68"/>
      <c r="H90" s="70"/>
      <c r="I90" s="43" t="s">
        <v>150</v>
      </c>
      <c r="J90" s="49">
        <f>(IF(B82&gt;2,(H82/(B82+2)+J89),0))</f>
        <v>0</v>
      </c>
    </row>
    <row r="91" spans="1:10" s="5" customFormat="1" ht="15.75" customHeight="1" x14ac:dyDescent="0.35">
      <c r="A91" s="72" t="s">
        <v>138</v>
      </c>
      <c r="B91" s="73" t="s">
        <v>138</v>
      </c>
      <c r="C91" s="45">
        <v>3</v>
      </c>
      <c r="D91" s="66">
        <f ca="1">((100/H82)*C91)/100</f>
        <v>0.2142857142857143</v>
      </c>
      <c r="E91" s="68"/>
      <c r="F91" s="68"/>
      <c r="G91" s="68"/>
      <c r="H91" s="70"/>
      <c r="I91" s="43" t="s">
        <v>151</v>
      </c>
      <c r="J91" s="50">
        <f>(IF(B82&gt;3,(H82/(B82+2)+J90),0))</f>
        <v>0</v>
      </c>
    </row>
    <row r="92" spans="1:10" s="5" customFormat="1" ht="15.75" customHeight="1" x14ac:dyDescent="0.35">
      <c r="A92" s="72" t="s">
        <v>145</v>
      </c>
      <c r="B92" s="73"/>
      <c r="C92" s="45">
        <v>0</v>
      </c>
      <c r="D92" s="66">
        <f ca="1">((100/H82)*C92)/100</f>
        <v>0</v>
      </c>
      <c r="E92" s="68"/>
      <c r="F92" s="68"/>
      <c r="G92" s="68"/>
      <c r="H92" s="70"/>
      <c r="I92" s="43" t="s">
        <v>152</v>
      </c>
      <c r="J92" s="49">
        <f>(IF(B82&gt;4,(H82/(B82+2)+J91),0))</f>
        <v>0</v>
      </c>
    </row>
    <row r="93" spans="1:10" s="5" customFormat="1" ht="15.75" customHeight="1" x14ac:dyDescent="0.35">
      <c r="A93" s="72" t="s">
        <v>140</v>
      </c>
      <c r="B93" s="73" t="s">
        <v>140</v>
      </c>
      <c r="C93" s="45">
        <v>0</v>
      </c>
      <c r="D93" s="66">
        <f ca="1">((100/(H82))*C93)/100</f>
        <v>0</v>
      </c>
      <c r="E93" s="68"/>
      <c r="F93" s="68"/>
      <c r="G93" s="68"/>
      <c r="H93" s="70"/>
      <c r="I93" s="43" t="s">
        <v>154</v>
      </c>
      <c r="J93" s="49">
        <f ca="1">(IF(B82=1,(H82/(B82+3)+J88),IF(B82=0,(H82/4+J88),IF(B82&gt;1,0))))</f>
        <v>10.5</v>
      </c>
    </row>
    <row r="94" spans="1:10" s="5" customFormat="1" ht="16" thickBot="1" x14ac:dyDescent="0.4">
      <c r="A94" s="199" t="s">
        <v>141</v>
      </c>
      <c r="B94" s="200"/>
      <c r="C94" s="201">
        <v>0</v>
      </c>
      <c r="D94" s="202">
        <f ca="1">((100/(H82))*C94)/100</f>
        <v>0</v>
      </c>
      <c r="E94" s="203"/>
      <c r="F94" s="203"/>
      <c r="G94" s="203"/>
      <c r="H94" s="204"/>
      <c r="I94" s="53" t="s">
        <v>107</v>
      </c>
      <c r="J94" s="54">
        <f ca="1">(IF(B82&gt;1.5,(H82/(B82+2)+J88+MAX(0,J89-J88)+MAX(0,J90-J89)+MAX(0,J91-J90)+MAX(0,J92-J91)+MAX(0,J93-J92)),IF(B82=1,(H82/(B82+3)+J93),IF(B82=0,H82/4+J93))))</f>
        <v>14</v>
      </c>
    </row>
    <row r="95" spans="1:10" ht="15.75" customHeight="1" x14ac:dyDescent="0.35">
      <c r="A95" s="207" t="s">
        <v>147</v>
      </c>
      <c r="B95" s="207"/>
      <c r="C95" s="207" t="s">
        <v>233</v>
      </c>
      <c r="D95" s="207"/>
      <c r="E95" s="207"/>
      <c r="F95" s="207"/>
      <c r="G95" s="207"/>
      <c r="H95" s="207"/>
      <c r="I95" s="33" t="str">
        <f ca="1"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 Completed",IF(C101&gt;0,", RCC upto "&amp;C101&amp;" Slab Completed",""))&amp;(IF(C102=H96,", Brickwork Completed",IF(C102&gt;0,", Brickwork upto "&amp;C102&amp;" Floor Completed",""))&amp;(IF(C103=H96,", Internal Plaster Completed",IF(C103&gt;0,", Internal Plaster upto "&amp;C103&amp;" Floor Completed",""))&amp;(IF(C104=H96,", External Plaster Completed",IF(C104&gt;0,", External Plaster upto "&amp;C104&amp;" Floor Completed",""))&amp;(IF(C105=H96,", Flooring Completed",IF(C105&gt;0,", Flooring upto "&amp;C105&amp;" Floor Completed",""))&amp;(IF(C106=H96,", Painting Completed",IF(C106&gt;0,", Painting upto "&amp;C106&amp;" Floor Completed",""))&amp;(IF(C107&gt;0,", Finishing upto "&amp;C107&amp;" Floor Completed","")&amp;(IF(C101&gt;0.5,".",""))))))))))))))</f>
        <v>Excavation work Completed. Plinth work completed</v>
      </c>
      <c r="J95" s="15"/>
    </row>
    <row r="96" spans="1:10" s="5" customFormat="1" x14ac:dyDescent="0.35">
      <c r="A96" s="67" t="s">
        <v>149</v>
      </c>
      <c r="B96" s="67">
        <v>0</v>
      </c>
      <c r="C96" s="67" t="s">
        <v>75</v>
      </c>
      <c r="D96" s="67">
        <v>1</v>
      </c>
      <c r="E96" s="67" t="s">
        <v>74</v>
      </c>
      <c r="F96" s="67">
        <v>0</v>
      </c>
      <c r="G96" s="67" t="s">
        <v>82</v>
      </c>
      <c r="H96" s="67">
        <f ca="1">--TRIM(RIGHT(SUBSTITUTE(LEFT(C95,_xlfn.AGGREGATE(16,6,FIND({0,1,2,3,4,5,6,7,8,9},C95,ROW(INDIRECT("1:"&amp;LEN(C95)))),1))," ",REPT(" ",LEN(C95))),LEN(C95)))</f>
        <v>14</v>
      </c>
      <c r="I96" s="40"/>
      <c r="J96" s="41"/>
    </row>
    <row r="97" spans="1:12" s="5" customFormat="1" x14ac:dyDescent="0.35">
      <c r="A97" s="176" t="s">
        <v>92</v>
      </c>
      <c r="B97" s="176"/>
      <c r="C97" s="177" t="str">
        <f ca="1">(IF($G$51="NA",I95,"All work Completed. OC Received."))</f>
        <v>Excavation work Completed. Plinth work completed</v>
      </c>
      <c r="D97" s="177"/>
      <c r="E97" s="177"/>
      <c r="F97" s="177"/>
      <c r="G97" s="177"/>
      <c r="H97" s="177"/>
      <c r="I97" s="40" t="s">
        <v>108</v>
      </c>
      <c r="J97" s="41"/>
    </row>
    <row r="98" spans="1:12" s="5" customFormat="1" ht="15.75" customHeight="1" x14ac:dyDescent="0.35">
      <c r="A98" s="73" t="s">
        <v>51</v>
      </c>
      <c r="B98" s="73"/>
      <c r="C98" s="65" t="s">
        <v>146</v>
      </c>
      <c r="D98" s="65" t="s">
        <v>85</v>
      </c>
      <c r="E98" s="73" t="s">
        <v>87</v>
      </c>
      <c r="F98" s="73"/>
      <c r="G98" s="73" t="s">
        <v>86</v>
      </c>
      <c r="H98" s="73"/>
      <c r="I98" s="43" t="s">
        <v>148</v>
      </c>
      <c r="J98" s="44">
        <f ca="1">H96*25%</f>
        <v>3.5</v>
      </c>
    </row>
    <row r="99" spans="1:12" s="5" customFormat="1" x14ac:dyDescent="0.35">
      <c r="A99" s="73" t="s">
        <v>135</v>
      </c>
      <c r="B99" s="73"/>
      <c r="C99" s="45">
        <f ca="1">J100</f>
        <v>14</v>
      </c>
      <c r="D99" s="66">
        <f ca="1">((100/H96)*C99)/100</f>
        <v>1</v>
      </c>
      <c r="E99" s="68">
        <f ca="1">(((C100/H96*10)+(40/(D96+F96+H96)*C101)+(7.5/(H96)*C102)+(7.5/(H96)*C103)+(10/H96*C104)+(10/H96*C105)+(5/H96*C106)+(5/H96*C107)+(5/H96*C108))/100)</f>
        <v>0.1</v>
      </c>
      <c r="F99" s="68"/>
      <c r="G99" s="68">
        <f ca="1">((((C99/H96)*20)+((C100/H96)*25)+(30/(H96+F96+D96)*C101)+(5/H96*C102)+(5/H96*C103)+(5/H96*C104)+(5/H96*C105)+(0/H96*C106)+(0/H96*C107)+(5/H96*C108))/100)</f>
        <v>0.45</v>
      </c>
      <c r="H99" s="68"/>
      <c r="I99" s="43" t="s">
        <v>103</v>
      </c>
      <c r="J99" s="47">
        <f ca="1">H96*50%</f>
        <v>7</v>
      </c>
    </row>
    <row r="100" spans="1:12" s="5" customFormat="1" x14ac:dyDescent="0.35">
      <c r="A100" s="73" t="s">
        <v>52</v>
      </c>
      <c r="B100" s="73"/>
      <c r="C100" s="48">
        <f ca="1">J108</f>
        <v>14</v>
      </c>
      <c r="D100" s="66">
        <f ca="1">((100/H96)*C100)/100</f>
        <v>1</v>
      </c>
      <c r="E100" s="68"/>
      <c r="F100" s="68"/>
      <c r="G100" s="68"/>
      <c r="H100" s="68"/>
      <c r="I100" s="43" t="s">
        <v>104</v>
      </c>
      <c r="J100" s="47">
        <f ca="1">H96</f>
        <v>14</v>
      </c>
    </row>
    <row r="101" spans="1:12" s="5" customFormat="1" ht="15.75" customHeight="1" x14ac:dyDescent="0.35">
      <c r="A101" s="73" t="s">
        <v>136</v>
      </c>
      <c r="B101" s="73"/>
      <c r="C101" s="48">
        <v>0</v>
      </c>
      <c r="D101" s="66">
        <f ca="1">((100/(D96+F96+H96))*C101)/100</f>
        <v>0</v>
      </c>
      <c r="E101" s="68"/>
      <c r="F101" s="68"/>
      <c r="G101" s="68"/>
      <c r="H101" s="68"/>
      <c r="I101" s="43" t="s">
        <v>105</v>
      </c>
      <c r="J101" s="49">
        <f ca="1">(IF(B96&gt;1,(H96/(B96+2)),H96/4))</f>
        <v>3.5</v>
      </c>
    </row>
    <row r="102" spans="1:12" s="5" customFormat="1" ht="15.75" customHeight="1" x14ac:dyDescent="0.35">
      <c r="A102" s="73" t="s">
        <v>143</v>
      </c>
      <c r="B102" s="73" t="s">
        <v>137</v>
      </c>
      <c r="C102" s="45">
        <v>0</v>
      </c>
      <c r="D102" s="66">
        <f ca="1">((100/H96)*C102)/100</f>
        <v>0</v>
      </c>
      <c r="E102" s="68"/>
      <c r="F102" s="68"/>
      <c r="G102" s="68"/>
      <c r="H102" s="68"/>
      <c r="I102" s="43" t="s">
        <v>106</v>
      </c>
      <c r="J102" s="49">
        <f ca="1">(IF(B96&gt;1,(H96/(B96+2)+J101),H96/4+J101))</f>
        <v>7</v>
      </c>
    </row>
    <row r="103" spans="1:12" s="5" customFormat="1" ht="15.75" customHeight="1" x14ac:dyDescent="0.35">
      <c r="A103" s="73" t="s">
        <v>144</v>
      </c>
      <c r="B103" s="73" t="s">
        <v>137</v>
      </c>
      <c r="C103" s="45">
        <v>0</v>
      </c>
      <c r="D103" s="66">
        <f ca="1">((100/H96)*C103)/100</f>
        <v>0</v>
      </c>
      <c r="E103" s="68"/>
      <c r="F103" s="68"/>
      <c r="G103" s="68"/>
      <c r="H103" s="68"/>
      <c r="I103" s="43" t="s">
        <v>153</v>
      </c>
      <c r="J103" s="49">
        <f>(IF(B96&gt;1,(H96/(B96+2)+J102),0))</f>
        <v>0</v>
      </c>
    </row>
    <row r="104" spans="1:12" s="5" customFormat="1" ht="15" customHeight="1" x14ac:dyDescent="0.35">
      <c r="A104" s="73" t="s">
        <v>142</v>
      </c>
      <c r="B104" s="73" t="s">
        <v>139</v>
      </c>
      <c r="C104" s="45">
        <v>0</v>
      </c>
      <c r="D104" s="66">
        <f ca="1">((100/(H96))*C104)/100</f>
        <v>0</v>
      </c>
      <c r="E104" s="68"/>
      <c r="F104" s="68"/>
      <c r="G104" s="68"/>
      <c r="H104" s="68"/>
      <c r="I104" s="43" t="s">
        <v>150</v>
      </c>
      <c r="J104" s="49">
        <f>(IF(B96&gt;2,(H96/(B96+2)+J103),0))</f>
        <v>0</v>
      </c>
    </row>
    <row r="105" spans="1:12" s="5" customFormat="1" ht="15.75" customHeight="1" x14ac:dyDescent="0.35">
      <c r="A105" s="73" t="s">
        <v>138</v>
      </c>
      <c r="B105" s="73" t="s">
        <v>138</v>
      </c>
      <c r="C105" s="45">
        <v>0</v>
      </c>
      <c r="D105" s="66">
        <f ca="1">((100/H96)*C105)/100</f>
        <v>0</v>
      </c>
      <c r="E105" s="68"/>
      <c r="F105" s="68"/>
      <c r="G105" s="68"/>
      <c r="H105" s="68"/>
      <c r="I105" s="43" t="s">
        <v>151</v>
      </c>
      <c r="J105" s="50">
        <f>(IF(B96&gt;3,(H96/(B96+2)+J104),0))</f>
        <v>0</v>
      </c>
    </row>
    <row r="106" spans="1:12" s="5" customFormat="1" ht="15.75" customHeight="1" x14ac:dyDescent="0.35">
      <c r="A106" s="73" t="s">
        <v>145</v>
      </c>
      <c r="B106" s="73"/>
      <c r="C106" s="45">
        <v>0</v>
      </c>
      <c r="D106" s="66">
        <f ca="1">((100/H96)*C106)/100</f>
        <v>0</v>
      </c>
      <c r="E106" s="68"/>
      <c r="F106" s="68"/>
      <c r="G106" s="68"/>
      <c r="H106" s="68"/>
      <c r="I106" s="43" t="s">
        <v>152</v>
      </c>
      <c r="J106" s="49">
        <f>(IF(B96&gt;4,(H96/(B96+2)+J105),0))</f>
        <v>0</v>
      </c>
    </row>
    <row r="107" spans="1:12" s="5" customFormat="1" ht="15.75" customHeight="1" x14ac:dyDescent="0.35">
      <c r="A107" s="73" t="s">
        <v>140</v>
      </c>
      <c r="B107" s="73" t="s">
        <v>140</v>
      </c>
      <c r="C107" s="45">
        <v>0</v>
      </c>
      <c r="D107" s="66">
        <f ca="1">((100/(H96))*C107)/100</f>
        <v>0</v>
      </c>
      <c r="E107" s="68"/>
      <c r="F107" s="68"/>
      <c r="G107" s="68"/>
      <c r="H107" s="68"/>
      <c r="I107" s="43" t="s">
        <v>154</v>
      </c>
      <c r="J107" s="49">
        <f ca="1">(IF(B96=1,(H96/(B96+3)+J102),IF(B96=0,(H96/4+J102),IF(B96&gt;1,0))))</f>
        <v>10.5</v>
      </c>
    </row>
    <row r="108" spans="1:12" s="5" customFormat="1" ht="16" thickBot="1" x14ac:dyDescent="0.4">
      <c r="A108" s="73" t="s">
        <v>141</v>
      </c>
      <c r="B108" s="73"/>
      <c r="C108" s="45">
        <v>0</v>
      </c>
      <c r="D108" s="66">
        <f ca="1">((100/(H96))*C108)/100</f>
        <v>0</v>
      </c>
      <c r="E108" s="68"/>
      <c r="F108" s="68"/>
      <c r="G108" s="68"/>
      <c r="H108" s="68"/>
      <c r="I108" s="53" t="s">
        <v>107</v>
      </c>
      <c r="J108" s="54">
        <f ca="1">(IF(B96&gt;1.5,(H96/(B96+2)+J102+MAX(0,J103-J102)+MAX(0,J104-J103)+MAX(0,J105-J104)+MAX(0,J106-J105)+MAX(0,J107-J106)),IF(B96=1,(H96/(B96+3)+J107),IF(B96=0,H96/4+J107))))</f>
        <v>14</v>
      </c>
    </row>
    <row r="109" spans="1:12" s="62" customFormat="1" x14ac:dyDescent="0.35">
      <c r="A109" s="205" t="s">
        <v>163</v>
      </c>
      <c r="B109" s="205"/>
      <c r="C109" s="205"/>
      <c r="D109" s="205"/>
      <c r="E109" s="205"/>
      <c r="F109" s="206" t="s">
        <v>168</v>
      </c>
      <c r="G109" s="206"/>
      <c r="H109" s="206"/>
    </row>
    <row r="110" spans="1:12" x14ac:dyDescent="0.35">
      <c r="A110" s="112" t="s">
        <v>166</v>
      </c>
      <c r="B110" s="112"/>
      <c r="C110" s="112"/>
      <c r="D110" s="112"/>
      <c r="E110" s="112"/>
      <c r="F110" s="184">
        <v>6800</v>
      </c>
      <c r="G110" s="184"/>
      <c r="H110" s="184"/>
      <c r="I110" s="60" t="s">
        <v>234</v>
      </c>
      <c r="J110" s="59">
        <v>45106</v>
      </c>
      <c r="K110" s="3" t="s">
        <v>236</v>
      </c>
      <c r="L110" s="60" t="s">
        <v>237</v>
      </c>
    </row>
    <row r="111" spans="1:12" hidden="1" x14ac:dyDescent="0.35">
      <c r="A111" s="112" t="s">
        <v>165</v>
      </c>
      <c r="B111" s="112"/>
      <c r="C111" s="112"/>
      <c r="D111" s="112"/>
      <c r="E111" s="112"/>
      <c r="F111" s="111"/>
      <c r="G111" s="111"/>
      <c r="H111" s="111"/>
    </row>
    <row r="112" spans="1:12" hidden="1" x14ac:dyDescent="0.35">
      <c r="A112" s="112" t="s">
        <v>167</v>
      </c>
      <c r="B112" s="112"/>
      <c r="C112" s="112"/>
      <c r="D112" s="112"/>
      <c r="E112" s="112"/>
      <c r="F112" s="111"/>
      <c r="G112" s="111"/>
      <c r="H112" s="111"/>
    </row>
    <row r="113" spans="1:13" s="7" customFormat="1" hidden="1" x14ac:dyDescent="0.3">
      <c r="A113" s="112" t="s">
        <v>164</v>
      </c>
      <c r="B113" s="112"/>
      <c r="C113" s="112"/>
      <c r="D113" s="112"/>
      <c r="E113" s="112"/>
      <c r="F113" s="111"/>
      <c r="G113" s="111"/>
      <c r="H113" s="111"/>
    </row>
    <row r="114" spans="1:13" s="7" customFormat="1" hidden="1" x14ac:dyDescent="0.3">
      <c r="A114" s="112" t="s">
        <v>97</v>
      </c>
      <c r="B114" s="112"/>
      <c r="C114" s="112"/>
      <c r="D114" s="112"/>
      <c r="E114" s="112"/>
      <c r="F114" s="111"/>
      <c r="G114" s="111"/>
      <c r="H114" s="111"/>
    </row>
    <row r="115" spans="1:13" s="7" customFormat="1" hidden="1" x14ac:dyDescent="0.3">
      <c r="A115" s="112" t="s">
        <v>98</v>
      </c>
      <c r="B115" s="112"/>
      <c r="C115" s="112"/>
      <c r="D115" s="112"/>
      <c r="E115" s="112"/>
      <c r="F115" s="111"/>
      <c r="G115" s="111"/>
      <c r="H115" s="111"/>
    </row>
    <row r="116" spans="1:13" s="7" customFormat="1" hidden="1" x14ac:dyDescent="0.3">
      <c r="A116" s="112" t="s">
        <v>99</v>
      </c>
      <c r="B116" s="112"/>
      <c r="C116" s="112"/>
      <c r="D116" s="112"/>
      <c r="E116" s="112"/>
      <c r="F116" s="111"/>
      <c r="G116" s="111"/>
      <c r="H116" s="111"/>
    </row>
    <row r="117" spans="1:13" s="7" customFormat="1" hidden="1" x14ac:dyDescent="0.3">
      <c r="A117" s="112" t="s">
        <v>100</v>
      </c>
      <c r="B117" s="112"/>
      <c r="C117" s="112"/>
      <c r="D117" s="112"/>
      <c r="E117" s="112"/>
      <c r="F117" s="111"/>
      <c r="G117" s="111"/>
      <c r="H117" s="111"/>
    </row>
    <row r="118" spans="1:13" s="7" customFormat="1" hidden="1" x14ac:dyDescent="0.3">
      <c r="A118" s="112" t="s">
        <v>101</v>
      </c>
      <c r="B118" s="112"/>
      <c r="C118" s="112"/>
      <c r="D118" s="112"/>
      <c r="E118" s="112"/>
      <c r="F118" s="111"/>
      <c r="G118" s="111"/>
      <c r="H118" s="111"/>
    </row>
    <row r="119" spans="1:13" s="7" customFormat="1" hidden="1" x14ac:dyDescent="0.3">
      <c r="A119" s="112" t="s">
        <v>102</v>
      </c>
      <c r="B119" s="112"/>
      <c r="C119" s="112"/>
      <c r="D119" s="112"/>
      <c r="E119" s="112"/>
      <c r="F119" s="111"/>
      <c r="G119" s="111"/>
      <c r="H119" s="111"/>
    </row>
    <row r="120" spans="1:13" s="7" customFormat="1" x14ac:dyDescent="0.3">
      <c r="A120" s="112" t="s">
        <v>213</v>
      </c>
      <c r="B120" s="112"/>
      <c r="C120" s="112"/>
      <c r="D120" s="112"/>
      <c r="E120" s="112"/>
      <c r="F120" s="111">
        <v>95000</v>
      </c>
      <c r="G120" s="111"/>
      <c r="H120" s="111"/>
      <c r="I120" s="7" t="s">
        <v>238</v>
      </c>
      <c r="J120" s="61">
        <v>45128</v>
      </c>
      <c r="K120" s="7" t="s">
        <v>239</v>
      </c>
      <c r="L120" s="7" t="s">
        <v>240</v>
      </c>
      <c r="M120" s="7" t="s">
        <v>241</v>
      </c>
    </row>
    <row r="121" spans="1:13" x14ac:dyDescent="0.35">
      <c r="A121" s="112" t="s">
        <v>53</v>
      </c>
      <c r="B121" s="112"/>
      <c r="C121" s="112"/>
      <c r="D121" s="112"/>
      <c r="E121" s="112"/>
      <c r="F121" s="111">
        <v>300000</v>
      </c>
      <c r="G121" s="111"/>
      <c r="H121" s="111"/>
    </row>
    <row r="122" spans="1:13" s="4" customFormat="1" x14ac:dyDescent="0.35">
      <c r="A122" s="127" t="s">
        <v>54</v>
      </c>
      <c r="B122" s="127"/>
      <c r="C122" s="127"/>
      <c r="D122" s="127"/>
      <c r="E122" s="127"/>
      <c r="F122" s="111">
        <f>F110*0.8</f>
        <v>5440</v>
      </c>
      <c r="G122" s="111"/>
      <c r="H122" s="111"/>
    </row>
    <row r="123" spans="1:13" s="1" customFormat="1" ht="15.75" customHeight="1" x14ac:dyDescent="0.35">
      <c r="A123" s="162" t="s">
        <v>73</v>
      </c>
      <c r="B123" s="162"/>
      <c r="C123" s="162"/>
      <c r="D123" s="162"/>
      <c r="E123" s="162"/>
      <c r="F123" s="162"/>
      <c r="G123" s="162"/>
      <c r="H123" s="162"/>
    </row>
    <row r="124" spans="1:13" s="1" customFormat="1" ht="15.75" customHeight="1" x14ac:dyDescent="0.35">
      <c r="A124" s="168" t="s">
        <v>55</v>
      </c>
      <c r="B124" s="168"/>
      <c r="C124" s="125" t="s">
        <v>80</v>
      </c>
      <c r="D124" s="125"/>
      <c r="E124" s="101" t="s">
        <v>56</v>
      </c>
      <c r="F124" s="101"/>
      <c r="G124" s="168" t="s">
        <v>57</v>
      </c>
      <c r="H124" s="168"/>
    </row>
    <row r="125" spans="1:13" s="1" customFormat="1" x14ac:dyDescent="0.35">
      <c r="A125" s="97" t="s">
        <v>195</v>
      </c>
      <c r="B125" s="97"/>
      <c r="C125" s="166">
        <f>COUNT(D152:D161)+COUNT(D163:D169,D171:D179)+COUNT(D181:D197)*12+COUNT(D199:D207,D209:D215)</f>
        <v>246</v>
      </c>
      <c r="D125" s="98"/>
      <c r="E125" s="167">
        <f>SUM(D152:D161)+SUM(D163:D169,D171:D179)+SUM(D181:D197)*12+SUM(D199:D207,D209:D215)</f>
        <v>120097.34404199997</v>
      </c>
      <c r="F125" s="92"/>
      <c r="G125" s="167">
        <f>SUM(F152:F161)+SUM(F163:F169,F171:F179)+SUM(F181:F197)*12+SUM(F199:F207,F209:F215)</f>
        <v>180146.01606299993</v>
      </c>
      <c r="H125" s="92"/>
    </row>
    <row r="126" spans="1:13" s="1" customFormat="1" x14ac:dyDescent="0.35">
      <c r="A126" s="97" t="s">
        <v>194</v>
      </c>
      <c r="B126" s="97"/>
      <c r="C126" s="166">
        <f>COUNT(D221:D225,D227:D233)+COUNT(D235:D252)*12+COUNT(D254:D263,D265:D271)</f>
        <v>245</v>
      </c>
      <c r="D126" s="98"/>
      <c r="E126" s="167">
        <f>SUM(D221:D225,D227:D233)+SUM(D235:D252)*12+SUM(D254:D263,D265:D271)</f>
        <v>106835.49863999999</v>
      </c>
      <c r="F126" s="92"/>
      <c r="G126" s="167">
        <f>SUM(F221:F225,F227:F233)+SUM(F235:F252)*12+SUM(F254:F263,F265:F271)</f>
        <v>160253.24796000004</v>
      </c>
      <c r="H126" s="92"/>
    </row>
    <row r="127" spans="1:13" s="1" customFormat="1" x14ac:dyDescent="0.35">
      <c r="A127" s="97" t="s">
        <v>200</v>
      </c>
      <c r="B127" s="97"/>
      <c r="C127" s="166">
        <f>COUNT(D278:D281,D283:D289)+COUNT(D294:D305)*2+COUNT(D307:D324)+COUNT(D326:D343)*9+COUNT(D345:D358,D360:D362)</f>
        <v>232</v>
      </c>
      <c r="D127" s="98"/>
      <c r="E127" s="167">
        <f>SUM(D278:D281,D283:D289)+SUM(D294:D305)*2+SUM(D307:D324)+SUM(D326:D343)*9+SUM(D345:D358,D360:D362)</f>
        <v>103204.04796</v>
      </c>
      <c r="F127" s="92"/>
      <c r="G127" s="167">
        <f>SUM(F278:F281,F283:F289)+SUM(F294:F305)*2+SUM(F307:F324)+SUM(F326:F343)*9+SUM(F345:F358,F360:F362)</f>
        <v>154806.07193999999</v>
      </c>
      <c r="H127" s="92"/>
    </row>
    <row r="128" spans="1:13" s="1" customFormat="1" x14ac:dyDescent="0.35">
      <c r="A128" s="97" t="s">
        <v>201</v>
      </c>
      <c r="B128" s="97"/>
      <c r="C128" s="166">
        <f>COUNT(D366:D368,D370:D373)+COUNT(D375:D382)*2+COUNT(D384:D397)+COUNT(D399:D412)*9+COUNT(D414,D416:D427)</f>
        <v>176</v>
      </c>
      <c r="D128" s="98"/>
      <c r="E128" s="167">
        <f>SUM(D366:D368,D370:D373)+SUM(D375:D382)*2+SUM(D384:D397)+SUM(D399:D412)*9+SUM(D414,D416:D427)</f>
        <v>101442.17491199999</v>
      </c>
      <c r="F128" s="92"/>
      <c r="G128" s="167">
        <f>SUM(F366:F368,F370:F373)+SUM(F375:F382)+SUM(F384:F397)+SUM(F399:F412)*9+SUM(F414,F416:F427)</f>
        <v>145260.49215599999</v>
      </c>
      <c r="H128" s="92"/>
    </row>
    <row r="129" spans="1:14" s="1" customFormat="1" x14ac:dyDescent="0.35">
      <c r="A129" s="162" t="s">
        <v>157</v>
      </c>
      <c r="B129" s="162"/>
      <c r="C129" s="185">
        <f>SUM(C125:D128)</f>
        <v>899</v>
      </c>
      <c r="D129" s="125"/>
      <c r="E129" s="195">
        <f>SUM(E125:F128)</f>
        <v>431579.06555399997</v>
      </c>
      <c r="F129" s="101"/>
      <c r="G129" s="168">
        <f>SUM(G125:H128)</f>
        <v>640465.82811899995</v>
      </c>
      <c r="H129" s="168"/>
    </row>
    <row r="130" spans="1:14" s="1" customFormat="1" hidden="1" x14ac:dyDescent="0.35">
      <c r="A130" s="162" t="s">
        <v>73</v>
      </c>
      <c r="B130" s="162"/>
      <c r="C130" s="162"/>
      <c r="D130" s="162"/>
      <c r="E130" s="162"/>
      <c r="F130" s="162"/>
      <c r="G130" s="162"/>
      <c r="H130" s="162"/>
    </row>
    <row r="131" spans="1:14" s="1" customFormat="1" ht="15.75" hidden="1" customHeight="1" x14ac:dyDescent="0.35">
      <c r="A131" s="168" t="s">
        <v>55</v>
      </c>
      <c r="B131" s="168"/>
      <c r="C131" s="125" t="s">
        <v>80</v>
      </c>
      <c r="D131" s="125"/>
      <c r="E131" s="101" t="s">
        <v>56</v>
      </c>
      <c r="F131" s="101"/>
      <c r="G131" s="168" t="s">
        <v>57</v>
      </c>
      <c r="H131" s="168"/>
    </row>
    <row r="132" spans="1:14" s="1" customFormat="1" hidden="1" x14ac:dyDescent="0.35">
      <c r="A132" s="97"/>
      <c r="B132" s="97"/>
      <c r="C132" s="98"/>
      <c r="D132" s="98"/>
      <c r="E132" s="92"/>
      <c r="F132" s="92"/>
      <c r="G132" s="93"/>
      <c r="H132" s="93"/>
    </row>
    <row r="133" spans="1:14" s="1" customFormat="1" hidden="1" x14ac:dyDescent="0.35">
      <c r="A133" s="97"/>
      <c r="B133" s="97"/>
      <c r="C133" s="98"/>
      <c r="D133" s="98"/>
      <c r="E133" s="92"/>
      <c r="F133" s="92"/>
      <c r="G133" s="93"/>
      <c r="H133" s="93"/>
    </row>
    <row r="134" spans="1:14" s="1" customFormat="1" hidden="1" x14ac:dyDescent="0.35">
      <c r="A134" s="162" t="s">
        <v>157</v>
      </c>
      <c r="B134" s="162"/>
      <c r="C134" s="125"/>
      <c r="D134" s="125"/>
      <c r="E134" s="101"/>
      <c r="F134" s="101"/>
      <c r="G134" s="168"/>
      <c r="H134" s="168"/>
    </row>
    <row r="135" spans="1:14" s="4" customFormat="1" hidden="1" x14ac:dyDescent="0.35">
      <c r="A135" s="94" t="s">
        <v>58</v>
      </c>
      <c r="B135" s="94"/>
      <c r="C135" s="94"/>
      <c r="D135" s="94"/>
      <c r="E135" s="94"/>
      <c r="F135" s="94"/>
      <c r="G135" s="94"/>
      <c r="H135" s="94"/>
    </row>
    <row r="136" spans="1:14" x14ac:dyDescent="0.35">
      <c r="A136" s="94" t="s">
        <v>59</v>
      </c>
      <c r="B136" s="94"/>
      <c r="C136" s="94"/>
      <c r="D136" s="94"/>
      <c r="E136" s="94"/>
      <c r="F136" s="94"/>
      <c r="G136" s="94"/>
      <c r="H136" s="94"/>
    </row>
    <row r="137" spans="1:14" ht="47.25" hidden="1" customHeight="1" x14ac:dyDescent="0.35">
      <c r="A137" s="95" t="s">
        <v>125</v>
      </c>
      <c r="B137" s="95" t="s">
        <v>124</v>
      </c>
      <c r="C137" s="95" t="s">
        <v>60</v>
      </c>
      <c r="D137" s="95" t="s">
        <v>61</v>
      </c>
      <c r="E137" s="104" t="s">
        <v>162</v>
      </c>
      <c r="F137" s="28" t="s">
        <v>156</v>
      </c>
      <c r="G137" s="99" t="s">
        <v>63</v>
      </c>
      <c r="H137" s="102"/>
    </row>
    <row r="138" spans="1:14" s="2" customFormat="1" hidden="1" x14ac:dyDescent="0.35">
      <c r="A138" s="96"/>
      <c r="B138" s="96"/>
      <c r="C138" s="96"/>
      <c r="D138" s="96"/>
      <c r="E138" s="105"/>
      <c r="F138" s="29">
        <v>0.6</v>
      </c>
      <c r="G138" s="100"/>
      <c r="H138" s="103"/>
    </row>
    <row r="139" spans="1:14" s="2" customFormat="1" ht="15.75" hidden="1" customHeight="1" x14ac:dyDescent="0.35">
      <c r="A139" s="163" t="s">
        <v>123</v>
      </c>
      <c r="B139" s="164"/>
      <c r="C139" s="164"/>
      <c r="D139" s="164"/>
      <c r="E139" s="164"/>
      <c r="F139" s="164"/>
      <c r="G139" s="164"/>
      <c r="H139" s="165"/>
      <c r="J139" s="30"/>
    </row>
    <row r="140" spans="1:14" s="2" customFormat="1" ht="15.75" hidden="1" customHeight="1" x14ac:dyDescent="0.35">
      <c r="A140" s="77">
        <v>1</v>
      </c>
      <c r="B140" s="79"/>
      <c r="C140" s="14"/>
      <c r="D140" s="14"/>
      <c r="E140" s="14">
        <v>0</v>
      </c>
      <c r="F140" s="14">
        <f>(D140+E140)*(($F$138)+1)</f>
        <v>0</v>
      </c>
      <c r="G140" s="77" t="str">
        <f>A139</f>
        <v>Ground Floor</v>
      </c>
      <c r="H140" s="79"/>
      <c r="I140" s="30"/>
      <c r="L140" s="90"/>
      <c r="M140" s="90"/>
      <c r="N140" s="30"/>
    </row>
    <row r="141" spans="1:14" s="2" customFormat="1" ht="15.75" hidden="1" customHeight="1" x14ac:dyDescent="0.35">
      <c r="A141" s="77">
        <f t="shared" ref="A141:A146" si="0">A140+1</f>
        <v>2</v>
      </c>
      <c r="B141" s="79"/>
      <c r="C141" s="14"/>
      <c r="D141" s="14"/>
      <c r="E141" s="14">
        <v>0</v>
      </c>
      <c r="F141" s="14">
        <f t="shared" ref="F141:F146" si="1">(D141+E141)*(($F$138)+1)</f>
        <v>0</v>
      </c>
      <c r="G141" s="77" t="str">
        <f t="shared" ref="G141:G146" si="2">G140</f>
        <v>Ground Floor</v>
      </c>
      <c r="H141" s="79"/>
      <c r="I141" s="30"/>
      <c r="L141" s="90"/>
      <c r="M141" s="90"/>
      <c r="N141" s="30"/>
    </row>
    <row r="142" spans="1:14" s="2" customFormat="1" ht="15.75" hidden="1" customHeight="1" x14ac:dyDescent="0.35">
      <c r="A142" s="77">
        <f t="shared" si="0"/>
        <v>3</v>
      </c>
      <c r="B142" s="79"/>
      <c r="C142" s="14"/>
      <c r="D142" s="14"/>
      <c r="E142" s="14">
        <v>0</v>
      </c>
      <c r="F142" s="14">
        <f t="shared" si="1"/>
        <v>0</v>
      </c>
      <c r="G142" s="77" t="str">
        <f t="shared" si="2"/>
        <v>Ground Floor</v>
      </c>
      <c r="H142" s="79"/>
      <c r="I142" s="30"/>
      <c r="L142" s="90"/>
      <c r="M142" s="90"/>
      <c r="N142" s="30"/>
    </row>
    <row r="143" spans="1:14" s="2" customFormat="1" ht="15.75" hidden="1" customHeight="1" x14ac:dyDescent="0.35">
      <c r="A143" s="77">
        <f t="shared" si="0"/>
        <v>4</v>
      </c>
      <c r="B143" s="79"/>
      <c r="C143" s="14"/>
      <c r="D143" s="14"/>
      <c r="E143" s="14">
        <v>0</v>
      </c>
      <c r="F143" s="14">
        <f t="shared" si="1"/>
        <v>0</v>
      </c>
      <c r="G143" s="77" t="str">
        <f t="shared" si="2"/>
        <v>Ground Floor</v>
      </c>
      <c r="H143" s="79"/>
      <c r="I143" s="30"/>
      <c r="L143" s="90"/>
      <c r="M143" s="90"/>
      <c r="N143" s="30"/>
    </row>
    <row r="144" spans="1:14" s="2" customFormat="1" ht="15.75" hidden="1" customHeight="1" x14ac:dyDescent="0.35">
      <c r="A144" s="77">
        <f t="shared" si="0"/>
        <v>5</v>
      </c>
      <c r="B144" s="79"/>
      <c r="C144" s="14"/>
      <c r="D144" s="14"/>
      <c r="E144" s="14">
        <v>0</v>
      </c>
      <c r="F144" s="14">
        <f t="shared" si="1"/>
        <v>0</v>
      </c>
      <c r="G144" s="77" t="str">
        <f t="shared" si="2"/>
        <v>Ground Floor</v>
      </c>
      <c r="H144" s="79"/>
      <c r="I144" s="30"/>
      <c r="L144" s="90"/>
      <c r="M144" s="90"/>
      <c r="N144" s="30"/>
    </row>
    <row r="145" spans="1:14" s="2" customFormat="1" ht="15.75" hidden="1" customHeight="1" x14ac:dyDescent="0.35">
      <c r="A145" s="77">
        <f t="shared" si="0"/>
        <v>6</v>
      </c>
      <c r="B145" s="79"/>
      <c r="C145" s="14"/>
      <c r="D145" s="14"/>
      <c r="E145" s="14">
        <v>0</v>
      </c>
      <c r="F145" s="14">
        <f t="shared" si="1"/>
        <v>0</v>
      </c>
      <c r="G145" s="77" t="str">
        <f t="shared" si="2"/>
        <v>Ground Floor</v>
      </c>
      <c r="H145" s="79"/>
      <c r="I145" s="30"/>
      <c r="L145" s="90"/>
      <c r="M145" s="90"/>
      <c r="N145" s="30"/>
    </row>
    <row r="146" spans="1:14" s="2" customFormat="1" ht="15.75" hidden="1" customHeight="1" x14ac:dyDescent="0.35">
      <c r="A146" s="77">
        <f t="shared" si="0"/>
        <v>7</v>
      </c>
      <c r="B146" s="79"/>
      <c r="C146" s="14"/>
      <c r="D146" s="14"/>
      <c r="E146" s="14">
        <v>0</v>
      </c>
      <c r="F146" s="14">
        <f t="shared" si="1"/>
        <v>0</v>
      </c>
      <c r="G146" s="77" t="str">
        <f t="shared" si="2"/>
        <v>Ground Floor</v>
      </c>
      <c r="H146" s="79"/>
      <c r="I146" s="30"/>
      <c r="L146" s="90"/>
      <c r="M146" s="90"/>
      <c r="N146" s="30"/>
    </row>
    <row r="147" spans="1:14" s="2" customFormat="1" hidden="1" x14ac:dyDescent="0.35">
      <c r="A147" s="77"/>
      <c r="B147" s="78"/>
      <c r="C147" s="78"/>
      <c r="D147" s="78"/>
      <c r="E147" s="78"/>
      <c r="F147" s="78"/>
      <c r="G147" s="78"/>
      <c r="H147" s="79"/>
      <c r="I147" s="30"/>
      <c r="N147" s="30"/>
    </row>
    <row r="148" spans="1:14" ht="47.25" customHeight="1" x14ac:dyDescent="0.35">
      <c r="A148" s="99" t="s">
        <v>126</v>
      </c>
      <c r="B148" s="99" t="s">
        <v>127</v>
      </c>
      <c r="C148" s="95" t="s">
        <v>60</v>
      </c>
      <c r="D148" s="95" t="s">
        <v>61</v>
      </c>
      <c r="E148" s="104" t="s">
        <v>62</v>
      </c>
      <c r="F148" s="28" t="s">
        <v>156</v>
      </c>
      <c r="G148" s="99" t="s">
        <v>63</v>
      </c>
      <c r="H148" s="102"/>
      <c r="I148" s="30"/>
    </row>
    <row r="149" spans="1:14" s="2" customFormat="1" x14ac:dyDescent="0.35">
      <c r="A149" s="100"/>
      <c r="B149" s="100"/>
      <c r="C149" s="96"/>
      <c r="D149" s="96"/>
      <c r="E149" s="105"/>
      <c r="F149" s="29">
        <v>0.5</v>
      </c>
      <c r="G149" s="100"/>
      <c r="H149" s="103"/>
      <c r="I149" s="30"/>
    </row>
    <row r="150" spans="1:14" s="2" customFormat="1" x14ac:dyDescent="0.35">
      <c r="A150" s="91" t="s">
        <v>171</v>
      </c>
      <c r="B150" s="91"/>
      <c r="C150" s="91"/>
      <c r="D150" s="91"/>
      <c r="E150" s="91"/>
      <c r="F150" s="91"/>
      <c r="G150" s="91"/>
      <c r="H150" s="91"/>
      <c r="I150" s="30"/>
      <c r="L150" s="90"/>
      <c r="M150" s="90"/>
    </row>
    <row r="151" spans="1:14" s="2" customFormat="1" x14ac:dyDescent="0.35">
      <c r="A151" s="91" t="s">
        <v>210</v>
      </c>
      <c r="B151" s="91"/>
      <c r="C151" s="91"/>
      <c r="D151" s="91"/>
      <c r="E151" s="91"/>
      <c r="F151" s="91"/>
      <c r="G151" s="91"/>
      <c r="H151" s="91"/>
      <c r="I151" s="30"/>
      <c r="L151" s="90"/>
      <c r="M151" s="90"/>
    </row>
    <row r="152" spans="1:14" s="2" customFormat="1" ht="15.75" customHeight="1" x14ac:dyDescent="0.35">
      <c r="A152" s="77">
        <v>1</v>
      </c>
      <c r="B152" s="79"/>
      <c r="C152" s="14" t="s">
        <v>172</v>
      </c>
      <c r="D152" s="14">
        <f>(41.53+1.4*1)*10.764</f>
        <v>462.09851999999995</v>
      </c>
      <c r="E152" s="14">
        <v>0</v>
      </c>
      <c r="F152" s="14">
        <f t="shared" ref="F152:F153" si="3">D152*(($F$149)+1)+(IF(E152&lt;101,E152,IF(E152&lt;201,E152/2,IF(E152&lt;=301,E152/3,E152/4))))</f>
        <v>693.1477799999999</v>
      </c>
      <c r="G152" s="80" t="str">
        <f>A151</f>
        <v>Ground Floor For Residential &amp; Parking</v>
      </c>
      <c r="H152" s="81"/>
      <c r="I152" s="30">
        <f>3.05*3.5+1.6*0.9+0.6*1.6+2.75*3.81+2.15*1.78+1.83*2.75+0.83*0.4+0.9*0.5+1.93*1+1.83*1.2+1.33*1.95+1*1.85</f>
        <v>41.763500000000001</v>
      </c>
      <c r="N152" s="30"/>
    </row>
    <row r="153" spans="1:14" s="2" customFormat="1" ht="15.75" customHeight="1" x14ac:dyDescent="0.35">
      <c r="A153" s="77">
        <f>A152+1</f>
        <v>2</v>
      </c>
      <c r="B153" s="79"/>
      <c r="C153" s="14" t="s">
        <v>172</v>
      </c>
      <c r="D153" s="14">
        <f>(41.53+1.4*1)*10.764</f>
        <v>462.09851999999995</v>
      </c>
      <c r="E153" s="14">
        <v>0</v>
      </c>
      <c r="F153" s="14">
        <f t="shared" si="3"/>
        <v>693.1477799999999</v>
      </c>
      <c r="G153" s="82"/>
      <c r="H153" s="83"/>
      <c r="I153" s="30"/>
      <c r="N153" s="30"/>
    </row>
    <row r="154" spans="1:14" s="2" customFormat="1" ht="15.75" customHeight="1" x14ac:dyDescent="0.35">
      <c r="A154" s="77">
        <f>A153+1</f>
        <v>3</v>
      </c>
      <c r="B154" s="79"/>
      <c r="C154" s="14" t="s">
        <v>172</v>
      </c>
      <c r="D154" s="14">
        <f>(41.9+1*1.4)*10.764</f>
        <v>466.08119999999997</v>
      </c>
      <c r="E154" s="14">
        <v>0</v>
      </c>
      <c r="F154" s="14">
        <f>D154*(($F$149)+1)+(IF(E154&lt;101,E154,IF(E154&lt;201,E154/2,IF(E154&lt;=301,E154/3,E154/4))))</f>
        <v>699.12179999999989</v>
      </c>
      <c r="G154" s="82"/>
      <c r="H154" s="83"/>
      <c r="I154" s="30"/>
      <c r="N154" s="30"/>
    </row>
    <row r="155" spans="1:14" s="2" customFormat="1" ht="15.75" customHeight="1" x14ac:dyDescent="0.35">
      <c r="A155" s="77">
        <v>11</v>
      </c>
      <c r="B155" s="79"/>
      <c r="C155" s="14" t="s">
        <v>190</v>
      </c>
      <c r="D155" s="14">
        <f>(58.83+1.22*1.7)*10.764</f>
        <v>655.57065599999987</v>
      </c>
      <c r="E155" s="14">
        <v>0</v>
      </c>
      <c r="F155" s="14">
        <f t="shared" ref="F155:F157" si="4">D155*(($F$149)+1)+(IF(E155&lt;101,E155,IF(E155&lt;201,E155/2,IF(E155&lt;=301,E155/3,E155/4))))</f>
        <v>983.35598399999981</v>
      </c>
      <c r="G155" s="82"/>
      <c r="H155" s="83"/>
      <c r="I155" s="30">
        <f>5412425/F155</f>
        <v>5504.0342338527944</v>
      </c>
      <c r="N155" s="30"/>
    </row>
    <row r="156" spans="1:14" s="2" customFormat="1" ht="15.75" customHeight="1" x14ac:dyDescent="0.35">
      <c r="A156" s="77">
        <f>A155+1</f>
        <v>12</v>
      </c>
      <c r="B156" s="79"/>
      <c r="C156" s="14" t="s">
        <v>172</v>
      </c>
      <c r="D156" s="14">
        <f>(41.53+1.4*1)*10.764</f>
        <v>462.09851999999995</v>
      </c>
      <c r="E156" s="14">
        <v>0</v>
      </c>
      <c r="F156" s="14">
        <f t="shared" si="4"/>
        <v>693.1477799999999</v>
      </c>
      <c r="G156" s="82"/>
      <c r="H156" s="83"/>
      <c r="I156" s="30"/>
      <c r="N156" s="30"/>
    </row>
    <row r="157" spans="1:14" s="2" customFormat="1" ht="15.75" customHeight="1" x14ac:dyDescent="0.35">
      <c r="A157" s="77">
        <f>A156+1</f>
        <v>13</v>
      </c>
      <c r="B157" s="79"/>
      <c r="C157" s="14" t="s">
        <v>172</v>
      </c>
      <c r="D157" s="14">
        <f>(41.53+1.4*1)*10.764</f>
        <v>462.09851999999995</v>
      </c>
      <c r="E157" s="14">
        <v>0</v>
      </c>
      <c r="F157" s="14">
        <f t="shared" si="4"/>
        <v>693.1477799999999</v>
      </c>
      <c r="G157" s="82"/>
      <c r="H157" s="83"/>
      <c r="N157" s="30"/>
    </row>
    <row r="158" spans="1:14" s="2" customFormat="1" ht="15.75" customHeight="1" x14ac:dyDescent="0.35">
      <c r="A158" s="77">
        <v>14</v>
      </c>
      <c r="B158" s="79"/>
      <c r="C158" s="14" t="s">
        <v>172</v>
      </c>
      <c r="D158" s="14">
        <f>(41.53+1.4*1)*10.764</f>
        <v>462.09851999999995</v>
      </c>
      <c r="E158" s="14">
        <v>0</v>
      </c>
      <c r="F158" s="14">
        <f t="shared" ref="F158:F160" si="5">D158*(($F$149)+1)+(IF(E158&lt;101,E158,IF(E158&lt;201,E158/2,IF(E158&lt;=301,E158/3,E158/4))))</f>
        <v>693.1477799999999</v>
      </c>
      <c r="G158" s="82"/>
      <c r="H158" s="83"/>
      <c r="I158" s="30"/>
      <c r="N158" s="30"/>
    </row>
    <row r="159" spans="1:14" s="2" customFormat="1" ht="15.75" customHeight="1" x14ac:dyDescent="0.35">
      <c r="A159" s="77">
        <f>A158+1</f>
        <v>15</v>
      </c>
      <c r="B159" s="79"/>
      <c r="C159" s="14" t="s">
        <v>191</v>
      </c>
      <c r="D159" s="14">
        <f>(78.16+1.35*4.85)*10.764</f>
        <v>911.79152999999985</v>
      </c>
      <c r="E159" s="14">
        <v>0</v>
      </c>
      <c r="F159" s="14">
        <f t="shared" si="5"/>
        <v>1367.6872949999997</v>
      </c>
      <c r="G159" s="82"/>
      <c r="H159" s="83"/>
      <c r="I159" s="30"/>
      <c r="N159" s="30"/>
    </row>
    <row r="160" spans="1:14" s="2" customFormat="1" ht="15.75" customHeight="1" x14ac:dyDescent="0.35">
      <c r="A160" s="77">
        <f>A159+1</f>
        <v>16</v>
      </c>
      <c r="B160" s="79"/>
      <c r="C160" s="14" t="s">
        <v>172</v>
      </c>
      <c r="D160" s="14">
        <f>(41.53+1.4*1)*10.764</f>
        <v>462.09851999999995</v>
      </c>
      <c r="E160" s="14">
        <v>0</v>
      </c>
      <c r="F160" s="14">
        <f t="shared" si="5"/>
        <v>693.1477799999999</v>
      </c>
      <c r="G160" s="82"/>
      <c r="H160" s="83"/>
      <c r="N160" s="30"/>
    </row>
    <row r="161" spans="1:14" s="2" customFormat="1" ht="15.75" customHeight="1" x14ac:dyDescent="0.35">
      <c r="A161" s="77">
        <f>A160+1</f>
        <v>17</v>
      </c>
      <c r="B161" s="79"/>
      <c r="C161" s="14" t="s">
        <v>172</v>
      </c>
      <c r="D161" s="14">
        <f>(41.53+1.4*1)*10.764</f>
        <v>462.09851999999995</v>
      </c>
      <c r="E161" s="14">
        <v>0</v>
      </c>
      <c r="F161" s="14">
        <f t="shared" ref="F161" si="6">D161*(($F$149)+1)+(IF(E161&lt;101,E161,IF(E161&lt;201,E161/2,IF(E161&lt;=301,E161/3,E161/4))))</f>
        <v>693.1477799999999</v>
      </c>
      <c r="G161" s="84"/>
      <c r="H161" s="85"/>
      <c r="N161" s="30"/>
    </row>
    <row r="162" spans="1:14" s="2" customFormat="1" x14ac:dyDescent="0.35">
      <c r="A162" s="91" t="s">
        <v>224</v>
      </c>
      <c r="B162" s="91"/>
      <c r="C162" s="91"/>
      <c r="D162" s="91"/>
      <c r="E162" s="91"/>
      <c r="F162" s="91"/>
      <c r="G162" s="91"/>
      <c r="H162" s="91"/>
      <c r="I162" s="30"/>
      <c r="L162" s="90"/>
      <c r="M162" s="90"/>
    </row>
    <row r="163" spans="1:14" s="2" customFormat="1" ht="15.75" customHeight="1" x14ac:dyDescent="0.35">
      <c r="A163" s="76">
        <v>1</v>
      </c>
      <c r="B163" s="76"/>
      <c r="C163" s="63" t="s">
        <v>172</v>
      </c>
      <c r="D163" s="63">
        <f>(41.53+1.4*1)*10.764</f>
        <v>462.09851999999995</v>
      </c>
      <c r="E163" s="63">
        <v>0</v>
      </c>
      <c r="F163" s="63">
        <f t="shared" ref="F163:F164" si="7">D163*(($F$149)+1)+(IF(E163&lt;101,E163,IF(E163&lt;201,E163/2,IF(E163&lt;=301,E163/3,E163/4))))</f>
        <v>693.1477799999999</v>
      </c>
      <c r="G163" s="76" t="str">
        <f>A162</f>
        <v>1st Floor</v>
      </c>
      <c r="H163" s="76"/>
      <c r="I163" s="30"/>
      <c r="N163" s="30"/>
    </row>
    <row r="164" spans="1:14" s="2" customFormat="1" ht="15.75" customHeight="1" x14ac:dyDescent="0.35">
      <c r="A164" s="76">
        <f>A163+1</f>
        <v>2</v>
      </c>
      <c r="B164" s="76"/>
      <c r="C164" s="63" t="s">
        <v>172</v>
      </c>
      <c r="D164" s="63">
        <f>(41.53+1.4*1)*10.764</f>
        <v>462.09851999999995</v>
      </c>
      <c r="E164" s="63">
        <v>0</v>
      </c>
      <c r="F164" s="63">
        <f t="shared" si="7"/>
        <v>693.1477799999999</v>
      </c>
      <c r="G164" s="76"/>
      <c r="H164" s="76"/>
      <c r="I164" s="30"/>
      <c r="N164" s="30"/>
    </row>
    <row r="165" spans="1:14" s="2" customFormat="1" ht="15.75" customHeight="1" x14ac:dyDescent="0.35">
      <c r="A165" s="76">
        <f>A164+1</f>
        <v>3</v>
      </c>
      <c r="B165" s="76"/>
      <c r="C165" s="63" t="s">
        <v>172</v>
      </c>
      <c r="D165" s="63">
        <f>(41.9+1*1.4)*10.764</f>
        <v>466.08119999999997</v>
      </c>
      <c r="E165" s="63">
        <v>0</v>
      </c>
      <c r="F165" s="63">
        <f>D165*(($F$149)+1)+(IF(E165&lt;101,E165,IF(E165&lt;201,E165/2,IF(E165&lt;=301,E165/3,E165/4))))</f>
        <v>699.12179999999989</v>
      </c>
      <c r="G165" s="76"/>
      <c r="H165" s="76"/>
      <c r="I165" s="30"/>
      <c r="N165" s="30"/>
    </row>
    <row r="166" spans="1:14" s="2" customFormat="1" ht="15.75" customHeight="1" x14ac:dyDescent="0.35">
      <c r="A166" s="76">
        <v>4</v>
      </c>
      <c r="B166" s="76"/>
      <c r="C166" s="63" t="s">
        <v>172</v>
      </c>
      <c r="D166" s="63">
        <f>(37.99+1*1.7)*10.764</f>
        <v>427.22316000000001</v>
      </c>
      <c r="E166" s="63">
        <v>0</v>
      </c>
      <c r="F166" s="63">
        <f>D166*(($F$149)+1)+(IF(E166&lt;101,E166,IF(E166&lt;201,E166/2,IF(E166&lt;=301,E166/3,E166/4))))</f>
        <v>640.83474000000001</v>
      </c>
      <c r="G166" s="76"/>
      <c r="H166" s="76"/>
      <c r="I166" s="30"/>
      <c r="N166" s="30"/>
    </row>
    <row r="167" spans="1:14" s="2" customFormat="1" ht="15.75" customHeight="1" x14ac:dyDescent="0.35">
      <c r="A167" s="76">
        <f>A166+1</f>
        <v>5</v>
      </c>
      <c r="B167" s="76"/>
      <c r="C167" s="63" t="s">
        <v>172</v>
      </c>
      <c r="D167" s="63">
        <f>36.89*10.764</f>
        <v>397.08395999999999</v>
      </c>
      <c r="E167" s="63">
        <v>0</v>
      </c>
      <c r="F167" s="63">
        <f>D167*(($F$149)+1)+(IF(E167&lt;101,E167,IF(E167&lt;201,E167/2,IF(E167&lt;=301,E167/3,E167/4))))</f>
        <v>595.62594000000001</v>
      </c>
      <c r="G167" s="76"/>
      <c r="H167" s="76"/>
      <c r="I167" s="30">
        <f>3207269/F167</f>
        <v>5384.7033592929147</v>
      </c>
      <c r="N167" s="30"/>
    </row>
    <row r="168" spans="1:14" s="2" customFormat="1" ht="15.75" customHeight="1" x14ac:dyDescent="0.35">
      <c r="A168" s="76">
        <f>A167+1</f>
        <v>6</v>
      </c>
      <c r="B168" s="76"/>
      <c r="C168" s="63" t="s">
        <v>172</v>
      </c>
      <c r="D168" s="63">
        <f>36.89*10.764</f>
        <v>397.08395999999999</v>
      </c>
      <c r="E168" s="63">
        <v>0</v>
      </c>
      <c r="F168" s="63">
        <f>D168*(($F$149)+1)+(IF(E168&lt;101,E168,IF(E168&lt;201,E168/2,IF(E168&lt;=301,E168/3,E168/4))))</f>
        <v>595.62594000000001</v>
      </c>
      <c r="G168" s="76"/>
      <c r="H168" s="76"/>
      <c r="N168" s="30"/>
    </row>
    <row r="169" spans="1:14" s="2" customFormat="1" ht="15.75" customHeight="1" x14ac:dyDescent="0.35">
      <c r="A169" s="76">
        <v>7</v>
      </c>
      <c r="B169" s="76"/>
      <c r="C169" s="63" t="s">
        <v>172</v>
      </c>
      <c r="D169" s="63">
        <f>36.89*10.764</f>
        <v>397.08395999999999</v>
      </c>
      <c r="E169" s="63">
        <v>0</v>
      </c>
      <c r="F169" s="63">
        <f>D169*(($F$149)+1)+(IF(E169&lt;101,E169,IF(E169&lt;201,E169/2,IF(E169&lt;=301,E169/3,E169/4))))</f>
        <v>595.62594000000001</v>
      </c>
      <c r="G169" s="76"/>
      <c r="H169" s="76"/>
      <c r="I169" s="30">
        <f>3205000/F169</f>
        <v>5380.8939214433813</v>
      </c>
      <c r="N169" s="30"/>
    </row>
    <row r="170" spans="1:14" s="2" customFormat="1" ht="15.75" customHeight="1" x14ac:dyDescent="0.35">
      <c r="A170" s="76">
        <f>A169+1</f>
        <v>8</v>
      </c>
      <c r="B170" s="76"/>
      <c r="C170" s="76" t="s">
        <v>193</v>
      </c>
      <c r="D170" s="76"/>
      <c r="E170" s="76"/>
      <c r="F170" s="76"/>
      <c r="G170" s="76"/>
      <c r="H170" s="76"/>
      <c r="I170" s="30"/>
      <c r="N170" s="30"/>
    </row>
    <row r="171" spans="1:14" s="2" customFormat="1" ht="15.75" customHeight="1" x14ac:dyDescent="0.35">
      <c r="A171" s="76">
        <f>A170+1</f>
        <v>9</v>
      </c>
      <c r="B171" s="76"/>
      <c r="C171" s="63" t="s">
        <v>172</v>
      </c>
      <c r="D171" s="63">
        <f>36.89*10.764</f>
        <v>397.08395999999999</v>
      </c>
      <c r="E171" s="63">
        <v>0</v>
      </c>
      <c r="F171" s="63">
        <f t="shared" ref="F171:F179" si="8">D171*(($F$149)+1)+(IF(E171&lt;101,E171,IF(E171&lt;201,E171/2,IF(E171&lt;=301,E171/3,E171/4))))</f>
        <v>595.62594000000001</v>
      </c>
      <c r="G171" s="76"/>
      <c r="H171" s="76"/>
      <c r="L171" s="90"/>
      <c r="M171" s="90"/>
    </row>
    <row r="172" spans="1:14" s="2" customFormat="1" ht="20.25" customHeight="1" x14ac:dyDescent="0.35">
      <c r="A172" s="76">
        <f>A171+1</f>
        <v>10</v>
      </c>
      <c r="B172" s="76"/>
      <c r="C172" s="63" t="s">
        <v>190</v>
      </c>
      <c r="D172" s="63">
        <f>(52.54+1.22*1.85)*10.764</f>
        <v>589.83490799999993</v>
      </c>
      <c r="E172" s="63">
        <v>0</v>
      </c>
      <c r="F172" s="63">
        <f t="shared" si="8"/>
        <v>884.75236199999995</v>
      </c>
      <c r="G172" s="76"/>
      <c r="H172" s="76"/>
      <c r="I172" s="2">
        <f>5340000/F172</f>
        <v>6035.5871646715086</v>
      </c>
      <c r="L172" s="90"/>
      <c r="M172" s="90"/>
    </row>
    <row r="173" spans="1:14" s="2" customFormat="1" ht="15.75" customHeight="1" x14ac:dyDescent="0.35">
      <c r="A173" s="76">
        <v>11</v>
      </c>
      <c r="B173" s="76"/>
      <c r="C173" s="63" t="s">
        <v>190</v>
      </c>
      <c r="D173" s="63">
        <f>(58.83+1.22*1.85)*10.764</f>
        <v>657.54046799999992</v>
      </c>
      <c r="E173" s="63">
        <v>0</v>
      </c>
      <c r="F173" s="63">
        <f t="shared" si="8"/>
        <v>986.31070199999988</v>
      </c>
      <c r="G173" s="76"/>
      <c r="H173" s="76"/>
      <c r="I173" s="30"/>
      <c r="L173" s="90"/>
      <c r="M173" s="90"/>
    </row>
    <row r="174" spans="1:14" s="2" customFormat="1" ht="15.75" customHeight="1" x14ac:dyDescent="0.35">
      <c r="A174" s="76">
        <f>A173+1</f>
        <v>12</v>
      </c>
      <c r="B174" s="76"/>
      <c r="C174" s="63" t="s">
        <v>172</v>
      </c>
      <c r="D174" s="63">
        <f>(41.53+1.4*1)*10.764</f>
        <v>462.09851999999995</v>
      </c>
      <c r="E174" s="63">
        <v>0</v>
      </c>
      <c r="F174" s="63">
        <f t="shared" si="8"/>
        <v>693.1477799999999</v>
      </c>
      <c r="G174" s="76"/>
      <c r="H174" s="76"/>
      <c r="I174" s="30"/>
      <c r="N174" s="30"/>
    </row>
    <row r="175" spans="1:14" s="2" customFormat="1" ht="15.75" customHeight="1" x14ac:dyDescent="0.35">
      <c r="A175" s="76">
        <v>13</v>
      </c>
      <c r="B175" s="76"/>
      <c r="C175" s="63" t="s">
        <v>172</v>
      </c>
      <c r="D175" s="63">
        <f>(41.53+1.4*1)*10.764</f>
        <v>462.09851999999995</v>
      </c>
      <c r="E175" s="63">
        <v>0</v>
      </c>
      <c r="F175" s="63">
        <f t="shared" si="8"/>
        <v>693.1477799999999</v>
      </c>
      <c r="G175" s="76"/>
      <c r="H175" s="76"/>
      <c r="I175" s="30"/>
      <c r="N175" s="30"/>
    </row>
    <row r="176" spans="1:14" s="2" customFormat="1" ht="15.75" customHeight="1" x14ac:dyDescent="0.35">
      <c r="A176" s="76">
        <f>A175+1</f>
        <v>14</v>
      </c>
      <c r="B176" s="76"/>
      <c r="C176" s="63" t="s">
        <v>172</v>
      </c>
      <c r="D176" s="63">
        <f>(41.53+1.4*1)*10.764</f>
        <v>462.09851999999995</v>
      </c>
      <c r="E176" s="63">
        <v>0</v>
      </c>
      <c r="F176" s="63">
        <f t="shared" si="8"/>
        <v>693.1477799999999</v>
      </c>
      <c r="G176" s="76"/>
      <c r="H176" s="76"/>
      <c r="I176" s="30"/>
      <c r="K176" s="58"/>
      <c r="L176" s="58"/>
      <c r="M176" s="58"/>
      <c r="N176" s="58"/>
    </row>
    <row r="177" spans="1:14" s="2" customFormat="1" ht="15.75" customHeight="1" x14ac:dyDescent="0.35">
      <c r="A177" s="76">
        <f>A176+1</f>
        <v>15</v>
      </c>
      <c r="B177" s="76"/>
      <c r="C177" s="63" t="s">
        <v>191</v>
      </c>
      <c r="D177" s="63">
        <f>(78.16+1.35*4.85)*10.764</f>
        <v>911.79152999999985</v>
      </c>
      <c r="E177" s="63">
        <v>0</v>
      </c>
      <c r="F177" s="63">
        <f t="shared" si="8"/>
        <v>1367.6872949999997</v>
      </c>
      <c r="G177" s="76"/>
      <c r="H177" s="76"/>
      <c r="N177" s="30"/>
    </row>
    <row r="178" spans="1:14" s="2" customFormat="1" ht="15.75" customHeight="1" x14ac:dyDescent="0.35">
      <c r="A178" s="76">
        <f>A177+1</f>
        <v>16</v>
      </c>
      <c r="B178" s="76"/>
      <c r="C178" s="63" t="s">
        <v>172</v>
      </c>
      <c r="D178" s="63">
        <f>(41.53+1.4*1)*10.764</f>
        <v>462.09851999999995</v>
      </c>
      <c r="E178" s="63">
        <v>0</v>
      </c>
      <c r="F178" s="63">
        <f t="shared" si="8"/>
        <v>693.1477799999999</v>
      </c>
      <c r="G178" s="76"/>
      <c r="H178" s="76"/>
      <c r="N178" s="30"/>
    </row>
    <row r="179" spans="1:14" s="2" customFormat="1" ht="15.75" customHeight="1" x14ac:dyDescent="0.35">
      <c r="A179" s="76">
        <v>17</v>
      </c>
      <c r="B179" s="76"/>
      <c r="C179" s="63" t="s">
        <v>172</v>
      </c>
      <c r="D179" s="63">
        <f>(41.53+1.4*1)*10.764</f>
        <v>462.09851999999995</v>
      </c>
      <c r="E179" s="63">
        <v>0</v>
      </c>
      <c r="F179" s="63">
        <f t="shared" si="8"/>
        <v>693.1477799999999</v>
      </c>
      <c r="G179" s="76"/>
      <c r="H179" s="76"/>
      <c r="I179" s="30"/>
      <c r="N179" s="30"/>
    </row>
    <row r="180" spans="1:14" s="2" customFormat="1" x14ac:dyDescent="0.35">
      <c r="A180" s="86" t="s">
        <v>225</v>
      </c>
      <c r="B180" s="86"/>
      <c r="C180" s="86"/>
      <c r="D180" s="86"/>
      <c r="E180" s="86"/>
      <c r="F180" s="86"/>
      <c r="G180" s="86"/>
      <c r="H180" s="86"/>
      <c r="I180" s="30"/>
    </row>
    <row r="181" spans="1:14" s="2" customFormat="1" ht="15.75" customHeight="1" x14ac:dyDescent="0.35">
      <c r="A181" s="76">
        <v>1</v>
      </c>
      <c r="B181" s="76"/>
      <c r="C181" s="14" t="s">
        <v>172</v>
      </c>
      <c r="D181" s="14">
        <f>(41.53+1.4*1)*10.764</f>
        <v>462.09851999999995</v>
      </c>
      <c r="E181" s="14">
        <v>0</v>
      </c>
      <c r="F181" s="14">
        <f>D181*(($F$149)+1)+(IF(E181&lt;101,E181,IF(E181&lt;201,E181/2,IF(E181&lt;=301,E181/3,E181/4))))</f>
        <v>693.1477799999999</v>
      </c>
      <c r="G181" s="80" t="str">
        <f>A180</f>
        <v xml:space="preserve">2nd to 8th &amp; 10th to 14th Floor </v>
      </c>
      <c r="H181" s="81"/>
      <c r="I181" s="30"/>
    </row>
    <row r="182" spans="1:14" s="2" customFormat="1" ht="15.75" customHeight="1" x14ac:dyDescent="0.35">
      <c r="A182" s="76">
        <f>A181+1</f>
        <v>2</v>
      </c>
      <c r="B182" s="76"/>
      <c r="C182" s="14" t="s">
        <v>172</v>
      </c>
      <c r="D182" s="14">
        <f>(41.53+1.4*1)*10.764</f>
        <v>462.09851999999995</v>
      </c>
      <c r="E182" s="14">
        <v>0</v>
      </c>
      <c r="F182" s="14">
        <f t="shared" ref="F182" si="9">D182*(($F$149)+1)+(IF(E182&lt;101,E182,IF(E182&lt;201,E182/2,IF(E182&lt;=301,E182/3,E182/4))))</f>
        <v>693.1477799999999</v>
      </c>
      <c r="G182" s="82"/>
      <c r="H182" s="83"/>
      <c r="I182" s="30"/>
    </row>
    <row r="183" spans="1:14" s="2" customFormat="1" ht="15.75" customHeight="1" x14ac:dyDescent="0.35">
      <c r="A183" s="76">
        <f t="shared" ref="A183:A197" si="10">A182+1</f>
        <v>3</v>
      </c>
      <c r="B183" s="76"/>
      <c r="C183" s="14" t="s">
        <v>172</v>
      </c>
      <c r="D183" s="14">
        <f>(41.9+1*1.4)*10.764</f>
        <v>466.08119999999997</v>
      </c>
      <c r="E183" s="14">
        <v>0</v>
      </c>
      <c r="F183" s="14">
        <f>D183*(($F$149)+1)+(IF(E183&lt;101,E183,IF(E183&lt;201,E183/2,IF(E183&lt;=301,E183/3,E183/4))))</f>
        <v>699.12179999999989</v>
      </c>
      <c r="G183" s="82"/>
      <c r="H183" s="83"/>
      <c r="I183" s="30"/>
    </row>
    <row r="184" spans="1:14" s="2" customFormat="1" ht="15.75" customHeight="1" x14ac:dyDescent="0.35">
      <c r="A184" s="76">
        <f t="shared" si="10"/>
        <v>4</v>
      </c>
      <c r="B184" s="76"/>
      <c r="C184" s="14" t="s">
        <v>172</v>
      </c>
      <c r="D184" s="14">
        <f>(37.99+1*1.7)*10.764</f>
        <v>427.22316000000001</v>
      </c>
      <c r="E184" s="14">
        <v>0</v>
      </c>
      <c r="F184" s="14">
        <f t="shared" ref="F184:F197" si="11">D184*(($F$149)+1)+(IF(E184&lt;101,E184,IF(E184&lt;201,E184/2,IF(E184&lt;=301,E184/3,E184/4))))</f>
        <v>640.83474000000001</v>
      </c>
      <c r="G184" s="82"/>
      <c r="H184" s="83"/>
      <c r="I184" s="30"/>
    </row>
    <row r="185" spans="1:14" s="2" customFormat="1" ht="15.75" customHeight="1" x14ac:dyDescent="0.35">
      <c r="A185" s="76">
        <f t="shared" si="10"/>
        <v>5</v>
      </c>
      <c r="B185" s="76"/>
      <c r="C185" s="14" t="s">
        <v>172</v>
      </c>
      <c r="D185" s="14">
        <f>36.89*10.764</f>
        <v>397.08395999999999</v>
      </c>
      <c r="E185" s="14">
        <v>0</v>
      </c>
      <c r="F185" s="14">
        <f t="shared" si="11"/>
        <v>595.62594000000001</v>
      </c>
      <c r="G185" s="82"/>
      <c r="H185" s="83"/>
      <c r="I185" s="30">
        <f>3603000/F185</f>
        <v>6049.0985332170048</v>
      </c>
    </row>
    <row r="186" spans="1:14" s="2" customFormat="1" ht="15.75" customHeight="1" x14ac:dyDescent="0.35">
      <c r="A186" s="76">
        <f t="shared" si="10"/>
        <v>6</v>
      </c>
      <c r="B186" s="76"/>
      <c r="C186" s="14" t="s">
        <v>172</v>
      </c>
      <c r="D186" s="14">
        <f>36.89*10.764</f>
        <v>397.08395999999999</v>
      </c>
      <c r="E186" s="14">
        <v>0</v>
      </c>
      <c r="F186" s="14">
        <f t="shared" si="11"/>
        <v>595.62594000000001</v>
      </c>
      <c r="G186" s="82"/>
      <c r="H186" s="83"/>
    </row>
    <row r="187" spans="1:14" s="2" customFormat="1" ht="15.75" customHeight="1" x14ac:dyDescent="0.35">
      <c r="A187" s="76">
        <f t="shared" si="10"/>
        <v>7</v>
      </c>
      <c r="B187" s="76"/>
      <c r="C187" s="14" t="s">
        <v>172</v>
      </c>
      <c r="D187" s="14">
        <f>36.89*10.764</f>
        <v>397.08395999999999</v>
      </c>
      <c r="E187" s="14">
        <v>0</v>
      </c>
      <c r="F187" s="14">
        <f t="shared" si="11"/>
        <v>595.62594000000001</v>
      </c>
      <c r="G187" s="82"/>
      <c r="H187" s="83"/>
      <c r="I187" s="30"/>
    </row>
    <row r="188" spans="1:14" s="2" customFormat="1" ht="15.75" customHeight="1" x14ac:dyDescent="0.35">
      <c r="A188" s="76">
        <f t="shared" si="10"/>
        <v>8</v>
      </c>
      <c r="B188" s="76"/>
      <c r="C188" s="14" t="s">
        <v>172</v>
      </c>
      <c r="D188" s="14">
        <f>36.89*10.764</f>
        <v>397.08395999999999</v>
      </c>
      <c r="E188" s="14">
        <v>0</v>
      </c>
      <c r="F188" s="14">
        <f t="shared" si="11"/>
        <v>595.62594000000001</v>
      </c>
      <c r="G188" s="82"/>
      <c r="H188" s="83"/>
      <c r="I188" s="30"/>
    </row>
    <row r="189" spans="1:14" s="2" customFormat="1" ht="15.75" customHeight="1" x14ac:dyDescent="0.35">
      <c r="A189" s="76">
        <v>9</v>
      </c>
      <c r="B189" s="76"/>
      <c r="C189" s="14" t="s">
        <v>172</v>
      </c>
      <c r="D189" s="14">
        <f>36.89*10.764</f>
        <v>397.08395999999999</v>
      </c>
      <c r="E189" s="14">
        <v>0</v>
      </c>
      <c r="F189" s="14">
        <f t="shared" si="11"/>
        <v>595.62594000000001</v>
      </c>
      <c r="G189" s="82"/>
      <c r="H189" s="83"/>
    </row>
    <row r="190" spans="1:14" s="2" customFormat="1" ht="15.75" customHeight="1" x14ac:dyDescent="0.35">
      <c r="A190" s="76">
        <v>10</v>
      </c>
      <c r="B190" s="76"/>
      <c r="C190" s="14" t="s">
        <v>190</v>
      </c>
      <c r="D190" s="14">
        <f>(52.54+1.22*1.85)*10.764</f>
        <v>589.83490799999993</v>
      </c>
      <c r="E190" s="14">
        <v>0</v>
      </c>
      <c r="F190" s="14">
        <f t="shared" si="11"/>
        <v>884.75236199999995</v>
      </c>
      <c r="G190" s="82"/>
      <c r="H190" s="83"/>
      <c r="I190" s="2">
        <f>5400000/F190</f>
        <v>6103.4027507914134</v>
      </c>
    </row>
    <row r="191" spans="1:14" s="2" customFormat="1" ht="15.75" customHeight="1" x14ac:dyDescent="0.35">
      <c r="A191" s="76">
        <v>11</v>
      </c>
      <c r="B191" s="76"/>
      <c r="C191" s="14" t="s">
        <v>190</v>
      </c>
      <c r="D191" s="14">
        <f>(58.83+1.22*1.85)*10.764</f>
        <v>657.54046799999992</v>
      </c>
      <c r="E191" s="14">
        <v>0</v>
      </c>
      <c r="F191" s="14">
        <f t="shared" si="11"/>
        <v>986.31070199999988</v>
      </c>
      <c r="G191" s="82"/>
      <c r="H191" s="83"/>
      <c r="I191" s="30"/>
    </row>
    <row r="192" spans="1:14" s="2" customFormat="1" ht="15.75" customHeight="1" x14ac:dyDescent="0.35">
      <c r="A192" s="76">
        <v>12</v>
      </c>
      <c r="B192" s="76"/>
      <c r="C192" s="14" t="s">
        <v>172</v>
      </c>
      <c r="D192" s="14">
        <f>(41.53+1.4*1)*10.764</f>
        <v>462.09851999999995</v>
      </c>
      <c r="E192" s="14">
        <v>0</v>
      </c>
      <c r="F192" s="14">
        <f t="shared" si="11"/>
        <v>693.1477799999999</v>
      </c>
      <c r="G192" s="82"/>
      <c r="H192" s="83"/>
      <c r="I192" s="30"/>
    </row>
    <row r="193" spans="1:9" s="2" customFormat="1" ht="15.75" customHeight="1" x14ac:dyDescent="0.35">
      <c r="A193" s="76">
        <f t="shared" si="10"/>
        <v>13</v>
      </c>
      <c r="B193" s="76"/>
      <c r="C193" s="14" t="s">
        <v>172</v>
      </c>
      <c r="D193" s="14">
        <f>(41.53+1.4*1)*10.764</f>
        <v>462.09851999999995</v>
      </c>
      <c r="E193" s="14">
        <v>0</v>
      </c>
      <c r="F193" s="14">
        <f t="shared" si="11"/>
        <v>693.1477799999999</v>
      </c>
      <c r="G193" s="82"/>
      <c r="H193" s="83"/>
      <c r="I193" s="30"/>
    </row>
    <row r="194" spans="1:9" s="2" customFormat="1" ht="15.75" customHeight="1" x14ac:dyDescent="0.35">
      <c r="A194" s="76">
        <f t="shared" si="10"/>
        <v>14</v>
      </c>
      <c r="B194" s="76"/>
      <c r="C194" s="14" t="s">
        <v>172</v>
      </c>
      <c r="D194" s="14">
        <f>(41.53+1.4*1)*10.764</f>
        <v>462.09851999999995</v>
      </c>
      <c r="E194" s="14">
        <v>0</v>
      </c>
      <c r="F194" s="14">
        <f t="shared" si="11"/>
        <v>693.1477799999999</v>
      </c>
      <c r="G194" s="82"/>
      <c r="H194" s="83"/>
      <c r="I194" s="30"/>
    </row>
    <row r="195" spans="1:9" s="2" customFormat="1" ht="15.75" customHeight="1" x14ac:dyDescent="0.35">
      <c r="A195" s="76">
        <f t="shared" si="10"/>
        <v>15</v>
      </c>
      <c r="B195" s="76"/>
      <c r="C195" s="14" t="s">
        <v>191</v>
      </c>
      <c r="D195" s="14">
        <f>(78.16+1.35*4.85)*10.764</f>
        <v>911.79152999999985</v>
      </c>
      <c r="E195" s="14">
        <v>0</v>
      </c>
      <c r="F195" s="14">
        <f t="shared" si="11"/>
        <v>1367.6872949999997</v>
      </c>
      <c r="G195" s="82"/>
      <c r="H195" s="83"/>
    </row>
    <row r="196" spans="1:9" s="2" customFormat="1" ht="15.75" customHeight="1" x14ac:dyDescent="0.35">
      <c r="A196" s="76">
        <f t="shared" si="10"/>
        <v>16</v>
      </c>
      <c r="B196" s="76"/>
      <c r="C196" s="14" t="s">
        <v>172</v>
      </c>
      <c r="D196" s="14">
        <f>(41.53+1.4*1)*10.764</f>
        <v>462.09851999999995</v>
      </c>
      <c r="E196" s="14">
        <v>0</v>
      </c>
      <c r="F196" s="14">
        <f t="shared" si="11"/>
        <v>693.1477799999999</v>
      </c>
      <c r="G196" s="82"/>
      <c r="H196" s="83"/>
    </row>
    <row r="197" spans="1:9" s="2" customFormat="1" ht="15.75" customHeight="1" x14ac:dyDescent="0.35">
      <c r="A197" s="76">
        <f t="shared" si="10"/>
        <v>17</v>
      </c>
      <c r="B197" s="76"/>
      <c r="C197" s="14" t="s">
        <v>172</v>
      </c>
      <c r="D197" s="14">
        <f>(41.53+1.4*1)*10.764</f>
        <v>462.09851999999995</v>
      </c>
      <c r="E197" s="14">
        <v>0</v>
      </c>
      <c r="F197" s="14">
        <f t="shared" si="11"/>
        <v>693.1477799999999</v>
      </c>
      <c r="G197" s="84"/>
      <c r="H197" s="85"/>
      <c r="I197" s="30"/>
    </row>
    <row r="198" spans="1:9" s="2" customFormat="1" x14ac:dyDescent="0.35">
      <c r="A198" s="86" t="s">
        <v>218</v>
      </c>
      <c r="B198" s="86"/>
      <c r="C198" s="86"/>
      <c r="D198" s="86"/>
      <c r="E198" s="86"/>
      <c r="F198" s="86"/>
      <c r="G198" s="86"/>
      <c r="H198" s="86"/>
      <c r="I198" s="30"/>
    </row>
    <row r="199" spans="1:9" s="2" customFormat="1" ht="15.75" customHeight="1" x14ac:dyDescent="0.35">
      <c r="A199" s="76">
        <v>1</v>
      </c>
      <c r="B199" s="76"/>
      <c r="C199" s="14" t="s">
        <v>172</v>
      </c>
      <c r="D199" s="14">
        <f>(41.53+1.4*1)*10.764</f>
        <v>462.09851999999995</v>
      </c>
      <c r="E199" s="14">
        <v>0</v>
      </c>
      <c r="F199" s="14">
        <f>D199*(($F$149)+1)+(IF(E199&lt;101,E199,IF(E199&lt;201,E199/2,IF(E199&lt;=301,E199/3,E199/4))))</f>
        <v>693.1477799999999</v>
      </c>
      <c r="G199" s="80" t="str">
        <f>A198</f>
        <v>9th Floor (Part Refuge Area)</v>
      </c>
      <c r="H199" s="81"/>
      <c r="I199" s="30"/>
    </row>
    <row r="200" spans="1:9" s="2" customFormat="1" ht="15.75" customHeight="1" x14ac:dyDescent="0.35">
      <c r="A200" s="76">
        <f>A199+1</f>
        <v>2</v>
      </c>
      <c r="B200" s="76"/>
      <c r="C200" s="14" t="s">
        <v>172</v>
      </c>
      <c r="D200" s="14">
        <f>(41.53+1.4*1)*10.764</f>
        <v>462.09851999999995</v>
      </c>
      <c r="E200" s="14">
        <v>0</v>
      </c>
      <c r="F200" s="14">
        <f t="shared" ref="F200" si="12">D200*(($F$149)+1)+(IF(E200&lt;101,E200,IF(E200&lt;201,E200/2,IF(E200&lt;=301,E200/3,E200/4))))</f>
        <v>693.1477799999999</v>
      </c>
      <c r="G200" s="82"/>
      <c r="H200" s="83"/>
      <c r="I200" s="30"/>
    </row>
    <row r="201" spans="1:9" s="2" customFormat="1" ht="15.75" customHeight="1" x14ac:dyDescent="0.35">
      <c r="A201" s="76">
        <f t="shared" ref="A201:A206" si="13">A200+1</f>
        <v>3</v>
      </c>
      <c r="B201" s="76"/>
      <c r="C201" s="14" t="s">
        <v>172</v>
      </c>
      <c r="D201" s="14">
        <f>(41.9+1*1.4)*10.764</f>
        <v>466.08119999999997</v>
      </c>
      <c r="E201" s="14">
        <v>0</v>
      </c>
      <c r="F201" s="14">
        <f>D201*(($F$149)+1)+(IF(E201&lt;101,E201,IF(E201&lt;201,E201/2,IF(E201&lt;=301,E201/3,E201/4))))</f>
        <v>699.12179999999989</v>
      </c>
      <c r="G201" s="82"/>
      <c r="H201" s="83"/>
      <c r="I201" s="30"/>
    </row>
    <row r="202" spans="1:9" s="2" customFormat="1" ht="15.75" customHeight="1" x14ac:dyDescent="0.35">
      <c r="A202" s="76">
        <f t="shared" si="13"/>
        <v>4</v>
      </c>
      <c r="B202" s="76"/>
      <c r="C202" s="14" t="s">
        <v>172</v>
      </c>
      <c r="D202" s="14">
        <f>(37.99+1*1.7)*10.764</f>
        <v>427.22316000000001</v>
      </c>
      <c r="E202" s="14">
        <v>0</v>
      </c>
      <c r="F202" s="14">
        <f t="shared" ref="F202:F215" si="14">D202*(($F$149)+1)+(IF(E202&lt;101,E202,IF(E202&lt;201,E202/2,IF(E202&lt;=301,E202/3,E202/4))))</f>
        <v>640.83474000000001</v>
      </c>
      <c r="G202" s="82"/>
      <c r="H202" s="83"/>
      <c r="I202" s="30"/>
    </row>
    <row r="203" spans="1:9" s="2" customFormat="1" ht="15.75" customHeight="1" x14ac:dyDescent="0.35">
      <c r="A203" s="76">
        <f t="shared" si="13"/>
        <v>5</v>
      </c>
      <c r="B203" s="76"/>
      <c r="C203" s="14" t="s">
        <v>172</v>
      </c>
      <c r="D203" s="14">
        <f>36.89*10.764</f>
        <v>397.08395999999999</v>
      </c>
      <c r="E203" s="14">
        <v>0</v>
      </c>
      <c r="F203" s="14">
        <f t="shared" si="14"/>
        <v>595.62594000000001</v>
      </c>
      <c r="G203" s="82"/>
      <c r="H203" s="83"/>
      <c r="I203" s="30">
        <f>3603000/F203</f>
        <v>6049.0985332170048</v>
      </c>
    </row>
    <row r="204" spans="1:9" s="2" customFormat="1" ht="15.75" customHeight="1" x14ac:dyDescent="0.35">
      <c r="A204" s="76">
        <f t="shared" si="13"/>
        <v>6</v>
      </c>
      <c r="B204" s="76"/>
      <c r="C204" s="14" t="s">
        <v>172</v>
      </c>
      <c r="D204" s="14">
        <f>36.89*10.764</f>
        <v>397.08395999999999</v>
      </c>
      <c r="E204" s="14">
        <v>0</v>
      </c>
      <c r="F204" s="14">
        <f t="shared" si="14"/>
        <v>595.62594000000001</v>
      </c>
      <c r="G204" s="82"/>
      <c r="H204" s="83"/>
    </row>
    <row r="205" spans="1:9" s="2" customFormat="1" ht="15.75" customHeight="1" x14ac:dyDescent="0.35">
      <c r="A205" s="76">
        <f t="shared" si="13"/>
        <v>7</v>
      </c>
      <c r="B205" s="76"/>
      <c r="C205" s="14" t="s">
        <v>172</v>
      </c>
      <c r="D205" s="14">
        <f>36.89*10.764</f>
        <v>397.08395999999999</v>
      </c>
      <c r="E205" s="14">
        <v>0</v>
      </c>
      <c r="F205" s="14">
        <f t="shared" si="14"/>
        <v>595.62594000000001</v>
      </c>
      <c r="G205" s="82"/>
      <c r="H205" s="83"/>
      <c r="I205" s="30"/>
    </row>
    <row r="206" spans="1:9" s="2" customFormat="1" ht="15.75" customHeight="1" x14ac:dyDescent="0.35">
      <c r="A206" s="76">
        <f t="shared" si="13"/>
        <v>8</v>
      </c>
      <c r="B206" s="76"/>
      <c r="C206" s="14" t="s">
        <v>172</v>
      </c>
      <c r="D206" s="14">
        <f>36.89*10.764</f>
        <v>397.08395999999999</v>
      </c>
      <c r="E206" s="14">
        <v>0</v>
      </c>
      <c r="F206" s="14">
        <f t="shared" si="14"/>
        <v>595.62594000000001</v>
      </c>
      <c r="G206" s="82"/>
      <c r="H206" s="83"/>
      <c r="I206" s="30"/>
    </row>
    <row r="207" spans="1:9" s="2" customFormat="1" ht="20.25" customHeight="1" x14ac:dyDescent="0.35">
      <c r="A207" s="76">
        <v>9</v>
      </c>
      <c r="B207" s="76"/>
      <c r="C207" s="14" t="s">
        <v>172</v>
      </c>
      <c r="D207" s="14">
        <f>36.89*10.764</f>
        <v>397.08395999999999</v>
      </c>
      <c r="E207" s="14">
        <v>0</v>
      </c>
      <c r="F207" s="14">
        <f t="shared" si="14"/>
        <v>595.62594000000001</v>
      </c>
      <c r="G207" s="82"/>
      <c r="H207" s="83"/>
    </row>
    <row r="208" spans="1:9" s="2" customFormat="1" ht="15.75" customHeight="1" x14ac:dyDescent="0.35">
      <c r="A208" s="76">
        <v>10</v>
      </c>
      <c r="B208" s="76"/>
      <c r="C208" s="77" t="s">
        <v>219</v>
      </c>
      <c r="D208" s="78"/>
      <c r="E208" s="78"/>
      <c r="F208" s="79"/>
      <c r="G208" s="82"/>
      <c r="H208" s="83"/>
      <c r="I208" s="2" t="e">
        <f>5400000/F208</f>
        <v>#DIV/0!</v>
      </c>
    </row>
    <row r="209" spans="1:14" s="2" customFormat="1" ht="15.75" customHeight="1" x14ac:dyDescent="0.35">
      <c r="A209" s="76">
        <v>11</v>
      </c>
      <c r="B209" s="76"/>
      <c r="C209" s="14" t="s">
        <v>190</v>
      </c>
      <c r="D209" s="14">
        <f>(58.83+1.22*1.85)*10.764</f>
        <v>657.54046799999992</v>
      </c>
      <c r="E209" s="14">
        <v>0</v>
      </c>
      <c r="F209" s="14">
        <f t="shared" si="14"/>
        <v>986.31070199999988</v>
      </c>
      <c r="G209" s="82"/>
      <c r="H209" s="83"/>
      <c r="I209" s="30"/>
    </row>
    <row r="210" spans="1:14" s="2" customFormat="1" ht="15.75" customHeight="1" x14ac:dyDescent="0.35">
      <c r="A210" s="76">
        <v>12</v>
      </c>
      <c r="B210" s="76"/>
      <c r="C210" s="14" t="s">
        <v>172</v>
      </c>
      <c r="D210" s="14">
        <f>(41.53+1.4*1)*10.764</f>
        <v>462.09851999999995</v>
      </c>
      <c r="E210" s="14">
        <v>0</v>
      </c>
      <c r="F210" s="14">
        <f t="shared" si="14"/>
        <v>693.1477799999999</v>
      </c>
      <c r="G210" s="82"/>
      <c r="H210" s="83"/>
      <c r="I210" s="30"/>
    </row>
    <row r="211" spans="1:14" s="2" customFormat="1" ht="15.75" customHeight="1" x14ac:dyDescent="0.35">
      <c r="A211" s="76">
        <f t="shared" ref="A211:A215" si="15">A210+1</f>
        <v>13</v>
      </c>
      <c r="B211" s="76"/>
      <c r="C211" s="14" t="s">
        <v>172</v>
      </c>
      <c r="D211" s="14">
        <f>(41.53+1.4*1)*10.764</f>
        <v>462.09851999999995</v>
      </c>
      <c r="E211" s="14">
        <v>0</v>
      </c>
      <c r="F211" s="14">
        <f t="shared" si="14"/>
        <v>693.1477799999999</v>
      </c>
      <c r="G211" s="82"/>
      <c r="H211" s="83"/>
      <c r="I211" s="30"/>
    </row>
    <row r="212" spans="1:14" s="2" customFormat="1" ht="15.75" customHeight="1" x14ac:dyDescent="0.35">
      <c r="A212" s="76">
        <f t="shared" si="15"/>
        <v>14</v>
      </c>
      <c r="B212" s="76"/>
      <c r="C212" s="14" t="s">
        <v>172</v>
      </c>
      <c r="D212" s="14">
        <f>(41.53+1.4*1)*10.764</f>
        <v>462.09851999999995</v>
      </c>
      <c r="E212" s="14">
        <v>0</v>
      </c>
      <c r="F212" s="14">
        <f t="shared" si="14"/>
        <v>693.1477799999999</v>
      </c>
      <c r="G212" s="82"/>
      <c r="H212" s="83"/>
      <c r="I212" s="30"/>
    </row>
    <row r="213" spans="1:14" s="2" customFormat="1" ht="15.75" customHeight="1" x14ac:dyDescent="0.35">
      <c r="A213" s="76">
        <f t="shared" si="15"/>
        <v>15</v>
      </c>
      <c r="B213" s="76"/>
      <c r="C213" s="14" t="s">
        <v>191</v>
      </c>
      <c r="D213" s="14">
        <f>(78.16+1.35*4.85)*10.764</f>
        <v>911.79152999999985</v>
      </c>
      <c r="E213" s="14">
        <v>0</v>
      </c>
      <c r="F213" s="14">
        <f t="shared" si="14"/>
        <v>1367.6872949999997</v>
      </c>
      <c r="G213" s="82"/>
      <c r="H213" s="83"/>
    </row>
    <row r="214" spans="1:14" s="2" customFormat="1" ht="15.75" customHeight="1" x14ac:dyDescent="0.35">
      <c r="A214" s="76">
        <f t="shared" si="15"/>
        <v>16</v>
      </c>
      <c r="B214" s="76"/>
      <c r="C214" s="14" t="s">
        <v>172</v>
      </c>
      <c r="D214" s="14">
        <f>(41.53+1.4*1)*10.764</f>
        <v>462.09851999999995</v>
      </c>
      <c r="E214" s="14">
        <v>0</v>
      </c>
      <c r="F214" s="14">
        <f t="shared" si="14"/>
        <v>693.1477799999999</v>
      </c>
      <c r="G214" s="82"/>
      <c r="H214" s="83"/>
    </row>
    <row r="215" spans="1:14" s="2" customFormat="1" ht="15.75" customHeight="1" x14ac:dyDescent="0.35">
      <c r="A215" s="76">
        <f t="shared" si="15"/>
        <v>17</v>
      </c>
      <c r="B215" s="76"/>
      <c r="C215" s="14" t="s">
        <v>172</v>
      </c>
      <c r="D215" s="14">
        <f>(41.53+1.4*1)*10.764</f>
        <v>462.09851999999995</v>
      </c>
      <c r="E215" s="14">
        <v>0</v>
      </c>
      <c r="F215" s="14">
        <f t="shared" si="14"/>
        <v>693.1477799999999</v>
      </c>
      <c r="G215" s="84"/>
      <c r="H215" s="85"/>
      <c r="I215" s="30"/>
    </row>
    <row r="216" spans="1:14" s="2" customFormat="1" x14ac:dyDescent="0.35">
      <c r="A216" s="91" t="s">
        <v>194</v>
      </c>
      <c r="B216" s="91"/>
      <c r="C216" s="91"/>
      <c r="D216" s="91"/>
      <c r="E216" s="91"/>
      <c r="F216" s="91"/>
      <c r="G216" s="91"/>
      <c r="H216" s="91"/>
      <c r="I216" s="30"/>
    </row>
    <row r="217" spans="1:14" s="2" customFormat="1" x14ac:dyDescent="0.35">
      <c r="A217" s="91" t="s">
        <v>196</v>
      </c>
      <c r="B217" s="91"/>
      <c r="C217" s="91"/>
      <c r="D217" s="91"/>
      <c r="E217" s="91"/>
      <c r="F217" s="91"/>
      <c r="G217" s="91"/>
      <c r="H217" s="91"/>
      <c r="I217" s="30"/>
      <c r="N217" s="30"/>
    </row>
    <row r="218" spans="1:14" s="2" customFormat="1" x14ac:dyDescent="0.35">
      <c r="A218" s="91" t="s">
        <v>192</v>
      </c>
      <c r="B218" s="91"/>
      <c r="C218" s="91"/>
      <c r="D218" s="91"/>
      <c r="E218" s="91"/>
      <c r="F218" s="91"/>
      <c r="G218" s="91"/>
      <c r="H218" s="91"/>
      <c r="I218" s="30"/>
      <c r="N218" s="30"/>
    </row>
    <row r="219" spans="1:14" s="2" customFormat="1" ht="15.75" customHeight="1" x14ac:dyDescent="0.35">
      <c r="A219" s="76">
        <v>1</v>
      </c>
      <c r="B219" s="76"/>
      <c r="C219" s="77" t="s">
        <v>197</v>
      </c>
      <c r="D219" s="78"/>
      <c r="E219" s="78"/>
      <c r="F219" s="79"/>
      <c r="G219" s="80" t="str">
        <f>A218</f>
        <v xml:space="preserve">1st Floor For Residential </v>
      </c>
      <c r="H219" s="81"/>
      <c r="I219" s="30"/>
      <c r="N219" s="30"/>
    </row>
    <row r="220" spans="1:14" s="2" customFormat="1" ht="15.75" customHeight="1" x14ac:dyDescent="0.35">
      <c r="A220" s="76">
        <f>A219+1</f>
        <v>2</v>
      </c>
      <c r="B220" s="76"/>
      <c r="C220" s="77" t="s">
        <v>197</v>
      </c>
      <c r="D220" s="78"/>
      <c r="E220" s="78"/>
      <c r="F220" s="79"/>
      <c r="G220" s="82"/>
      <c r="H220" s="83"/>
      <c r="I220" s="30"/>
      <c r="N220" s="30"/>
    </row>
    <row r="221" spans="1:14" s="2" customFormat="1" ht="15.75" customHeight="1" x14ac:dyDescent="0.35">
      <c r="A221" s="76">
        <f>A220+1</f>
        <v>3</v>
      </c>
      <c r="B221" s="76"/>
      <c r="C221" s="14" t="s">
        <v>172</v>
      </c>
      <c r="D221" s="14">
        <f>(41.9+1*1.55)*10.764</f>
        <v>467.69579999999991</v>
      </c>
      <c r="E221" s="14">
        <v>0</v>
      </c>
      <c r="F221" s="14">
        <f>D221*(($F$149)+1)+(IF(E221&lt;101,E221,IF(E221&lt;201,E221/2,IF(E221&lt;=301,E221/3,E221/4))))</f>
        <v>701.54369999999983</v>
      </c>
      <c r="G221" s="82"/>
      <c r="H221" s="83"/>
      <c r="I221" s="57" t="s">
        <v>211</v>
      </c>
      <c r="J221" s="58"/>
      <c r="N221" s="30"/>
    </row>
    <row r="222" spans="1:14" s="2" customFormat="1" ht="15.75" customHeight="1" x14ac:dyDescent="0.35">
      <c r="A222" s="76">
        <v>4</v>
      </c>
      <c r="B222" s="76"/>
      <c r="C222" s="14" t="s">
        <v>172</v>
      </c>
      <c r="D222" s="14">
        <f>(37.91+1*1.55)*10.764</f>
        <v>424.74743999999993</v>
      </c>
      <c r="E222" s="14">
        <v>0</v>
      </c>
      <c r="F222" s="14">
        <f>D222*(($F$149)+1)+(IF(E222&lt;101,E222,IF(E222&lt;201,E222/2,IF(E222&lt;=301,E222/3,E222/4))))</f>
        <v>637.12115999999992</v>
      </c>
      <c r="G222" s="82"/>
      <c r="H222" s="83"/>
      <c r="I222" s="30"/>
      <c r="N222" s="30"/>
    </row>
    <row r="223" spans="1:14" s="2" customFormat="1" ht="15.75" customHeight="1" x14ac:dyDescent="0.35">
      <c r="A223" s="76">
        <f>A222+1</f>
        <v>5</v>
      </c>
      <c r="B223" s="76"/>
      <c r="C223" s="14" t="s">
        <v>172</v>
      </c>
      <c r="D223" s="14">
        <f>(36.91+1*1.55)*10.764</f>
        <v>413.98343999999992</v>
      </c>
      <c r="E223" s="14">
        <v>0</v>
      </c>
      <c r="F223" s="14">
        <f>D223*(($F$149)+1)+(IF(E223&lt;101,E223,IF(E223&lt;201,E223/2,IF(E223&lt;=301,E223/3,E223/4))))</f>
        <v>620.97515999999985</v>
      </c>
      <c r="G223" s="82"/>
      <c r="H223" s="83"/>
      <c r="I223" s="30">
        <f>4085000/F223</f>
        <v>6578.3629734883452</v>
      </c>
      <c r="N223" s="30"/>
    </row>
    <row r="224" spans="1:14" s="2" customFormat="1" ht="15.75" customHeight="1" x14ac:dyDescent="0.35">
      <c r="A224" s="76">
        <f>A223+1</f>
        <v>6</v>
      </c>
      <c r="B224" s="76"/>
      <c r="C224" s="14" t="s">
        <v>172</v>
      </c>
      <c r="D224" s="14">
        <f>(36.91+1*1.55)*10.764</f>
        <v>413.98343999999992</v>
      </c>
      <c r="E224" s="14">
        <v>0</v>
      </c>
      <c r="F224" s="14">
        <f>D224*(($F$149)+1)+(IF(E224&lt;101,E224,IF(E224&lt;201,E224/2,IF(E224&lt;=301,E224/3,E224/4))))</f>
        <v>620.97515999999985</v>
      </c>
      <c r="G224" s="82"/>
      <c r="H224" s="83"/>
      <c r="I224" s="2">
        <f>4200000/F224</f>
        <v>6763.5555663772466</v>
      </c>
      <c r="N224" s="30"/>
    </row>
    <row r="225" spans="1:14" s="2" customFormat="1" ht="15.75" customHeight="1" x14ac:dyDescent="0.35">
      <c r="A225" s="76">
        <v>7</v>
      </c>
      <c r="B225" s="76"/>
      <c r="C225" s="14" t="s">
        <v>172</v>
      </c>
      <c r="D225" s="14">
        <f>(36.91+1*1.55)*10.764</f>
        <v>413.98343999999992</v>
      </c>
      <c r="E225" s="14">
        <v>0</v>
      </c>
      <c r="F225" s="14">
        <f>D225*(($F$149)+1)+(IF(E225&lt;101,E225,IF(E225&lt;201,E225/2,IF(E225&lt;=301,E225/3,E225/4))))</f>
        <v>620.97515999999985</v>
      </c>
      <c r="G225" s="82"/>
      <c r="H225" s="83"/>
      <c r="I225" s="30"/>
    </row>
    <row r="226" spans="1:14" s="2" customFormat="1" ht="15.75" customHeight="1" x14ac:dyDescent="0.35">
      <c r="A226" s="76">
        <f>A225+1</f>
        <v>8</v>
      </c>
      <c r="B226" s="76"/>
      <c r="C226" s="77" t="s">
        <v>198</v>
      </c>
      <c r="D226" s="78"/>
      <c r="E226" s="78"/>
      <c r="F226" s="79"/>
      <c r="G226" s="82"/>
      <c r="H226" s="83"/>
      <c r="I226" s="30"/>
      <c r="L226" s="90"/>
      <c r="M226" s="90"/>
    </row>
    <row r="227" spans="1:14" s="2" customFormat="1" ht="15.75" customHeight="1" x14ac:dyDescent="0.35">
      <c r="A227" s="76">
        <f>A226+1</f>
        <v>9</v>
      </c>
      <c r="B227" s="76"/>
      <c r="C227" s="14" t="s">
        <v>172</v>
      </c>
      <c r="D227" s="14">
        <f>(36.91+1*1.55)*10.764</f>
        <v>413.98343999999992</v>
      </c>
      <c r="E227" s="14">
        <v>0</v>
      </c>
      <c r="F227" s="14">
        <f t="shared" ref="F227:F233" si="16">D227*(($F$149)+1)+(IF(E227&lt;101,E227,IF(E227&lt;201,E227/2,IF(E227&lt;=301,E227/3,E227/4))))</f>
        <v>620.97515999999985</v>
      </c>
      <c r="G227" s="82"/>
      <c r="H227" s="83"/>
      <c r="I227" s="2">
        <f>3603000/F227</f>
        <v>5802.1644537279089</v>
      </c>
      <c r="L227" s="90"/>
      <c r="M227" s="90"/>
    </row>
    <row r="228" spans="1:14" s="2" customFormat="1" ht="15.75" customHeight="1" x14ac:dyDescent="0.35">
      <c r="A228" s="76">
        <f>A227+1</f>
        <v>10</v>
      </c>
      <c r="B228" s="76"/>
      <c r="C228" s="14" t="s">
        <v>172</v>
      </c>
      <c r="D228" s="14">
        <f>(37.91+1*1.55)*10.764</f>
        <v>424.74743999999993</v>
      </c>
      <c r="E228" s="14">
        <v>0</v>
      </c>
      <c r="F228" s="14">
        <f t="shared" si="16"/>
        <v>637.12115999999992</v>
      </c>
      <c r="G228" s="82"/>
      <c r="H228" s="83"/>
      <c r="L228" s="90"/>
      <c r="M228" s="90"/>
    </row>
    <row r="229" spans="1:14" s="2" customFormat="1" ht="15.75" customHeight="1" x14ac:dyDescent="0.35">
      <c r="A229" s="76">
        <v>11</v>
      </c>
      <c r="B229" s="76"/>
      <c r="C229" s="14" t="s">
        <v>172</v>
      </c>
      <c r="D229" s="14">
        <f>(41.9+1*1.55)*10.764</f>
        <v>467.69579999999991</v>
      </c>
      <c r="E229" s="14">
        <v>0</v>
      </c>
      <c r="F229" s="14">
        <f t="shared" si="16"/>
        <v>701.54369999999983</v>
      </c>
      <c r="G229" s="82"/>
      <c r="H229" s="83"/>
      <c r="I229" s="30"/>
    </row>
    <row r="230" spans="1:14" s="2" customFormat="1" ht="15.75" customHeight="1" x14ac:dyDescent="0.35">
      <c r="A230" s="76">
        <f>A229+1</f>
        <v>12</v>
      </c>
      <c r="B230" s="76"/>
      <c r="C230" s="14" t="s">
        <v>172</v>
      </c>
      <c r="D230" s="14">
        <f>(41.53+1*1.55)*10.764</f>
        <v>463.71311999999995</v>
      </c>
      <c r="E230" s="14">
        <v>0</v>
      </c>
      <c r="F230" s="14">
        <f t="shared" si="16"/>
        <v>695.56967999999995</v>
      </c>
      <c r="G230" s="82"/>
      <c r="H230" s="83"/>
      <c r="I230" s="30"/>
      <c r="N230" s="30"/>
    </row>
    <row r="231" spans="1:14" s="2" customFormat="1" ht="15.75" customHeight="1" x14ac:dyDescent="0.35">
      <c r="A231" s="76">
        <v>13</v>
      </c>
      <c r="B231" s="76"/>
      <c r="C231" s="14" t="s">
        <v>172</v>
      </c>
      <c r="D231" s="14">
        <f>36.89*10.764</f>
        <v>397.08395999999999</v>
      </c>
      <c r="E231" s="14">
        <v>0</v>
      </c>
      <c r="F231" s="14">
        <f t="shared" si="16"/>
        <v>595.62594000000001</v>
      </c>
      <c r="G231" s="82"/>
      <c r="H231" s="83"/>
      <c r="I231" s="30"/>
      <c r="N231" s="30"/>
    </row>
    <row r="232" spans="1:14" s="2" customFormat="1" ht="15.75" customHeight="1" x14ac:dyDescent="0.35">
      <c r="A232" s="76">
        <f>A231+1</f>
        <v>14</v>
      </c>
      <c r="B232" s="76"/>
      <c r="C232" s="14" t="s">
        <v>172</v>
      </c>
      <c r="D232" s="14">
        <f>36.89*10.764</f>
        <v>397.08395999999999</v>
      </c>
      <c r="E232" s="14">
        <v>0</v>
      </c>
      <c r="F232" s="14">
        <f t="shared" si="16"/>
        <v>595.62594000000001</v>
      </c>
      <c r="G232" s="82"/>
      <c r="H232" s="83"/>
      <c r="I232" s="30"/>
      <c r="N232" s="30"/>
    </row>
    <row r="233" spans="1:14" s="2" customFormat="1" ht="15.75" customHeight="1" x14ac:dyDescent="0.35">
      <c r="A233" s="76">
        <f>A232+1</f>
        <v>15</v>
      </c>
      <c r="B233" s="76"/>
      <c r="C233" s="14" t="s">
        <v>172</v>
      </c>
      <c r="D233" s="14">
        <f>(37.91+1*1.55)*10.764</f>
        <v>424.74743999999993</v>
      </c>
      <c r="E233" s="14">
        <v>0</v>
      </c>
      <c r="F233" s="14">
        <f t="shared" si="16"/>
        <v>637.12115999999992</v>
      </c>
      <c r="G233" s="84"/>
      <c r="H233" s="85"/>
      <c r="N233" s="30"/>
    </row>
    <row r="234" spans="1:14" s="2" customFormat="1" x14ac:dyDescent="0.35">
      <c r="A234" s="86" t="s">
        <v>226</v>
      </c>
      <c r="B234" s="86"/>
      <c r="C234" s="86"/>
      <c r="D234" s="86"/>
      <c r="E234" s="86"/>
      <c r="F234" s="86"/>
      <c r="G234" s="86"/>
      <c r="H234" s="86"/>
      <c r="I234" s="30"/>
      <c r="N234" s="30"/>
    </row>
    <row r="235" spans="1:14" s="2" customFormat="1" ht="15.75" customHeight="1" x14ac:dyDescent="0.35">
      <c r="A235" s="76">
        <v>1</v>
      </c>
      <c r="B235" s="76"/>
      <c r="C235" s="14" t="s">
        <v>172</v>
      </c>
      <c r="D235" s="14">
        <f>(41.53+1*1.55)*10.764</f>
        <v>463.71311999999995</v>
      </c>
      <c r="E235" s="14">
        <v>0</v>
      </c>
      <c r="F235" s="14">
        <f t="shared" ref="F235:F236" si="17">D235*(($F$149)+1)+(IF(E235&lt;101,E235,IF(E235&lt;201,E235/2,IF(E235&lt;=301,E235/3,E235/4))))</f>
        <v>695.56967999999995</v>
      </c>
      <c r="G235" s="80" t="str">
        <f>A234</f>
        <v xml:space="preserve">2nd to 8th, 10th to 14th Floor </v>
      </c>
      <c r="H235" s="81"/>
      <c r="I235" s="30"/>
      <c r="N235" s="30"/>
    </row>
    <row r="236" spans="1:14" s="2" customFormat="1" ht="15.75" customHeight="1" x14ac:dyDescent="0.35">
      <c r="A236" s="76">
        <f>A235+1</f>
        <v>2</v>
      </c>
      <c r="B236" s="76"/>
      <c r="C236" s="14" t="s">
        <v>172</v>
      </c>
      <c r="D236" s="14">
        <f>(41.53+1*1.55)*10.764</f>
        <v>463.71311999999995</v>
      </c>
      <c r="E236" s="14">
        <v>0</v>
      </c>
      <c r="F236" s="14">
        <f t="shared" si="17"/>
        <v>695.56967999999995</v>
      </c>
      <c r="G236" s="82"/>
      <c r="H236" s="83"/>
      <c r="I236" s="30"/>
      <c r="N236" s="30"/>
    </row>
    <row r="237" spans="1:14" s="2" customFormat="1" ht="15.75" customHeight="1" x14ac:dyDescent="0.35">
      <c r="A237" s="76">
        <f>A236+1</f>
        <v>3</v>
      </c>
      <c r="B237" s="76"/>
      <c r="C237" s="14" t="s">
        <v>172</v>
      </c>
      <c r="D237" s="14">
        <f>(41.9+1*1.55)*10.764</f>
        <v>467.69579999999991</v>
      </c>
      <c r="E237" s="14">
        <v>0</v>
      </c>
      <c r="F237" s="14">
        <f>D237*(($F$149)+1)+(IF(E237&lt;101,E237,IF(E237&lt;201,E237/2,IF(E237&lt;=301,E237/3,E237/4))))</f>
        <v>701.54369999999983</v>
      </c>
      <c r="G237" s="82"/>
      <c r="H237" s="83"/>
      <c r="I237" s="30"/>
      <c r="N237" s="30"/>
    </row>
    <row r="238" spans="1:14" s="2" customFormat="1" ht="15.75" customHeight="1" x14ac:dyDescent="0.35">
      <c r="A238" s="76">
        <v>4</v>
      </c>
      <c r="B238" s="76"/>
      <c r="C238" s="14" t="s">
        <v>172</v>
      </c>
      <c r="D238" s="14">
        <f>(37.91+1*1.55)*10.764</f>
        <v>424.74743999999993</v>
      </c>
      <c r="E238" s="14">
        <v>0</v>
      </c>
      <c r="F238" s="14">
        <f t="shared" ref="F238:F251" si="18">D238*(($F$149)+1)+(IF(E238&lt;101,E238,IF(E238&lt;201,E238/2,IF(E238&lt;=301,E238/3,E238/4))))</f>
        <v>637.12115999999992</v>
      </c>
      <c r="G238" s="82"/>
      <c r="H238" s="83"/>
      <c r="I238" s="30"/>
      <c r="N238" s="30"/>
    </row>
    <row r="239" spans="1:14" s="2" customFormat="1" ht="15.75" customHeight="1" x14ac:dyDescent="0.35">
      <c r="A239" s="76">
        <f>A238+1</f>
        <v>5</v>
      </c>
      <c r="B239" s="76"/>
      <c r="C239" s="14" t="s">
        <v>172</v>
      </c>
      <c r="D239" s="14">
        <f>(36.91+1*1.55)*10.764</f>
        <v>413.98343999999992</v>
      </c>
      <c r="E239" s="14">
        <v>0</v>
      </c>
      <c r="F239" s="14">
        <f t="shared" si="18"/>
        <v>620.97515999999985</v>
      </c>
      <c r="G239" s="82"/>
      <c r="H239" s="83"/>
      <c r="I239" s="30"/>
      <c r="N239" s="30"/>
    </row>
    <row r="240" spans="1:14" s="2" customFormat="1" ht="15.75" customHeight="1" x14ac:dyDescent="0.35">
      <c r="A240" s="76">
        <f>A239+1</f>
        <v>6</v>
      </c>
      <c r="B240" s="76"/>
      <c r="C240" s="14" t="s">
        <v>172</v>
      </c>
      <c r="D240" s="14">
        <f>(36.91+1*1.55)*10.764</f>
        <v>413.98343999999992</v>
      </c>
      <c r="E240" s="14">
        <v>0</v>
      </c>
      <c r="F240" s="14">
        <f t="shared" si="18"/>
        <v>620.97515999999985</v>
      </c>
      <c r="G240" s="82"/>
      <c r="H240" s="83"/>
      <c r="N240" s="30"/>
    </row>
    <row r="241" spans="1:14" s="2" customFormat="1" ht="15.75" customHeight="1" x14ac:dyDescent="0.35">
      <c r="A241" s="76">
        <v>7</v>
      </c>
      <c r="B241" s="76"/>
      <c r="C241" s="14" t="s">
        <v>172</v>
      </c>
      <c r="D241" s="14">
        <f>(36.91+1*1.55)*10.764</f>
        <v>413.98343999999992</v>
      </c>
      <c r="E241" s="14">
        <v>0</v>
      </c>
      <c r="F241" s="14">
        <f t="shared" si="18"/>
        <v>620.97515999999985</v>
      </c>
      <c r="G241" s="82"/>
      <c r="H241" s="83"/>
      <c r="I241" s="30"/>
      <c r="N241" s="30"/>
    </row>
    <row r="242" spans="1:14" s="2" customFormat="1" ht="15.75" customHeight="1" x14ac:dyDescent="0.35">
      <c r="A242" s="76">
        <f>A241+1</f>
        <v>8</v>
      </c>
      <c r="B242" s="76"/>
      <c r="C242" s="14" t="s">
        <v>172</v>
      </c>
      <c r="D242" s="14">
        <f>(36.91+1*1.55)*10.764</f>
        <v>413.98343999999992</v>
      </c>
      <c r="E242" s="14">
        <v>0</v>
      </c>
      <c r="F242" s="14">
        <f t="shared" si="18"/>
        <v>620.97515999999985</v>
      </c>
      <c r="G242" s="82"/>
      <c r="H242" s="83"/>
      <c r="I242" s="30"/>
      <c r="N242" s="30"/>
    </row>
    <row r="243" spans="1:14" s="2" customFormat="1" ht="15.75" customHeight="1" x14ac:dyDescent="0.35">
      <c r="A243" s="76">
        <f>A242+1</f>
        <v>9</v>
      </c>
      <c r="B243" s="76"/>
      <c r="C243" s="14" t="s">
        <v>172</v>
      </c>
      <c r="D243" s="14">
        <f>(36.91+1*1.55)*10.764</f>
        <v>413.98343999999992</v>
      </c>
      <c r="E243" s="14">
        <v>0</v>
      </c>
      <c r="F243" s="14">
        <f t="shared" si="18"/>
        <v>620.97515999999985</v>
      </c>
      <c r="G243" s="82"/>
      <c r="H243" s="83"/>
      <c r="N243" s="30"/>
    </row>
    <row r="244" spans="1:14" s="2" customFormat="1" ht="15.75" customHeight="1" x14ac:dyDescent="0.35">
      <c r="A244" s="76">
        <f>A243+1</f>
        <v>10</v>
      </c>
      <c r="B244" s="76"/>
      <c r="C244" s="14" t="s">
        <v>172</v>
      </c>
      <c r="D244" s="14">
        <f>(37.91+1*1.55)*10.764</f>
        <v>424.74743999999993</v>
      </c>
      <c r="E244" s="14">
        <v>0</v>
      </c>
      <c r="F244" s="14">
        <f t="shared" si="18"/>
        <v>637.12115999999992</v>
      </c>
      <c r="G244" s="82"/>
      <c r="H244" s="83"/>
      <c r="L244" s="90"/>
      <c r="M244" s="90"/>
    </row>
    <row r="245" spans="1:14" s="2" customFormat="1" ht="15.75" customHeight="1" x14ac:dyDescent="0.35">
      <c r="A245" s="76">
        <v>11</v>
      </c>
      <c r="B245" s="76"/>
      <c r="C245" s="14" t="s">
        <v>172</v>
      </c>
      <c r="D245" s="14">
        <f>(41.9+1.55*1)*10.764</f>
        <v>467.69579999999991</v>
      </c>
      <c r="E245" s="14">
        <v>0</v>
      </c>
      <c r="F245" s="14">
        <f t="shared" si="18"/>
        <v>701.54369999999983</v>
      </c>
      <c r="G245" s="82"/>
      <c r="H245" s="83"/>
      <c r="I245" s="30"/>
      <c r="N245" s="30"/>
    </row>
    <row r="246" spans="1:14" s="2" customFormat="1" ht="15.75" customHeight="1" x14ac:dyDescent="0.35">
      <c r="A246" s="76">
        <f>A245+1</f>
        <v>12</v>
      </c>
      <c r="B246" s="76"/>
      <c r="C246" s="14" t="s">
        <v>172</v>
      </c>
      <c r="D246" s="14">
        <f>(41.53+1*1.55)*10.764</f>
        <v>463.71311999999995</v>
      </c>
      <c r="E246" s="14">
        <v>0</v>
      </c>
      <c r="F246" s="14">
        <f t="shared" si="18"/>
        <v>695.56967999999995</v>
      </c>
      <c r="G246" s="82"/>
      <c r="H246" s="83"/>
      <c r="I246" s="30"/>
      <c r="N246" s="30"/>
    </row>
    <row r="247" spans="1:14" s="2" customFormat="1" ht="15.75" customHeight="1" x14ac:dyDescent="0.35">
      <c r="A247" s="76">
        <v>13</v>
      </c>
      <c r="B247" s="76"/>
      <c r="C247" s="14" t="s">
        <v>172</v>
      </c>
      <c r="D247" s="14">
        <f>36.89*10.764</f>
        <v>397.08395999999999</v>
      </c>
      <c r="E247" s="14">
        <v>0</v>
      </c>
      <c r="F247" s="14">
        <f t="shared" si="18"/>
        <v>595.62594000000001</v>
      </c>
      <c r="G247" s="82"/>
      <c r="H247" s="83"/>
      <c r="I247" s="30"/>
      <c r="N247" s="30"/>
    </row>
    <row r="248" spans="1:14" s="2" customFormat="1" ht="15.75" customHeight="1" x14ac:dyDescent="0.35">
      <c r="A248" s="76">
        <f>A247+1</f>
        <v>14</v>
      </c>
      <c r="B248" s="76"/>
      <c r="C248" s="14" t="s">
        <v>172</v>
      </c>
      <c r="D248" s="14">
        <f>36.89*10.764</f>
        <v>397.08395999999999</v>
      </c>
      <c r="E248" s="14">
        <v>0</v>
      </c>
      <c r="F248" s="14">
        <f t="shared" si="18"/>
        <v>595.62594000000001</v>
      </c>
      <c r="G248" s="82"/>
      <c r="H248" s="83"/>
      <c r="I248" s="30"/>
    </row>
    <row r="249" spans="1:14" s="2" customFormat="1" ht="15.75" customHeight="1" x14ac:dyDescent="0.35">
      <c r="A249" s="76">
        <f>A248+1</f>
        <v>15</v>
      </c>
      <c r="B249" s="76"/>
      <c r="C249" s="14" t="s">
        <v>172</v>
      </c>
      <c r="D249" s="14">
        <f>(37.91+1*1.55)*10.764</f>
        <v>424.74743999999993</v>
      </c>
      <c r="E249" s="14">
        <v>0</v>
      </c>
      <c r="F249" s="14">
        <f t="shared" si="18"/>
        <v>637.12115999999992</v>
      </c>
      <c r="G249" s="82"/>
      <c r="H249" s="83"/>
    </row>
    <row r="250" spans="1:14" s="2" customFormat="1" ht="15.75" customHeight="1" x14ac:dyDescent="0.35">
      <c r="A250" s="76">
        <f>A249+1</f>
        <v>16</v>
      </c>
      <c r="B250" s="76"/>
      <c r="C250" s="14" t="s">
        <v>172</v>
      </c>
      <c r="D250" s="14">
        <f>(41.9+1*1.55)*10.764</f>
        <v>467.69579999999991</v>
      </c>
      <c r="E250" s="14">
        <v>0</v>
      </c>
      <c r="F250" s="14">
        <f t="shared" si="18"/>
        <v>701.54369999999983</v>
      </c>
      <c r="G250" s="82"/>
      <c r="H250" s="83"/>
    </row>
    <row r="251" spans="1:14" s="2" customFormat="1" ht="15.75" customHeight="1" x14ac:dyDescent="0.35">
      <c r="A251" s="76">
        <v>17</v>
      </c>
      <c r="B251" s="76"/>
      <c r="C251" s="14" t="s">
        <v>172</v>
      </c>
      <c r="D251" s="14">
        <f>(41.53+1*1.55)*10.764</f>
        <v>463.71311999999995</v>
      </c>
      <c r="E251" s="14">
        <v>0</v>
      </c>
      <c r="F251" s="14">
        <f t="shared" si="18"/>
        <v>695.56967999999995</v>
      </c>
      <c r="G251" s="82"/>
      <c r="H251" s="83"/>
      <c r="I251" s="30"/>
    </row>
    <row r="252" spans="1:14" s="2" customFormat="1" ht="15.75" customHeight="1" x14ac:dyDescent="0.35">
      <c r="A252" s="76">
        <v>18</v>
      </c>
      <c r="B252" s="76"/>
      <c r="C252" s="14" t="s">
        <v>172</v>
      </c>
      <c r="D252" s="14">
        <f>(41.53+1*1.55)*10.764</f>
        <v>463.71311999999995</v>
      </c>
      <c r="E252" s="14">
        <v>0</v>
      </c>
      <c r="F252" s="14">
        <f t="shared" ref="F252" si="19">D252*(($F$149)+1)+(IF(E252&lt;101,E252,IF(E252&lt;201,E252/2,IF(E252&lt;=301,E252/3,E252/4))))</f>
        <v>695.56967999999995</v>
      </c>
      <c r="G252" s="84"/>
      <c r="H252" s="85"/>
      <c r="I252" s="30"/>
    </row>
    <row r="253" spans="1:14" s="2" customFormat="1" x14ac:dyDescent="0.35">
      <c r="A253" s="86" t="s">
        <v>218</v>
      </c>
      <c r="B253" s="86"/>
      <c r="C253" s="86"/>
      <c r="D253" s="86"/>
      <c r="E253" s="86"/>
      <c r="F253" s="86"/>
      <c r="G253" s="86"/>
      <c r="H253" s="86"/>
      <c r="I253" s="30"/>
    </row>
    <row r="254" spans="1:14" s="2" customFormat="1" ht="15.75" customHeight="1" x14ac:dyDescent="0.35">
      <c r="A254" s="76">
        <v>1</v>
      </c>
      <c r="B254" s="76"/>
      <c r="C254" s="14" t="s">
        <v>172</v>
      </c>
      <c r="D254" s="14">
        <f>(41.53+1*1.55)*10.764</f>
        <v>463.71311999999995</v>
      </c>
      <c r="E254" s="14">
        <v>0</v>
      </c>
      <c r="F254" s="14">
        <f t="shared" ref="F254:F255" si="20">D254*(($F$149)+1)+(IF(E254&lt;101,E254,IF(E254&lt;201,E254/2,IF(E254&lt;=301,E254/3,E254/4))))</f>
        <v>695.56967999999995</v>
      </c>
      <c r="G254" s="80" t="str">
        <f>A253</f>
        <v>9th Floor (Part Refuge Area)</v>
      </c>
      <c r="H254" s="81"/>
      <c r="I254" s="30"/>
    </row>
    <row r="255" spans="1:14" s="2" customFormat="1" ht="15.75" customHeight="1" x14ac:dyDescent="0.35">
      <c r="A255" s="76">
        <f>A254+1</f>
        <v>2</v>
      </c>
      <c r="B255" s="76"/>
      <c r="C255" s="14" t="s">
        <v>172</v>
      </c>
      <c r="D255" s="14">
        <f>(41.53+1*1.55)*10.764</f>
        <v>463.71311999999995</v>
      </c>
      <c r="E255" s="14">
        <v>0</v>
      </c>
      <c r="F255" s="14">
        <f t="shared" si="20"/>
        <v>695.56967999999995</v>
      </c>
      <c r="G255" s="82"/>
      <c r="H255" s="83"/>
      <c r="I255" s="30"/>
    </row>
    <row r="256" spans="1:14" s="2" customFormat="1" ht="15.75" customHeight="1" x14ac:dyDescent="0.35">
      <c r="A256" s="76">
        <f>A255+1</f>
        <v>3</v>
      </c>
      <c r="B256" s="76"/>
      <c r="C256" s="14" t="s">
        <v>172</v>
      </c>
      <c r="D256" s="14">
        <f>(41.9+1*1.55)*10.764</f>
        <v>467.69579999999991</v>
      </c>
      <c r="E256" s="14">
        <v>0</v>
      </c>
      <c r="F256" s="14">
        <f>D256*(($F$149)+1)+(IF(E256&lt;101,E256,IF(E256&lt;201,E256/2,IF(E256&lt;=301,E256/3,E256/4))))</f>
        <v>701.54369999999983</v>
      </c>
      <c r="G256" s="82"/>
      <c r="H256" s="83"/>
      <c r="I256" s="30"/>
    </row>
    <row r="257" spans="1:14" s="2" customFormat="1" ht="15.75" customHeight="1" x14ac:dyDescent="0.35">
      <c r="A257" s="76">
        <v>4</v>
      </c>
      <c r="B257" s="76"/>
      <c r="C257" s="14" t="s">
        <v>172</v>
      </c>
      <c r="D257" s="14">
        <f>(37.91+1*1.55)*10.764</f>
        <v>424.74743999999993</v>
      </c>
      <c r="E257" s="14">
        <v>0</v>
      </c>
      <c r="F257" s="14">
        <f t="shared" ref="F257:F271" si="21">D257*(($F$149)+1)+(IF(E257&lt;101,E257,IF(E257&lt;201,E257/2,IF(E257&lt;=301,E257/3,E257/4))))</f>
        <v>637.12115999999992</v>
      </c>
      <c r="G257" s="82"/>
      <c r="H257" s="83"/>
      <c r="I257" s="30"/>
    </row>
    <row r="258" spans="1:14" s="2" customFormat="1" ht="15.75" customHeight="1" x14ac:dyDescent="0.35">
      <c r="A258" s="76">
        <f>A257+1</f>
        <v>5</v>
      </c>
      <c r="B258" s="76"/>
      <c r="C258" s="14" t="s">
        <v>172</v>
      </c>
      <c r="D258" s="14">
        <f>(36.91+1*1.55)*10.764</f>
        <v>413.98343999999992</v>
      </c>
      <c r="E258" s="14">
        <v>0</v>
      </c>
      <c r="F258" s="14">
        <f t="shared" si="21"/>
        <v>620.97515999999985</v>
      </c>
      <c r="G258" s="82"/>
      <c r="H258" s="83"/>
      <c r="I258" s="30"/>
    </row>
    <row r="259" spans="1:14" s="2" customFormat="1" ht="15.75" customHeight="1" x14ac:dyDescent="0.35">
      <c r="A259" s="76">
        <f>A258+1</f>
        <v>6</v>
      </c>
      <c r="B259" s="76"/>
      <c r="C259" s="14" t="s">
        <v>172</v>
      </c>
      <c r="D259" s="14">
        <f>(36.91+1*1.55)*10.764</f>
        <v>413.98343999999992</v>
      </c>
      <c r="E259" s="14">
        <v>0</v>
      </c>
      <c r="F259" s="14">
        <f t="shared" si="21"/>
        <v>620.97515999999985</v>
      </c>
      <c r="G259" s="82"/>
      <c r="H259" s="83"/>
    </row>
    <row r="260" spans="1:14" s="2" customFormat="1" ht="15.75" customHeight="1" x14ac:dyDescent="0.35">
      <c r="A260" s="76">
        <v>7</v>
      </c>
      <c r="B260" s="76"/>
      <c r="C260" s="14" t="s">
        <v>172</v>
      </c>
      <c r="D260" s="14">
        <f>(36.91+1*1.55)*10.764</f>
        <v>413.98343999999992</v>
      </c>
      <c r="E260" s="14">
        <v>0</v>
      </c>
      <c r="F260" s="14">
        <f t="shared" si="21"/>
        <v>620.97515999999985</v>
      </c>
      <c r="G260" s="82"/>
      <c r="H260" s="83"/>
      <c r="I260" s="30"/>
    </row>
    <row r="261" spans="1:14" s="2" customFormat="1" ht="15.75" customHeight="1" x14ac:dyDescent="0.35">
      <c r="A261" s="76">
        <f>A260+1</f>
        <v>8</v>
      </c>
      <c r="B261" s="76"/>
      <c r="C261" s="14" t="s">
        <v>172</v>
      </c>
      <c r="D261" s="14">
        <f>(36.91+1*1.55)*10.764</f>
        <v>413.98343999999992</v>
      </c>
      <c r="E261" s="14">
        <v>0</v>
      </c>
      <c r="F261" s="14">
        <f t="shared" si="21"/>
        <v>620.97515999999985</v>
      </c>
      <c r="G261" s="82"/>
      <c r="H261" s="83"/>
      <c r="I261" s="30"/>
    </row>
    <row r="262" spans="1:14" s="2" customFormat="1" ht="15.75" customHeight="1" x14ac:dyDescent="0.35">
      <c r="A262" s="76">
        <f>A261+1</f>
        <v>9</v>
      </c>
      <c r="B262" s="76"/>
      <c r="C262" s="14" t="s">
        <v>172</v>
      </c>
      <c r="D262" s="14">
        <f>(36.91+1*1.55)*10.764</f>
        <v>413.98343999999992</v>
      </c>
      <c r="E262" s="14">
        <v>0</v>
      </c>
      <c r="F262" s="14">
        <f t="shared" si="21"/>
        <v>620.97515999999985</v>
      </c>
      <c r="G262" s="82"/>
      <c r="H262" s="83"/>
    </row>
    <row r="263" spans="1:14" s="2" customFormat="1" ht="15.75" customHeight="1" x14ac:dyDescent="0.35">
      <c r="A263" s="76">
        <f>A262+1</f>
        <v>10</v>
      </c>
      <c r="B263" s="76"/>
      <c r="C263" s="14" t="s">
        <v>172</v>
      </c>
      <c r="D263" s="14">
        <f>(37.91+1*1.55)*10.764</f>
        <v>424.74743999999993</v>
      </c>
      <c r="E263" s="14">
        <v>0</v>
      </c>
      <c r="F263" s="14">
        <f t="shared" si="21"/>
        <v>637.12115999999992</v>
      </c>
      <c r="G263" s="82"/>
      <c r="H263" s="83"/>
      <c r="L263" s="90"/>
      <c r="M263" s="90"/>
    </row>
    <row r="264" spans="1:14" s="2" customFormat="1" ht="15.75" customHeight="1" x14ac:dyDescent="0.35">
      <c r="A264" s="76">
        <v>11</v>
      </c>
      <c r="B264" s="76"/>
      <c r="C264" s="77" t="s">
        <v>219</v>
      </c>
      <c r="D264" s="78"/>
      <c r="E264" s="78"/>
      <c r="F264" s="79"/>
      <c r="G264" s="82"/>
      <c r="H264" s="83"/>
      <c r="I264" s="30"/>
      <c r="N264" s="30"/>
    </row>
    <row r="265" spans="1:14" s="2" customFormat="1" ht="15.75" customHeight="1" x14ac:dyDescent="0.35">
      <c r="A265" s="76">
        <f>A264+1</f>
        <v>12</v>
      </c>
      <c r="B265" s="76"/>
      <c r="C265" s="14" t="s">
        <v>172</v>
      </c>
      <c r="D265" s="14">
        <f>(41.53+1*1.55)*10.764</f>
        <v>463.71311999999995</v>
      </c>
      <c r="E265" s="14">
        <v>0</v>
      </c>
      <c r="F265" s="14">
        <f t="shared" si="21"/>
        <v>695.56967999999995</v>
      </c>
      <c r="G265" s="82"/>
      <c r="H265" s="83"/>
      <c r="I265" s="30"/>
      <c r="N265" s="30"/>
    </row>
    <row r="266" spans="1:14" s="2" customFormat="1" ht="15.75" customHeight="1" x14ac:dyDescent="0.35">
      <c r="A266" s="76">
        <v>13</v>
      </c>
      <c r="B266" s="76"/>
      <c r="C266" s="14" t="s">
        <v>172</v>
      </c>
      <c r="D266" s="14">
        <f>36.89*10.764</f>
        <v>397.08395999999999</v>
      </c>
      <c r="E266" s="14">
        <v>0</v>
      </c>
      <c r="F266" s="14">
        <f t="shared" si="21"/>
        <v>595.62594000000001</v>
      </c>
      <c r="G266" s="82"/>
      <c r="H266" s="83"/>
      <c r="I266" s="30"/>
      <c r="N266" s="30"/>
    </row>
    <row r="267" spans="1:14" s="2" customFormat="1" ht="15.75" customHeight="1" x14ac:dyDescent="0.35">
      <c r="A267" s="76">
        <f>A266+1</f>
        <v>14</v>
      </c>
      <c r="B267" s="76"/>
      <c r="C267" s="14" t="s">
        <v>172</v>
      </c>
      <c r="D267" s="14">
        <f>36.89*10.764</f>
        <v>397.08395999999999</v>
      </c>
      <c r="E267" s="14">
        <v>0</v>
      </c>
      <c r="F267" s="14">
        <f t="shared" si="21"/>
        <v>595.62594000000001</v>
      </c>
      <c r="G267" s="82"/>
      <c r="H267" s="83"/>
      <c r="I267" s="30"/>
      <c r="N267" s="30"/>
    </row>
    <row r="268" spans="1:14" s="2" customFormat="1" ht="15.75" customHeight="1" x14ac:dyDescent="0.35">
      <c r="A268" s="76">
        <f>A267+1</f>
        <v>15</v>
      </c>
      <c r="B268" s="76"/>
      <c r="C268" s="14" t="s">
        <v>172</v>
      </c>
      <c r="D268" s="14">
        <f>(37.91+1*1.55)*10.764</f>
        <v>424.74743999999993</v>
      </c>
      <c r="E268" s="14">
        <v>0</v>
      </c>
      <c r="F268" s="14">
        <f t="shared" si="21"/>
        <v>637.12115999999992</v>
      </c>
      <c r="G268" s="82"/>
      <c r="H268" s="83"/>
      <c r="N268" s="30"/>
    </row>
    <row r="269" spans="1:14" s="2" customFormat="1" ht="15.75" customHeight="1" x14ac:dyDescent="0.35">
      <c r="A269" s="76">
        <f>A268+1</f>
        <v>16</v>
      </c>
      <c r="B269" s="76"/>
      <c r="C269" s="14" t="s">
        <v>172</v>
      </c>
      <c r="D269" s="14">
        <f>(41.9+1*1.55)*10.764</f>
        <v>467.69579999999991</v>
      </c>
      <c r="E269" s="14">
        <v>0</v>
      </c>
      <c r="F269" s="14">
        <f t="shared" si="21"/>
        <v>701.54369999999983</v>
      </c>
      <c r="G269" s="82"/>
      <c r="H269" s="83"/>
      <c r="N269" s="30"/>
    </row>
    <row r="270" spans="1:14" s="2" customFormat="1" ht="15.75" customHeight="1" x14ac:dyDescent="0.35">
      <c r="A270" s="76">
        <v>17</v>
      </c>
      <c r="B270" s="76"/>
      <c r="C270" s="14" t="s">
        <v>172</v>
      </c>
      <c r="D270" s="14">
        <f>(41.53+1*1.55)*10.764</f>
        <v>463.71311999999995</v>
      </c>
      <c r="E270" s="14">
        <v>0</v>
      </c>
      <c r="F270" s="14">
        <f t="shared" si="21"/>
        <v>695.56967999999995</v>
      </c>
      <c r="G270" s="82"/>
      <c r="H270" s="83"/>
      <c r="I270" s="30"/>
      <c r="N270" s="30"/>
    </row>
    <row r="271" spans="1:14" s="2" customFormat="1" ht="15.75" customHeight="1" x14ac:dyDescent="0.35">
      <c r="A271" s="76">
        <v>18</v>
      </c>
      <c r="B271" s="76"/>
      <c r="C271" s="14" t="s">
        <v>172</v>
      </c>
      <c r="D271" s="14">
        <f>(41.53+1*1.55)*10.764</f>
        <v>463.71311999999995</v>
      </c>
      <c r="E271" s="14">
        <v>0</v>
      </c>
      <c r="F271" s="14">
        <f t="shared" si="21"/>
        <v>695.56967999999995</v>
      </c>
      <c r="G271" s="84"/>
      <c r="H271" s="85"/>
      <c r="I271" s="30"/>
      <c r="N271" s="30"/>
    </row>
    <row r="272" spans="1:14" s="2" customFormat="1" x14ac:dyDescent="0.35">
      <c r="A272" s="91" t="s">
        <v>202</v>
      </c>
      <c r="B272" s="91"/>
      <c r="C272" s="91"/>
      <c r="D272" s="91"/>
      <c r="E272" s="91"/>
      <c r="F272" s="91"/>
      <c r="G272" s="91"/>
      <c r="H272" s="91"/>
      <c r="I272" s="30"/>
      <c r="N272" s="30"/>
    </row>
    <row r="273" spans="1:14" s="2" customFormat="1" x14ac:dyDescent="0.35">
      <c r="A273" s="91" t="s">
        <v>196</v>
      </c>
      <c r="B273" s="91"/>
      <c r="C273" s="91"/>
      <c r="D273" s="91"/>
      <c r="E273" s="91"/>
      <c r="F273" s="91"/>
      <c r="G273" s="91"/>
      <c r="H273" s="91"/>
      <c r="I273" s="30"/>
      <c r="N273" s="30"/>
    </row>
    <row r="274" spans="1:14" s="2" customFormat="1" x14ac:dyDescent="0.35">
      <c r="A274" s="91" t="s">
        <v>203</v>
      </c>
      <c r="B274" s="91"/>
      <c r="C274" s="91"/>
      <c r="D274" s="91"/>
      <c r="E274" s="91"/>
      <c r="F274" s="91"/>
      <c r="G274" s="91"/>
      <c r="H274" s="91"/>
      <c r="I274" s="30"/>
      <c r="N274" s="30"/>
    </row>
    <row r="275" spans="1:14" s="2" customFormat="1" ht="15.75" customHeight="1" x14ac:dyDescent="0.35">
      <c r="A275" s="76">
        <v>1</v>
      </c>
      <c r="B275" s="76"/>
      <c r="C275" s="77" t="s">
        <v>204</v>
      </c>
      <c r="D275" s="78"/>
      <c r="E275" s="78"/>
      <c r="F275" s="79"/>
      <c r="G275" s="80" t="str">
        <f>A274</f>
        <v>1st Floor For Residential  &amp; Parking</v>
      </c>
      <c r="H275" s="81"/>
      <c r="I275" s="30"/>
      <c r="N275" s="30"/>
    </row>
    <row r="276" spans="1:14" s="2" customFormat="1" ht="15.75" customHeight="1" x14ac:dyDescent="0.35">
      <c r="A276" s="76">
        <f>A275+1</f>
        <v>2</v>
      </c>
      <c r="B276" s="76"/>
      <c r="C276" s="77" t="s">
        <v>204</v>
      </c>
      <c r="D276" s="78"/>
      <c r="E276" s="78"/>
      <c r="F276" s="79"/>
      <c r="G276" s="82"/>
      <c r="H276" s="83"/>
      <c r="I276" s="30"/>
      <c r="N276" s="30"/>
    </row>
    <row r="277" spans="1:14" s="2" customFormat="1" ht="15.75" customHeight="1" x14ac:dyDescent="0.35">
      <c r="A277" s="76">
        <f>A276+1</f>
        <v>3</v>
      </c>
      <c r="B277" s="76"/>
      <c r="C277" s="77" t="s">
        <v>204</v>
      </c>
      <c r="D277" s="78"/>
      <c r="E277" s="78"/>
      <c r="F277" s="79"/>
      <c r="G277" s="82"/>
      <c r="H277" s="83"/>
      <c r="I277" s="30"/>
      <c r="N277" s="30"/>
    </row>
    <row r="278" spans="1:14" s="2" customFormat="1" ht="15.75" customHeight="1" x14ac:dyDescent="0.35">
      <c r="A278" s="76">
        <v>4</v>
      </c>
      <c r="B278" s="76"/>
      <c r="C278" s="14" t="s">
        <v>172</v>
      </c>
      <c r="D278" s="14">
        <f>(37.91+1*1.55)*10.764</f>
        <v>424.74743999999993</v>
      </c>
      <c r="E278" s="14">
        <v>0</v>
      </c>
      <c r="F278" s="14">
        <f>D278*(($F$149)+1)+(IF(E278&lt;101,E278,IF(E278&lt;201,E278/2,IF(E278&lt;=301,E278/3,E278/4))))</f>
        <v>637.12115999999992</v>
      </c>
      <c r="G278" s="82"/>
      <c r="H278" s="83"/>
      <c r="I278" s="30"/>
      <c r="N278" s="30"/>
    </row>
    <row r="279" spans="1:14" s="2" customFormat="1" ht="15.75" customHeight="1" x14ac:dyDescent="0.35">
      <c r="A279" s="76">
        <f>A278+1</f>
        <v>5</v>
      </c>
      <c r="B279" s="76"/>
      <c r="C279" s="14" t="s">
        <v>172</v>
      </c>
      <c r="D279" s="14">
        <f>(36.91+1*1.55)*10.764</f>
        <v>413.98343999999992</v>
      </c>
      <c r="E279" s="14">
        <v>0</v>
      </c>
      <c r="F279" s="14">
        <f>D279*(($F$149)+1)+(IF(E279&lt;101,E279,IF(E279&lt;201,E279/2,IF(E279&lt;=301,E279/3,E279/4))))</f>
        <v>620.97515999999985</v>
      </c>
      <c r="G279" s="82"/>
      <c r="H279" s="83"/>
      <c r="I279" s="30"/>
      <c r="L279" s="90"/>
      <c r="M279" s="90"/>
    </row>
    <row r="280" spans="1:14" s="2" customFormat="1" ht="15.75" customHeight="1" x14ac:dyDescent="0.35">
      <c r="A280" s="76">
        <f>A279+1</f>
        <v>6</v>
      </c>
      <c r="B280" s="76"/>
      <c r="C280" s="14" t="s">
        <v>172</v>
      </c>
      <c r="D280" s="14">
        <f>(36.91+1*1.55)*10.764</f>
        <v>413.98343999999992</v>
      </c>
      <c r="E280" s="14">
        <v>0</v>
      </c>
      <c r="F280" s="14">
        <f>D280*(($F$149)+1)+(IF(E280&lt;101,E280,IF(E280&lt;201,E280/2,IF(E280&lt;=301,E280/3,E280/4))))</f>
        <v>620.97515999999985</v>
      </c>
      <c r="G280" s="82"/>
      <c r="H280" s="83"/>
      <c r="L280" s="90"/>
      <c r="M280" s="90"/>
    </row>
    <row r="281" spans="1:14" s="2" customFormat="1" ht="15.75" customHeight="1" x14ac:dyDescent="0.35">
      <c r="A281" s="76">
        <v>7</v>
      </c>
      <c r="B281" s="76"/>
      <c r="C281" s="14" t="s">
        <v>172</v>
      </c>
      <c r="D281" s="14">
        <f>(36.89+1*1.55)*10.764</f>
        <v>413.76815999999997</v>
      </c>
      <c r="E281" s="14">
        <v>0</v>
      </c>
      <c r="F281" s="14">
        <f>D281*(($F$149)+1)+(IF(E281&lt;101,E281,IF(E281&lt;201,E281/2,IF(E281&lt;=301,E281/3,E281/4))))</f>
        <v>620.65223999999989</v>
      </c>
      <c r="G281" s="82"/>
      <c r="H281" s="83"/>
      <c r="I281" s="30"/>
      <c r="L281" s="90"/>
      <c r="M281" s="90"/>
    </row>
    <row r="282" spans="1:14" s="2" customFormat="1" ht="15.75" customHeight="1" x14ac:dyDescent="0.35">
      <c r="A282" s="76">
        <f>A281+1</f>
        <v>8</v>
      </c>
      <c r="B282" s="76"/>
      <c r="C282" s="77" t="s">
        <v>198</v>
      </c>
      <c r="D282" s="78"/>
      <c r="E282" s="78"/>
      <c r="F282" s="79"/>
      <c r="G282" s="82"/>
      <c r="H282" s="83"/>
      <c r="I282" s="30"/>
      <c r="N282" s="30"/>
    </row>
    <row r="283" spans="1:14" s="2" customFormat="1" ht="15.75" customHeight="1" x14ac:dyDescent="0.35">
      <c r="A283" s="76">
        <f>A282+1</f>
        <v>9</v>
      </c>
      <c r="B283" s="76"/>
      <c r="C283" s="14" t="s">
        <v>172</v>
      </c>
      <c r="D283" s="14">
        <f>(36.91+1*1.55)*10.764</f>
        <v>413.98343999999992</v>
      </c>
      <c r="E283" s="14">
        <v>0</v>
      </c>
      <c r="F283" s="14">
        <f t="shared" ref="F283:F289" si="22">D283*(($F$149)+1)+(IF(E283&lt;101,E283,IF(E283&lt;201,E283/2,IF(E283&lt;=301,E283/3,E283/4))))</f>
        <v>620.97515999999985</v>
      </c>
      <c r="G283" s="82"/>
      <c r="H283" s="83"/>
      <c r="N283" s="30"/>
    </row>
    <row r="284" spans="1:14" s="2" customFormat="1" ht="15.75" customHeight="1" x14ac:dyDescent="0.35">
      <c r="A284" s="76">
        <f>A283+1</f>
        <v>10</v>
      </c>
      <c r="B284" s="76"/>
      <c r="C284" s="14" t="s">
        <v>172</v>
      </c>
      <c r="D284" s="14">
        <f>(37.91+1*1.55)*10.764</f>
        <v>424.74743999999993</v>
      </c>
      <c r="E284" s="14">
        <v>0</v>
      </c>
      <c r="F284" s="14">
        <f t="shared" si="22"/>
        <v>637.12115999999992</v>
      </c>
      <c r="G284" s="82"/>
      <c r="H284" s="83"/>
      <c r="N284" s="30"/>
    </row>
    <row r="285" spans="1:14" s="2" customFormat="1" ht="15.75" customHeight="1" x14ac:dyDescent="0.35">
      <c r="A285" s="76">
        <v>11</v>
      </c>
      <c r="B285" s="76"/>
      <c r="C285" s="14" t="s">
        <v>172</v>
      </c>
      <c r="D285" s="14">
        <f>(41.9+1*1.55)*10.764</f>
        <v>467.69579999999991</v>
      </c>
      <c r="E285" s="14">
        <v>0</v>
      </c>
      <c r="F285" s="14">
        <f t="shared" si="22"/>
        <v>701.54369999999983</v>
      </c>
      <c r="G285" s="82"/>
      <c r="H285" s="83"/>
      <c r="I285" s="30"/>
      <c r="N285" s="30"/>
    </row>
    <row r="286" spans="1:14" s="2" customFormat="1" ht="15.75" customHeight="1" x14ac:dyDescent="0.35">
      <c r="A286" s="76">
        <f>A285+1</f>
        <v>12</v>
      </c>
      <c r="B286" s="76"/>
      <c r="C286" s="14" t="s">
        <v>172</v>
      </c>
      <c r="D286" s="14">
        <f>(41.53+1.55*1)*10.764</f>
        <v>463.71311999999995</v>
      </c>
      <c r="E286" s="14">
        <v>0</v>
      </c>
      <c r="F286" s="14">
        <f t="shared" si="22"/>
        <v>695.56967999999995</v>
      </c>
      <c r="G286" s="82"/>
      <c r="H286" s="83"/>
      <c r="I286" s="30"/>
      <c r="N286" s="30"/>
    </row>
    <row r="287" spans="1:14" s="2" customFormat="1" ht="15.75" customHeight="1" x14ac:dyDescent="0.35">
      <c r="A287" s="76">
        <v>13</v>
      </c>
      <c r="B287" s="76"/>
      <c r="C287" s="14" t="s">
        <v>172</v>
      </c>
      <c r="D287" s="14">
        <f>(41.53+1*1.55)*10.764</f>
        <v>463.71311999999995</v>
      </c>
      <c r="E287" s="14">
        <v>0</v>
      </c>
      <c r="F287" s="14">
        <f t="shared" si="22"/>
        <v>695.56967999999995</v>
      </c>
      <c r="G287" s="82"/>
      <c r="H287" s="83"/>
      <c r="I287" s="30"/>
      <c r="N287" s="30"/>
    </row>
    <row r="288" spans="1:14" s="2" customFormat="1" ht="15.75" customHeight="1" x14ac:dyDescent="0.35">
      <c r="A288" s="76">
        <f>A287+1</f>
        <v>14</v>
      </c>
      <c r="B288" s="76"/>
      <c r="C288" s="14" t="s">
        <v>172</v>
      </c>
      <c r="D288" s="14">
        <f>(36.89+1*1.55)*10.764</f>
        <v>413.76815999999997</v>
      </c>
      <c r="E288" s="14">
        <v>0</v>
      </c>
      <c r="F288" s="14">
        <f t="shared" si="22"/>
        <v>620.65223999999989</v>
      </c>
      <c r="G288" s="82"/>
      <c r="H288" s="83"/>
      <c r="I288" s="30"/>
      <c r="N288" s="30"/>
    </row>
    <row r="289" spans="1:14" s="2" customFormat="1" ht="15.75" customHeight="1" x14ac:dyDescent="0.35">
      <c r="A289" s="76">
        <f>A288+1</f>
        <v>15</v>
      </c>
      <c r="B289" s="76"/>
      <c r="C289" s="14" t="s">
        <v>172</v>
      </c>
      <c r="D289" s="14">
        <f>(41.9+1*1.55)*10.764</f>
        <v>467.69579999999991</v>
      </c>
      <c r="E289" s="14">
        <v>0</v>
      </c>
      <c r="F289" s="14">
        <f t="shared" si="22"/>
        <v>701.54369999999983</v>
      </c>
      <c r="G289" s="84"/>
      <c r="H289" s="85"/>
      <c r="N289" s="30"/>
    </row>
    <row r="290" spans="1:14" s="2" customFormat="1" x14ac:dyDescent="0.35">
      <c r="A290" s="86" t="s">
        <v>227</v>
      </c>
      <c r="B290" s="86"/>
      <c r="C290" s="86"/>
      <c r="D290" s="86"/>
      <c r="E290" s="86"/>
      <c r="F290" s="86"/>
      <c r="G290" s="86"/>
      <c r="H290" s="86"/>
      <c r="I290" s="30"/>
      <c r="L290" s="90"/>
      <c r="M290" s="90"/>
    </row>
    <row r="291" spans="1:14" s="2" customFormat="1" ht="15.75" customHeight="1" x14ac:dyDescent="0.35">
      <c r="A291" s="76">
        <v>1</v>
      </c>
      <c r="B291" s="76"/>
      <c r="C291" s="77" t="s">
        <v>204</v>
      </c>
      <c r="D291" s="78"/>
      <c r="E291" s="78"/>
      <c r="F291" s="79"/>
      <c r="G291" s="80" t="str">
        <f>A290</f>
        <v xml:space="preserve">2nd &amp; 3rd Floor </v>
      </c>
      <c r="H291" s="81"/>
      <c r="I291" s="30"/>
      <c r="N291" s="30"/>
    </row>
    <row r="292" spans="1:14" s="2" customFormat="1" ht="15.75" customHeight="1" x14ac:dyDescent="0.35">
      <c r="A292" s="76">
        <f>A291+1</f>
        <v>2</v>
      </c>
      <c r="B292" s="76"/>
      <c r="C292" s="77" t="s">
        <v>204</v>
      </c>
      <c r="D292" s="78"/>
      <c r="E292" s="78"/>
      <c r="F292" s="79"/>
      <c r="G292" s="82"/>
      <c r="H292" s="83"/>
      <c r="I292" s="30"/>
      <c r="N292" s="30"/>
    </row>
    <row r="293" spans="1:14" s="2" customFormat="1" ht="15.75" customHeight="1" x14ac:dyDescent="0.35">
      <c r="A293" s="76">
        <f>A292+1</f>
        <v>3</v>
      </c>
      <c r="B293" s="76"/>
      <c r="C293" s="77" t="s">
        <v>204</v>
      </c>
      <c r="D293" s="78"/>
      <c r="E293" s="78"/>
      <c r="F293" s="79"/>
      <c r="G293" s="82"/>
      <c r="H293" s="83"/>
      <c r="I293" s="30"/>
      <c r="N293" s="30"/>
    </row>
    <row r="294" spans="1:14" s="2" customFormat="1" ht="15.75" customHeight="1" x14ac:dyDescent="0.35">
      <c r="A294" s="76">
        <v>4</v>
      </c>
      <c r="B294" s="76"/>
      <c r="C294" s="14" t="s">
        <v>172</v>
      </c>
      <c r="D294" s="14">
        <f>(37.91+1*1.55)*10.764</f>
        <v>424.74743999999993</v>
      </c>
      <c r="E294" s="14">
        <v>0</v>
      </c>
      <c r="F294" s="14">
        <f>D294*(($F$149)+1)+(IF(E294&lt;101,E294,IF(E294&lt;201,E294/2,IF(E294&lt;=301,E294/3,E294/4))))</f>
        <v>637.12115999999992</v>
      </c>
      <c r="G294" s="82"/>
      <c r="H294" s="83"/>
      <c r="I294" s="30"/>
      <c r="N294" s="30"/>
    </row>
    <row r="295" spans="1:14" s="2" customFormat="1" ht="15.75" customHeight="1" x14ac:dyDescent="0.35">
      <c r="A295" s="76">
        <f>A294+1</f>
        <v>5</v>
      </c>
      <c r="B295" s="76"/>
      <c r="C295" s="14" t="s">
        <v>172</v>
      </c>
      <c r="D295" s="14">
        <f>(36.91+1*1.55)*10.764</f>
        <v>413.98343999999992</v>
      </c>
      <c r="E295" s="14">
        <v>0</v>
      </c>
      <c r="F295" s="14">
        <f>D295*(($F$149)+1)+(IF(E295&lt;101,E295,IF(E295&lt;201,E295/2,IF(E295&lt;=301,E295/3,E295/4))))</f>
        <v>620.97515999999985</v>
      </c>
      <c r="G295" s="82"/>
      <c r="H295" s="83"/>
      <c r="I295" s="30"/>
      <c r="N295" s="30"/>
    </row>
    <row r="296" spans="1:14" s="2" customFormat="1" ht="15.75" customHeight="1" x14ac:dyDescent="0.35">
      <c r="A296" s="76">
        <f>A295+1</f>
        <v>6</v>
      </c>
      <c r="B296" s="76"/>
      <c r="C296" s="14" t="s">
        <v>172</v>
      </c>
      <c r="D296" s="14">
        <f>(36.91+1*1.55)*10.764</f>
        <v>413.98343999999992</v>
      </c>
      <c r="E296" s="14">
        <v>0</v>
      </c>
      <c r="F296" s="14">
        <f>D296*(($F$149)+1)+(IF(E296&lt;101,E296,IF(E296&lt;201,E296/2,IF(E296&lt;=301,E296/3,E296/4))))</f>
        <v>620.97515999999985</v>
      </c>
      <c r="G296" s="82"/>
      <c r="H296" s="83"/>
      <c r="N296" s="30"/>
    </row>
    <row r="297" spans="1:14" s="2" customFormat="1" ht="15.75" customHeight="1" x14ac:dyDescent="0.35">
      <c r="A297" s="76">
        <v>7</v>
      </c>
      <c r="B297" s="76"/>
      <c r="C297" s="14" t="s">
        <v>172</v>
      </c>
      <c r="D297" s="14">
        <f>(36.91+1*1.55)*10.764</f>
        <v>413.98343999999992</v>
      </c>
      <c r="E297" s="14">
        <v>0</v>
      </c>
      <c r="F297" s="14">
        <f>D297*(($F$149)+1)+(IF(E297&lt;101,E297,IF(E297&lt;201,E297/2,IF(E297&lt;=301,E297/3,E297/4))))</f>
        <v>620.97515999999985</v>
      </c>
      <c r="G297" s="82"/>
      <c r="H297" s="83"/>
      <c r="I297" s="30"/>
      <c r="N297" s="30"/>
    </row>
    <row r="298" spans="1:14" s="2" customFormat="1" ht="15.75" customHeight="1" x14ac:dyDescent="0.35">
      <c r="A298" s="76">
        <f>A297+1</f>
        <v>8</v>
      </c>
      <c r="B298" s="76"/>
      <c r="C298" s="14" t="s">
        <v>172</v>
      </c>
      <c r="D298" s="14">
        <f>(36.91+1*1.55)*10.764</f>
        <v>413.98343999999992</v>
      </c>
      <c r="E298" s="14">
        <v>0</v>
      </c>
      <c r="F298" s="14">
        <f t="shared" ref="F298:F299" si="23">D298*(($F$149)+1)+(IF(E298&lt;101,E298,IF(E298&lt;201,E298/2,IF(E298&lt;=301,E298/3,E298/4))))</f>
        <v>620.97515999999985</v>
      </c>
      <c r="G298" s="82"/>
      <c r="H298" s="83"/>
      <c r="I298" s="30"/>
      <c r="N298" s="30"/>
    </row>
    <row r="299" spans="1:14" s="2" customFormat="1" ht="15.75" customHeight="1" x14ac:dyDescent="0.35">
      <c r="A299" s="76">
        <f>A298+1</f>
        <v>9</v>
      </c>
      <c r="B299" s="76"/>
      <c r="C299" s="14" t="s">
        <v>172</v>
      </c>
      <c r="D299" s="14">
        <f>(36.91+1*1.55)*10.764</f>
        <v>413.98343999999992</v>
      </c>
      <c r="E299" s="14">
        <v>0</v>
      </c>
      <c r="F299" s="14">
        <f t="shared" si="23"/>
        <v>620.97515999999985</v>
      </c>
      <c r="G299" s="82"/>
      <c r="H299" s="83"/>
      <c r="K299" s="1"/>
      <c r="L299" s="1"/>
      <c r="M299" s="1"/>
      <c r="N299" s="1"/>
    </row>
    <row r="300" spans="1:14" s="2" customFormat="1" ht="15.75" customHeight="1" x14ac:dyDescent="0.35">
      <c r="A300" s="76">
        <f>A299+1</f>
        <v>10</v>
      </c>
      <c r="B300" s="76"/>
      <c r="C300" s="14" t="s">
        <v>172</v>
      </c>
      <c r="D300" s="14">
        <f>(37.91+1.55*1)*10.764</f>
        <v>424.74743999999993</v>
      </c>
      <c r="E300" s="14">
        <v>0</v>
      </c>
      <c r="F300" s="14">
        <f t="shared" ref="F300:F305" si="24">D300*(($F$149)+1)+(IF(E300&lt;101,E300,IF(E300&lt;201,E300/2,IF(E300&lt;=301,E300/3,E300/4))))</f>
        <v>637.12115999999992</v>
      </c>
      <c r="G300" s="82"/>
      <c r="H300" s="83"/>
      <c r="K300" s="1"/>
      <c r="L300" s="1"/>
      <c r="M300" s="1"/>
      <c r="N300" s="1"/>
    </row>
    <row r="301" spans="1:14" s="2" customFormat="1" ht="15.75" customHeight="1" x14ac:dyDescent="0.35">
      <c r="A301" s="76">
        <v>11</v>
      </c>
      <c r="B301" s="76"/>
      <c r="C301" s="14" t="s">
        <v>172</v>
      </c>
      <c r="D301" s="14">
        <f>(41.9+1*1.55)*10.764</f>
        <v>467.69579999999991</v>
      </c>
      <c r="E301" s="14">
        <v>0</v>
      </c>
      <c r="F301" s="14">
        <f t="shared" si="24"/>
        <v>701.54369999999983</v>
      </c>
      <c r="G301" s="82"/>
      <c r="H301" s="83"/>
      <c r="I301" s="30"/>
      <c r="K301" s="1"/>
      <c r="L301" s="1"/>
      <c r="M301" s="1"/>
      <c r="N301" s="1"/>
    </row>
    <row r="302" spans="1:14" s="2" customFormat="1" ht="15.75" customHeight="1" x14ac:dyDescent="0.35">
      <c r="A302" s="76">
        <f>A301+1</f>
        <v>12</v>
      </c>
      <c r="B302" s="76"/>
      <c r="C302" s="14" t="s">
        <v>172</v>
      </c>
      <c r="D302" s="14">
        <f>(41.53+1*1.55)*10.764</f>
        <v>463.71311999999995</v>
      </c>
      <c r="E302" s="14">
        <v>0</v>
      </c>
      <c r="F302" s="14">
        <f t="shared" si="24"/>
        <v>695.56967999999995</v>
      </c>
      <c r="G302" s="82"/>
      <c r="H302" s="83"/>
      <c r="I302" s="30"/>
      <c r="K302" s="1"/>
      <c r="L302" s="1"/>
      <c r="M302" s="1"/>
      <c r="N302" s="1"/>
    </row>
    <row r="303" spans="1:14" s="2" customFormat="1" ht="15.75" customHeight="1" x14ac:dyDescent="0.35">
      <c r="A303" s="76">
        <v>13</v>
      </c>
      <c r="B303" s="76"/>
      <c r="C303" s="14" t="s">
        <v>172</v>
      </c>
      <c r="D303" s="14">
        <f>(41.53+1*1.55)*10.764</f>
        <v>463.71311999999995</v>
      </c>
      <c r="E303" s="14">
        <v>0</v>
      </c>
      <c r="F303" s="14">
        <f t="shared" si="24"/>
        <v>695.56967999999995</v>
      </c>
      <c r="G303" s="82"/>
      <c r="H303" s="83"/>
      <c r="I303" s="30"/>
      <c r="K303" s="1"/>
      <c r="L303" s="1"/>
      <c r="M303" s="1"/>
      <c r="N303" s="1"/>
    </row>
    <row r="304" spans="1:14" s="2" customFormat="1" ht="15.75" customHeight="1" x14ac:dyDescent="0.35">
      <c r="A304" s="76">
        <f>A303+1</f>
        <v>14</v>
      </c>
      <c r="B304" s="76"/>
      <c r="C304" s="14" t="s">
        <v>172</v>
      </c>
      <c r="D304" s="14">
        <f>(41.53+1*1.55)*10.764</f>
        <v>463.71311999999995</v>
      </c>
      <c r="E304" s="14">
        <v>0</v>
      </c>
      <c r="F304" s="14">
        <f t="shared" si="24"/>
        <v>695.56967999999995</v>
      </c>
      <c r="G304" s="82"/>
      <c r="H304" s="83"/>
      <c r="I304" s="30">
        <f>3545000/F304</f>
        <v>5096.5418734180594</v>
      </c>
      <c r="K304" s="1"/>
      <c r="L304" s="1"/>
      <c r="M304" s="1"/>
      <c r="N304" s="1"/>
    </row>
    <row r="305" spans="1:14" s="2" customFormat="1" ht="15.75" customHeight="1" x14ac:dyDescent="0.35">
      <c r="A305" s="76">
        <f>A304+1</f>
        <v>15</v>
      </c>
      <c r="B305" s="76"/>
      <c r="C305" s="14" t="s">
        <v>172</v>
      </c>
      <c r="D305" s="14">
        <f>(41.9+1*1.55)*10.764</f>
        <v>467.69579999999991</v>
      </c>
      <c r="E305" s="14">
        <v>0</v>
      </c>
      <c r="F305" s="14">
        <f t="shared" si="24"/>
        <v>701.54369999999983</v>
      </c>
      <c r="G305" s="84"/>
      <c r="H305" s="85"/>
      <c r="K305" s="1"/>
      <c r="L305" s="1"/>
      <c r="M305" s="1"/>
      <c r="N305" s="1"/>
    </row>
    <row r="306" spans="1:14" s="2" customFormat="1" x14ac:dyDescent="0.35">
      <c r="A306" s="86" t="s">
        <v>228</v>
      </c>
      <c r="B306" s="86"/>
      <c r="C306" s="86"/>
      <c r="D306" s="86"/>
      <c r="E306" s="86"/>
      <c r="F306" s="86"/>
      <c r="G306" s="86"/>
      <c r="H306" s="86"/>
      <c r="I306" s="30"/>
      <c r="L306" s="90"/>
      <c r="M306" s="90"/>
    </row>
    <row r="307" spans="1:14" s="2" customFormat="1" x14ac:dyDescent="0.35">
      <c r="A307" s="76">
        <v>1</v>
      </c>
      <c r="B307" s="76"/>
      <c r="C307" s="14" t="s">
        <v>172</v>
      </c>
      <c r="D307" s="14">
        <f>(41.53+1*1.55)*10.764</f>
        <v>463.71311999999995</v>
      </c>
      <c r="E307" s="14">
        <v>0</v>
      </c>
      <c r="F307" s="14">
        <f>D307*(($F$149)+1)+(IF(E307&lt;101,E307,IF(E307&lt;201,E307/2,IF(E307&lt;=301,E307/3,E307/4))))</f>
        <v>695.56967999999995</v>
      </c>
      <c r="G307" s="80" t="str">
        <f>A306</f>
        <v xml:space="preserve">4th Floor </v>
      </c>
      <c r="H307" s="81"/>
      <c r="I307" s="30"/>
      <c r="K307" s="30"/>
    </row>
    <row r="308" spans="1:14" s="2" customFormat="1" x14ac:dyDescent="0.35">
      <c r="A308" s="76">
        <v>2</v>
      </c>
      <c r="B308" s="76"/>
      <c r="C308" s="14" t="s">
        <v>172</v>
      </c>
      <c r="D308" s="14">
        <f>(41.53+1*1.55)*10.764</f>
        <v>463.71311999999995</v>
      </c>
      <c r="E308" s="14">
        <v>0</v>
      </c>
      <c r="F308" s="14">
        <f>D308*(($F$149)+1)+(IF(E308&lt;101,E308,IF(E308&lt;201,E308/2,IF(E308&lt;=301,E308/3,E308/4))))</f>
        <v>695.56967999999995</v>
      </c>
      <c r="G308" s="82"/>
      <c r="H308" s="83"/>
      <c r="I308" s="30"/>
      <c r="K308" s="30"/>
    </row>
    <row r="309" spans="1:14" s="2" customFormat="1" x14ac:dyDescent="0.35">
      <c r="A309" s="76">
        <v>3</v>
      </c>
      <c r="B309" s="76"/>
      <c r="C309" s="14" t="s">
        <v>172</v>
      </c>
      <c r="D309" s="14">
        <f>(41.9+1*1.55)*10.764</f>
        <v>467.69579999999991</v>
      </c>
      <c r="E309" s="14">
        <v>0</v>
      </c>
      <c r="F309" s="14">
        <f>D309*(($F$149)+1)+(IF(E309&lt;101,E309,IF(E309&lt;201,E309/2,IF(E309&lt;=301,E309/3,E309/4))))</f>
        <v>701.54369999999983</v>
      </c>
      <c r="G309" s="82"/>
      <c r="H309" s="83"/>
      <c r="K309" s="30"/>
    </row>
    <row r="310" spans="1:14" s="2" customFormat="1" x14ac:dyDescent="0.35">
      <c r="A310" s="76">
        <v>4</v>
      </c>
      <c r="B310" s="76"/>
      <c r="C310" s="14" t="s">
        <v>172</v>
      </c>
      <c r="D310" s="14">
        <f>(37.91+1*1.55)*10.764</f>
        <v>424.74743999999993</v>
      </c>
      <c r="E310" s="14">
        <v>0</v>
      </c>
      <c r="F310" s="14">
        <f>D310*(($F$149)+1)+(IF(E310&lt;101,E310,IF(E310&lt;201,E310/2,IF(E310&lt;=301,E310/3,E310/4))))</f>
        <v>637.12115999999992</v>
      </c>
      <c r="G310" s="82"/>
      <c r="H310" s="83"/>
      <c r="I310" s="30"/>
      <c r="K310" s="30"/>
    </row>
    <row r="311" spans="1:14" s="2" customFormat="1" x14ac:dyDescent="0.35">
      <c r="A311" s="76">
        <v>5</v>
      </c>
      <c r="B311" s="76"/>
      <c r="C311" s="14" t="s">
        <v>172</v>
      </c>
      <c r="D311" s="14">
        <f>(36.91+1*1.55)*10.764</f>
        <v>413.98343999999992</v>
      </c>
      <c r="E311" s="14">
        <v>0</v>
      </c>
      <c r="F311" s="14">
        <f t="shared" ref="F311:F318" si="25">D311*(($F$149)+1)+(IF(E311&lt;101,E311,IF(E311&lt;201,E311/2,IF(E311&lt;=301,E311/3,E311/4))))</f>
        <v>620.97515999999985</v>
      </c>
      <c r="G311" s="82"/>
      <c r="H311" s="83"/>
      <c r="I311" s="30"/>
      <c r="K311" s="30"/>
    </row>
    <row r="312" spans="1:14" s="2" customFormat="1" x14ac:dyDescent="0.35">
      <c r="A312" s="76">
        <v>6</v>
      </c>
      <c r="B312" s="76"/>
      <c r="C312" s="14" t="s">
        <v>172</v>
      </c>
      <c r="D312" s="14">
        <f>(36.91+1*1.55)*10.764</f>
        <v>413.98343999999992</v>
      </c>
      <c r="E312" s="14">
        <v>0</v>
      </c>
      <c r="F312" s="14">
        <f t="shared" si="25"/>
        <v>620.97515999999985</v>
      </c>
      <c r="G312" s="82"/>
      <c r="H312" s="83"/>
      <c r="K312" s="1"/>
    </row>
    <row r="313" spans="1:14" s="2" customFormat="1" x14ac:dyDescent="0.35">
      <c r="A313" s="76">
        <v>7</v>
      </c>
      <c r="B313" s="76"/>
      <c r="C313" s="14" t="s">
        <v>172</v>
      </c>
      <c r="D313" s="14">
        <f>(36.91+1*1.55)*10.764</f>
        <v>413.98343999999992</v>
      </c>
      <c r="E313" s="14">
        <v>0</v>
      </c>
      <c r="F313" s="14">
        <f t="shared" si="25"/>
        <v>620.97515999999985</v>
      </c>
      <c r="G313" s="82"/>
      <c r="H313" s="83"/>
      <c r="K313" s="1"/>
    </row>
    <row r="314" spans="1:14" s="2" customFormat="1" x14ac:dyDescent="0.35">
      <c r="A314" s="76">
        <v>8</v>
      </c>
      <c r="B314" s="76"/>
      <c r="C314" s="14" t="s">
        <v>172</v>
      </c>
      <c r="D314" s="14">
        <f>(36.91+1*1.55)*10.764</f>
        <v>413.98343999999992</v>
      </c>
      <c r="E314" s="14">
        <v>0</v>
      </c>
      <c r="F314" s="14">
        <f t="shared" si="25"/>
        <v>620.97515999999985</v>
      </c>
      <c r="G314" s="82"/>
      <c r="H314" s="83"/>
      <c r="I314" s="30"/>
      <c r="K314" s="1"/>
    </row>
    <row r="315" spans="1:14" s="2" customFormat="1" x14ac:dyDescent="0.35">
      <c r="A315" s="76">
        <v>9</v>
      </c>
      <c r="B315" s="76"/>
      <c r="C315" s="14" t="s">
        <v>172</v>
      </c>
      <c r="D315" s="14">
        <f>(36.91+1*1.55)*10.764</f>
        <v>413.98343999999992</v>
      </c>
      <c r="E315" s="14">
        <v>0</v>
      </c>
      <c r="F315" s="14">
        <f t="shared" si="25"/>
        <v>620.97515999999985</v>
      </c>
      <c r="G315" s="82"/>
      <c r="H315" s="83"/>
      <c r="I315" s="30"/>
      <c r="K315" s="1"/>
    </row>
    <row r="316" spans="1:14" s="2" customFormat="1" x14ac:dyDescent="0.35">
      <c r="A316" s="76">
        <v>10</v>
      </c>
      <c r="B316" s="76"/>
      <c r="C316" s="14" t="s">
        <v>172</v>
      </c>
      <c r="D316" s="14">
        <f>(37.91+1*1.55)*10.764</f>
        <v>424.74743999999993</v>
      </c>
      <c r="E316" s="14">
        <v>0</v>
      </c>
      <c r="F316" s="14">
        <f t="shared" si="25"/>
        <v>637.12115999999992</v>
      </c>
      <c r="G316" s="82"/>
      <c r="H316" s="83"/>
      <c r="I316" s="30"/>
      <c r="K316" s="1"/>
    </row>
    <row r="317" spans="1:14" s="2" customFormat="1" x14ac:dyDescent="0.35">
      <c r="A317" s="76">
        <v>11</v>
      </c>
      <c r="B317" s="76"/>
      <c r="C317" s="14" t="s">
        <v>172</v>
      </c>
      <c r="D317" s="14">
        <f>(41.9+1*1.55)*10.764</f>
        <v>467.69579999999991</v>
      </c>
      <c r="E317" s="14">
        <v>0</v>
      </c>
      <c r="F317" s="14">
        <f t="shared" si="25"/>
        <v>701.54369999999983</v>
      </c>
      <c r="G317" s="82"/>
      <c r="H317" s="83"/>
      <c r="I317" s="30">
        <f>3545000/F317</f>
        <v>5053.1420922174921</v>
      </c>
      <c r="K317" s="1"/>
    </row>
    <row r="318" spans="1:14" s="2" customFormat="1" x14ac:dyDescent="0.35">
      <c r="A318" s="76">
        <v>12</v>
      </c>
      <c r="B318" s="76"/>
      <c r="C318" s="14" t="s">
        <v>172</v>
      </c>
      <c r="D318" s="14">
        <f>(41.53+1*1.55)*10.764</f>
        <v>463.71311999999995</v>
      </c>
      <c r="E318" s="14">
        <v>0</v>
      </c>
      <c r="F318" s="14">
        <f t="shared" si="25"/>
        <v>695.56967999999995</v>
      </c>
      <c r="G318" s="82"/>
      <c r="H318" s="83"/>
      <c r="K318" s="1"/>
    </row>
    <row r="319" spans="1:14" s="2" customFormat="1" x14ac:dyDescent="0.35">
      <c r="A319" s="76">
        <v>13</v>
      </c>
      <c r="B319" s="76"/>
      <c r="C319" s="14" t="s">
        <v>172</v>
      </c>
      <c r="D319" s="14">
        <f t="shared" ref="D319:D320" si="26">(41.53+1*1.55)*10.764</f>
        <v>463.71311999999995</v>
      </c>
      <c r="E319" s="14">
        <v>0</v>
      </c>
      <c r="F319" s="14">
        <f t="shared" ref="F319:F324" si="27">D319*(($F$149)+1)+(IF(E319&lt;101,E319,IF(E319&lt;201,E319/2,IF(E319&lt;=301,E319/3,E319/4))))</f>
        <v>695.56967999999995</v>
      </c>
      <c r="G319" s="82"/>
      <c r="H319" s="83"/>
      <c r="K319" s="1"/>
    </row>
    <row r="320" spans="1:14" s="2" customFormat="1" x14ac:dyDescent="0.35">
      <c r="A320" s="76">
        <v>14</v>
      </c>
      <c r="B320" s="76"/>
      <c r="C320" s="14" t="s">
        <v>172</v>
      </c>
      <c r="D320" s="14">
        <f t="shared" si="26"/>
        <v>463.71311999999995</v>
      </c>
      <c r="E320" s="14">
        <v>0</v>
      </c>
      <c r="F320" s="14">
        <f t="shared" si="27"/>
        <v>695.56967999999995</v>
      </c>
      <c r="G320" s="82"/>
      <c r="H320" s="83"/>
      <c r="I320" s="30"/>
      <c r="K320" s="1"/>
    </row>
    <row r="321" spans="1:13" s="2" customFormat="1" x14ac:dyDescent="0.35">
      <c r="A321" s="76">
        <v>15</v>
      </c>
      <c r="B321" s="76"/>
      <c r="C321" s="14" t="s">
        <v>172</v>
      </c>
      <c r="D321" s="14">
        <f>(41.9+1*1.55)*10.764</f>
        <v>467.69579999999991</v>
      </c>
      <c r="E321" s="14">
        <v>0</v>
      </c>
      <c r="F321" s="14">
        <f t="shared" si="27"/>
        <v>701.54369999999983</v>
      </c>
      <c r="G321" s="82"/>
      <c r="H321" s="83"/>
      <c r="I321" s="30"/>
      <c r="K321" s="1"/>
    </row>
    <row r="322" spans="1:13" s="2" customFormat="1" x14ac:dyDescent="0.35">
      <c r="A322" s="76">
        <v>16</v>
      </c>
      <c r="B322" s="76"/>
      <c r="C322" s="14" t="s">
        <v>172</v>
      </c>
      <c r="D322" s="14">
        <f>(41.9+1*1.55)*10.764</f>
        <v>467.69579999999991</v>
      </c>
      <c r="E322" s="14">
        <v>0</v>
      </c>
      <c r="F322" s="14">
        <f t="shared" si="27"/>
        <v>701.54369999999983</v>
      </c>
      <c r="G322" s="82"/>
      <c r="H322" s="83"/>
      <c r="I322" s="30"/>
      <c r="K322" s="1"/>
    </row>
    <row r="323" spans="1:13" s="2" customFormat="1" x14ac:dyDescent="0.35">
      <c r="A323" s="76">
        <v>17</v>
      </c>
      <c r="B323" s="76"/>
      <c r="C323" s="14" t="s">
        <v>172</v>
      </c>
      <c r="D323" s="14">
        <f>(41.53+1*1.55)*10.764</f>
        <v>463.71311999999995</v>
      </c>
      <c r="E323" s="14">
        <v>0</v>
      </c>
      <c r="F323" s="14">
        <f t="shared" si="27"/>
        <v>695.56967999999995</v>
      </c>
      <c r="G323" s="82"/>
      <c r="H323" s="83"/>
      <c r="I323" s="30">
        <f>3545000/F323</f>
        <v>5096.5418734180594</v>
      </c>
      <c r="K323" s="1"/>
    </row>
    <row r="324" spans="1:13" s="2" customFormat="1" x14ac:dyDescent="0.35">
      <c r="A324" s="76">
        <v>18</v>
      </c>
      <c r="B324" s="76"/>
      <c r="C324" s="14" t="s">
        <v>172</v>
      </c>
      <c r="D324" s="14">
        <f>(41.53+1*1.55)*10.764</f>
        <v>463.71311999999995</v>
      </c>
      <c r="E324" s="14">
        <v>0</v>
      </c>
      <c r="F324" s="14">
        <f t="shared" si="27"/>
        <v>695.56967999999995</v>
      </c>
      <c r="G324" s="84"/>
      <c r="H324" s="85"/>
      <c r="K324" s="1"/>
    </row>
    <row r="325" spans="1:13" s="2" customFormat="1" x14ac:dyDescent="0.35">
      <c r="A325" s="86" t="s">
        <v>229</v>
      </c>
      <c r="B325" s="86"/>
      <c r="C325" s="86"/>
      <c r="D325" s="86"/>
      <c r="E325" s="86"/>
      <c r="F325" s="86"/>
      <c r="G325" s="86"/>
      <c r="H325" s="86"/>
      <c r="I325" s="30"/>
      <c r="L325" s="90"/>
      <c r="M325" s="90"/>
    </row>
    <row r="326" spans="1:13" s="2" customFormat="1" ht="15.75" customHeight="1" x14ac:dyDescent="0.35">
      <c r="A326" s="76">
        <v>1</v>
      </c>
      <c r="B326" s="76"/>
      <c r="C326" s="14" t="s">
        <v>172</v>
      </c>
      <c r="D326" s="14">
        <f>(41.53+1*1.55)*10.764</f>
        <v>463.71311999999995</v>
      </c>
      <c r="E326" s="14">
        <v>0</v>
      </c>
      <c r="F326" s="14">
        <f>D326*(($F$149)+1)+(IF(E326&lt;101,E326,IF(E326&lt;201,E326/2,IF(E326&lt;=301,E326/3,E326/4))))</f>
        <v>695.56967999999995</v>
      </c>
      <c r="G326" s="80" t="str">
        <f>A325</f>
        <v>5th to 8th &amp; 10th to 14th Floor</v>
      </c>
      <c r="H326" s="81"/>
      <c r="I326" s="30"/>
    </row>
    <row r="327" spans="1:13" s="2" customFormat="1" ht="15.75" customHeight="1" x14ac:dyDescent="0.35">
      <c r="A327" s="76">
        <v>2</v>
      </c>
      <c r="B327" s="76"/>
      <c r="C327" s="14" t="s">
        <v>172</v>
      </c>
      <c r="D327" s="14">
        <f>(41.53+1*1.55)*10.764</f>
        <v>463.71311999999995</v>
      </c>
      <c r="E327" s="14">
        <v>0</v>
      </c>
      <c r="F327" s="14">
        <f>D327*(($F$149)+1)+(IF(E327&lt;101,E327,IF(E327&lt;201,E327/2,IF(E327&lt;=301,E327/3,E327/4))))</f>
        <v>695.56967999999995</v>
      </c>
      <c r="G327" s="82"/>
      <c r="H327" s="83"/>
      <c r="I327" s="30"/>
    </row>
    <row r="328" spans="1:13" s="2" customFormat="1" ht="15.75" customHeight="1" x14ac:dyDescent="0.35">
      <c r="A328" s="76">
        <v>3</v>
      </c>
      <c r="B328" s="76"/>
      <c r="C328" s="14" t="s">
        <v>172</v>
      </c>
      <c r="D328" s="14">
        <f>(41.9+1*1.55)*10.764</f>
        <v>467.69579999999991</v>
      </c>
      <c r="E328" s="14">
        <v>0</v>
      </c>
      <c r="F328" s="14">
        <f>D328*(($F$149)+1)+(IF(E328&lt;101,E328,IF(E328&lt;201,E328/2,IF(E328&lt;=301,E328/3,E328/4))))</f>
        <v>701.54369999999983</v>
      </c>
      <c r="G328" s="82"/>
      <c r="H328" s="83"/>
    </row>
    <row r="329" spans="1:13" s="2" customFormat="1" ht="15.75" customHeight="1" x14ac:dyDescent="0.35">
      <c r="A329" s="76">
        <v>4</v>
      </c>
      <c r="B329" s="76"/>
      <c r="C329" s="14" t="s">
        <v>172</v>
      </c>
      <c r="D329" s="14">
        <f>(37.91+1*1.55)*10.764</f>
        <v>424.74743999999993</v>
      </c>
      <c r="E329" s="14">
        <v>0</v>
      </c>
      <c r="F329" s="14">
        <f>D329*(($F$149)+1)+(IF(E329&lt;101,E329,IF(E329&lt;201,E329/2,IF(E329&lt;=301,E329/3,E329/4))))</f>
        <v>637.12115999999992</v>
      </c>
      <c r="G329" s="82"/>
      <c r="H329" s="83"/>
      <c r="I329" s="30"/>
    </row>
    <row r="330" spans="1:13" s="2" customFormat="1" ht="15.75" customHeight="1" x14ac:dyDescent="0.35">
      <c r="A330" s="76">
        <v>5</v>
      </c>
      <c r="B330" s="76"/>
      <c r="C330" s="14" t="s">
        <v>172</v>
      </c>
      <c r="D330" s="14">
        <f>(36.91+1*1.55)*10.764</f>
        <v>413.98343999999992</v>
      </c>
      <c r="E330" s="14">
        <v>0</v>
      </c>
      <c r="F330" s="14">
        <f t="shared" ref="F330:F343" si="28">D330*(($F$149)+1)+(IF(E330&lt;101,E330,IF(E330&lt;201,E330/2,IF(E330&lt;=301,E330/3,E330/4))))</f>
        <v>620.97515999999985</v>
      </c>
      <c r="G330" s="82"/>
      <c r="H330" s="83"/>
      <c r="I330" s="30"/>
    </row>
    <row r="331" spans="1:13" s="2" customFormat="1" ht="15.75" customHeight="1" x14ac:dyDescent="0.35">
      <c r="A331" s="76">
        <v>6</v>
      </c>
      <c r="B331" s="76"/>
      <c r="C331" s="14" t="s">
        <v>172</v>
      </c>
      <c r="D331" s="14">
        <f>(36.91+1*1.55)*10.764</f>
        <v>413.98343999999992</v>
      </c>
      <c r="E331" s="14">
        <v>0</v>
      </c>
      <c r="F331" s="14">
        <f t="shared" si="28"/>
        <v>620.97515999999985</v>
      </c>
      <c r="G331" s="82"/>
      <c r="H331" s="83"/>
    </row>
    <row r="332" spans="1:13" s="2" customFormat="1" ht="15.75" customHeight="1" x14ac:dyDescent="0.35">
      <c r="A332" s="76">
        <v>7</v>
      </c>
      <c r="B332" s="76"/>
      <c r="C332" s="14" t="s">
        <v>172</v>
      </c>
      <c r="D332" s="14">
        <f>(36.91+1*1.55)*10.764</f>
        <v>413.98343999999992</v>
      </c>
      <c r="E332" s="14">
        <v>0</v>
      </c>
      <c r="F332" s="14">
        <f t="shared" si="28"/>
        <v>620.97515999999985</v>
      </c>
      <c r="G332" s="82"/>
      <c r="H332" s="83"/>
    </row>
    <row r="333" spans="1:13" s="2" customFormat="1" ht="15.75" customHeight="1" x14ac:dyDescent="0.35">
      <c r="A333" s="76">
        <v>8</v>
      </c>
      <c r="B333" s="76"/>
      <c r="C333" s="14" t="s">
        <v>172</v>
      </c>
      <c r="D333" s="14">
        <f>(36.91+1*1.55)*10.764</f>
        <v>413.98343999999992</v>
      </c>
      <c r="E333" s="14">
        <v>0</v>
      </c>
      <c r="F333" s="14">
        <f t="shared" si="28"/>
        <v>620.97515999999985</v>
      </c>
      <c r="G333" s="82"/>
      <c r="H333" s="83"/>
      <c r="I333" s="30"/>
    </row>
    <row r="334" spans="1:13" s="2" customFormat="1" ht="15.75" customHeight="1" x14ac:dyDescent="0.35">
      <c r="A334" s="76">
        <v>9</v>
      </c>
      <c r="B334" s="76"/>
      <c r="C334" s="14" t="s">
        <v>172</v>
      </c>
      <c r="D334" s="14">
        <f>(36.91+1*1.55)*10.764</f>
        <v>413.98343999999992</v>
      </c>
      <c r="E334" s="14">
        <v>0</v>
      </c>
      <c r="F334" s="14">
        <f t="shared" si="28"/>
        <v>620.97515999999985</v>
      </c>
      <c r="G334" s="82"/>
      <c r="H334" s="83"/>
      <c r="I334" s="30"/>
    </row>
    <row r="335" spans="1:13" s="2" customFormat="1" ht="15.75" customHeight="1" x14ac:dyDescent="0.35">
      <c r="A335" s="76">
        <v>10</v>
      </c>
      <c r="B335" s="76"/>
      <c r="C335" s="14" t="s">
        <v>172</v>
      </c>
      <c r="D335" s="14">
        <f>(37.91+1*1.55)*10.764</f>
        <v>424.74743999999993</v>
      </c>
      <c r="E335" s="14">
        <v>0</v>
      </c>
      <c r="F335" s="14">
        <f t="shared" si="28"/>
        <v>637.12115999999992</v>
      </c>
      <c r="G335" s="82"/>
      <c r="H335" s="83"/>
      <c r="I335" s="30"/>
    </row>
    <row r="336" spans="1:13" s="2" customFormat="1" ht="15.75" customHeight="1" x14ac:dyDescent="0.35">
      <c r="A336" s="76">
        <v>11</v>
      </c>
      <c r="B336" s="76"/>
      <c r="C336" s="14" t="s">
        <v>172</v>
      </c>
      <c r="D336" s="14">
        <f>(41.9+1*1.55)*10.764</f>
        <v>467.69579999999991</v>
      </c>
      <c r="E336" s="14">
        <v>0</v>
      </c>
      <c r="F336" s="14">
        <f t="shared" si="28"/>
        <v>701.54369999999983</v>
      </c>
      <c r="G336" s="82"/>
      <c r="H336" s="83"/>
      <c r="I336" s="30">
        <f>3545000/F336</f>
        <v>5053.1420922174921</v>
      </c>
    </row>
    <row r="337" spans="1:13" s="2" customFormat="1" ht="15.75" customHeight="1" x14ac:dyDescent="0.35">
      <c r="A337" s="76">
        <v>12</v>
      </c>
      <c r="B337" s="76"/>
      <c r="C337" s="14" t="s">
        <v>172</v>
      </c>
      <c r="D337" s="14">
        <f>(41.53+1*1.55)*10.764</f>
        <v>463.71311999999995</v>
      </c>
      <c r="E337" s="14">
        <v>0</v>
      </c>
      <c r="F337" s="14">
        <f t="shared" si="28"/>
        <v>695.56967999999995</v>
      </c>
      <c r="G337" s="82"/>
      <c r="H337" s="83"/>
    </row>
    <row r="338" spans="1:13" s="2" customFormat="1" ht="15.75" customHeight="1" x14ac:dyDescent="0.35">
      <c r="A338" s="76">
        <v>13</v>
      </c>
      <c r="B338" s="76"/>
      <c r="C338" s="14" t="s">
        <v>172</v>
      </c>
      <c r="D338" s="14">
        <f t="shared" ref="D338:D339" si="29">(41.53+1*1.55)*10.764</f>
        <v>463.71311999999995</v>
      </c>
      <c r="E338" s="14">
        <v>0</v>
      </c>
      <c r="F338" s="14">
        <f t="shared" si="28"/>
        <v>695.56967999999995</v>
      </c>
      <c r="G338" s="82"/>
      <c r="H338" s="83"/>
    </row>
    <row r="339" spans="1:13" s="2" customFormat="1" ht="15.75" customHeight="1" x14ac:dyDescent="0.35">
      <c r="A339" s="76">
        <v>14</v>
      </c>
      <c r="B339" s="76"/>
      <c r="C339" s="14" t="s">
        <v>172</v>
      </c>
      <c r="D339" s="14">
        <f t="shared" si="29"/>
        <v>463.71311999999995</v>
      </c>
      <c r="E339" s="14">
        <v>0</v>
      </c>
      <c r="F339" s="14">
        <f t="shared" si="28"/>
        <v>695.56967999999995</v>
      </c>
      <c r="G339" s="82"/>
      <c r="H339" s="83"/>
      <c r="I339" s="30"/>
    </row>
    <row r="340" spans="1:13" s="2" customFormat="1" ht="15.75" customHeight="1" x14ac:dyDescent="0.35">
      <c r="A340" s="76">
        <v>15</v>
      </c>
      <c r="B340" s="76"/>
      <c r="C340" s="14" t="s">
        <v>172</v>
      </c>
      <c r="D340" s="14">
        <f>(41.9+1*1.55)*10.764</f>
        <v>467.69579999999991</v>
      </c>
      <c r="E340" s="14">
        <v>0</v>
      </c>
      <c r="F340" s="14">
        <f t="shared" si="28"/>
        <v>701.54369999999983</v>
      </c>
      <c r="G340" s="82"/>
      <c r="H340" s="83"/>
      <c r="I340" s="30"/>
    </row>
    <row r="341" spans="1:13" s="2" customFormat="1" ht="15.75" customHeight="1" x14ac:dyDescent="0.35">
      <c r="A341" s="76">
        <v>16</v>
      </c>
      <c r="B341" s="76"/>
      <c r="C341" s="14" t="s">
        <v>172</v>
      </c>
      <c r="D341" s="14">
        <f>(41.9+1*1.55)*10.764</f>
        <v>467.69579999999991</v>
      </c>
      <c r="E341" s="14">
        <v>0</v>
      </c>
      <c r="F341" s="14">
        <f t="shared" si="28"/>
        <v>701.54369999999983</v>
      </c>
      <c r="G341" s="82"/>
      <c r="H341" s="83"/>
      <c r="I341" s="30"/>
    </row>
    <row r="342" spans="1:13" s="2" customFormat="1" ht="15.75" customHeight="1" x14ac:dyDescent="0.35">
      <c r="A342" s="76">
        <v>17</v>
      </c>
      <c r="B342" s="76"/>
      <c r="C342" s="14" t="s">
        <v>172</v>
      </c>
      <c r="D342" s="14">
        <f>(41.53+1*1.55)*10.764</f>
        <v>463.71311999999995</v>
      </c>
      <c r="E342" s="14">
        <v>0</v>
      </c>
      <c r="F342" s="14">
        <f t="shared" si="28"/>
        <v>695.56967999999995</v>
      </c>
      <c r="G342" s="82"/>
      <c r="H342" s="83"/>
      <c r="I342" s="30">
        <f>3545000/F342</f>
        <v>5096.5418734180594</v>
      </c>
    </row>
    <row r="343" spans="1:13" s="2" customFormat="1" ht="15.75" customHeight="1" x14ac:dyDescent="0.35">
      <c r="A343" s="76">
        <v>18</v>
      </c>
      <c r="B343" s="76"/>
      <c r="C343" s="14" t="s">
        <v>172</v>
      </c>
      <c r="D343" s="14">
        <f>(41.53+1*1.55)*10.764</f>
        <v>463.71311999999995</v>
      </c>
      <c r="E343" s="14">
        <v>0</v>
      </c>
      <c r="F343" s="14">
        <f t="shared" si="28"/>
        <v>695.56967999999995</v>
      </c>
      <c r="G343" s="84"/>
      <c r="H343" s="85"/>
    </row>
    <row r="344" spans="1:13" s="2" customFormat="1" x14ac:dyDescent="0.35">
      <c r="A344" s="86" t="s">
        <v>218</v>
      </c>
      <c r="B344" s="86"/>
      <c r="C344" s="86"/>
      <c r="D344" s="86"/>
      <c r="E344" s="86"/>
      <c r="F344" s="86"/>
      <c r="G344" s="86"/>
      <c r="H344" s="86"/>
      <c r="I344" s="30"/>
      <c r="L344" s="90"/>
      <c r="M344" s="90"/>
    </row>
    <row r="345" spans="1:13" s="2" customFormat="1" ht="15.75" customHeight="1" x14ac:dyDescent="0.35">
      <c r="A345" s="76">
        <v>1</v>
      </c>
      <c r="B345" s="76"/>
      <c r="C345" s="14" t="s">
        <v>172</v>
      </c>
      <c r="D345" s="14">
        <f>(41.53+1*1.55)*10.764</f>
        <v>463.71311999999995</v>
      </c>
      <c r="E345" s="14">
        <v>0</v>
      </c>
      <c r="F345" s="14">
        <f>D345*(($F$149)+1)+(IF(E345&lt;101,E345,IF(E345&lt;201,E345/2,IF(E345&lt;=301,E345/3,E345/4))))</f>
        <v>695.56967999999995</v>
      </c>
      <c r="G345" s="80" t="str">
        <f>A344</f>
        <v>9th Floor (Part Refuge Area)</v>
      </c>
      <c r="H345" s="81"/>
      <c r="I345" s="30"/>
    </row>
    <row r="346" spans="1:13" s="2" customFormat="1" ht="15.75" customHeight="1" x14ac:dyDescent="0.35">
      <c r="A346" s="76">
        <v>2</v>
      </c>
      <c r="B346" s="76"/>
      <c r="C346" s="14" t="s">
        <v>172</v>
      </c>
      <c r="D346" s="14">
        <f>(41.53+1*1.55)*10.764</f>
        <v>463.71311999999995</v>
      </c>
      <c r="E346" s="14">
        <v>0</v>
      </c>
      <c r="F346" s="14">
        <f>D346*(($F$149)+1)+(IF(E346&lt;101,E346,IF(E346&lt;201,E346/2,IF(E346&lt;=301,E346/3,E346/4))))</f>
        <v>695.56967999999995</v>
      </c>
      <c r="G346" s="82"/>
      <c r="H346" s="83"/>
      <c r="I346" s="30"/>
    </row>
    <row r="347" spans="1:13" s="2" customFormat="1" ht="15.75" customHeight="1" x14ac:dyDescent="0.35">
      <c r="A347" s="76">
        <v>3</v>
      </c>
      <c r="B347" s="76"/>
      <c r="C347" s="14" t="s">
        <v>172</v>
      </c>
      <c r="D347" s="14">
        <f>(41.9+1*1.55)*10.764</f>
        <v>467.69579999999991</v>
      </c>
      <c r="E347" s="14">
        <v>0</v>
      </c>
      <c r="F347" s="14">
        <f>D347*(($F$149)+1)+(IF(E347&lt;101,E347,IF(E347&lt;201,E347/2,IF(E347&lt;=301,E347/3,E347/4))))</f>
        <v>701.54369999999983</v>
      </c>
      <c r="G347" s="82"/>
      <c r="H347" s="83"/>
    </row>
    <row r="348" spans="1:13" s="2" customFormat="1" ht="15.75" customHeight="1" x14ac:dyDescent="0.35">
      <c r="A348" s="76">
        <v>4</v>
      </c>
      <c r="B348" s="76"/>
      <c r="C348" s="14" t="s">
        <v>172</v>
      </c>
      <c r="D348" s="14">
        <f>(37.91+1*1.55)*10.764</f>
        <v>424.74743999999993</v>
      </c>
      <c r="E348" s="14">
        <v>0</v>
      </c>
      <c r="F348" s="14">
        <f>D348*(($F$149)+1)+(IF(E348&lt;101,E348,IF(E348&lt;201,E348/2,IF(E348&lt;=301,E348/3,E348/4))))</f>
        <v>637.12115999999992</v>
      </c>
      <c r="G348" s="82"/>
      <c r="H348" s="83"/>
      <c r="I348" s="30"/>
    </row>
    <row r="349" spans="1:13" s="2" customFormat="1" ht="15.75" customHeight="1" x14ac:dyDescent="0.35">
      <c r="A349" s="76">
        <v>5</v>
      </c>
      <c r="B349" s="76"/>
      <c r="C349" s="14" t="s">
        <v>172</v>
      </c>
      <c r="D349" s="14">
        <f>(36.91+1*1.55)*10.764</f>
        <v>413.98343999999992</v>
      </c>
      <c r="E349" s="14">
        <v>0</v>
      </c>
      <c r="F349" s="14">
        <f t="shared" ref="F349:F362" si="30">D349*(($F$149)+1)+(IF(E349&lt;101,E349,IF(E349&lt;201,E349/2,IF(E349&lt;=301,E349/3,E349/4))))</f>
        <v>620.97515999999985</v>
      </c>
      <c r="G349" s="82"/>
      <c r="H349" s="83"/>
      <c r="I349" s="30"/>
    </row>
    <row r="350" spans="1:13" s="2" customFormat="1" ht="15.75" customHeight="1" x14ac:dyDescent="0.35">
      <c r="A350" s="76">
        <v>6</v>
      </c>
      <c r="B350" s="76"/>
      <c r="C350" s="14" t="s">
        <v>172</v>
      </c>
      <c r="D350" s="14">
        <f>(36.91+1*1.55)*10.764</f>
        <v>413.98343999999992</v>
      </c>
      <c r="E350" s="14">
        <v>0</v>
      </c>
      <c r="F350" s="14">
        <f t="shared" si="30"/>
        <v>620.97515999999985</v>
      </c>
      <c r="G350" s="82"/>
      <c r="H350" s="83"/>
    </row>
    <row r="351" spans="1:13" s="2" customFormat="1" ht="15.75" customHeight="1" x14ac:dyDescent="0.35">
      <c r="A351" s="76">
        <v>7</v>
      </c>
      <c r="B351" s="76"/>
      <c r="C351" s="14" t="s">
        <v>172</v>
      </c>
      <c r="D351" s="14">
        <f>(36.91+1*1.55)*10.764</f>
        <v>413.98343999999992</v>
      </c>
      <c r="E351" s="14">
        <v>0</v>
      </c>
      <c r="F351" s="14">
        <f t="shared" si="30"/>
        <v>620.97515999999985</v>
      </c>
      <c r="G351" s="82"/>
      <c r="H351" s="83"/>
    </row>
    <row r="352" spans="1:13" s="2" customFormat="1" ht="15.75" customHeight="1" x14ac:dyDescent="0.35">
      <c r="A352" s="76">
        <v>8</v>
      </c>
      <c r="B352" s="76"/>
      <c r="C352" s="14" t="s">
        <v>172</v>
      </c>
      <c r="D352" s="14">
        <f>(36.91+1*1.55)*10.764</f>
        <v>413.98343999999992</v>
      </c>
      <c r="E352" s="14">
        <v>0</v>
      </c>
      <c r="F352" s="14">
        <f t="shared" si="30"/>
        <v>620.97515999999985</v>
      </c>
      <c r="G352" s="82"/>
      <c r="H352" s="83"/>
      <c r="I352" s="30"/>
    </row>
    <row r="353" spans="1:14" s="2" customFormat="1" ht="15.75" customHeight="1" x14ac:dyDescent="0.35">
      <c r="A353" s="76">
        <v>9</v>
      </c>
      <c r="B353" s="76"/>
      <c r="C353" s="14" t="s">
        <v>172</v>
      </c>
      <c r="D353" s="14">
        <f>(36.91+1*1.55)*10.764</f>
        <v>413.98343999999992</v>
      </c>
      <c r="E353" s="14">
        <v>0</v>
      </c>
      <c r="F353" s="14">
        <f t="shared" si="30"/>
        <v>620.97515999999985</v>
      </c>
      <c r="G353" s="82"/>
      <c r="H353" s="83"/>
      <c r="I353" s="30"/>
    </row>
    <row r="354" spans="1:14" s="2" customFormat="1" ht="15.75" customHeight="1" x14ac:dyDescent="0.35">
      <c r="A354" s="76">
        <v>10</v>
      </c>
      <c r="B354" s="76"/>
      <c r="C354" s="14" t="s">
        <v>172</v>
      </c>
      <c r="D354" s="14">
        <f>(37.91+1*1.55)*10.764</f>
        <v>424.74743999999993</v>
      </c>
      <c r="E354" s="14">
        <v>0</v>
      </c>
      <c r="F354" s="14">
        <f t="shared" si="30"/>
        <v>637.12115999999992</v>
      </c>
      <c r="G354" s="82"/>
      <c r="H354" s="83"/>
      <c r="I354" s="30"/>
    </row>
    <row r="355" spans="1:14" s="2" customFormat="1" ht="15.75" customHeight="1" x14ac:dyDescent="0.35">
      <c r="A355" s="76">
        <v>11</v>
      </c>
      <c r="B355" s="76"/>
      <c r="C355" s="14" t="s">
        <v>172</v>
      </c>
      <c r="D355" s="14">
        <f>(41.9+1*1.55)*10.764</f>
        <v>467.69579999999991</v>
      </c>
      <c r="E355" s="14">
        <v>0</v>
      </c>
      <c r="F355" s="14">
        <f t="shared" si="30"/>
        <v>701.54369999999983</v>
      </c>
      <c r="G355" s="82"/>
      <c r="H355" s="83"/>
      <c r="I355" s="30">
        <f>3545000/F355</f>
        <v>5053.1420922174921</v>
      </c>
    </row>
    <row r="356" spans="1:14" s="2" customFormat="1" ht="15.75" customHeight="1" x14ac:dyDescent="0.35">
      <c r="A356" s="76">
        <v>12</v>
      </c>
      <c r="B356" s="76"/>
      <c r="C356" s="14" t="s">
        <v>172</v>
      </c>
      <c r="D356" s="14">
        <f>(41.53+1*1.55)*10.764</f>
        <v>463.71311999999995</v>
      </c>
      <c r="E356" s="14">
        <v>0</v>
      </c>
      <c r="F356" s="14">
        <f t="shared" si="30"/>
        <v>695.56967999999995</v>
      </c>
      <c r="G356" s="82"/>
      <c r="H356" s="83"/>
    </row>
    <row r="357" spans="1:14" s="2" customFormat="1" ht="15.75" customHeight="1" x14ac:dyDescent="0.35">
      <c r="A357" s="76">
        <v>13</v>
      </c>
      <c r="B357" s="76"/>
      <c r="C357" s="14" t="s">
        <v>172</v>
      </c>
      <c r="D357" s="14">
        <f t="shared" ref="D357:D358" si="31">(41.53+1*1.55)*10.764</f>
        <v>463.71311999999995</v>
      </c>
      <c r="E357" s="14">
        <v>0</v>
      </c>
      <c r="F357" s="14">
        <f t="shared" si="30"/>
        <v>695.56967999999995</v>
      </c>
      <c r="G357" s="82"/>
      <c r="H357" s="83"/>
    </row>
    <row r="358" spans="1:14" s="2" customFormat="1" ht="15.75" customHeight="1" x14ac:dyDescent="0.35">
      <c r="A358" s="76">
        <v>14</v>
      </c>
      <c r="B358" s="76"/>
      <c r="C358" s="14" t="s">
        <v>172</v>
      </c>
      <c r="D358" s="14">
        <f t="shared" si="31"/>
        <v>463.71311999999995</v>
      </c>
      <c r="E358" s="14">
        <v>0</v>
      </c>
      <c r="F358" s="14">
        <f t="shared" si="30"/>
        <v>695.56967999999995</v>
      </c>
      <c r="G358" s="82"/>
      <c r="H358" s="83"/>
      <c r="I358" s="30"/>
    </row>
    <row r="359" spans="1:14" s="2" customFormat="1" ht="15.75" customHeight="1" x14ac:dyDescent="0.35">
      <c r="A359" s="76">
        <v>15</v>
      </c>
      <c r="B359" s="76"/>
      <c r="C359" s="77" t="s">
        <v>219</v>
      </c>
      <c r="D359" s="78"/>
      <c r="E359" s="78"/>
      <c r="F359" s="79"/>
      <c r="G359" s="82"/>
      <c r="H359" s="83"/>
      <c r="I359" s="30"/>
    </row>
    <row r="360" spans="1:14" s="2" customFormat="1" ht="15.75" customHeight="1" x14ac:dyDescent="0.35">
      <c r="A360" s="76">
        <v>16</v>
      </c>
      <c r="B360" s="76"/>
      <c r="C360" s="14" t="s">
        <v>172</v>
      </c>
      <c r="D360" s="14">
        <f>(41.9+1*1.55)*10.764</f>
        <v>467.69579999999991</v>
      </c>
      <c r="E360" s="14">
        <v>0</v>
      </c>
      <c r="F360" s="14">
        <f t="shared" si="30"/>
        <v>701.54369999999983</v>
      </c>
      <c r="G360" s="82"/>
      <c r="H360" s="83"/>
      <c r="I360" s="30"/>
    </row>
    <row r="361" spans="1:14" s="2" customFormat="1" ht="15.75" customHeight="1" x14ac:dyDescent="0.35">
      <c r="A361" s="76">
        <v>17</v>
      </c>
      <c r="B361" s="76"/>
      <c r="C361" s="14" t="s">
        <v>172</v>
      </c>
      <c r="D361" s="14">
        <f>(41.53+1*1.55)*10.764</f>
        <v>463.71311999999995</v>
      </c>
      <c r="E361" s="14">
        <v>0</v>
      </c>
      <c r="F361" s="14">
        <f t="shared" si="30"/>
        <v>695.56967999999995</v>
      </c>
      <c r="G361" s="82"/>
      <c r="H361" s="83"/>
      <c r="I361" s="30">
        <f>3545000/F361</f>
        <v>5096.5418734180594</v>
      </c>
    </row>
    <row r="362" spans="1:14" s="2" customFormat="1" ht="15.75" customHeight="1" x14ac:dyDescent="0.35">
      <c r="A362" s="76">
        <v>18</v>
      </c>
      <c r="B362" s="76"/>
      <c r="C362" s="14" t="s">
        <v>172</v>
      </c>
      <c r="D362" s="14">
        <f>(41.53+1*1.55)*10.764</f>
        <v>463.71311999999995</v>
      </c>
      <c r="E362" s="14">
        <v>0</v>
      </c>
      <c r="F362" s="14">
        <f t="shared" si="30"/>
        <v>695.56967999999995</v>
      </c>
      <c r="G362" s="84"/>
      <c r="H362" s="85"/>
    </row>
    <row r="363" spans="1:14" s="2" customFormat="1" x14ac:dyDescent="0.35">
      <c r="A363" s="91" t="s">
        <v>201</v>
      </c>
      <c r="B363" s="91"/>
      <c r="C363" s="91"/>
      <c r="D363" s="91"/>
      <c r="E363" s="91"/>
      <c r="F363" s="91"/>
      <c r="G363" s="91"/>
      <c r="H363" s="91"/>
      <c r="I363" s="30"/>
      <c r="K363" s="1"/>
      <c r="L363" s="1"/>
      <c r="M363" s="1"/>
      <c r="N363" s="1"/>
    </row>
    <row r="364" spans="1:14" s="2" customFormat="1" x14ac:dyDescent="0.35">
      <c r="A364" s="91" t="s">
        <v>196</v>
      </c>
      <c r="B364" s="91"/>
      <c r="C364" s="91"/>
      <c r="D364" s="91"/>
      <c r="E364" s="91"/>
      <c r="F364" s="91"/>
      <c r="G364" s="91"/>
      <c r="H364" s="91"/>
      <c r="I364" s="30"/>
      <c r="K364" s="1"/>
      <c r="L364" s="1"/>
      <c r="M364" s="1"/>
      <c r="N364" s="1"/>
    </row>
    <row r="365" spans="1:14" s="2" customFormat="1" x14ac:dyDescent="0.35">
      <c r="A365" s="91" t="s">
        <v>203</v>
      </c>
      <c r="B365" s="91"/>
      <c r="C365" s="91"/>
      <c r="D365" s="91"/>
      <c r="E365" s="91"/>
      <c r="F365" s="91"/>
      <c r="G365" s="91"/>
      <c r="H365" s="91"/>
      <c r="I365" s="30"/>
      <c r="K365" s="1"/>
    </row>
    <row r="366" spans="1:14" s="2" customFormat="1" ht="15.75" customHeight="1" x14ac:dyDescent="0.35">
      <c r="A366" s="76">
        <v>1</v>
      </c>
      <c r="B366" s="76"/>
      <c r="C366" s="14" t="s">
        <v>172</v>
      </c>
      <c r="D366" s="14">
        <f>(41.53+1*1.55)*10.764</f>
        <v>463.71311999999995</v>
      </c>
      <c r="E366" s="14">
        <v>0</v>
      </c>
      <c r="F366" s="14">
        <f t="shared" ref="F366:F373" si="32">D366*(($F$149)+1)+(IF(E366&lt;101,E366,IF(E366&lt;201,E366/2,IF(E366&lt;=301,E366/3,E366/4))))</f>
        <v>695.56967999999995</v>
      </c>
      <c r="G366" s="80" t="str">
        <f>A365</f>
        <v>1st Floor For Residential  &amp; Parking</v>
      </c>
      <c r="H366" s="81"/>
      <c r="I366" s="30"/>
      <c r="J366" s="1"/>
      <c r="K366" s="1"/>
    </row>
    <row r="367" spans="1:14" s="2" customFormat="1" ht="15.75" customHeight="1" x14ac:dyDescent="0.35">
      <c r="A367" s="76">
        <f>A366+1</f>
        <v>2</v>
      </c>
      <c r="B367" s="76"/>
      <c r="C367" s="14" t="s">
        <v>190</v>
      </c>
      <c r="D367" s="14">
        <f>(58.83+1.22*1.85)*10.764</f>
        <v>657.54046799999992</v>
      </c>
      <c r="E367" s="14">
        <v>0</v>
      </c>
      <c r="F367" s="14">
        <f t="shared" si="32"/>
        <v>986.31070199999988</v>
      </c>
      <c r="G367" s="82"/>
      <c r="H367" s="83"/>
      <c r="I367" s="30"/>
      <c r="J367" s="3"/>
      <c r="K367" s="1"/>
    </row>
    <row r="368" spans="1:14" s="2" customFormat="1" ht="15.75" customHeight="1" x14ac:dyDescent="0.35">
      <c r="A368" s="76">
        <f>A367+1</f>
        <v>3</v>
      </c>
      <c r="B368" s="76"/>
      <c r="C368" s="14" t="s">
        <v>190</v>
      </c>
      <c r="D368" s="14">
        <f>(58.83+1.22*1.85)*10.764</f>
        <v>657.54046799999992</v>
      </c>
      <c r="E368" s="14">
        <v>0</v>
      </c>
      <c r="F368" s="14">
        <f t="shared" si="32"/>
        <v>986.31070199999988</v>
      </c>
      <c r="G368" s="82"/>
      <c r="H368" s="83"/>
      <c r="J368" s="3"/>
      <c r="K368" s="1"/>
    </row>
    <row r="369" spans="1:17" s="2" customFormat="1" ht="15.75" customHeight="1" x14ac:dyDescent="0.35">
      <c r="A369" s="76">
        <v>4</v>
      </c>
      <c r="B369" s="76"/>
      <c r="C369" s="77" t="s">
        <v>198</v>
      </c>
      <c r="D369" s="78">
        <f>41.53*10.764</f>
        <v>447.02891999999997</v>
      </c>
      <c r="E369" s="78">
        <v>0</v>
      </c>
      <c r="F369" s="79">
        <f t="shared" si="32"/>
        <v>670.54337999999996</v>
      </c>
      <c r="G369" s="82"/>
      <c r="H369" s="83"/>
      <c r="I369" s="30"/>
      <c r="K369" s="3"/>
      <c r="L369" s="3"/>
      <c r="M369" s="3"/>
      <c r="N369" s="3"/>
      <c r="O369" s="1"/>
      <c r="P369" s="1"/>
      <c r="Q369" s="1"/>
    </row>
    <row r="370" spans="1:17" s="2" customFormat="1" ht="15.75" customHeight="1" x14ac:dyDescent="0.35">
      <c r="A370" s="76">
        <v>5</v>
      </c>
      <c r="B370" s="76"/>
      <c r="C370" s="14" t="s">
        <v>190</v>
      </c>
      <c r="D370" s="14">
        <f>(52.54+1.22*1.85)*10.764</f>
        <v>589.83490799999993</v>
      </c>
      <c r="E370" s="14">
        <v>0</v>
      </c>
      <c r="F370" s="14">
        <f t="shared" si="32"/>
        <v>884.75236199999995</v>
      </c>
      <c r="G370" s="82"/>
      <c r="H370" s="83"/>
      <c r="K370" s="3"/>
      <c r="L370" s="1"/>
      <c r="M370" s="1"/>
      <c r="N370" s="1"/>
    </row>
    <row r="371" spans="1:17" s="2" customFormat="1" ht="15.75" customHeight="1" x14ac:dyDescent="0.35">
      <c r="A371" s="76">
        <v>6</v>
      </c>
      <c r="B371" s="76"/>
      <c r="C371" s="14" t="s">
        <v>190</v>
      </c>
      <c r="D371" s="14">
        <f>(52.54+1.22*1.85)*10.764</f>
        <v>589.83490799999993</v>
      </c>
      <c r="E371" s="14">
        <v>0</v>
      </c>
      <c r="F371" s="14">
        <f t="shared" si="32"/>
        <v>884.75236199999995</v>
      </c>
      <c r="G371" s="82"/>
      <c r="H371" s="83"/>
      <c r="K371" s="3"/>
      <c r="L371" s="1"/>
      <c r="M371" s="1"/>
      <c r="N371" s="1"/>
    </row>
    <row r="372" spans="1:17" s="2" customFormat="1" ht="15.75" customHeight="1" x14ac:dyDescent="0.35">
      <c r="A372" s="76">
        <v>13</v>
      </c>
      <c r="B372" s="76"/>
      <c r="C372" s="14" t="s">
        <v>190</v>
      </c>
      <c r="D372" s="14">
        <f>(52.54+1.22*1.85)*10.764</f>
        <v>589.83490799999993</v>
      </c>
      <c r="E372" s="14">
        <v>0</v>
      </c>
      <c r="F372" s="14">
        <f t="shared" si="32"/>
        <v>884.75236199999995</v>
      </c>
      <c r="G372" s="82"/>
      <c r="H372" s="83"/>
      <c r="K372" s="3"/>
      <c r="L372" s="1"/>
      <c r="M372" s="1"/>
      <c r="N372" s="1"/>
    </row>
    <row r="373" spans="1:17" s="2" customFormat="1" ht="15.75" customHeight="1" x14ac:dyDescent="0.35">
      <c r="A373" s="76">
        <v>14</v>
      </c>
      <c r="B373" s="76"/>
      <c r="C373" s="14" t="s">
        <v>190</v>
      </c>
      <c r="D373" s="14">
        <f>(52.54+1.22*1.85)*10.764</f>
        <v>589.83490799999993</v>
      </c>
      <c r="E373" s="14">
        <v>0</v>
      </c>
      <c r="F373" s="14">
        <f t="shared" si="32"/>
        <v>884.75236199999995</v>
      </c>
      <c r="G373" s="84"/>
      <c r="H373" s="85"/>
      <c r="I373" s="30">
        <f>4600000/F373</f>
        <v>5199.194935859352</v>
      </c>
      <c r="K373" s="3"/>
      <c r="L373" s="1"/>
      <c r="M373" s="1"/>
      <c r="N373" s="1"/>
    </row>
    <row r="374" spans="1:17" s="2" customFormat="1" x14ac:dyDescent="0.35">
      <c r="A374" s="86" t="s">
        <v>230</v>
      </c>
      <c r="B374" s="86"/>
      <c r="C374" s="86"/>
      <c r="D374" s="86"/>
      <c r="E374" s="86"/>
      <c r="F374" s="86"/>
      <c r="G374" s="86"/>
      <c r="H374" s="86"/>
      <c r="I374" s="30"/>
      <c r="K374" s="3"/>
      <c r="L374" s="1"/>
      <c r="M374" s="1"/>
      <c r="N374" s="1"/>
    </row>
    <row r="375" spans="1:17" s="2" customFormat="1" ht="15.75" customHeight="1" x14ac:dyDescent="0.35">
      <c r="A375" s="76">
        <v>1</v>
      </c>
      <c r="B375" s="76"/>
      <c r="C375" s="14" t="s">
        <v>172</v>
      </c>
      <c r="D375" s="14">
        <f>(41.53+1*1.55)*10.764</f>
        <v>463.71311999999995</v>
      </c>
      <c r="E375" s="14">
        <v>0</v>
      </c>
      <c r="F375" s="14">
        <f t="shared" ref="F375:F382" si="33">D375*(($F$149)+1)+(IF(E375&lt;101,E375,IF(E375&lt;201,E375/2,IF(E375&lt;=301,E375/3,E375/4))))</f>
        <v>695.56967999999995</v>
      </c>
      <c r="G375" s="80" t="str">
        <f>A374</f>
        <v>2nd &amp; 3rd Floor (Part Parking)</v>
      </c>
      <c r="H375" s="81"/>
      <c r="I375" s="30"/>
      <c r="K375" s="3"/>
      <c r="L375" s="1"/>
      <c r="M375" s="1"/>
      <c r="N375" s="1"/>
    </row>
    <row r="376" spans="1:17" s="2" customFormat="1" ht="15.75" customHeight="1" x14ac:dyDescent="0.35">
      <c r="A376" s="76">
        <f>A375+1</f>
        <v>2</v>
      </c>
      <c r="B376" s="76"/>
      <c r="C376" s="14" t="s">
        <v>190</v>
      </c>
      <c r="D376" s="14">
        <f>(58.83+1.22*1.85)*10.764</f>
        <v>657.54046799999992</v>
      </c>
      <c r="E376" s="14">
        <v>0</v>
      </c>
      <c r="F376" s="14">
        <f t="shared" si="33"/>
        <v>986.31070199999988</v>
      </c>
      <c r="G376" s="82"/>
      <c r="H376" s="83"/>
      <c r="I376" s="30"/>
      <c r="K376" s="3"/>
      <c r="L376" s="1"/>
      <c r="M376" s="1"/>
      <c r="N376" s="1"/>
    </row>
    <row r="377" spans="1:17" s="2" customFormat="1" ht="15.75" customHeight="1" x14ac:dyDescent="0.35">
      <c r="A377" s="76">
        <f>A376+1</f>
        <v>3</v>
      </c>
      <c r="B377" s="76"/>
      <c r="C377" s="14" t="s">
        <v>190</v>
      </c>
      <c r="D377" s="14">
        <f>(58.83+1.22*1.85)*10.764</f>
        <v>657.54046799999992</v>
      </c>
      <c r="E377" s="14">
        <v>0</v>
      </c>
      <c r="F377" s="14">
        <f t="shared" si="33"/>
        <v>986.31070199999988</v>
      </c>
      <c r="G377" s="82"/>
      <c r="H377" s="83"/>
      <c r="K377" s="3"/>
      <c r="L377" s="3"/>
      <c r="M377" s="3"/>
      <c r="N377" s="3"/>
    </row>
    <row r="378" spans="1:17" s="2" customFormat="1" ht="15.75" customHeight="1" x14ac:dyDescent="0.35">
      <c r="A378" s="76">
        <v>4</v>
      </c>
      <c r="B378" s="76"/>
      <c r="C378" s="14" t="s">
        <v>172</v>
      </c>
      <c r="D378" s="14">
        <f>(41.53+1*1.55)*10.764</f>
        <v>463.71311999999995</v>
      </c>
      <c r="E378" s="14">
        <v>0</v>
      </c>
      <c r="F378" s="14">
        <f t="shared" si="33"/>
        <v>695.56967999999995</v>
      </c>
      <c r="G378" s="82"/>
      <c r="H378" s="83"/>
      <c r="I378" s="30"/>
      <c r="K378" s="3"/>
      <c r="L378" s="3"/>
      <c r="M378" s="3"/>
      <c r="N378" s="3"/>
      <c r="O378" s="3"/>
      <c r="P378" s="3"/>
      <c r="Q378" s="3"/>
    </row>
    <row r="379" spans="1:17" s="2" customFormat="1" ht="15.75" customHeight="1" x14ac:dyDescent="0.35">
      <c r="A379" s="76">
        <v>5</v>
      </c>
      <c r="B379" s="76"/>
      <c r="C379" s="14" t="s">
        <v>190</v>
      </c>
      <c r="D379" s="14">
        <f>(52.54+1.22*1.85)*10.764</f>
        <v>589.83490799999993</v>
      </c>
      <c r="E379" s="14">
        <v>0</v>
      </c>
      <c r="F379" s="14">
        <f t="shared" si="33"/>
        <v>884.75236199999995</v>
      </c>
      <c r="G379" s="82"/>
      <c r="H379" s="83"/>
      <c r="K379" s="3"/>
      <c r="L379" s="3"/>
      <c r="M379" s="3"/>
      <c r="N379" s="3"/>
      <c r="O379" s="3"/>
      <c r="P379" s="3"/>
      <c r="Q379" s="3"/>
    </row>
    <row r="380" spans="1:17" s="2" customFormat="1" ht="15.75" customHeight="1" x14ac:dyDescent="0.35">
      <c r="A380" s="76">
        <v>6</v>
      </c>
      <c r="B380" s="76"/>
      <c r="C380" s="14" t="s">
        <v>190</v>
      </c>
      <c r="D380" s="14">
        <f>(52.54+1.22*1.85)*10.764</f>
        <v>589.83490799999993</v>
      </c>
      <c r="E380" s="14">
        <v>0</v>
      </c>
      <c r="F380" s="14">
        <f t="shared" si="33"/>
        <v>884.75236199999995</v>
      </c>
      <c r="G380" s="82"/>
      <c r="H380" s="83"/>
      <c r="K380" s="3"/>
      <c r="L380" s="3"/>
      <c r="M380" s="3"/>
      <c r="N380" s="3"/>
      <c r="O380" s="3"/>
      <c r="P380" s="3"/>
      <c r="Q380" s="3"/>
    </row>
    <row r="381" spans="1:17" s="2" customFormat="1" ht="15.75" customHeight="1" x14ac:dyDescent="0.35">
      <c r="A381" s="76">
        <v>13</v>
      </c>
      <c r="B381" s="76"/>
      <c r="C381" s="14" t="s">
        <v>190</v>
      </c>
      <c r="D381" s="14">
        <f>(52.54+1.22*1.85)*10.764</f>
        <v>589.83490799999993</v>
      </c>
      <c r="E381" s="14">
        <v>0</v>
      </c>
      <c r="F381" s="14">
        <f t="shared" si="33"/>
        <v>884.75236199999995</v>
      </c>
      <c r="G381" s="82"/>
      <c r="H381" s="83"/>
      <c r="K381" s="3"/>
      <c r="L381" s="3"/>
      <c r="M381" s="3"/>
      <c r="N381" s="3"/>
      <c r="O381" s="3"/>
      <c r="P381" s="3"/>
      <c r="Q381" s="3"/>
    </row>
    <row r="382" spans="1:17" s="2" customFormat="1" ht="15.75" customHeight="1" x14ac:dyDescent="0.35">
      <c r="A382" s="76">
        <v>14</v>
      </c>
      <c r="B382" s="76"/>
      <c r="C382" s="14" t="s">
        <v>190</v>
      </c>
      <c r="D382" s="14">
        <f>(52.54+1.22*1.85)*10.764</f>
        <v>589.83490799999993</v>
      </c>
      <c r="E382" s="14">
        <v>0</v>
      </c>
      <c r="F382" s="14">
        <f t="shared" si="33"/>
        <v>884.75236199999995</v>
      </c>
      <c r="G382" s="84"/>
      <c r="H382" s="85"/>
      <c r="I382" s="30"/>
      <c r="J382" s="3"/>
      <c r="K382" s="3"/>
      <c r="L382" s="3"/>
      <c r="M382" s="3"/>
      <c r="N382" s="3"/>
    </row>
    <row r="383" spans="1:17" s="2" customFormat="1" x14ac:dyDescent="0.35">
      <c r="A383" s="86" t="s">
        <v>220</v>
      </c>
      <c r="B383" s="86"/>
      <c r="C383" s="86"/>
      <c r="D383" s="86"/>
      <c r="E383" s="86"/>
      <c r="F383" s="86"/>
      <c r="G383" s="86"/>
      <c r="H383" s="86"/>
      <c r="I383" s="30"/>
      <c r="J383" s="1"/>
      <c r="K383" s="1"/>
    </row>
    <row r="384" spans="1:17" s="2" customFormat="1" x14ac:dyDescent="0.35">
      <c r="A384" s="76">
        <v>1</v>
      </c>
      <c r="B384" s="76"/>
      <c r="C384" s="14" t="s">
        <v>172</v>
      </c>
      <c r="D384" s="14">
        <f>(41.53+1*1.55)*10.764</f>
        <v>463.71311999999995</v>
      </c>
      <c r="E384" s="14">
        <v>0</v>
      </c>
      <c r="F384" s="14">
        <f t="shared" ref="F384:F391" si="34">D384*(($F$149)+1)+(IF(E384&lt;101,E384,IF(E384&lt;201,E384/2,IF(E384&lt;=301,E384/3,E384/4))))</f>
        <v>695.56967999999995</v>
      </c>
      <c r="G384" s="80" t="str">
        <f>A383</f>
        <v>4th Floor</v>
      </c>
      <c r="H384" s="81"/>
      <c r="I384" s="30"/>
      <c r="J384" s="1"/>
      <c r="K384" s="1"/>
    </row>
    <row r="385" spans="1:17" s="2" customFormat="1" x14ac:dyDescent="0.35">
      <c r="A385" s="76">
        <v>2</v>
      </c>
      <c r="B385" s="76"/>
      <c r="C385" s="14" t="s">
        <v>190</v>
      </c>
      <c r="D385" s="14">
        <f>(58.83+1.22*1.85)*10.764</f>
        <v>657.54046799999992</v>
      </c>
      <c r="E385" s="14">
        <v>0</v>
      </c>
      <c r="F385" s="14">
        <f t="shared" si="34"/>
        <v>986.31070199999988</v>
      </c>
      <c r="G385" s="82"/>
      <c r="H385" s="83"/>
      <c r="I385" s="30"/>
      <c r="J385" s="1"/>
      <c r="K385" s="1"/>
    </row>
    <row r="386" spans="1:17" s="2" customFormat="1" x14ac:dyDescent="0.35">
      <c r="A386" s="76">
        <v>3</v>
      </c>
      <c r="B386" s="76"/>
      <c r="C386" s="14" t="s">
        <v>190</v>
      </c>
      <c r="D386" s="14">
        <f>(58.83+1.22*1.85)*10.764</f>
        <v>657.54046799999992</v>
      </c>
      <c r="E386" s="14">
        <v>0</v>
      </c>
      <c r="F386" s="14">
        <f t="shared" si="34"/>
        <v>986.31070199999988</v>
      </c>
      <c r="G386" s="82"/>
      <c r="H386" s="83"/>
      <c r="J386" s="3"/>
      <c r="K386" s="3"/>
    </row>
    <row r="387" spans="1:17" s="2" customFormat="1" x14ac:dyDescent="0.35">
      <c r="A387" s="76">
        <v>4</v>
      </c>
      <c r="B387" s="76"/>
      <c r="C387" s="14" t="s">
        <v>172</v>
      </c>
      <c r="D387" s="14">
        <f>(41.53+1*1.55)*10.764</f>
        <v>463.71311999999995</v>
      </c>
      <c r="E387" s="14">
        <v>0</v>
      </c>
      <c r="F387" s="14">
        <f t="shared" si="34"/>
        <v>695.56967999999995</v>
      </c>
      <c r="G387" s="82"/>
      <c r="H387" s="83"/>
      <c r="I387" s="30"/>
      <c r="J387" s="3"/>
      <c r="K387" s="3"/>
      <c r="L387" s="3"/>
      <c r="M387" s="3"/>
      <c r="N387" s="3"/>
    </row>
    <row r="388" spans="1:17" s="2" customFormat="1" ht="15.75" customHeight="1" x14ac:dyDescent="0.35">
      <c r="A388" s="76">
        <v>5</v>
      </c>
      <c r="B388" s="76"/>
      <c r="C388" s="14" t="s">
        <v>190</v>
      </c>
      <c r="D388" s="14">
        <f>(52.54+1.22*1.85)*10.764</f>
        <v>589.83490799999993</v>
      </c>
      <c r="E388" s="14">
        <v>0</v>
      </c>
      <c r="F388" s="14">
        <f t="shared" si="34"/>
        <v>884.75236199999995</v>
      </c>
      <c r="G388" s="82"/>
      <c r="H388" s="83"/>
      <c r="J388" s="3"/>
      <c r="K388" s="3"/>
      <c r="L388" s="3"/>
      <c r="M388" s="3"/>
      <c r="N388" s="3"/>
    </row>
    <row r="389" spans="1:17" s="2" customFormat="1" x14ac:dyDescent="0.35">
      <c r="A389" s="76">
        <v>6</v>
      </c>
      <c r="B389" s="76"/>
      <c r="C389" s="14" t="s">
        <v>190</v>
      </c>
      <c r="D389" s="14">
        <f>(52.54+1.22*1.85)*10.764</f>
        <v>589.83490799999993</v>
      </c>
      <c r="E389" s="14">
        <v>0</v>
      </c>
      <c r="F389" s="14">
        <f t="shared" si="34"/>
        <v>884.75236199999995</v>
      </c>
      <c r="G389" s="82"/>
      <c r="H389" s="83"/>
      <c r="J389" s="3"/>
      <c r="K389" s="3"/>
      <c r="L389" s="3"/>
      <c r="M389" s="3"/>
      <c r="N389" s="3"/>
    </row>
    <row r="390" spans="1:17" s="2" customFormat="1" ht="15.75" customHeight="1" x14ac:dyDescent="0.35">
      <c r="A390" s="76">
        <v>7</v>
      </c>
      <c r="B390" s="76"/>
      <c r="C390" s="14" t="s">
        <v>190</v>
      </c>
      <c r="D390" s="14">
        <f>(52.54+1.22*1.85)*10.764</f>
        <v>589.83490799999993</v>
      </c>
      <c r="E390" s="14">
        <v>0</v>
      </c>
      <c r="F390" s="14">
        <f t="shared" si="34"/>
        <v>884.75236199999995</v>
      </c>
      <c r="G390" s="82"/>
      <c r="H390" s="83"/>
      <c r="J390" s="3"/>
      <c r="K390" s="3"/>
      <c r="L390" s="3"/>
      <c r="M390" s="3"/>
      <c r="N390" s="3"/>
    </row>
    <row r="391" spans="1:17" s="2" customFormat="1" x14ac:dyDescent="0.35">
      <c r="A391" s="76">
        <v>8</v>
      </c>
      <c r="B391" s="76"/>
      <c r="C391" s="14" t="s">
        <v>190</v>
      </c>
      <c r="D391" s="14">
        <f>(58.83+1*1.55)*10.764</f>
        <v>649.93031999999994</v>
      </c>
      <c r="E391" s="14">
        <v>0</v>
      </c>
      <c r="F391" s="14">
        <f t="shared" si="34"/>
        <v>974.89547999999991</v>
      </c>
      <c r="G391" s="82"/>
      <c r="H391" s="83"/>
      <c r="I391" s="30"/>
      <c r="J391" s="3"/>
      <c r="K391" s="3"/>
      <c r="L391" s="3"/>
      <c r="M391" s="3"/>
      <c r="N391" s="3"/>
    </row>
    <row r="392" spans="1:17" s="2" customFormat="1" x14ac:dyDescent="0.35">
      <c r="A392" s="76">
        <v>9</v>
      </c>
      <c r="B392" s="76"/>
      <c r="C392" s="14" t="s">
        <v>172</v>
      </c>
      <c r="D392" s="14">
        <f t="shared" ref="D392:D393" si="35">(41.53+1*1.55)*10.764</f>
        <v>463.71311999999995</v>
      </c>
      <c r="E392" s="14">
        <v>0</v>
      </c>
      <c r="F392" s="14">
        <f t="shared" ref="F392:F397" si="36">D392*(($F$149)+1)+(IF(E392&lt;101,E392,IF(E392&lt;201,E392/2,IF(E392&lt;=301,E392/3,E392/4))))</f>
        <v>695.56967999999995</v>
      </c>
      <c r="G392" s="82"/>
      <c r="H392" s="83"/>
      <c r="I392" s="30"/>
      <c r="J392" s="1"/>
      <c r="K392" s="1"/>
    </row>
    <row r="393" spans="1:17" s="2" customFormat="1" x14ac:dyDescent="0.35">
      <c r="A393" s="76">
        <v>10</v>
      </c>
      <c r="B393" s="76"/>
      <c r="C393" s="14" t="s">
        <v>172</v>
      </c>
      <c r="D393" s="14">
        <f t="shared" si="35"/>
        <v>463.71311999999995</v>
      </c>
      <c r="E393" s="14">
        <v>0</v>
      </c>
      <c r="F393" s="14">
        <f t="shared" si="36"/>
        <v>695.56967999999995</v>
      </c>
      <c r="G393" s="82"/>
      <c r="H393" s="83"/>
      <c r="J393" s="3"/>
      <c r="K393" s="3"/>
    </row>
    <row r="394" spans="1:17" s="2" customFormat="1" x14ac:dyDescent="0.35">
      <c r="A394" s="76">
        <v>11</v>
      </c>
      <c r="B394" s="76"/>
      <c r="C394" s="14" t="s">
        <v>190</v>
      </c>
      <c r="D394" s="14">
        <f>(58.83+1*1.55)*10.764</f>
        <v>649.93031999999994</v>
      </c>
      <c r="E394" s="14">
        <v>0</v>
      </c>
      <c r="F394" s="14">
        <f t="shared" si="36"/>
        <v>974.89547999999991</v>
      </c>
      <c r="G394" s="82"/>
      <c r="H394" s="83"/>
      <c r="I394" s="30"/>
      <c r="J394" s="3"/>
      <c r="K394" s="3"/>
      <c r="L394" s="3"/>
      <c r="M394" s="3"/>
      <c r="N394" s="3"/>
    </row>
    <row r="395" spans="1:17" s="2" customFormat="1" ht="15.75" customHeight="1" x14ac:dyDescent="0.35">
      <c r="A395" s="76">
        <v>12</v>
      </c>
      <c r="B395" s="76"/>
      <c r="C395" s="14" t="s">
        <v>190</v>
      </c>
      <c r="D395" s="14">
        <f>(58.83+1*1.55)*10.764</f>
        <v>649.93031999999994</v>
      </c>
      <c r="E395" s="14">
        <v>0</v>
      </c>
      <c r="F395" s="14">
        <f t="shared" si="36"/>
        <v>974.89547999999991</v>
      </c>
      <c r="G395" s="82"/>
      <c r="H395" s="83"/>
      <c r="J395" s="3"/>
      <c r="K395" s="3"/>
      <c r="L395" s="3"/>
      <c r="M395" s="3"/>
      <c r="N395" s="3"/>
    </row>
    <row r="396" spans="1:17" s="2" customFormat="1" x14ac:dyDescent="0.35">
      <c r="A396" s="76">
        <v>13</v>
      </c>
      <c r="B396" s="76"/>
      <c r="C396" s="14" t="s">
        <v>190</v>
      </c>
      <c r="D396" s="14">
        <f>(52.54+1.22*1.85)*10.764</f>
        <v>589.83490799999993</v>
      </c>
      <c r="E396" s="14">
        <v>0</v>
      </c>
      <c r="F396" s="14">
        <f t="shared" si="36"/>
        <v>884.75236199999995</v>
      </c>
      <c r="G396" s="82"/>
      <c r="H396" s="83"/>
      <c r="K396" s="3"/>
      <c r="L396" s="3"/>
      <c r="M396" s="3"/>
      <c r="N396" s="3"/>
      <c r="O396" s="3"/>
      <c r="P396" s="3"/>
      <c r="Q396" s="3"/>
    </row>
    <row r="397" spans="1:17" s="2" customFormat="1" ht="15.75" customHeight="1" x14ac:dyDescent="0.35">
      <c r="A397" s="76">
        <v>14</v>
      </c>
      <c r="B397" s="76"/>
      <c r="C397" s="14" t="s">
        <v>190</v>
      </c>
      <c r="D397" s="14">
        <f>(52.54+1.22*1.85)*10.764</f>
        <v>589.83490799999993</v>
      </c>
      <c r="E397" s="14">
        <v>0</v>
      </c>
      <c r="F397" s="14">
        <f t="shared" si="36"/>
        <v>884.75236199999995</v>
      </c>
      <c r="G397" s="84"/>
      <c r="H397" s="85"/>
      <c r="K397" s="3"/>
      <c r="L397" s="3"/>
      <c r="M397" s="3"/>
      <c r="N397" s="3"/>
      <c r="O397" s="3"/>
      <c r="P397" s="3"/>
      <c r="Q397" s="3"/>
    </row>
    <row r="398" spans="1:17" s="2" customFormat="1" x14ac:dyDescent="0.35">
      <c r="A398" s="86" t="s">
        <v>231</v>
      </c>
      <c r="B398" s="86"/>
      <c r="C398" s="86"/>
      <c r="D398" s="86"/>
      <c r="E398" s="86"/>
      <c r="F398" s="86"/>
      <c r="G398" s="86"/>
      <c r="H398" s="86"/>
      <c r="I398" s="30"/>
      <c r="J398" s="1"/>
      <c r="K398" s="1"/>
    </row>
    <row r="399" spans="1:17" s="2" customFormat="1" ht="15.75" customHeight="1" x14ac:dyDescent="0.35">
      <c r="A399" s="76">
        <v>1</v>
      </c>
      <c r="B399" s="76"/>
      <c r="C399" s="14" t="s">
        <v>172</v>
      </c>
      <c r="D399" s="14">
        <f>(41.53+1*1.55)*10.764</f>
        <v>463.71311999999995</v>
      </c>
      <c r="E399" s="14">
        <v>0</v>
      </c>
      <c r="F399" s="14">
        <f t="shared" ref="F399:F412" si="37">D399*(($F$149)+1)+(IF(E399&lt;101,E399,IF(E399&lt;201,E399/2,IF(E399&lt;=301,E399/3,E399/4))))</f>
        <v>695.56967999999995</v>
      </c>
      <c r="G399" s="80" t="str">
        <f>A398</f>
        <v xml:space="preserve">5th to 8th, 10th to 14th Floor </v>
      </c>
      <c r="H399" s="81"/>
      <c r="I399" s="30"/>
      <c r="J399" s="1"/>
      <c r="K399" s="1"/>
    </row>
    <row r="400" spans="1:17" s="2" customFormat="1" ht="15.75" customHeight="1" x14ac:dyDescent="0.35">
      <c r="A400" s="76">
        <v>2</v>
      </c>
      <c r="B400" s="76"/>
      <c r="C400" s="14" t="s">
        <v>190</v>
      </c>
      <c r="D400" s="14">
        <f>(58.83+1.22*1.85)*10.764</f>
        <v>657.54046799999992</v>
      </c>
      <c r="E400" s="14">
        <v>0</v>
      </c>
      <c r="F400" s="14">
        <f t="shared" si="37"/>
        <v>986.31070199999988</v>
      </c>
      <c r="G400" s="82"/>
      <c r="H400" s="83"/>
      <c r="I400" s="30"/>
      <c r="J400" s="1"/>
      <c r="K400" s="1"/>
    </row>
    <row r="401" spans="1:17" s="2" customFormat="1" ht="15.75" customHeight="1" x14ac:dyDescent="0.35">
      <c r="A401" s="76">
        <v>3</v>
      </c>
      <c r="B401" s="76"/>
      <c r="C401" s="14" t="s">
        <v>190</v>
      </c>
      <c r="D401" s="14">
        <f>(58.83+1.22*1.85)*10.764</f>
        <v>657.54046799999992</v>
      </c>
      <c r="E401" s="14">
        <v>0</v>
      </c>
      <c r="F401" s="14">
        <f t="shared" si="37"/>
        <v>986.31070199999988</v>
      </c>
      <c r="G401" s="82"/>
      <c r="H401" s="83"/>
      <c r="J401" s="3"/>
      <c r="K401" s="3"/>
    </row>
    <row r="402" spans="1:17" s="2" customFormat="1" ht="15.75" customHeight="1" x14ac:dyDescent="0.35">
      <c r="A402" s="76">
        <v>4</v>
      </c>
      <c r="B402" s="76"/>
      <c r="C402" s="14" t="s">
        <v>172</v>
      </c>
      <c r="D402" s="14">
        <f>(41.53+1*1.55)*10.764</f>
        <v>463.71311999999995</v>
      </c>
      <c r="E402" s="14">
        <v>0</v>
      </c>
      <c r="F402" s="14">
        <f t="shared" si="37"/>
        <v>695.56967999999995</v>
      </c>
      <c r="G402" s="82"/>
      <c r="H402" s="83"/>
      <c r="I402" s="30"/>
      <c r="J402" s="3"/>
      <c r="K402" s="3"/>
      <c r="L402" s="3"/>
      <c r="M402" s="3"/>
      <c r="N402" s="3"/>
    </row>
    <row r="403" spans="1:17" s="2" customFormat="1" ht="15.75" customHeight="1" x14ac:dyDescent="0.35">
      <c r="A403" s="76">
        <v>5</v>
      </c>
      <c r="B403" s="76"/>
      <c r="C403" s="14" t="s">
        <v>190</v>
      </c>
      <c r="D403" s="14">
        <f>(52.54+1.22*1.85)*10.764</f>
        <v>589.83490799999993</v>
      </c>
      <c r="E403" s="14">
        <v>0</v>
      </c>
      <c r="F403" s="14">
        <f t="shared" si="37"/>
        <v>884.75236199999995</v>
      </c>
      <c r="G403" s="82"/>
      <c r="H403" s="83"/>
      <c r="J403" s="3"/>
      <c r="K403" s="3"/>
      <c r="L403" s="3"/>
      <c r="M403" s="3"/>
      <c r="N403" s="3"/>
    </row>
    <row r="404" spans="1:17" s="2" customFormat="1" ht="15.75" customHeight="1" x14ac:dyDescent="0.35">
      <c r="A404" s="76">
        <v>6</v>
      </c>
      <c r="B404" s="76"/>
      <c r="C404" s="14" t="s">
        <v>190</v>
      </c>
      <c r="D404" s="14">
        <f>(52.54+1.22*1.85)*10.764</f>
        <v>589.83490799999993</v>
      </c>
      <c r="E404" s="14">
        <v>0</v>
      </c>
      <c r="F404" s="14">
        <f t="shared" si="37"/>
        <v>884.75236199999995</v>
      </c>
      <c r="G404" s="82"/>
      <c r="H404" s="83"/>
      <c r="J404" s="3"/>
      <c r="K404" s="3"/>
      <c r="L404" s="3"/>
      <c r="M404" s="3"/>
      <c r="N404" s="3"/>
    </row>
    <row r="405" spans="1:17" s="2" customFormat="1" ht="15.75" customHeight="1" x14ac:dyDescent="0.35">
      <c r="A405" s="76">
        <v>7</v>
      </c>
      <c r="B405" s="76"/>
      <c r="C405" s="14" t="s">
        <v>190</v>
      </c>
      <c r="D405" s="14">
        <f>(52.54+1.22*1.85)*10.764</f>
        <v>589.83490799999993</v>
      </c>
      <c r="E405" s="14">
        <v>0</v>
      </c>
      <c r="F405" s="14">
        <f t="shared" si="37"/>
        <v>884.75236199999995</v>
      </c>
      <c r="G405" s="82"/>
      <c r="H405" s="83"/>
      <c r="J405" s="3"/>
      <c r="K405" s="3"/>
      <c r="L405" s="3"/>
      <c r="M405" s="3"/>
      <c r="N405" s="3"/>
    </row>
    <row r="406" spans="1:17" s="2" customFormat="1" ht="15.75" customHeight="1" x14ac:dyDescent="0.35">
      <c r="A406" s="76">
        <v>8</v>
      </c>
      <c r="B406" s="76"/>
      <c r="C406" s="14" t="s">
        <v>190</v>
      </c>
      <c r="D406" s="14">
        <f>(58.83+1*1.55)*10.764</f>
        <v>649.93031999999994</v>
      </c>
      <c r="E406" s="14">
        <v>0</v>
      </c>
      <c r="F406" s="14">
        <f t="shared" si="37"/>
        <v>974.89547999999991</v>
      </c>
      <c r="G406" s="82"/>
      <c r="H406" s="83"/>
      <c r="I406" s="30"/>
      <c r="J406" s="3"/>
      <c r="K406" s="3"/>
      <c r="L406" s="3"/>
      <c r="M406" s="3"/>
      <c r="N406" s="3"/>
    </row>
    <row r="407" spans="1:17" s="2" customFormat="1" ht="15.75" customHeight="1" x14ac:dyDescent="0.35">
      <c r="A407" s="76">
        <v>9</v>
      </c>
      <c r="B407" s="76"/>
      <c r="C407" s="14" t="s">
        <v>172</v>
      </c>
      <c r="D407" s="14">
        <f t="shared" ref="D407:D408" si="38">(41.53+1*1.55)*10.764</f>
        <v>463.71311999999995</v>
      </c>
      <c r="E407" s="14">
        <v>0</v>
      </c>
      <c r="F407" s="14">
        <f t="shared" si="37"/>
        <v>695.56967999999995</v>
      </c>
      <c r="G407" s="82"/>
      <c r="H407" s="83"/>
      <c r="I407" s="30"/>
      <c r="J407" s="1"/>
      <c r="K407" s="1"/>
    </row>
    <row r="408" spans="1:17" s="2" customFormat="1" ht="15.75" customHeight="1" x14ac:dyDescent="0.35">
      <c r="A408" s="76">
        <v>10</v>
      </c>
      <c r="B408" s="76"/>
      <c r="C408" s="14" t="s">
        <v>172</v>
      </c>
      <c r="D408" s="14">
        <f t="shared" si="38"/>
        <v>463.71311999999995</v>
      </c>
      <c r="E408" s="14">
        <v>0</v>
      </c>
      <c r="F408" s="14">
        <f t="shared" si="37"/>
        <v>695.56967999999995</v>
      </c>
      <c r="G408" s="82"/>
      <c r="H408" s="83"/>
      <c r="J408" s="3"/>
      <c r="K408" s="3"/>
    </row>
    <row r="409" spans="1:17" s="2" customFormat="1" ht="15.75" customHeight="1" x14ac:dyDescent="0.35">
      <c r="A409" s="76">
        <v>11</v>
      </c>
      <c r="B409" s="76"/>
      <c r="C409" s="14" t="s">
        <v>190</v>
      </c>
      <c r="D409" s="14">
        <f>(58.83+1*1.55)*10.764</f>
        <v>649.93031999999994</v>
      </c>
      <c r="E409" s="14">
        <v>0</v>
      </c>
      <c r="F409" s="14">
        <f t="shared" si="37"/>
        <v>974.89547999999991</v>
      </c>
      <c r="G409" s="82"/>
      <c r="H409" s="83"/>
      <c r="I409" s="30"/>
      <c r="J409" s="3"/>
      <c r="K409" s="3"/>
      <c r="L409" s="3"/>
      <c r="M409" s="3"/>
      <c r="N409" s="3"/>
    </row>
    <row r="410" spans="1:17" s="2" customFormat="1" ht="15.75" customHeight="1" x14ac:dyDescent="0.35">
      <c r="A410" s="76">
        <v>12</v>
      </c>
      <c r="B410" s="76"/>
      <c r="C410" s="14" t="s">
        <v>190</v>
      </c>
      <c r="D410" s="14">
        <f>(58.83+1*1.55)*10.764</f>
        <v>649.93031999999994</v>
      </c>
      <c r="E410" s="14">
        <v>0</v>
      </c>
      <c r="F410" s="14">
        <f t="shared" si="37"/>
        <v>974.89547999999991</v>
      </c>
      <c r="G410" s="82"/>
      <c r="H410" s="83"/>
      <c r="J410" s="3"/>
      <c r="K410" s="3"/>
      <c r="L410" s="3"/>
      <c r="M410" s="3"/>
      <c r="N410" s="3"/>
    </row>
    <row r="411" spans="1:17" s="2" customFormat="1" ht="15.75" customHeight="1" x14ac:dyDescent="0.35">
      <c r="A411" s="76">
        <v>13</v>
      </c>
      <c r="B411" s="76"/>
      <c r="C411" s="14" t="s">
        <v>190</v>
      </c>
      <c r="D411" s="14">
        <f>(52.54+1.22*1.85)*10.764</f>
        <v>589.83490799999993</v>
      </c>
      <c r="E411" s="14">
        <v>0</v>
      </c>
      <c r="F411" s="14">
        <f t="shared" si="37"/>
        <v>884.75236199999995</v>
      </c>
      <c r="G411" s="82"/>
      <c r="H411" s="83"/>
      <c r="K411" s="3"/>
      <c r="L411" s="3"/>
      <c r="M411" s="3"/>
      <c r="N411" s="3"/>
      <c r="O411" s="3"/>
      <c r="P411" s="3"/>
      <c r="Q411" s="3"/>
    </row>
    <row r="412" spans="1:17" s="2" customFormat="1" ht="15.75" customHeight="1" x14ac:dyDescent="0.35">
      <c r="A412" s="76">
        <v>14</v>
      </c>
      <c r="B412" s="76"/>
      <c r="C412" s="14" t="s">
        <v>190</v>
      </c>
      <c r="D412" s="14">
        <f>(52.54+1.22*1.85)*10.764</f>
        <v>589.83490799999993</v>
      </c>
      <c r="E412" s="14">
        <v>0</v>
      </c>
      <c r="F412" s="14">
        <f t="shared" si="37"/>
        <v>884.75236199999995</v>
      </c>
      <c r="G412" s="84"/>
      <c r="H412" s="85"/>
      <c r="K412" s="3"/>
      <c r="L412" s="3"/>
      <c r="M412" s="3"/>
      <c r="N412" s="3"/>
      <c r="O412" s="3"/>
      <c r="P412" s="3"/>
      <c r="Q412" s="3"/>
    </row>
    <row r="413" spans="1:17" s="2" customFormat="1" x14ac:dyDescent="0.35">
      <c r="A413" s="86" t="s">
        <v>221</v>
      </c>
      <c r="B413" s="86"/>
      <c r="C413" s="86"/>
      <c r="D413" s="86"/>
      <c r="E413" s="86"/>
      <c r="F413" s="86"/>
      <c r="G413" s="86"/>
      <c r="H413" s="86"/>
      <c r="I413" s="30"/>
      <c r="J413" s="1"/>
      <c r="K413" s="1"/>
    </row>
    <row r="414" spans="1:17" s="2" customFormat="1" ht="15.75" customHeight="1" x14ac:dyDescent="0.35">
      <c r="A414" s="76">
        <v>1</v>
      </c>
      <c r="B414" s="76"/>
      <c r="C414" s="63" t="s">
        <v>172</v>
      </c>
      <c r="D414" s="63">
        <f>(41.53+1*1.55)*10.764</f>
        <v>463.71311999999995</v>
      </c>
      <c r="E414" s="63">
        <v>0</v>
      </c>
      <c r="F414" s="63">
        <f>D414*(($F$149)+1)+(IF(E414&lt;101,E414,IF(E414&lt;201,E414/2,IF(E414&lt;=301,E414/3,E414/4))))</f>
        <v>695.56967999999995</v>
      </c>
      <c r="G414" s="76" t="str">
        <f>A413</f>
        <v>9th Floor For Residential (Part Refuge Area)</v>
      </c>
      <c r="H414" s="76"/>
      <c r="I414" s="30"/>
      <c r="J414" s="1"/>
      <c r="K414" s="1"/>
    </row>
    <row r="415" spans="1:17" s="2" customFormat="1" ht="15.75" customHeight="1" x14ac:dyDescent="0.35">
      <c r="A415" s="76">
        <v>2</v>
      </c>
      <c r="B415" s="76"/>
      <c r="C415" s="76" t="s">
        <v>219</v>
      </c>
      <c r="D415" s="76"/>
      <c r="E415" s="76"/>
      <c r="F415" s="76"/>
      <c r="G415" s="76"/>
      <c r="H415" s="76"/>
      <c r="I415" s="30"/>
      <c r="J415" s="1"/>
      <c r="K415" s="1"/>
    </row>
    <row r="416" spans="1:17" s="2" customFormat="1" ht="15.75" customHeight="1" x14ac:dyDescent="0.35">
      <c r="A416" s="76">
        <v>3</v>
      </c>
      <c r="B416" s="76"/>
      <c r="C416" s="63" t="s">
        <v>190</v>
      </c>
      <c r="D416" s="63">
        <f>(58.83+1.22*1.85)*10.764</f>
        <v>657.54046799999992</v>
      </c>
      <c r="E416" s="63">
        <v>0</v>
      </c>
      <c r="F416" s="63">
        <f t="shared" ref="F416:F427" si="39">D416*(($F$149)+1)+(IF(E416&lt;101,E416,IF(E416&lt;201,E416/2,IF(E416&lt;=301,E416/3,E416/4))))</f>
        <v>986.31070199999988</v>
      </c>
      <c r="G416" s="76"/>
      <c r="H416" s="76"/>
      <c r="J416" s="3"/>
      <c r="K416" s="3"/>
    </row>
    <row r="417" spans="1:17" s="2" customFormat="1" ht="15.75" customHeight="1" x14ac:dyDescent="0.35">
      <c r="A417" s="76">
        <v>4</v>
      </c>
      <c r="B417" s="76"/>
      <c r="C417" s="63" t="s">
        <v>172</v>
      </c>
      <c r="D417" s="63">
        <f>(41.53+1*1.55)*10.764</f>
        <v>463.71311999999995</v>
      </c>
      <c r="E417" s="63">
        <v>0</v>
      </c>
      <c r="F417" s="63">
        <f t="shared" si="39"/>
        <v>695.56967999999995</v>
      </c>
      <c r="G417" s="76"/>
      <c r="H417" s="76"/>
      <c r="I417" s="30"/>
      <c r="J417" s="3"/>
      <c r="K417" s="3"/>
      <c r="L417" s="3"/>
      <c r="M417" s="3"/>
      <c r="N417" s="3"/>
    </row>
    <row r="418" spans="1:17" s="2" customFormat="1" ht="15.75" customHeight="1" x14ac:dyDescent="0.35">
      <c r="A418" s="76">
        <v>5</v>
      </c>
      <c r="B418" s="76"/>
      <c r="C418" s="63" t="s">
        <v>190</v>
      </c>
      <c r="D418" s="63">
        <f>(52.54+1.22*1.85)*10.764</f>
        <v>589.83490799999993</v>
      </c>
      <c r="E418" s="63">
        <v>0</v>
      </c>
      <c r="F418" s="63">
        <f t="shared" si="39"/>
        <v>884.75236199999995</v>
      </c>
      <c r="G418" s="76"/>
      <c r="H418" s="76"/>
      <c r="J418" s="3"/>
      <c r="K418" s="3"/>
      <c r="L418" s="3"/>
      <c r="M418" s="3"/>
      <c r="N418" s="3"/>
    </row>
    <row r="419" spans="1:17" s="2" customFormat="1" ht="15.75" customHeight="1" x14ac:dyDescent="0.35">
      <c r="A419" s="76">
        <v>6</v>
      </c>
      <c r="B419" s="76"/>
      <c r="C419" s="63" t="s">
        <v>190</v>
      </c>
      <c r="D419" s="63">
        <f>(52.54+1.22*1.85)*10.764</f>
        <v>589.83490799999993</v>
      </c>
      <c r="E419" s="63">
        <v>0</v>
      </c>
      <c r="F419" s="63">
        <f t="shared" si="39"/>
        <v>884.75236199999995</v>
      </c>
      <c r="G419" s="76"/>
      <c r="H419" s="76"/>
      <c r="J419" s="3"/>
      <c r="K419" s="3"/>
      <c r="L419" s="3"/>
      <c r="M419" s="3"/>
      <c r="N419" s="3"/>
    </row>
    <row r="420" spans="1:17" s="2" customFormat="1" ht="15.75" customHeight="1" x14ac:dyDescent="0.35">
      <c r="A420" s="76">
        <v>7</v>
      </c>
      <c r="B420" s="76"/>
      <c r="C420" s="63" t="s">
        <v>190</v>
      </c>
      <c r="D420" s="63">
        <f>(52.54+1.22*1.85)*10.764</f>
        <v>589.83490799999993</v>
      </c>
      <c r="E420" s="63">
        <v>0</v>
      </c>
      <c r="F420" s="63">
        <f t="shared" si="39"/>
        <v>884.75236199999995</v>
      </c>
      <c r="G420" s="76"/>
      <c r="H420" s="76"/>
      <c r="J420" s="3"/>
      <c r="K420" s="3"/>
      <c r="L420" s="3"/>
      <c r="M420" s="3"/>
      <c r="N420" s="3"/>
    </row>
    <row r="421" spans="1:17" s="2" customFormat="1" ht="15.75" customHeight="1" x14ac:dyDescent="0.35">
      <c r="A421" s="76">
        <v>8</v>
      </c>
      <c r="B421" s="76"/>
      <c r="C421" s="63" t="s">
        <v>190</v>
      </c>
      <c r="D421" s="63">
        <f>(58.83+1*1.55)*10.764</f>
        <v>649.93031999999994</v>
      </c>
      <c r="E421" s="63">
        <v>0</v>
      </c>
      <c r="F421" s="63">
        <f t="shared" si="39"/>
        <v>974.89547999999991</v>
      </c>
      <c r="G421" s="76"/>
      <c r="H421" s="76"/>
      <c r="I421" s="30"/>
      <c r="J421" s="3"/>
      <c r="K421" s="3"/>
      <c r="L421" s="3"/>
      <c r="M421" s="3"/>
      <c r="N421" s="3"/>
    </row>
    <row r="422" spans="1:17" s="2" customFormat="1" ht="15.75" customHeight="1" x14ac:dyDescent="0.35">
      <c r="A422" s="76">
        <v>9</v>
      </c>
      <c r="B422" s="76"/>
      <c r="C422" s="63" t="s">
        <v>172</v>
      </c>
      <c r="D422" s="63">
        <f t="shared" ref="D422:D423" si="40">(41.53+1*1.55)*10.764</f>
        <v>463.71311999999995</v>
      </c>
      <c r="E422" s="63">
        <v>0</v>
      </c>
      <c r="F422" s="63">
        <f t="shared" si="39"/>
        <v>695.56967999999995</v>
      </c>
      <c r="G422" s="76"/>
      <c r="H422" s="76"/>
      <c r="I422" s="30"/>
      <c r="J422" s="1"/>
      <c r="K422" s="1"/>
    </row>
    <row r="423" spans="1:17" s="2" customFormat="1" ht="15.75" customHeight="1" x14ac:dyDescent="0.35">
      <c r="A423" s="76">
        <v>10</v>
      </c>
      <c r="B423" s="76"/>
      <c r="C423" s="63" t="s">
        <v>172</v>
      </c>
      <c r="D423" s="63">
        <f t="shared" si="40"/>
        <v>463.71311999999995</v>
      </c>
      <c r="E423" s="63">
        <v>0</v>
      </c>
      <c r="F423" s="63">
        <f t="shared" si="39"/>
        <v>695.56967999999995</v>
      </c>
      <c r="G423" s="76"/>
      <c r="H423" s="76"/>
      <c r="J423" s="3"/>
      <c r="K423" s="3"/>
    </row>
    <row r="424" spans="1:17" s="2" customFormat="1" ht="15.75" customHeight="1" x14ac:dyDescent="0.35">
      <c r="A424" s="76">
        <v>11</v>
      </c>
      <c r="B424" s="76"/>
      <c r="C424" s="63" t="s">
        <v>190</v>
      </c>
      <c r="D424" s="63">
        <f>(58.83+1*1.55)*10.764</f>
        <v>649.93031999999994</v>
      </c>
      <c r="E424" s="63">
        <v>0</v>
      </c>
      <c r="F424" s="63">
        <f t="shared" si="39"/>
        <v>974.89547999999991</v>
      </c>
      <c r="G424" s="76"/>
      <c r="H424" s="76"/>
      <c r="I424" s="30"/>
      <c r="J424" s="3"/>
      <c r="K424" s="3"/>
      <c r="L424" s="3"/>
      <c r="M424" s="3"/>
      <c r="N424" s="3"/>
    </row>
    <row r="425" spans="1:17" s="2" customFormat="1" ht="15.75" customHeight="1" x14ac:dyDescent="0.35">
      <c r="A425" s="76">
        <v>12</v>
      </c>
      <c r="B425" s="76"/>
      <c r="C425" s="63" t="s">
        <v>190</v>
      </c>
      <c r="D425" s="63">
        <f>(58.83+1*1.55)*10.764</f>
        <v>649.93031999999994</v>
      </c>
      <c r="E425" s="63">
        <v>0</v>
      </c>
      <c r="F425" s="63">
        <f t="shared" si="39"/>
        <v>974.89547999999991</v>
      </c>
      <c r="G425" s="76"/>
      <c r="H425" s="76"/>
      <c r="J425" s="3"/>
      <c r="K425" s="3"/>
      <c r="L425" s="3"/>
      <c r="M425" s="3"/>
      <c r="N425" s="3"/>
    </row>
    <row r="426" spans="1:17" s="2" customFormat="1" ht="15.75" customHeight="1" x14ac:dyDescent="0.35">
      <c r="A426" s="76">
        <v>13</v>
      </c>
      <c r="B426" s="76"/>
      <c r="C426" s="63" t="s">
        <v>190</v>
      </c>
      <c r="D426" s="63">
        <f>(52.54+1.22*1.85)*10.764</f>
        <v>589.83490799999993</v>
      </c>
      <c r="E426" s="63">
        <v>0</v>
      </c>
      <c r="F426" s="63">
        <f t="shared" si="39"/>
        <v>884.75236199999995</v>
      </c>
      <c r="G426" s="76"/>
      <c r="H426" s="76"/>
      <c r="K426" s="3"/>
      <c r="L426" s="3"/>
      <c r="M426" s="3"/>
      <c r="N426" s="3"/>
      <c r="O426" s="3"/>
      <c r="P426" s="3"/>
      <c r="Q426" s="3"/>
    </row>
    <row r="427" spans="1:17" s="2" customFormat="1" ht="15.75" customHeight="1" x14ac:dyDescent="0.35">
      <c r="A427" s="76">
        <v>14</v>
      </c>
      <c r="B427" s="76"/>
      <c r="C427" s="63" t="s">
        <v>190</v>
      </c>
      <c r="D427" s="63">
        <f>(52.54+1.22*1.85)*10.764</f>
        <v>589.83490799999993</v>
      </c>
      <c r="E427" s="63">
        <v>0</v>
      </c>
      <c r="F427" s="63">
        <f t="shared" si="39"/>
        <v>884.75236199999995</v>
      </c>
      <c r="G427" s="76"/>
      <c r="H427" s="76"/>
      <c r="K427" s="3"/>
      <c r="L427" s="3"/>
      <c r="M427" s="3"/>
      <c r="N427" s="3"/>
      <c r="O427" s="3"/>
      <c r="P427" s="3"/>
      <c r="Q427" s="3"/>
    </row>
    <row r="428" spans="1:17" s="1" customFormat="1" x14ac:dyDescent="0.35">
      <c r="A428" s="181" t="s">
        <v>71</v>
      </c>
      <c r="B428" s="181"/>
      <c r="C428" s="181"/>
      <c r="D428" s="181"/>
      <c r="E428" s="181"/>
      <c r="F428" s="181"/>
      <c r="G428" s="181"/>
      <c r="H428" s="181"/>
      <c r="K428" s="3"/>
      <c r="L428" s="3"/>
      <c r="M428" s="3"/>
      <c r="N428" s="3"/>
      <c r="O428" s="3"/>
      <c r="P428" s="3"/>
      <c r="Q428" s="3"/>
    </row>
    <row r="429" spans="1:17" s="1" customFormat="1" ht="94" customHeight="1" x14ac:dyDescent="0.35">
      <c r="A429" s="64" t="s">
        <v>160</v>
      </c>
      <c r="B429" s="208" t="s">
        <v>254</v>
      </c>
      <c r="C429" s="208"/>
      <c r="D429" s="208"/>
      <c r="E429" s="208"/>
      <c r="F429" s="208"/>
      <c r="G429" s="208"/>
      <c r="H429" s="208"/>
      <c r="K429" s="3"/>
      <c r="L429" s="3"/>
      <c r="M429" s="3"/>
      <c r="N429" s="3"/>
      <c r="O429" s="3"/>
      <c r="P429" s="3"/>
      <c r="Q429" s="3"/>
    </row>
    <row r="430" spans="1:17" s="1" customFormat="1" x14ac:dyDescent="0.35">
      <c r="A430" s="38" t="s">
        <v>160</v>
      </c>
      <c r="B430" s="159" t="str">
        <f>(IF(F148="Saleable area Loading :","We have considered Saleable area of Flats as per our Calculation.","We considered Saleable area of Flat as per Builder area Sheet."))</f>
        <v>We have considered Saleable area of Flats as per our Calculation.</v>
      </c>
      <c r="C430" s="160"/>
      <c r="D430" s="160"/>
      <c r="E430" s="160"/>
      <c r="F430" s="160"/>
      <c r="G430" s="160"/>
      <c r="H430" s="161"/>
      <c r="K430" s="3"/>
      <c r="L430" s="3"/>
      <c r="M430" s="3"/>
      <c r="N430" s="3"/>
      <c r="O430" s="3"/>
      <c r="P430" s="3"/>
      <c r="Q430" s="3"/>
    </row>
    <row r="431" spans="1:17" s="1" customFormat="1" x14ac:dyDescent="0.35">
      <c r="A431" s="38" t="s">
        <v>160</v>
      </c>
      <c r="B431" s="87" t="s">
        <v>130</v>
      </c>
      <c r="C431" s="88"/>
      <c r="D431" s="88"/>
      <c r="E431" s="88"/>
      <c r="F431" s="88"/>
      <c r="G431" s="88"/>
      <c r="H431" s="89"/>
      <c r="K431" s="3"/>
      <c r="L431" s="3"/>
      <c r="M431" s="3"/>
      <c r="N431" s="3"/>
      <c r="O431" s="3"/>
      <c r="P431" s="3"/>
      <c r="Q431" s="3"/>
    </row>
    <row r="432" spans="1:17" s="1" customFormat="1" x14ac:dyDescent="0.35">
      <c r="A432" s="38" t="s">
        <v>160</v>
      </c>
      <c r="B432" s="87" t="s">
        <v>199</v>
      </c>
      <c r="C432" s="88"/>
      <c r="D432" s="88"/>
      <c r="E432" s="88"/>
      <c r="F432" s="88"/>
      <c r="G432" s="88"/>
      <c r="H432" s="89"/>
      <c r="K432" s="3"/>
      <c r="L432" s="3"/>
      <c r="M432" s="3"/>
      <c r="N432" s="3"/>
      <c r="O432" s="3"/>
      <c r="P432" s="3"/>
      <c r="Q432" s="3"/>
    </row>
    <row r="433" spans="1:17" s="1" customFormat="1" x14ac:dyDescent="0.35">
      <c r="A433" s="38" t="s">
        <v>160</v>
      </c>
      <c r="B433" s="87" t="s">
        <v>159</v>
      </c>
      <c r="C433" s="88"/>
      <c r="D433" s="88"/>
      <c r="E433" s="88"/>
      <c r="F433" s="88"/>
      <c r="G433" s="88"/>
      <c r="H433" s="89"/>
      <c r="K433" s="3"/>
      <c r="L433" s="3"/>
      <c r="M433" s="3"/>
      <c r="N433" s="3"/>
      <c r="O433" s="3"/>
      <c r="P433" s="3"/>
      <c r="Q433" s="3"/>
    </row>
    <row r="434" spans="1:17" s="1" customFormat="1" x14ac:dyDescent="0.35">
      <c r="A434" s="38" t="s">
        <v>160</v>
      </c>
      <c r="B434" s="87" t="s">
        <v>131</v>
      </c>
      <c r="C434" s="88"/>
      <c r="D434" s="88"/>
      <c r="E434" s="88"/>
      <c r="F434" s="88"/>
      <c r="G434" s="88"/>
      <c r="H434" s="89"/>
      <c r="K434" s="3"/>
      <c r="L434" s="3"/>
      <c r="M434" s="3"/>
      <c r="N434" s="3"/>
      <c r="O434" s="3"/>
      <c r="P434" s="3"/>
      <c r="Q434" s="3"/>
    </row>
    <row r="435" spans="1:17" s="1" customFormat="1" ht="31.5" customHeight="1" x14ac:dyDescent="0.35">
      <c r="A435" s="38" t="s">
        <v>160</v>
      </c>
      <c r="B435" s="87" t="s">
        <v>161</v>
      </c>
      <c r="C435" s="88"/>
      <c r="D435" s="88"/>
      <c r="E435" s="88"/>
      <c r="F435" s="88"/>
      <c r="G435" s="88"/>
      <c r="H435" s="89"/>
      <c r="K435" s="3"/>
      <c r="L435" s="3"/>
      <c r="M435" s="3"/>
      <c r="N435" s="3"/>
      <c r="O435" s="3"/>
      <c r="P435" s="3"/>
      <c r="Q435" s="3"/>
    </row>
    <row r="436" spans="1:17" s="1" customFormat="1" x14ac:dyDescent="0.35">
      <c r="A436" s="38" t="s">
        <v>160</v>
      </c>
      <c r="B436" s="87" t="s">
        <v>132</v>
      </c>
      <c r="C436" s="88"/>
      <c r="D436" s="88"/>
      <c r="E436" s="88"/>
      <c r="F436" s="88"/>
      <c r="G436" s="88"/>
      <c r="H436" s="89"/>
      <c r="K436" s="3"/>
      <c r="L436" s="3"/>
      <c r="M436" s="3"/>
      <c r="N436" s="3"/>
      <c r="O436" s="3"/>
      <c r="P436" s="3"/>
      <c r="Q436" s="3"/>
    </row>
    <row r="437" spans="1:17" s="1" customFormat="1" x14ac:dyDescent="0.35">
      <c r="A437" s="38" t="s">
        <v>160</v>
      </c>
      <c r="B437" s="87" t="s">
        <v>212</v>
      </c>
      <c r="C437" s="88"/>
      <c r="D437" s="88"/>
      <c r="E437" s="88"/>
      <c r="F437" s="88"/>
      <c r="G437" s="88"/>
      <c r="H437" s="89"/>
      <c r="K437" s="3"/>
      <c r="L437" s="3"/>
      <c r="M437" s="3"/>
      <c r="N437" s="3"/>
      <c r="O437" s="3"/>
      <c r="P437" s="3"/>
      <c r="Q437" s="3"/>
    </row>
    <row r="438" spans="1:17" s="1" customFormat="1" hidden="1" x14ac:dyDescent="0.35">
      <c r="A438" s="38" t="s">
        <v>160</v>
      </c>
      <c r="B438" s="159" t="s">
        <v>245</v>
      </c>
      <c r="C438" s="160"/>
      <c r="D438" s="160"/>
      <c r="E438" s="160"/>
      <c r="F438" s="160"/>
      <c r="G438" s="160"/>
      <c r="H438" s="161"/>
      <c r="K438" s="3"/>
      <c r="L438" s="3"/>
      <c r="M438" s="3"/>
      <c r="N438" s="3"/>
      <c r="O438" s="3"/>
      <c r="P438" s="3"/>
      <c r="Q438" s="3"/>
    </row>
    <row r="439" spans="1:17" x14ac:dyDescent="0.35">
      <c r="A439" s="182" t="s">
        <v>64</v>
      </c>
      <c r="B439" s="182"/>
      <c r="C439" s="182"/>
      <c r="D439" s="182"/>
      <c r="E439" s="182"/>
      <c r="F439" s="182"/>
      <c r="G439" s="182"/>
      <c r="H439" s="182"/>
    </row>
    <row r="440" spans="1:17" x14ac:dyDescent="0.35">
      <c r="A440" s="112" t="s">
        <v>65</v>
      </c>
      <c r="B440" s="112"/>
      <c r="C440" s="112"/>
      <c r="D440" s="112"/>
      <c r="E440" s="112"/>
      <c r="F440" s="112"/>
      <c r="G440" s="112"/>
      <c r="H440" s="112"/>
    </row>
    <row r="441" spans="1:17" x14ac:dyDescent="0.35">
      <c r="A441" s="183" t="s">
        <v>66</v>
      </c>
      <c r="B441" s="183"/>
      <c r="C441" s="183"/>
      <c r="D441" s="183"/>
      <c r="E441" s="183"/>
      <c r="F441" s="183"/>
      <c r="G441" s="183"/>
      <c r="H441" s="183"/>
    </row>
    <row r="442" spans="1:17" x14ac:dyDescent="0.35">
      <c r="A442" s="112" t="s">
        <v>67</v>
      </c>
      <c r="B442" s="112"/>
      <c r="C442" s="112"/>
      <c r="D442" s="112"/>
      <c r="E442" s="112"/>
      <c r="F442" s="112"/>
      <c r="G442" s="112"/>
      <c r="H442" s="112"/>
    </row>
    <row r="443" spans="1:17" x14ac:dyDescent="0.35">
      <c r="A443" s="112" t="s">
        <v>68</v>
      </c>
      <c r="B443" s="112"/>
      <c r="C443" s="112"/>
      <c r="D443" s="112"/>
      <c r="E443" s="112"/>
      <c r="F443" s="112"/>
      <c r="G443" s="112"/>
      <c r="H443" s="112"/>
    </row>
    <row r="444" spans="1:17" x14ac:dyDescent="0.35">
      <c r="A444" s="112" t="s">
        <v>133</v>
      </c>
      <c r="B444" s="112"/>
      <c r="C444" s="112"/>
      <c r="D444" s="112"/>
      <c r="E444" s="112"/>
      <c r="F444" s="112"/>
      <c r="G444" s="112"/>
      <c r="H444" s="112"/>
    </row>
    <row r="445" spans="1:17" ht="35.25" customHeight="1" x14ac:dyDescent="0.35">
      <c r="A445" s="142" t="s">
        <v>134</v>
      </c>
      <c r="B445" s="142"/>
      <c r="C445" s="142"/>
      <c r="D445" s="142"/>
      <c r="E445" s="142"/>
      <c r="F445" s="142"/>
      <c r="G445" s="142"/>
      <c r="H445" s="142"/>
    </row>
    <row r="446" spans="1:17" x14ac:dyDescent="0.35">
      <c r="A446" s="180" t="s">
        <v>79</v>
      </c>
      <c r="B446" s="180"/>
      <c r="C446" s="180" t="s">
        <v>250</v>
      </c>
      <c r="D446" s="180"/>
      <c r="E446" s="180" t="s">
        <v>110</v>
      </c>
      <c r="F446" s="180"/>
      <c r="G446" s="180" t="s">
        <v>255</v>
      </c>
      <c r="H446" s="180"/>
    </row>
    <row r="447" spans="1:17" x14ac:dyDescent="0.35">
      <c r="A447" s="179" t="s">
        <v>81</v>
      </c>
      <c r="B447" s="179"/>
      <c r="C447" s="179"/>
      <c r="D447" s="179"/>
      <c r="E447" s="179"/>
      <c r="F447" s="179"/>
      <c r="G447" s="179"/>
      <c r="H447" s="179"/>
    </row>
    <row r="448" spans="1:17" x14ac:dyDescent="0.35">
      <c r="A448" s="179"/>
      <c r="B448" s="179"/>
      <c r="C448" s="179"/>
      <c r="D448" s="179"/>
      <c r="E448" s="179"/>
      <c r="F448" s="179"/>
      <c r="G448" s="179"/>
      <c r="H448" s="179"/>
    </row>
    <row r="449" spans="1:8" x14ac:dyDescent="0.35">
      <c r="A449" s="179"/>
      <c r="B449" s="179"/>
      <c r="C449" s="179"/>
      <c r="D449" s="179"/>
      <c r="E449" s="179"/>
      <c r="F449" s="179"/>
      <c r="G449" s="179"/>
      <c r="H449" s="179"/>
    </row>
    <row r="450" spans="1:8" x14ac:dyDescent="0.35">
      <c r="A450" s="179"/>
      <c r="B450" s="179"/>
      <c r="C450" s="179"/>
      <c r="D450" s="179"/>
      <c r="E450" s="179"/>
      <c r="F450" s="179"/>
      <c r="G450" s="179"/>
      <c r="H450" s="179"/>
    </row>
    <row r="451" spans="1:8" x14ac:dyDescent="0.35">
      <c r="A451" s="9" t="s">
        <v>69</v>
      </c>
      <c r="B451" s="10"/>
      <c r="C451" s="10"/>
      <c r="D451" s="9" t="str">
        <f>E8</f>
        <v>Mahindra Happinest Kalyan 2 Project A</v>
      </c>
      <c r="F451" s="10"/>
      <c r="G451" s="10"/>
      <c r="H451" s="10"/>
    </row>
    <row r="452" spans="1:8" x14ac:dyDescent="0.35">
      <c r="A452" s="10"/>
      <c r="B452" s="10"/>
      <c r="C452" s="10"/>
      <c r="D452" s="10"/>
      <c r="E452" s="10"/>
      <c r="F452" s="10"/>
      <c r="G452" s="10"/>
      <c r="H452" s="10"/>
    </row>
    <row r="453" spans="1:8" x14ac:dyDescent="0.35">
      <c r="A453" s="10"/>
      <c r="B453" s="10"/>
      <c r="C453" s="10"/>
      <c r="D453" s="10"/>
      <c r="E453" s="10"/>
      <c r="F453" s="10"/>
      <c r="G453" s="10"/>
      <c r="H453" s="10"/>
    </row>
    <row r="454" spans="1:8" ht="15" customHeight="1" x14ac:dyDescent="0.35"/>
    <row r="494" spans="1:1" x14ac:dyDescent="0.35">
      <c r="A494" s="12" t="s">
        <v>70</v>
      </c>
    </row>
  </sheetData>
  <mergeCells count="653"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37:B37"/>
    <mergeCell ref="C37:H37"/>
    <mergeCell ref="A10:D10"/>
    <mergeCell ref="E10:H10"/>
    <mergeCell ref="A413:H413"/>
    <mergeCell ref="A414:B414"/>
    <mergeCell ref="A415:B415"/>
    <mergeCell ref="A416:B416"/>
    <mergeCell ref="A427:B427"/>
    <mergeCell ref="C415:F415"/>
    <mergeCell ref="A422:B422"/>
    <mergeCell ref="A423:B423"/>
    <mergeCell ref="A424:B424"/>
    <mergeCell ref="A425:B425"/>
    <mergeCell ref="A426:B426"/>
    <mergeCell ref="A417:B417"/>
    <mergeCell ref="A418:B418"/>
    <mergeCell ref="A419:B419"/>
    <mergeCell ref="A420:B420"/>
    <mergeCell ref="A421:B421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395:B395"/>
    <mergeCell ref="A401:B401"/>
    <mergeCell ref="A398:H398"/>
    <mergeCell ref="A399:B399"/>
    <mergeCell ref="A400:B400"/>
    <mergeCell ref="A396:B396"/>
    <mergeCell ref="A397:B397"/>
    <mergeCell ref="A402:B402"/>
    <mergeCell ref="A403:B403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84:B384"/>
    <mergeCell ref="A385:B385"/>
    <mergeCell ref="C359:F359"/>
    <mergeCell ref="A358:B358"/>
    <mergeCell ref="A359:B359"/>
    <mergeCell ref="A360:B360"/>
    <mergeCell ref="A361:B361"/>
    <mergeCell ref="A362:B362"/>
    <mergeCell ref="A381:B381"/>
    <mergeCell ref="A382:B382"/>
    <mergeCell ref="A374:H374"/>
    <mergeCell ref="A375:B375"/>
    <mergeCell ref="A376:B376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83:H383"/>
    <mergeCell ref="A345:B345"/>
    <mergeCell ref="A346:B346"/>
    <mergeCell ref="A347:B347"/>
    <mergeCell ref="A340:B340"/>
    <mergeCell ref="A341:B341"/>
    <mergeCell ref="A342:B342"/>
    <mergeCell ref="A343:B343"/>
    <mergeCell ref="A348:B348"/>
    <mergeCell ref="A349:B349"/>
    <mergeCell ref="A333:B333"/>
    <mergeCell ref="A334:B334"/>
    <mergeCell ref="A335:B335"/>
    <mergeCell ref="A336:B336"/>
    <mergeCell ref="A337:B337"/>
    <mergeCell ref="A338:B338"/>
    <mergeCell ref="A339:B339"/>
    <mergeCell ref="A344:H344"/>
    <mergeCell ref="L344:M344"/>
    <mergeCell ref="A325:H325"/>
    <mergeCell ref="L325:M325"/>
    <mergeCell ref="A326:B326"/>
    <mergeCell ref="A327:B327"/>
    <mergeCell ref="A328:B328"/>
    <mergeCell ref="A329:B329"/>
    <mergeCell ref="A330:B330"/>
    <mergeCell ref="A331:B331"/>
    <mergeCell ref="A332:B332"/>
    <mergeCell ref="A316:B316"/>
    <mergeCell ref="A322:B322"/>
    <mergeCell ref="A323:B323"/>
    <mergeCell ref="A324:B324"/>
    <mergeCell ref="A317:B317"/>
    <mergeCell ref="A318:B318"/>
    <mergeCell ref="A319:B319"/>
    <mergeCell ref="A320:B320"/>
    <mergeCell ref="A321:B321"/>
    <mergeCell ref="L306:M306"/>
    <mergeCell ref="C264:F264"/>
    <mergeCell ref="A306:H306"/>
    <mergeCell ref="A271:B271"/>
    <mergeCell ref="A266:B266"/>
    <mergeCell ref="A267:B267"/>
    <mergeCell ref="A268:B268"/>
    <mergeCell ref="A269:B269"/>
    <mergeCell ref="A270:B270"/>
    <mergeCell ref="A272:H272"/>
    <mergeCell ref="A276:B276"/>
    <mergeCell ref="C276:F276"/>
    <mergeCell ref="A277:B277"/>
    <mergeCell ref="A278:B278"/>
    <mergeCell ref="A279:B279"/>
    <mergeCell ref="C291:F291"/>
    <mergeCell ref="A292:B292"/>
    <mergeCell ref="C292:F292"/>
    <mergeCell ref="A293:B293"/>
    <mergeCell ref="C293:F293"/>
    <mergeCell ref="A294:B294"/>
    <mergeCell ref="A295:B295"/>
    <mergeCell ref="A296:B296"/>
    <mergeCell ref="A289:B289"/>
    <mergeCell ref="A254:B254"/>
    <mergeCell ref="A255:B255"/>
    <mergeCell ref="A256:B256"/>
    <mergeCell ref="G125:H125"/>
    <mergeCell ref="B436:H436"/>
    <mergeCell ref="A150:H150"/>
    <mergeCell ref="A158:B158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G134:H134"/>
    <mergeCell ref="E126:F126"/>
    <mergeCell ref="G126:H126"/>
    <mergeCell ref="E129:F129"/>
    <mergeCell ref="G129:H129"/>
    <mergeCell ref="A312:B312"/>
    <mergeCell ref="A313:B313"/>
    <mergeCell ref="A314:B314"/>
    <mergeCell ref="A315:B315"/>
    <mergeCell ref="C69:H69"/>
    <mergeCell ref="A72:B72"/>
    <mergeCell ref="A74:B74"/>
    <mergeCell ref="A54:C54"/>
    <mergeCell ref="D54:H54"/>
    <mergeCell ref="G51:H51"/>
    <mergeCell ref="D58:H58"/>
    <mergeCell ref="D53:H53"/>
    <mergeCell ref="D56:H56"/>
    <mergeCell ref="D57:H57"/>
    <mergeCell ref="A71:B71"/>
    <mergeCell ref="A60:C60"/>
    <mergeCell ref="A61:C61"/>
    <mergeCell ref="D60:H60"/>
    <mergeCell ref="A63:C63"/>
    <mergeCell ref="D63:H63"/>
    <mergeCell ref="A66:C66"/>
    <mergeCell ref="D66:H66"/>
    <mergeCell ref="A64:C64"/>
    <mergeCell ref="D64:H64"/>
    <mergeCell ref="A69:B69"/>
    <mergeCell ref="A67:B67"/>
    <mergeCell ref="C67:H67"/>
    <mergeCell ref="A65:C65"/>
    <mergeCell ref="E40:H40"/>
    <mergeCell ref="A40:D40"/>
    <mergeCell ref="A444:H444"/>
    <mergeCell ref="A157:B157"/>
    <mergeCell ref="A441:H441"/>
    <mergeCell ref="A152:B152"/>
    <mergeCell ref="A131:B131"/>
    <mergeCell ref="D148:D149"/>
    <mergeCell ref="E148:E149"/>
    <mergeCell ref="G148:H149"/>
    <mergeCell ref="A76:B76"/>
    <mergeCell ref="F110:H110"/>
    <mergeCell ref="E124:F124"/>
    <mergeCell ref="A124:B124"/>
    <mergeCell ref="A120:E120"/>
    <mergeCell ref="A145:B145"/>
    <mergeCell ref="C126:D126"/>
    <mergeCell ref="A129:B129"/>
    <mergeCell ref="C129:D129"/>
    <mergeCell ref="A51:B51"/>
    <mergeCell ref="C51:E51"/>
    <mergeCell ref="A52:H52"/>
    <mergeCell ref="A53:C53"/>
    <mergeCell ref="B438:H438"/>
    <mergeCell ref="A447:H450"/>
    <mergeCell ref="A446:B446"/>
    <mergeCell ref="E446:F446"/>
    <mergeCell ref="C446:D446"/>
    <mergeCell ref="G446:H446"/>
    <mergeCell ref="A123:H123"/>
    <mergeCell ref="A121:E121"/>
    <mergeCell ref="F121:H121"/>
    <mergeCell ref="A122:E122"/>
    <mergeCell ref="F122:H122"/>
    <mergeCell ref="A151:H151"/>
    <mergeCell ref="A132:B132"/>
    <mergeCell ref="A125:B125"/>
    <mergeCell ref="A442:H442"/>
    <mergeCell ref="A130:H130"/>
    <mergeCell ref="A445:H445"/>
    <mergeCell ref="A257:B257"/>
    <mergeCell ref="A258:B258"/>
    <mergeCell ref="A259:B259"/>
    <mergeCell ref="A260:B260"/>
    <mergeCell ref="A443:H443"/>
    <mergeCell ref="A428:H428"/>
    <mergeCell ref="A439:H439"/>
    <mergeCell ref="A440:H440"/>
    <mergeCell ref="G71:H80"/>
    <mergeCell ref="A79:B79"/>
    <mergeCell ref="A80:B80"/>
    <mergeCell ref="G70:H70"/>
    <mergeCell ref="C124:D124"/>
    <mergeCell ref="F116:H116"/>
    <mergeCell ref="A110:E110"/>
    <mergeCell ref="G124:H124"/>
    <mergeCell ref="A119:E119"/>
    <mergeCell ref="A115:E115"/>
    <mergeCell ref="F115:H115"/>
    <mergeCell ref="A116:E116"/>
    <mergeCell ref="A118:E118"/>
    <mergeCell ref="F112:H112"/>
    <mergeCell ref="A117:E117"/>
    <mergeCell ref="A112:E112"/>
    <mergeCell ref="A95:B95"/>
    <mergeCell ref="C95:H95"/>
    <mergeCell ref="A97:B97"/>
    <mergeCell ref="C97:H97"/>
    <mergeCell ref="A98:B98"/>
    <mergeCell ref="E98:F98"/>
    <mergeCell ref="G98:H98"/>
    <mergeCell ref="A99:B99"/>
    <mergeCell ref="A172:B172"/>
    <mergeCell ref="A178:B178"/>
    <mergeCell ref="A77:B77"/>
    <mergeCell ref="A70:B70"/>
    <mergeCell ref="A73:B73"/>
    <mergeCell ref="A78:B78"/>
    <mergeCell ref="E70:F70"/>
    <mergeCell ref="A75:B75"/>
    <mergeCell ref="E71:F80"/>
    <mergeCell ref="C125:D125"/>
    <mergeCell ref="E125:F125"/>
    <mergeCell ref="A109:E109"/>
    <mergeCell ref="F109:H109"/>
    <mergeCell ref="A114:E114"/>
    <mergeCell ref="F114:H114"/>
    <mergeCell ref="F113:H113"/>
    <mergeCell ref="F118:H118"/>
    <mergeCell ref="F117:H117"/>
    <mergeCell ref="F119:H119"/>
    <mergeCell ref="F120:H120"/>
    <mergeCell ref="A126:B126"/>
    <mergeCell ref="E132:F132"/>
    <mergeCell ref="G132:H132"/>
    <mergeCell ref="G131:H131"/>
    <mergeCell ref="G47:H47"/>
    <mergeCell ref="G49:H49"/>
    <mergeCell ref="C49:E49"/>
    <mergeCell ref="C48:E48"/>
    <mergeCell ref="A47:B47"/>
    <mergeCell ref="D61:H61"/>
    <mergeCell ref="A62:C62"/>
    <mergeCell ref="D62:H62"/>
    <mergeCell ref="B434:H434"/>
    <mergeCell ref="B429:H429"/>
    <mergeCell ref="B430:H430"/>
    <mergeCell ref="B431:H431"/>
    <mergeCell ref="B432:H432"/>
    <mergeCell ref="B137:B138"/>
    <mergeCell ref="A137:A138"/>
    <mergeCell ref="A134:B134"/>
    <mergeCell ref="A143:B143"/>
    <mergeCell ref="A136:H136"/>
    <mergeCell ref="A147:H147"/>
    <mergeCell ref="A139:H139"/>
    <mergeCell ref="A216:H216"/>
    <mergeCell ref="A200:B200"/>
    <mergeCell ref="A201:B201"/>
    <mergeCell ref="A202:B20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30:B30"/>
    <mergeCell ref="C31:E31"/>
    <mergeCell ref="A32:B32"/>
    <mergeCell ref="C32:E32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41:H41"/>
    <mergeCell ref="E42:H42"/>
    <mergeCell ref="A39:D39"/>
    <mergeCell ref="E39:H3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F31:H31"/>
    <mergeCell ref="F32:H32"/>
    <mergeCell ref="A38:H38"/>
    <mergeCell ref="D65:H65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48:B48"/>
    <mergeCell ref="C50:H50"/>
    <mergeCell ref="C47:E47"/>
    <mergeCell ref="F34:H34"/>
    <mergeCell ref="A36:B36"/>
    <mergeCell ref="A35:H35"/>
    <mergeCell ref="A34:B34"/>
    <mergeCell ref="C34:E34"/>
    <mergeCell ref="C36:H36"/>
    <mergeCell ref="A41:D41"/>
    <mergeCell ref="B435:H435"/>
    <mergeCell ref="A46:B46"/>
    <mergeCell ref="C46:H46"/>
    <mergeCell ref="B433:H433"/>
    <mergeCell ref="F111:H111"/>
    <mergeCell ref="A111:E111"/>
    <mergeCell ref="D137:D138"/>
    <mergeCell ref="A113:E113"/>
    <mergeCell ref="A146:B146"/>
    <mergeCell ref="A140:B140"/>
    <mergeCell ref="A141:B141"/>
    <mergeCell ref="A142:B142"/>
    <mergeCell ref="A159:B159"/>
    <mergeCell ref="A160:B160"/>
    <mergeCell ref="A161:B161"/>
    <mergeCell ref="A162:H162"/>
    <mergeCell ref="A144:B144"/>
    <mergeCell ref="B148:B149"/>
    <mergeCell ref="G152:H161"/>
    <mergeCell ref="D59:H59"/>
    <mergeCell ref="A56:C59"/>
    <mergeCell ref="C131:D131"/>
    <mergeCell ref="C134:D134"/>
    <mergeCell ref="C132:D132"/>
    <mergeCell ref="A171:B171"/>
    <mergeCell ref="E134:F134"/>
    <mergeCell ref="G137:H138"/>
    <mergeCell ref="E137:E138"/>
    <mergeCell ref="E131:F131"/>
    <mergeCell ref="L172:M172"/>
    <mergeCell ref="L151:M151"/>
    <mergeCell ref="L162:M162"/>
    <mergeCell ref="L150:M150"/>
    <mergeCell ref="L146:M146"/>
    <mergeCell ref="L145:M145"/>
    <mergeCell ref="G142:H142"/>
    <mergeCell ref="G140:H140"/>
    <mergeCell ref="G146:H146"/>
    <mergeCell ref="G145:H145"/>
    <mergeCell ref="G141:H141"/>
    <mergeCell ref="G144:H144"/>
    <mergeCell ref="G143:H143"/>
    <mergeCell ref="L144:M144"/>
    <mergeCell ref="L143:M143"/>
    <mergeCell ref="L142:M142"/>
    <mergeCell ref="L171:M171"/>
    <mergeCell ref="L141:M141"/>
    <mergeCell ref="L140:M140"/>
    <mergeCell ref="E133:F133"/>
    <mergeCell ref="G133:H133"/>
    <mergeCell ref="A135:H135"/>
    <mergeCell ref="C137:C138"/>
    <mergeCell ref="A133:B133"/>
    <mergeCell ref="C133:D133"/>
    <mergeCell ref="A148:A149"/>
    <mergeCell ref="A156:B156"/>
    <mergeCell ref="A153:B153"/>
    <mergeCell ref="A154:B154"/>
    <mergeCell ref="A155:B155"/>
    <mergeCell ref="C148:C149"/>
    <mergeCell ref="A192:B192"/>
    <mergeCell ref="A193:B193"/>
    <mergeCell ref="A194:B194"/>
    <mergeCell ref="A195:B195"/>
    <mergeCell ref="A196:B196"/>
    <mergeCell ref="A187:B187"/>
    <mergeCell ref="A188:B188"/>
    <mergeCell ref="A189:B189"/>
    <mergeCell ref="A190:B190"/>
    <mergeCell ref="A191:B191"/>
    <mergeCell ref="A182:B182"/>
    <mergeCell ref="A183:B183"/>
    <mergeCell ref="A184:B184"/>
    <mergeCell ref="A185:B185"/>
    <mergeCell ref="A186:B186"/>
    <mergeCell ref="A181:B181"/>
    <mergeCell ref="L173:M173"/>
    <mergeCell ref="A179:B179"/>
    <mergeCell ref="A180:H180"/>
    <mergeCell ref="A173:B173"/>
    <mergeCell ref="A174:B174"/>
    <mergeCell ref="A175:B175"/>
    <mergeCell ref="A176:B176"/>
    <mergeCell ref="A177:B177"/>
    <mergeCell ref="G163:H179"/>
    <mergeCell ref="A163:B163"/>
    <mergeCell ref="A164:B164"/>
    <mergeCell ref="A167:B167"/>
    <mergeCell ref="A168:B168"/>
    <mergeCell ref="A169:B169"/>
    <mergeCell ref="A170:B170"/>
    <mergeCell ref="A165:B165"/>
    <mergeCell ref="A166:B166"/>
    <mergeCell ref="C170:F170"/>
    <mergeCell ref="A219:B219"/>
    <mergeCell ref="A220:B220"/>
    <mergeCell ref="A221:B221"/>
    <mergeCell ref="A217:H217"/>
    <mergeCell ref="C219:F219"/>
    <mergeCell ref="C220:F220"/>
    <mergeCell ref="A198:H198"/>
    <mergeCell ref="A199:B199"/>
    <mergeCell ref="G181:H197"/>
    <mergeCell ref="A211:B211"/>
    <mergeCell ref="A212:B212"/>
    <mergeCell ref="A213:B213"/>
    <mergeCell ref="A214:B214"/>
    <mergeCell ref="A215:B215"/>
    <mergeCell ref="G199:H215"/>
    <mergeCell ref="A206:B206"/>
    <mergeCell ref="A207:B207"/>
    <mergeCell ref="A208:B208"/>
    <mergeCell ref="A209:B209"/>
    <mergeCell ref="A218:H218"/>
    <mergeCell ref="A203:B203"/>
    <mergeCell ref="A204:B204"/>
    <mergeCell ref="A205:B205"/>
    <mergeCell ref="A197:B197"/>
    <mergeCell ref="A246:B246"/>
    <mergeCell ref="A233:B233"/>
    <mergeCell ref="A234:H234"/>
    <mergeCell ref="A227:B227"/>
    <mergeCell ref="A228:B228"/>
    <mergeCell ref="A229:B229"/>
    <mergeCell ref="A230:B230"/>
    <mergeCell ref="A231:B231"/>
    <mergeCell ref="A222:B222"/>
    <mergeCell ref="A223:B223"/>
    <mergeCell ref="A224:B224"/>
    <mergeCell ref="A225:B225"/>
    <mergeCell ref="A226:B226"/>
    <mergeCell ref="C226:F226"/>
    <mergeCell ref="A253:H253"/>
    <mergeCell ref="L226:M226"/>
    <mergeCell ref="A273:H273"/>
    <mergeCell ref="L227:M227"/>
    <mergeCell ref="A274:H274"/>
    <mergeCell ref="L228:M228"/>
    <mergeCell ref="A275:B275"/>
    <mergeCell ref="C275:F275"/>
    <mergeCell ref="A249:B249"/>
    <mergeCell ref="A250:B250"/>
    <mergeCell ref="A251:B251"/>
    <mergeCell ref="A235:B235"/>
    <mergeCell ref="A236:B236"/>
    <mergeCell ref="A237:B237"/>
    <mergeCell ref="A238:B238"/>
    <mergeCell ref="A232:B232"/>
    <mergeCell ref="A239:B239"/>
    <mergeCell ref="A240:B240"/>
    <mergeCell ref="A241:B241"/>
    <mergeCell ref="A242:B242"/>
    <mergeCell ref="A243:B243"/>
    <mergeCell ref="A252:B252"/>
    <mergeCell ref="A244:B244"/>
    <mergeCell ref="A245:B245"/>
    <mergeCell ref="A307:B307"/>
    <mergeCell ref="L244:M244"/>
    <mergeCell ref="A297:B297"/>
    <mergeCell ref="A298:B298"/>
    <mergeCell ref="A299:B299"/>
    <mergeCell ref="A284:B284"/>
    <mergeCell ref="A285:B285"/>
    <mergeCell ref="A286:B286"/>
    <mergeCell ref="A287:B287"/>
    <mergeCell ref="A288:B288"/>
    <mergeCell ref="A280:B280"/>
    <mergeCell ref="C277:F277"/>
    <mergeCell ref="A281:B281"/>
    <mergeCell ref="A282:B282"/>
    <mergeCell ref="C282:F282"/>
    <mergeCell ref="A283:B283"/>
    <mergeCell ref="A247:B247"/>
    <mergeCell ref="A248:B248"/>
    <mergeCell ref="A262:B262"/>
    <mergeCell ref="A263:B263"/>
    <mergeCell ref="L263:M263"/>
    <mergeCell ref="A264:B264"/>
    <mergeCell ref="A265:B265"/>
    <mergeCell ref="A261:B261"/>
    <mergeCell ref="A300:B300"/>
    <mergeCell ref="A290:H290"/>
    <mergeCell ref="B437:H437"/>
    <mergeCell ref="L290:M290"/>
    <mergeCell ref="C369:F369"/>
    <mergeCell ref="A304:B304"/>
    <mergeCell ref="A305:B305"/>
    <mergeCell ref="A363:H363"/>
    <mergeCell ref="L279:M279"/>
    <mergeCell ref="A364:H364"/>
    <mergeCell ref="L280:M280"/>
    <mergeCell ref="A365:H365"/>
    <mergeCell ref="L281:M281"/>
    <mergeCell ref="A371:B371"/>
    <mergeCell ref="A370:B370"/>
    <mergeCell ref="A372:B372"/>
    <mergeCell ref="A373:B373"/>
    <mergeCell ref="A366:B366"/>
    <mergeCell ref="A301:B301"/>
    <mergeCell ref="A302:B302"/>
    <mergeCell ref="A303:B303"/>
    <mergeCell ref="A369:B369"/>
    <mergeCell ref="A367:B367"/>
    <mergeCell ref="A368:B368"/>
    <mergeCell ref="A291:B291"/>
    <mergeCell ref="A308:B308"/>
    <mergeCell ref="A210:B210"/>
    <mergeCell ref="C208:F208"/>
    <mergeCell ref="G414:H427"/>
    <mergeCell ref="G399:H412"/>
    <mergeCell ref="G384:H397"/>
    <mergeCell ref="G375:H382"/>
    <mergeCell ref="G366:H373"/>
    <mergeCell ref="G345:H362"/>
    <mergeCell ref="G326:H343"/>
    <mergeCell ref="G307:H324"/>
    <mergeCell ref="G291:H305"/>
    <mergeCell ref="G275:H289"/>
    <mergeCell ref="G254:H271"/>
    <mergeCell ref="G235:H252"/>
    <mergeCell ref="G219:H233"/>
    <mergeCell ref="A309:B309"/>
    <mergeCell ref="A310:B310"/>
    <mergeCell ref="A311:B311"/>
    <mergeCell ref="A377:B377"/>
    <mergeCell ref="A378:B378"/>
    <mergeCell ref="A379:B379"/>
    <mergeCell ref="A380:B380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427" max="16383" man="1"/>
    <brk id="450" max="16383" man="1"/>
    <brk id="49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6" sqref="B16"/>
    </sheetView>
  </sheetViews>
  <sheetFormatPr defaultColWidth="8.7265625" defaultRowHeight="14.5" x14ac:dyDescent="0.35"/>
  <cols>
    <col min="1" max="1" width="8.7265625" style="16"/>
    <col min="2" max="2" width="22.1796875" style="16" customWidth="1"/>
    <col min="3" max="3" width="37" style="16" customWidth="1"/>
    <col min="4" max="5" width="11.453125" style="16" customWidth="1"/>
    <col min="6" max="6" width="14" style="16" customWidth="1"/>
    <col min="7" max="7" width="20" style="16" customWidth="1"/>
    <col min="8" max="8" width="16.453125" style="16" customWidth="1"/>
    <col min="9" max="16384" width="8.7265625" style="16"/>
  </cols>
  <sheetData>
    <row r="1" spans="1:9" ht="15" customHeight="1" x14ac:dyDescent="0.35"/>
    <row r="2" spans="1:9" ht="15" customHeight="1" x14ac:dyDescent="0.35">
      <c r="A2" s="17"/>
      <c r="B2" s="17"/>
      <c r="C2" s="17"/>
      <c r="D2" s="17"/>
      <c r="E2" s="17"/>
      <c r="F2" s="17"/>
      <c r="G2" s="17"/>
      <c r="H2" s="17"/>
    </row>
    <row r="3" spans="1:9" ht="15.75" customHeight="1" x14ac:dyDescent="0.35">
      <c r="A3" s="17"/>
      <c r="B3" s="196" t="s">
        <v>111</v>
      </c>
      <c r="C3" s="196"/>
      <c r="D3" s="196"/>
      <c r="E3" s="196"/>
      <c r="F3" s="196"/>
      <c r="G3" s="196"/>
      <c r="H3" s="196"/>
    </row>
    <row r="4" spans="1:9" x14ac:dyDescent="0.35">
      <c r="A4" s="17"/>
      <c r="B4" s="18" t="s">
        <v>112</v>
      </c>
      <c r="C4" s="18" t="s">
        <v>113</v>
      </c>
      <c r="D4" s="18" t="s">
        <v>72</v>
      </c>
      <c r="E4" s="18" t="s">
        <v>114</v>
      </c>
      <c r="F4" s="18" t="s">
        <v>120</v>
      </c>
      <c r="G4" s="18" t="s">
        <v>121</v>
      </c>
      <c r="H4" s="18" t="s">
        <v>115</v>
      </c>
    </row>
    <row r="5" spans="1:9" ht="15" customHeight="1" x14ac:dyDescent="0.35">
      <c r="A5" s="17"/>
      <c r="B5" s="55" t="s">
        <v>206</v>
      </c>
      <c r="C5" s="21"/>
      <c r="D5" s="55" t="s">
        <v>207</v>
      </c>
      <c r="E5" s="20">
        <v>447</v>
      </c>
      <c r="F5" s="22">
        <f>E5*1.5</f>
        <v>670.5</v>
      </c>
      <c r="G5" s="22">
        <f>H5/F5</f>
        <v>6092.4683072334083</v>
      </c>
      <c r="H5" s="23">
        <v>4085000</v>
      </c>
    </row>
    <row r="6" spans="1:9" x14ac:dyDescent="0.35">
      <c r="A6" s="17"/>
      <c r="B6" s="55" t="s">
        <v>206</v>
      </c>
      <c r="C6" s="24"/>
      <c r="D6" s="55" t="s">
        <v>208</v>
      </c>
      <c r="E6" s="20"/>
      <c r="F6" s="22">
        <f t="shared" ref="F6:F10" si="0">E6*1.6</f>
        <v>0</v>
      </c>
      <c r="G6" s="22" t="e">
        <f t="shared" ref="G6:G11" si="1">H6/F6</f>
        <v>#DIV/0!</v>
      </c>
      <c r="H6" s="23"/>
    </row>
    <row r="7" spans="1:9" ht="15" customHeight="1" x14ac:dyDescent="0.35">
      <c r="A7" s="17"/>
      <c r="B7" s="20" t="s">
        <v>116</v>
      </c>
      <c r="C7" s="21"/>
      <c r="D7" s="20"/>
      <c r="E7" s="20"/>
      <c r="F7" s="22">
        <f t="shared" si="0"/>
        <v>0</v>
      </c>
      <c r="G7" s="22" t="e">
        <f t="shared" si="1"/>
        <v>#DIV/0!</v>
      </c>
      <c r="H7" s="23"/>
    </row>
    <row r="8" spans="1:9" x14ac:dyDescent="0.35">
      <c r="A8" s="17"/>
      <c r="B8" s="20" t="s">
        <v>116</v>
      </c>
      <c r="C8" s="24"/>
      <c r="D8" s="20"/>
      <c r="E8" s="20"/>
      <c r="F8" s="22">
        <f t="shared" si="0"/>
        <v>0</v>
      </c>
      <c r="G8" s="22" t="e">
        <f t="shared" si="1"/>
        <v>#DIV/0!</v>
      </c>
      <c r="H8" s="23"/>
    </row>
    <row r="9" spans="1:9" ht="15" customHeight="1" x14ac:dyDescent="0.35">
      <c r="A9" s="17"/>
      <c r="B9" s="20" t="s">
        <v>116</v>
      </c>
      <c r="C9" s="24"/>
      <c r="D9" s="20"/>
      <c r="E9" s="20"/>
      <c r="F9" s="22">
        <f t="shared" si="0"/>
        <v>0</v>
      </c>
      <c r="G9" s="22" t="e">
        <f t="shared" si="1"/>
        <v>#DIV/0!</v>
      </c>
      <c r="H9" s="23"/>
    </row>
    <row r="10" spans="1:9" ht="15" customHeight="1" x14ac:dyDescent="0.35">
      <c r="A10" s="17"/>
      <c r="B10" s="20" t="s">
        <v>117</v>
      </c>
      <c r="C10" s="21"/>
      <c r="D10" s="20"/>
      <c r="E10" s="20"/>
      <c r="F10" s="22">
        <f t="shared" si="0"/>
        <v>0</v>
      </c>
      <c r="G10" s="22" t="e">
        <f t="shared" si="1"/>
        <v>#DIV/0!</v>
      </c>
      <c r="H10" s="23"/>
    </row>
    <row r="11" spans="1:9" ht="15" customHeight="1" x14ac:dyDescent="0.35">
      <c r="A11" s="17"/>
      <c r="B11" s="20" t="s">
        <v>117</v>
      </c>
      <c r="C11" s="21"/>
      <c r="D11" s="20"/>
      <c r="E11" s="20">
        <v>397</v>
      </c>
      <c r="F11" s="22">
        <f>E11*1.5</f>
        <v>595.5</v>
      </c>
      <c r="G11" s="22">
        <f t="shared" si="1"/>
        <v>5952.9806884970612</v>
      </c>
      <c r="H11" s="23">
        <v>3545000</v>
      </c>
    </row>
    <row r="12" spans="1:9" ht="15" customHeight="1" x14ac:dyDescent="0.35">
      <c r="A12" s="17"/>
      <c r="B12" s="25" t="s">
        <v>118</v>
      </c>
      <c r="C12" s="20"/>
      <c r="D12" s="20"/>
      <c r="E12" s="20"/>
      <c r="F12" s="20"/>
      <c r="G12" s="26" t="e">
        <f>AVERAGE(G5:G11)</f>
        <v>#DIV/0!</v>
      </c>
      <c r="H12" s="20"/>
    </row>
    <row r="13" spans="1:9" ht="15" customHeight="1" x14ac:dyDescent="0.35">
      <c r="B13" s="25" t="s">
        <v>119</v>
      </c>
      <c r="C13" s="20"/>
      <c r="D13" s="20"/>
      <c r="E13" s="20"/>
      <c r="F13" s="27"/>
      <c r="G13" s="25"/>
      <c r="H13" s="25"/>
      <c r="I13" s="19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2025-06-09T08:54:21Z</cp:lastPrinted>
  <dcterms:created xsi:type="dcterms:W3CDTF">2019-07-16T09:29:46Z</dcterms:created>
  <dcterms:modified xsi:type="dcterms:W3CDTF">2025-09-11T12:01:19Z</dcterms:modified>
</cp:coreProperties>
</file>