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8" i="1" l="1"/>
  <c r="D227" i="1"/>
  <c r="D226" i="1"/>
  <c r="D225" i="1"/>
  <c r="D220" i="1"/>
  <c r="D219" i="1"/>
  <c r="D218" i="1"/>
  <c r="D217" i="1"/>
  <c r="D216" i="1"/>
  <c r="D203" i="1"/>
  <c r="D204" i="1"/>
  <c r="D214" i="1"/>
  <c r="D213" i="1"/>
  <c r="D211" i="1"/>
  <c r="D210" i="1"/>
  <c r="D209" i="1"/>
  <c r="D207" i="1"/>
  <c r="D206" i="1"/>
  <c r="D193" i="1"/>
  <c r="D205" i="1"/>
  <c r="D202" i="1"/>
  <c r="D201" i="1"/>
  <c r="D200" i="1"/>
  <c r="D199" i="1"/>
  <c r="D198" i="1"/>
  <c r="D197" i="1"/>
  <c r="D196" i="1"/>
  <c r="D194" i="1"/>
  <c r="D190" i="1"/>
  <c r="D185" i="1"/>
  <c r="D192" i="1"/>
  <c r="D191" i="1"/>
  <c r="D189" i="1"/>
  <c r="D188" i="1"/>
  <c r="D187" i="1"/>
  <c r="D186" i="1"/>
  <c r="D184" i="1"/>
  <c r="D183" i="1"/>
  <c r="D177" i="1"/>
  <c r="D176" i="1"/>
  <c r="D175" i="1"/>
  <c r="D174" i="1"/>
  <c r="D173" i="1"/>
  <c r="D172" i="1"/>
  <c r="C131" i="1" l="1"/>
  <c r="E131" i="1"/>
  <c r="D236" i="1"/>
  <c r="E132" i="1" s="1"/>
  <c r="F218" i="1"/>
  <c r="F214" i="1"/>
  <c r="F210" i="1"/>
  <c r="F209" i="1"/>
  <c r="F206" i="1"/>
  <c r="F201" i="1"/>
  <c r="F200" i="1"/>
  <c r="F198" i="1"/>
  <c r="F192" i="1"/>
  <c r="K192" i="1" s="1"/>
  <c r="F191" i="1"/>
  <c r="K191" i="1" s="1"/>
  <c r="F188" i="1"/>
  <c r="K188" i="1" s="1"/>
  <c r="F187" i="1"/>
  <c r="K187" i="1" s="1"/>
  <c r="F176" i="1"/>
  <c r="F228" i="1"/>
  <c r="F227" i="1"/>
  <c r="F226" i="1"/>
  <c r="F225" i="1"/>
  <c r="A223" i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G222" i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F217" i="1"/>
  <c r="F220" i="1"/>
  <c r="F219" i="1"/>
  <c r="F216" i="1"/>
  <c r="F213" i="1"/>
  <c r="F211" i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G209" i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F207" i="1"/>
  <c r="F205" i="1"/>
  <c r="F204" i="1"/>
  <c r="F203" i="1"/>
  <c r="F202" i="1"/>
  <c r="F199" i="1"/>
  <c r="J199" i="1" s="1"/>
  <c r="F197" i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G196" i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F196" i="1"/>
  <c r="F194" i="1"/>
  <c r="K194" i="1" s="1"/>
  <c r="F193" i="1"/>
  <c r="J193" i="1" s="1"/>
  <c r="F190" i="1"/>
  <c r="K190" i="1" s="1"/>
  <c r="F189" i="1"/>
  <c r="K189" i="1" s="1"/>
  <c r="F177" i="1"/>
  <c r="F175" i="1"/>
  <c r="F174" i="1"/>
  <c r="F173" i="1"/>
  <c r="J173" i="1" s="1"/>
  <c r="F172" i="1"/>
  <c r="I174" i="1"/>
  <c r="I173" i="1"/>
  <c r="I172" i="1"/>
  <c r="L174" i="1"/>
  <c r="L172" i="1"/>
  <c r="L173" i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G170" i="1"/>
  <c r="E164" i="1"/>
  <c r="E163" i="1"/>
  <c r="E162" i="1"/>
  <c r="D164" i="1"/>
  <c r="D163" i="1"/>
  <c r="D162" i="1"/>
  <c r="G162" i="1"/>
  <c r="A163" i="1"/>
  <c r="A164" i="1" s="1"/>
  <c r="D159" i="1"/>
  <c r="F159" i="1" s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I142" i="1"/>
  <c r="J141" i="1"/>
  <c r="I141" i="1"/>
  <c r="E127" i="1" l="1"/>
  <c r="C132" i="1"/>
  <c r="C133" i="1" s="1"/>
  <c r="C127" i="1"/>
  <c r="C126" i="1"/>
  <c r="C128" i="1" s="1"/>
  <c r="E126" i="1"/>
  <c r="E128" i="1" s="1"/>
  <c r="E133" i="1"/>
  <c r="K193" i="1"/>
  <c r="F146" i="1"/>
  <c r="F158" i="1"/>
  <c r="F157" i="1"/>
  <c r="K141" i="1"/>
  <c r="F162" i="1"/>
  <c r="F148" i="1"/>
  <c r="F164" i="1"/>
  <c r="F163" i="1"/>
  <c r="F156" i="1"/>
  <c r="F155" i="1"/>
  <c r="F154" i="1"/>
  <c r="F153" i="1"/>
  <c r="F152" i="1"/>
  <c r="F151" i="1"/>
  <c r="F150" i="1"/>
  <c r="F149" i="1"/>
  <c r="F147" i="1"/>
  <c r="F145" i="1"/>
  <c r="E42" i="1"/>
  <c r="G127" i="1" l="1"/>
  <c r="Z12" i="1"/>
  <c r="I14" i="1"/>
  <c r="F183" i="1" l="1"/>
  <c r="F141" i="1"/>
  <c r="K183" i="1" l="1"/>
  <c r="E134" i="1"/>
  <c r="C134" i="1"/>
  <c r="E43" i="1" l="1"/>
  <c r="E44" i="1" s="1"/>
  <c r="C15" i="1" l="1"/>
  <c r="E30" i="1" l="1"/>
  <c r="F184" i="1" l="1"/>
  <c r="F185" i="1"/>
  <c r="F186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G183" i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K186" i="1" l="1"/>
  <c r="L186" i="1"/>
  <c r="J186" i="1"/>
  <c r="K185" i="1"/>
  <c r="L185" i="1"/>
  <c r="K184" i="1"/>
  <c r="G131" i="1"/>
  <c r="F123" i="1"/>
  <c r="F142" i="1" l="1"/>
  <c r="F143" i="1"/>
  <c r="F144" i="1"/>
  <c r="G126" i="1" l="1"/>
  <c r="G128" i="1" s="1"/>
  <c r="B239" i="1"/>
  <c r="F236" i="1" l="1"/>
  <c r="G132" i="1" s="1"/>
  <c r="G133" i="1" s="1"/>
  <c r="G134" i="1" s="1"/>
  <c r="B240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1" i="1"/>
  <c r="G236" i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G141" i="1"/>
  <c r="C96" i="1"/>
  <c r="B97" i="1" s="1"/>
  <c r="C82" i="1"/>
  <c r="B83" i="1" s="1"/>
  <c r="C68" i="1"/>
  <c r="B69" i="1" s="1"/>
  <c r="D55" i="1"/>
  <c r="G50" i="1"/>
  <c r="G51" i="1" s="1"/>
  <c r="C50" i="1"/>
  <c r="C51" i="1" s="1"/>
  <c r="E27" i="1"/>
  <c r="E25" i="1"/>
  <c r="E7" i="1"/>
  <c r="E3" i="1"/>
  <c r="H97" i="1"/>
  <c r="D62" i="1" l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D108" i="1"/>
  <c r="D106" i="1"/>
  <c r="D104" i="1"/>
  <c r="H69" i="1"/>
  <c r="H83" i="1"/>
  <c r="J87" i="1" l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104" i="1"/>
  <c r="J105" i="1" s="1"/>
  <c r="J106" i="1" s="1"/>
  <c r="J107" i="1" s="1"/>
  <c r="J109" i="1" s="1"/>
  <c r="C101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C86" i="1" l="1"/>
  <c r="D86" i="1" s="1"/>
  <c r="J81" i="1"/>
  <c r="C73" i="1" s="1"/>
  <c r="G72" i="1" s="1"/>
  <c r="D66" i="1" s="1"/>
  <c r="D67" i="1" s="1"/>
  <c r="E100" i="1"/>
  <c r="G100" i="1"/>
  <c r="D101" i="1"/>
  <c r="I97" i="1" s="1"/>
  <c r="J95" i="1"/>
  <c r="C87" i="1" s="1"/>
  <c r="J97" i="1"/>
  <c r="J83" i="1" l="1"/>
  <c r="J69" i="1"/>
  <c r="D73" i="1"/>
  <c r="I69" i="1" s="1"/>
  <c r="I70" i="1" s="1"/>
  <c r="E72" i="1"/>
  <c r="F67" i="1"/>
  <c r="E86" i="1"/>
  <c r="I98" i="1"/>
  <c r="I96" i="1" s="1"/>
  <c r="C98" i="1" s="1"/>
  <c r="D87" i="1" l="1"/>
  <c r="I83" i="1" s="1"/>
  <c r="I84" i="1" s="1"/>
  <c r="G86" i="1"/>
  <c r="I68" i="1"/>
  <c r="C70" i="1" s="1"/>
  <c r="I82" i="1" l="1"/>
  <c r="C84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<sst xmlns="http://schemas.openxmlformats.org/spreadsheetml/2006/main" count="535" uniqueCount="292">
  <si>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</si>
  <si>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</si>
  <si>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</si>
  <si>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</si>
  <si>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</si>
  <si>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</si>
  <si>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</si>
  <si>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</si>
  <si>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</si>
  <si>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</si>
  <si>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</si>
  <si>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</si>
  <si>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</si>
  <si>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</si>
  <si>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</si>
  <si>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</si>
  <si>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</si>
  <si>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</si>
  <si>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</si>
  <si>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</si>
  <si>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</si>
  <si>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</si>
  <si>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</si>
  <si>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</si>
  <si>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</si>
  <si>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</si>
  <si>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</si>
  <si>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</si>
  <si>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</si>
  <si>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</si>
  <si>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</si>
  <si>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</si>
  <si>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</si>
  <si>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</si>
  <si>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</si>
  <si>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</si>
  <si>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</si>
  <si>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</si>
  <si>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</si>
  <si>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</si>
  <si>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</si>
  <si>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</si>
  <si>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</si>
  <si>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</si>
  <si>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</si>
  <si>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</si>
  <si>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</si>
  <si>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</si>
  <si>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</si>
  <si>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</si>
  <si>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</si>
  <si>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</si>
  <si>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</si>
  <si>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</si>
  <si>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</si>
  <si>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</si>
  <si>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</si>
  <si>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</si>
  <si>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</si>
  <si>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</si>
  <si>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</si>
  <si>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</si>
  <si>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</si>
  <si>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</si>
  <si>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</si>
  <si>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</si>
  <si>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</si>
  <si>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</si>
  <si>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</si>
  <si>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</si>
  <si>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</si>
  <si>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</si>
  <si>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</si>
  <si>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</si>
  <si>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</si>
  <si>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</si>
  <si>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</si>
  <si>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</si>
  <si>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</si>
  <si>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</si>
  <si>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</si>
  <si>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</si>
  <si>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</si>
  <si>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</si>
  <si>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</si>
  <si>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</si>
  <si>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</si>
  <si>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</si>
  <si>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</si>
  <si>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</si>
  <si>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</si>
  <si>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</si>
  <si>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</si>
  <si>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</si>
  <si>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</si>
  <si>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</si>
  <si>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</si>
  <si>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</si>
  <si>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</si>
  <si>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</si>
  <si>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</si>
  <si>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</si>
  <si>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</si>
  <si>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</si>
  <si>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</si>
  <si>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</si>
  <si>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</si>
  <si>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</si>
  <si>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</si>
  <si>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</si>
  <si>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</si>
  <si>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</si>
  <si>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</si>
  <si>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</si>
  <si>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</si>
  <si>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</si>
  <si>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</si>
  <si>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</si>
  <si>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</si>
  <si>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</si>
  <si>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</si>
  <si>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</si>
  <si>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</si>
  <si>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</si>
  <si>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</si>
  <si>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</si>
  <si>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</si>
  <si>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</si>
  <si>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</si>
  <si>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</si>
  <si>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</si>
  <si>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</si>
  <si>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</si>
  <si>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</si>
  <si>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</si>
  <si>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</si>
  <si>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</si>
  <si>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</si>
  <si>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</si>
  <si>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</si>
  <si>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</si>
  <si>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</si>
  <si>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</si>
  <si>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</si>
  <si>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</si>
  <si>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</si>
  <si>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</si>
  <si>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</si>
  <si>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</si>
  <si>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</si>
  <si>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</si>
  <si>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</si>
  <si>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</si>
  <si>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</si>
  <si>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</si>
  <si>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</si>
  <si>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</si>
  <si>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</si>
  <si>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</si>
  <si>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</si>
  <si>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</si>
  <si>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</si>
  <si>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</si>
  <si>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</si>
  <si>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</si>
  <si>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</si>
  <si>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</si>
  <si>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</si>
  <si>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</si>
  <si>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</si>
  <si>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</si>
  <si>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C Wing = 1B + G + 1st to 20th Floor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</si>
  <si>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</si>
  <si>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</si>
  <si>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</si>
  <si>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</si>
  <si>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</si>
  <si>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</si>
  <si>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</si>
  <si>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</si>
  <si>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</si>
  <si>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</si>
  <si>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</si>
  <si>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</si>
  <si>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</si>
  <si>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</si>
  <si>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</si>
  <si>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</si>
  <si>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</si>
  <si>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</si>
  <si>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</si>
  <si>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</si>
  <si>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</si>
  <si>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</si>
  <si>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</si>
  <si>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</si>
  <si>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</si>
  <si>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</si>
  <si>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</si>
  <si>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</si>
  <si>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</si>
  <si>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</si>
  <si>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</si>
  <si>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</si>
  <si>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</si>
  <si>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</si>
  <si>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</si>
  <si>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</si>
  <si>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</si>
  <si>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</si>
  <si>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</si>
  <si>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</si>
  <si>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</si>
  <si>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</si>
  <si>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</si>
  <si>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</si>
  <si>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</si>
  <si>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</si>
  <si>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</si>
  <si>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</si>
  <si>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</si>
  <si>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</si>
  <si>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</si>
  <si>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</si>
  <si>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</si>
  <si>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</si>
  <si>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</si>
  <si>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</si>
  <si>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</si>
  <si>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</si>
  <si>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</si>
  <si>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</si>
  <si>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</si>
  <si>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</si>
  <si>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</si>
  <si>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Mangesh Dashrath Gaikar</t>
  </si>
  <si>
    <t>Mangeshi Arcade II</t>
  </si>
  <si>
    <t>https://goo.gl/maps/CxiyoUky52QVfXET6</t>
  </si>
  <si>
    <t>19.266408, 73.129292</t>
  </si>
  <si>
    <t>Approved Plans, CC, Builder Profile</t>
  </si>
  <si>
    <t>P51700047988</t>
  </si>
  <si>
    <t>Survey No</t>
  </si>
  <si>
    <t>10, H. No. 1A + 2 to 7/1</t>
  </si>
  <si>
    <t>Kolivali</t>
  </si>
  <si>
    <t>Internal Rd</t>
  </si>
  <si>
    <t>Chanakya Nagar, Khadakpada</t>
  </si>
  <si>
    <t>4.2KM from Kalyan Railway Station</t>
  </si>
  <si>
    <t>Rd/ Open Plot</t>
  </si>
  <si>
    <t>Open Plot</t>
  </si>
  <si>
    <t>Rd/Mutha College</t>
  </si>
  <si>
    <t>Ashapura Crown City</t>
  </si>
  <si>
    <t>6M Wide Drive Way</t>
  </si>
  <si>
    <t>45M Wide D.P Road</t>
  </si>
  <si>
    <t>Other Plot</t>
  </si>
  <si>
    <t>KDMC</t>
  </si>
  <si>
    <t>KDMC/TPD/BP/KD/2021-22/84/128</t>
  </si>
  <si>
    <t>Building No.1 = Stilt(Pt)/Gr(Pt) + 1st to 17th Floor(Pt)</t>
  </si>
  <si>
    <t>As per RERA - 28/02/2027</t>
  </si>
  <si>
    <t>Gym, Indoor Games, Multipurpose Event Area, Mini Theatre, Rooftop Party Lounge Area, Rooftop Work Station, Gazebo &amp; Sit Out Area, Jogging Track, Barbeque Deck, Kids Play Area, Rooftop Cricket Turf, Yoga Meditation Zone.</t>
  </si>
  <si>
    <t>02 Building</t>
  </si>
  <si>
    <t>Building No.1 = Stilt(Pt)/Gr(Pt) + 1st to 17th Floor(Pt)
Building No. 2 = Gr + 1st to 3rd Floor</t>
  </si>
  <si>
    <t>Building No. 2 = Gr + 1st to 3rd Floor</t>
  </si>
  <si>
    <t>Building No. 1</t>
  </si>
  <si>
    <t>Ground Floor For Commercial, Meter Room, Driver Room &amp; Parking</t>
  </si>
  <si>
    <t>Shop</t>
  </si>
  <si>
    <t>Building No. 2</t>
  </si>
  <si>
    <t>Ground Floor For Commercial</t>
  </si>
  <si>
    <t>1st to 3rd Floor For Residential</t>
  </si>
  <si>
    <t>1BHK</t>
  </si>
  <si>
    <t>2BHK</t>
  </si>
  <si>
    <t>Puzzle Parking</t>
  </si>
  <si>
    <t>4th Floor</t>
  </si>
  <si>
    <t>5th to 7th, 9th to 12th, &amp; 14th to 16th Floor</t>
  </si>
  <si>
    <t>8th &amp; 13th Floor (Part Refuge Area)</t>
  </si>
  <si>
    <t>Refuge Area</t>
  </si>
  <si>
    <t>Recreation Area</t>
  </si>
  <si>
    <t>17th Floor (Part Recreation Area)</t>
  </si>
  <si>
    <t>We considered Gross carpet area = Net carpet + Balcony + A.P Area.</t>
  </si>
  <si>
    <t>Building No.1</t>
  </si>
  <si>
    <t>Building No.2</t>
  </si>
  <si>
    <t>Flats -177, Shops - 22</t>
  </si>
  <si>
    <t>Mutha College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</si>
  <si>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</si>
  <si>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Building No.1 = St(Pt)/Gr(Pt) + 1st to 17th Floor(Pt) (Residential + Commercial)
Building No. 2 = Gr + 1st to 3rd Floor (Residential + Commercial)</t>
  </si>
  <si>
    <t>Rate 6700  By Rushikesh Verbal   On 16/09/2024</t>
  </si>
  <si>
    <t>Recommended Rates of the Property have been revised on 16/09/2024.</t>
  </si>
  <si>
    <t>Subhash Patel 9167088999</t>
  </si>
  <si>
    <t>Building 1 &amp; 2</t>
  </si>
  <si>
    <t>Mr. Rohan : 9920354032</t>
  </si>
  <si>
    <t>Mangesh Laxman Bapardekar</t>
  </si>
  <si>
    <t>Building No.1 = Construction work is in process at the time of Visit.
Building No.2 = Construction work is in process at the time of Visit (Slow Speed).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</si>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</sst>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/>
    <xf numFmtId="0" fontId="26" fillId="0" borderId="9" xfId="0" applyFont="1" applyBorder="1"/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7" fillId="0" borderId="1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9" xfId="1" applyFont="1" applyBorder="1" applyAlignment="1" applyProtection="1">
      <alignment horizontal="left" vertical="top" wrapText="1"/>
      <protection locked="0"/>
    </xf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313759</xdr:colOff>
      <xdr:row>305</xdr:row>
      <xdr:rowOff>0</xdr:rowOff>
    </xdr:from>
    <xdr:to>
      <xdr:col>7</xdr:col>
      <xdr:colOff>564995</xdr:colOff>
      <xdr:row>326</xdr:row>
      <xdr:rowOff>84178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071" t="29481" r="23844" b="16038"/>
        <a:stretch/>
      </xdr:blipFill>
      <xdr:spPr>
        <a:xfrm>
          <a:off x="313759" y="63380471"/>
          <a:ext cx="6358442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672353</xdr:colOff>
      <xdr:row>318</xdr:row>
      <xdr:rowOff>11207</xdr:rowOff>
    </xdr:from>
    <xdr:to>
      <xdr:col>4</xdr:col>
      <xdr:colOff>156882</xdr:colOff>
      <xdr:row>322</xdr:row>
      <xdr:rowOff>145677</xdr:rowOff>
    </xdr:to>
    <xdr:sp macro="" textlink="">
      <xdr:nvSpPr>
        <xdr:cNvPr id="9" name="Rectangle 8"/>
        <xdr:cNvSpPr/>
      </xdr:nvSpPr>
      <xdr:spPr>
        <a:xfrm>
          <a:off x="1490382" y="66013854"/>
          <a:ext cx="2274794" cy="941294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33618</xdr:colOff>
      <xdr:row>318</xdr:row>
      <xdr:rowOff>168088</xdr:rowOff>
    </xdr:from>
    <xdr:to>
      <xdr:col>1</xdr:col>
      <xdr:colOff>616324</xdr:colOff>
      <xdr:row>320</xdr:row>
      <xdr:rowOff>190500</xdr:rowOff>
    </xdr:to>
    <xdr:sp macro="" textlink="">
      <xdr:nvSpPr>
        <xdr:cNvPr id="11" name="Freeform 10"/>
        <xdr:cNvSpPr/>
      </xdr:nvSpPr>
      <xdr:spPr>
        <a:xfrm>
          <a:off x="851647" y="66170735"/>
          <a:ext cx="582706" cy="425824"/>
        </a:xfrm>
        <a:custGeom>
          <a:avLst/>
          <a:gdLst>
            <a:gd name="connsiteX0" fmla="*/ 582706 w 582706"/>
            <a:gd name="connsiteY0" fmla="*/ 0 h 425824"/>
            <a:gd name="connsiteX1" fmla="*/ 582706 w 582706"/>
            <a:gd name="connsiteY1" fmla="*/ 425824 h 425824"/>
            <a:gd name="connsiteX2" fmla="*/ 437029 w 582706"/>
            <a:gd name="connsiteY2" fmla="*/ 414618 h 425824"/>
            <a:gd name="connsiteX3" fmla="*/ 0 w 582706"/>
            <a:gd name="connsiteY3" fmla="*/ 257736 h 425824"/>
            <a:gd name="connsiteX4" fmla="*/ 11206 w 582706"/>
            <a:gd name="connsiteY4" fmla="*/ 112059 h 425824"/>
            <a:gd name="connsiteX5" fmla="*/ 582706 w 582706"/>
            <a:gd name="connsiteY5" fmla="*/ 0 h 4258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582706" h="425824">
              <a:moveTo>
                <a:pt x="582706" y="0"/>
              </a:moveTo>
              <a:lnTo>
                <a:pt x="582706" y="425824"/>
              </a:lnTo>
              <a:lnTo>
                <a:pt x="437029" y="414618"/>
              </a:lnTo>
              <a:lnTo>
                <a:pt x="0" y="257736"/>
              </a:lnTo>
              <a:lnTo>
                <a:pt x="11206" y="112059"/>
              </a:lnTo>
              <a:lnTo>
                <a:pt x="582706" y="0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526677</xdr:colOff>
      <xdr:row>314</xdr:row>
      <xdr:rowOff>33617</xdr:rowOff>
    </xdr:from>
    <xdr:to>
      <xdr:col>4</xdr:col>
      <xdr:colOff>369794</xdr:colOff>
      <xdr:row>318</xdr:row>
      <xdr:rowOff>156882</xdr:rowOff>
    </xdr:to>
    <xdr:sp macro="" textlink="">
      <xdr:nvSpPr>
        <xdr:cNvPr id="12" name="Rectangle 11"/>
        <xdr:cNvSpPr/>
      </xdr:nvSpPr>
      <xdr:spPr>
        <a:xfrm>
          <a:off x="2207559" y="65229441"/>
          <a:ext cx="1770529" cy="9300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Building No. 1</a:t>
          </a:r>
        </a:p>
      </xdr:txBody>
    </xdr:sp>
    <xdr:clientData/>
  </xdr:twoCellAnchor>
  <xdr:twoCellAnchor>
    <xdr:from>
      <xdr:col>0</xdr:col>
      <xdr:colOff>683559</xdr:colOff>
      <xdr:row>314</xdr:row>
      <xdr:rowOff>123264</xdr:rowOff>
    </xdr:from>
    <xdr:to>
      <xdr:col>2</xdr:col>
      <xdr:colOff>773206</xdr:colOff>
      <xdr:row>319</xdr:row>
      <xdr:rowOff>44823</xdr:rowOff>
    </xdr:to>
    <xdr:sp macro="" textlink="">
      <xdr:nvSpPr>
        <xdr:cNvPr id="13" name="Rectangle 12"/>
        <xdr:cNvSpPr/>
      </xdr:nvSpPr>
      <xdr:spPr>
        <a:xfrm>
          <a:off x="683559" y="65319088"/>
          <a:ext cx="1770529" cy="9300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Building </a:t>
          </a:r>
        </a:p>
        <a:p>
          <a:pPr algn="l"/>
          <a:r>
            <a:rPr lang="en-IN" sz="1800" b="1">
              <a:solidFill>
                <a:srgbClr val="C00000"/>
              </a:solidFill>
            </a:rPr>
            <a:t>No. 2</a:t>
          </a:r>
        </a:p>
      </xdr:txBody>
    </xdr:sp>
    <xdr:clientData/>
  </xdr:twoCellAnchor>
  <xdr:twoCellAnchor>
    <xdr:from>
      <xdr:col>1</xdr:col>
      <xdr:colOff>235324</xdr:colOff>
      <xdr:row>317</xdr:row>
      <xdr:rowOff>100853</xdr:rowOff>
    </xdr:from>
    <xdr:to>
      <xdr:col>1</xdr:col>
      <xdr:colOff>336177</xdr:colOff>
      <xdr:row>319</xdr:row>
      <xdr:rowOff>33618</xdr:rowOff>
    </xdr:to>
    <xdr:cxnSp macro="">
      <xdr:nvCxnSpPr>
        <xdr:cNvPr id="15" name="Straight Arrow Connector 14"/>
        <xdr:cNvCxnSpPr/>
      </xdr:nvCxnSpPr>
      <xdr:spPr>
        <a:xfrm>
          <a:off x="1053353" y="65901794"/>
          <a:ext cx="100853" cy="336177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235323</xdr:colOff>
      <xdr:row>315</xdr:row>
      <xdr:rowOff>129989</xdr:rowOff>
    </xdr:from>
    <xdr:to>
      <xdr:col>3</xdr:col>
      <xdr:colOff>365311</xdr:colOff>
      <xdr:row>318</xdr:row>
      <xdr:rowOff>0</xdr:rowOff>
    </xdr:to>
    <xdr:cxnSp macro="">
      <xdr:nvCxnSpPr>
        <xdr:cNvPr id="16" name="Straight Arrow Connector 15"/>
        <xdr:cNvCxnSpPr/>
      </xdr:nvCxnSpPr>
      <xdr:spPr>
        <a:xfrm flipH="1">
          <a:off x="2835088" y="65527518"/>
          <a:ext cx="129988" cy="475129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608142</xdr:colOff>
      <xdr:row>337</xdr:row>
      <xdr:rowOff>22412</xdr:rowOff>
    </xdr:from>
    <xdr:to>
      <xdr:col>6</xdr:col>
      <xdr:colOff>294995</xdr:colOff>
      <xdr:row>349</xdr:row>
      <xdr:rowOff>121941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6171" y="72076236"/>
          <a:ext cx="4158000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350</xdr:row>
      <xdr:rowOff>74423</xdr:rowOff>
    </xdr:from>
    <xdr:to>
      <xdr:col>7</xdr:col>
      <xdr:colOff>85106</xdr:colOff>
      <xdr:row>368</xdr:row>
      <xdr:rowOff>43716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029" y="74750423"/>
          <a:ext cx="537428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504265</xdr:colOff>
      <xdr:row>360</xdr:row>
      <xdr:rowOff>78441</xdr:rowOff>
    </xdr:from>
    <xdr:to>
      <xdr:col>4</xdr:col>
      <xdr:colOff>212912</xdr:colOff>
      <xdr:row>364</xdr:row>
      <xdr:rowOff>1</xdr:rowOff>
    </xdr:to>
    <xdr:sp macro="" textlink="">
      <xdr:nvSpPr>
        <xdr:cNvPr id="21" name="Freeform 20"/>
        <xdr:cNvSpPr/>
      </xdr:nvSpPr>
      <xdr:spPr>
        <a:xfrm>
          <a:off x="2185147" y="76771500"/>
          <a:ext cx="1636059" cy="728383"/>
        </a:xfrm>
        <a:custGeom>
          <a:avLst/>
          <a:gdLst>
            <a:gd name="connsiteX0" fmla="*/ 0 w 1636059"/>
            <a:gd name="connsiteY0" fmla="*/ 459441 h 728383"/>
            <a:gd name="connsiteX1" fmla="*/ 11206 w 1636059"/>
            <a:gd name="connsiteY1" fmla="*/ 616324 h 728383"/>
            <a:gd name="connsiteX2" fmla="*/ 302559 w 1636059"/>
            <a:gd name="connsiteY2" fmla="*/ 560294 h 728383"/>
            <a:gd name="connsiteX3" fmla="*/ 437029 w 1636059"/>
            <a:gd name="connsiteY3" fmla="*/ 672353 h 728383"/>
            <a:gd name="connsiteX4" fmla="*/ 515471 w 1636059"/>
            <a:gd name="connsiteY4" fmla="*/ 593912 h 728383"/>
            <a:gd name="connsiteX5" fmla="*/ 705971 w 1636059"/>
            <a:gd name="connsiteY5" fmla="*/ 728383 h 728383"/>
            <a:gd name="connsiteX6" fmla="*/ 773206 w 1636059"/>
            <a:gd name="connsiteY6" fmla="*/ 605118 h 728383"/>
            <a:gd name="connsiteX7" fmla="*/ 1030941 w 1636059"/>
            <a:gd name="connsiteY7" fmla="*/ 661147 h 728383"/>
            <a:gd name="connsiteX8" fmla="*/ 1098177 w 1636059"/>
            <a:gd name="connsiteY8" fmla="*/ 481853 h 728383"/>
            <a:gd name="connsiteX9" fmla="*/ 1636059 w 1636059"/>
            <a:gd name="connsiteY9" fmla="*/ 0 h 728383"/>
            <a:gd name="connsiteX10" fmla="*/ 661147 w 1636059"/>
            <a:gd name="connsiteY10" fmla="*/ 89647 h 728383"/>
            <a:gd name="connsiteX11" fmla="*/ 33618 w 1636059"/>
            <a:gd name="connsiteY11" fmla="*/ 369794 h 728383"/>
            <a:gd name="connsiteX12" fmla="*/ 0 w 1636059"/>
            <a:gd name="connsiteY12" fmla="*/ 459441 h 7283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636059" h="728383">
              <a:moveTo>
                <a:pt x="0" y="459441"/>
              </a:moveTo>
              <a:lnTo>
                <a:pt x="11206" y="616324"/>
              </a:lnTo>
              <a:lnTo>
                <a:pt x="302559" y="560294"/>
              </a:lnTo>
              <a:lnTo>
                <a:pt x="437029" y="672353"/>
              </a:lnTo>
              <a:lnTo>
                <a:pt x="515471" y="593912"/>
              </a:lnTo>
              <a:lnTo>
                <a:pt x="705971" y="728383"/>
              </a:lnTo>
              <a:lnTo>
                <a:pt x="773206" y="605118"/>
              </a:lnTo>
              <a:lnTo>
                <a:pt x="1030941" y="661147"/>
              </a:lnTo>
              <a:lnTo>
                <a:pt x="1098177" y="481853"/>
              </a:lnTo>
              <a:lnTo>
                <a:pt x="1636059" y="0"/>
              </a:lnTo>
              <a:lnTo>
                <a:pt x="661147" y="89647"/>
              </a:lnTo>
              <a:lnTo>
                <a:pt x="33618" y="369794"/>
              </a:lnTo>
              <a:lnTo>
                <a:pt x="0" y="459441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479238</xdr:colOff>
      <xdr:row>260</xdr:row>
      <xdr:rowOff>180042</xdr:rowOff>
    </xdr:from>
    <xdr:to>
      <xdr:col>16</xdr:col>
      <xdr:colOff>204811</xdr:colOff>
      <xdr:row>297</xdr:row>
      <xdr:rowOff>41700</xdr:rowOff>
    </xdr:to>
    <xdr:grpSp>
      <xdr:nvGrpSpPr>
        <xdr:cNvPr id="6" name="Group 5"/>
        <xdr:cNvGrpSpPr/>
      </xdr:nvGrpSpPr>
      <xdr:grpSpPr>
        <a:xfrm>
          <a:off x="7305488" y="50967342"/>
          <a:ext cx="6424823" cy="7138758"/>
          <a:chOff x="120650" y="50869850"/>
          <a:chExt cx="6421461" cy="7143614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7473" y="5599746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178" y="50869850"/>
            <a:ext cx="3836952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1686" y="53865657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28201" y="55997464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3768" y="508698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488" y="55997464"/>
            <a:ext cx="2685866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4674" y="53865657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57662" y="53865657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53865657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9" name="TextBox 48"/>
          <xdr:cNvSpPr txBox="1"/>
        </xdr:nvSpPr>
        <xdr:spPr>
          <a:xfrm>
            <a:off x="3261028" y="50907950"/>
            <a:ext cx="73872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5420853" y="51324209"/>
            <a:ext cx="73872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</xdr:grpSp>
    <xdr:clientData/>
  </xdr:twoCellAnchor>
  <xdr:twoCellAnchor>
    <xdr:from>
      <xdr:col>14</xdr:col>
      <xdr:colOff>560294</xdr:colOff>
      <xdr:row>261</xdr:row>
      <xdr:rowOff>190500</xdr:rowOff>
    </xdr:from>
    <xdr:to>
      <xdr:col>15</xdr:col>
      <xdr:colOff>619695</xdr:colOff>
      <xdr:row>263</xdr:row>
      <xdr:rowOff>57943</xdr:rowOff>
    </xdr:to>
    <xdr:sp macro="" textlink="">
      <xdr:nvSpPr>
        <xdr:cNvPr id="55" name="TextBox 54"/>
        <xdr:cNvSpPr txBox="1"/>
      </xdr:nvSpPr>
      <xdr:spPr>
        <a:xfrm>
          <a:off x="12580844" y="51174650"/>
          <a:ext cx="745201" cy="261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No.2</a:t>
          </a:r>
        </a:p>
      </xdr:txBody>
    </xdr:sp>
    <xdr:clientData/>
  </xdr:twoCellAnchor>
  <xdr:twoCellAnchor>
    <xdr:from>
      <xdr:col>9</xdr:col>
      <xdr:colOff>0</xdr:colOff>
      <xdr:row>257</xdr:row>
      <xdr:rowOff>0</xdr:rowOff>
    </xdr:from>
    <xdr:to>
      <xdr:col>9</xdr:col>
      <xdr:colOff>749683</xdr:colOff>
      <xdr:row>258</xdr:row>
      <xdr:rowOff>69148</xdr:rowOff>
    </xdr:to>
    <xdr:sp macro="" textlink="">
      <xdr:nvSpPr>
        <xdr:cNvPr id="56" name="TextBox 55"/>
        <xdr:cNvSpPr txBox="1"/>
      </xdr:nvSpPr>
      <xdr:spPr>
        <a:xfrm>
          <a:off x="8045450" y="50196750"/>
          <a:ext cx="749683" cy="265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No.1</a:t>
          </a:r>
        </a:p>
      </xdr:txBody>
    </xdr:sp>
    <xdr:clientData/>
  </xdr:twoCellAnchor>
  <xdr:twoCellAnchor>
    <xdr:from>
      <xdr:col>0</xdr:col>
      <xdr:colOff>209550</xdr:colOff>
      <xdr:row>261</xdr:row>
      <xdr:rowOff>57150</xdr:rowOff>
    </xdr:from>
    <xdr:to>
      <xdr:col>7</xdr:col>
      <xdr:colOff>665403</xdr:colOff>
      <xdr:row>302</xdr:row>
      <xdr:rowOff>75708</xdr:rowOff>
    </xdr:to>
    <xdr:grpSp>
      <xdr:nvGrpSpPr>
        <xdr:cNvPr id="2" name="Group 1"/>
        <xdr:cNvGrpSpPr/>
      </xdr:nvGrpSpPr>
      <xdr:grpSpPr>
        <a:xfrm>
          <a:off x="209550" y="51041300"/>
          <a:ext cx="6412153" cy="8083058"/>
          <a:chOff x="209550" y="51041300"/>
          <a:chExt cx="6412153" cy="8083058"/>
        </a:xfrm>
      </xdr:grpSpPr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0454" y="58038008"/>
            <a:ext cx="809156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51041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759" y="5595217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1278" y="5594839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88507" y="5595217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98545" y="58044358"/>
            <a:ext cx="1438857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698" y="55952179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6226" y="538409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2775" y="538409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62219" y="538409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695" y="51041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699" y="5384095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840" y="5104955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0" name="TextBox 69"/>
          <xdr:cNvSpPr txBox="1"/>
        </xdr:nvSpPr>
        <xdr:spPr>
          <a:xfrm>
            <a:off x="1143000" y="51263550"/>
            <a:ext cx="749683" cy="265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71" name="TextBox 70"/>
          <xdr:cNvSpPr txBox="1"/>
        </xdr:nvSpPr>
        <xdr:spPr>
          <a:xfrm>
            <a:off x="2517695" y="51288950"/>
            <a:ext cx="749683" cy="265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No.1</a:t>
            </a:r>
          </a:p>
        </xdr:txBody>
      </xdr:sp>
      <xdr:sp macro="" textlink="">
        <xdr:nvSpPr>
          <xdr:cNvPr id="72" name="TextBox 71"/>
          <xdr:cNvSpPr txBox="1"/>
        </xdr:nvSpPr>
        <xdr:spPr>
          <a:xfrm>
            <a:off x="5219540" y="51138452"/>
            <a:ext cx="749683" cy="265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No.2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xiyoUky52QVfXET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33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6" width="11.7265625" style="41" customWidth="1"/>
    <col min="7" max="7" width="11.453125" style="41" customWidth="1"/>
    <col min="8" max="8" width="12.453125" style="41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26" ht="46.5" customHeight="1" x14ac:dyDescent="0.35">
      <c r="A1" s="164" t="s">
        <v>166</v>
      </c>
      <c r="B1" s="164"/>
      <c r="C1" s="164"/>
      <c r="D1" s="164"/>
      <c r="E1" s="164"/>
      <c r="F1" s="164"/>
      <c r="G1" s="164"/>
      <c r="H1" s="164"/>
    </row>
    <row r="2" spans="1:26" ht="16.5" customHeight="1" x14ac:dyDescent="0.3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26" x14ac:dyDescent="0.35">
      <c r="A3" s="165" t="s">
        <v>1</v>
      </c>
      <c r="B3" s="165"/>
      <c r="C3" s="165"/>
      <c r="D3" s="165"/>
      <c r="E3" s="165" t="str">
        <f ca="1">TEXT(TODAY(),"DD/MM/YYYY")</f>
        <v>11/09/2025</v>
      </c>
      <c r="F3" s="165"/>
      <c r="G3" s="165"/>
      <c r="H3" s="165"/>
    </row>
    <row r="4" spans="1:26" ht="15" customHeight="1" x14ac:dyDescent="0.35">
      <c r="A4" s="120" t="s">
        <v>2</v>
      </c>
      <c r="B4" s="120"/>
      <c r="C4" s="120"/>
      <c r="D4" s="120"/>
      <c r="E4" s="120" t="s">
        <v>173</v>
      </c>
      <c r="F4" s="120"/>
      <c r="G4" s="120"/>
      <c r="H4" s="120"/>
    </row>
    <row r="5" spans="1:26" x14ac:dyDescent="0.35">
      <c r="A5" s="120" t="s">
        <v>3</v>
      </c>
      <c r="B5" s="120"/>
      <c r="C5" s="120"/>
      <c r="D5" s="120"/>
      <c r="E5" s="167">
        <v>45906</v>
      </c>
      <c r="F5" s="120"/>
      <c r="G5" s="120"/>
      <c r="H5" s="120"/>
    </row>
    <row r="6" spans="1:26" ht="16.5" customHeight="1" x14ac:dyDescent="0.35">
      <c r="A6" s="120" t="s">
        <v>4</v>
      </c>
      <c r="B6" s="120"/>
      <c r="C6" s="120"/>
      <c r="D6" s="120"/>
      <c r="E6" s="120" t="s">
        <v>235</v>
      </c>
      <c r="F6" s="120"/>
      <c r="G6" s="120"/>
      <c r="H6" s="120"/>
    </row>
    <row r="7" spans="1:26" ht="15" customHeight="1" x14ac:dyDescent="0.35">
      <c r="A7" s="120" t="s">
        <v>5</v>
      </c>
      <c r="B7" s="120"/>
      <c r="C7" s="120"/>
      <c r="D7" s="120"/>
      <c r="E7" s="120" t="str">
        <f>E6</f>
        <v>Mangesh Dashrath Gaikar</v>
      </c>
      <c r="F7" s="120"/>
      <c r="G7" s="120"/>
      <c r="H7" s="120"/>
    </row>
    <row r="8" spans="1:26" x14ac:dyDescent="0.35">
      <c r="A8" s="120" t="s">
        <v>6</v>
      </c>
      <c r="B8" s="120"/>
      <c r="C8" s="120"/>
      <c r="D8" s="120"/>
      <c r="E8" s="166" t="s">
        <v>236</v>
      </c>
      <c r="F8" s="166"/>
      <c r="G8" s="166"/>
      <c r="H8" s="166"/>
    </row>
    <row r="9" spans="1:26" x14ac:dyDescent="0.35">
      <c r="A9" s="120" t="s">
        <v>169</v>
      </c>
      <c r="B9" s="120"/>
      <c r="C9" s="120"/>
      <c r="D9" s="120"/>
      <c r="E9" s="140" t="s">
        <v>286</v>
      </c>
      <c r="F9" s="120"/>
      <c r="G9" s="120"/>
      <c r="H9" s="120"/>
    </row>
    <row r="10" spans="1:26" x14ac:dyDescent="0.35">
      <c r="A10" s="120" t="s">
        <v>170</v>
      </c>
      <c r="B10" s="120"/>
      <c r="C10" s="120"/>
      <c r="D10" s="120"/>
      <c r="E10" s="120" t="s">
        <v>288</v>
      </c>
      <c r="F10" s="120"/>
      <c r="G10" s="120"/>
      <c r="H10" s="120"/>
    </row>
    <row r="11" spans="1:26" x14ac:dyDescent="0.35">
      <c r="A11" s="120" t="s">
        <v>7</v>
      </c>
      <c r="B11" s="120"/>
      <c r="C11" s="120"/>
      <c r="D11" s="120"/>
      <c r="E11" s="166" t="s">
        <v>287</v>
      </c>
      <c r="F11" s="120"/>
      <c r="G11" s="120"/>
      <c r="H11" s="120"/>
    </row>
    <row r="12" spans="1:26" x14ac:dyDescent="0.35">
      <c r="A12" s="120" t="s">
        <v>174</v>
      </c>
      <c r="B12" s="120"/>
      <c r="C12" s="120"/>
      <c r="D12" s="120"/>
      <c r="E12" s="120" t="s">
        <v>29</v>
      </c>
      <c r="F12" s="120"/>
      <c r="G12" s="120"/>
      <c r="H12" s="120"/>
      <c r="S12" s="58" t="s">
        <v>182</v>
      </c>
      <c r="T12" s="58" t="s">
        <v>192</v>
      </c>
      <c r="U12" s="58" t="s">
        <v>175</v>
      </c>
      <c r="V12" s="58" t="s">
        <v>197</v>
      </c>
      <c r="W12" s="58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ht="18" customHeight="1" x14ac:dyDescent="0.35">
      <c r="A13" s="120" t="s">
        <v>8</v>
      </c>
      <c r="B13" s="120"/>
      <c r="C13" s="120"/>
      <c r="D13" s="120"/>
      <c r="E13" s="140" t="s">
        <v>239</v>
      </c>
      <c r="F13" s="140"/>
      <c r="G13" s="140"/>
      <c r="H13" s="140"/>
      <c r="S13" s="58" t="s">
        <v>183</v>
      </c>
      <c r="T13" s="58" t="s">
        <v>190</v>
      </c>
      <c r="U13" s="58" t="s">
        <v>212</v>
      </c>
      <c r="V13" s="58" t="s">
        <v>198</v>
      </c>
      <c r="W13" s="58" t="s">
        <v>216</v>
      </c>
      <c r="X13"/>
      <c r="Y13"/>
      <c r="Z13"/>
    </row>
    <row r="14" spans="1:26" x14ac:dyDescent="0.35">
      <c r="A14" s="120" t="s">
        <v>9</v>
      </c>
      <c r="B14" s="120"/>
      <c r="C14" s="120"/>
      <c r="D14" s="120"/>
      <c r="E14" s="140" t="s">
        <v>240</v>
      </c>
      <c r="F14" s="120"/>
      <c r="G14" s="120"/>
      <c r="H14" s="120"/>
      <c r="I14" s="121" t="e">
        <f ca="1">OFFSET($D$4,1,MATCH($J12,$D$4:$H$4,0)-1,15,1)</f>
        <v>#N/A</v>
      </c>
      <c r="J14" s="122"/>
      <c r="K14" s="122"/>
      <c r="L14" s="122"/>
      <c r="M14" s="122"/>
      <c r="N14" s="122"/>
      <c r="O14" s="122"/>
      <c r="P14" s="122"/>
      <c r="S14" s="58" t="s">
        <v>184</v>
      </c>
      <c r="T14" s="58" t="s">
        <v>191</v>
      </c>
      <c r="U14" s="58" t="s">
        <v>213</v>
      </c>
      <c r="V14" s="58" t="s">
        <v>199</v>
      </c>
      <c r="W14" s="58" t="s">
        <v>229</v>
      </c>
      <c r="X14"/>
      <c r="Y14"/>
      <c r="Z14"/>
    </row>
    <row r="15" spans="1:26" ht="48.75" customHeight="1" x14ac:dyDescent="0.35">
      <c r="A15" s="140" t="s">
        <v>10</v>
      </c>
      <c r="B15" s="140"/>
      <c r="C15" s="14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Mangeshi Arcade II, Survey No.10, H. No. 1A + 2 to 7/1, near Mutha College, Internal Rd, Chanakya Nagar, Khadakpada, Kolivali, Kalyan, Kalyan, Thane  - 421301.</v>
      </c>
      <c r="D15" s="140"/>
      <c r="E15" s="140"/>
      <c r="F15" s="140"/>
      <c r="G15" s="140"/>
      <c r="H15" s="140"/>
      <c r="S15" s="58" t="s">
        <v>185</v>
      </c>
      <c r="T15" s="58" t="s">
        <v>193</v>
      </c>
      <c r="U15" s="58" t="s">
        <v>214</v>
      </c>
      <c r="V15" s="58" t="s">
        <v>200</v>
      </c>
      <c r="W15" s="58" t="s">
        <v>217</v>
      </c>
      <c r="X15"/>
      <c r="Y15"/>
      <c r="Z15"/>
    </row>
    <row r="16" spans="1:26" x14ac:dyDescent="0.35">
      <c r="A16" s="140" t="s">
        <v>241</v>
      </c>
      <c r="B16" s="140"/>
      <c r="C16" s="140" t="s">
        <v>242</v>
      </c>
      <c r="D16" s="140"/>
      <c r="E16" s="140"/>
      <c r="F16" s="140"/>
      <c r="G16" s="140"/>
      <c r="H16" s="140"/>
      <c r="S16" s="58" t="s">
        <v>186</v>
      </c>
      <c r="T16" s="58" t="s">
        <v>194</v>
      </c>
      <c r="U16" s="58"/>
      <c r="V16" s="58" t="s">
        <v>201</v>
      </c>
      <c r="W16" s="58" t="s">
        <v>218</v>
      </c>
      <c r="X16"/>
      <c r="Y16"/>
      <c r="Z16"/>
    </row>
    <row r="17" spans="1:26" ht="15.75" customHeight="1" x14ac:dyDescent="0.35">
      <c r="A17" s="140" t="s">
        <v>164</v>
      </c>
      <c r="B17" s="140"/>
      <c r="C17" s="140" t="s">
        <v>245</v>
      </c>
      <c r="D17" s="140"/>
      <c r="E17" s="140"/>
      <c r="F17" s="140"/>
      <c r="G17" s="140"/>
      <c r="H17" s="140"/>
      <c r="S17" s="58" t="s">
        <v>187</v>
      </c>
      <c r="T17" s="58" t="s">
        <v>192</v>
      </c>
      <c r="U17" s="58"/>
      <c r="V17" s="58" t="s">
        <v>202</v>
      </c>
      <c r="W17" s="58" t="s">
        <v>219</v>
      </c>
      <c r="X17"/>
      <c r="Y17"/>
      <c r="Z17"/>
    </row>
    <row r="18" spans="1:26" ht="15.75" customHeight="1" x14ac:dyDescent="0.35">
      <c r="A18" s="140" t="s">
        <v>11</v>
      </c>
      <c r="B18" s="140"/>
      <c r="C18" s="120" t="s">
        <v>244</v>
      </c>
      <c r="D18" s="120"/>
      <c r="E18" s="140" t="s">
        <v>73</v>
      </c>
      <c r="F18" s="140"/>
      <c r="G18" s="140" t="s">
        <v>243</v>
      </c>
      <c r="H18" s="140"/>
      <c r="S18" s="58" t="s">
        <v>188</v>
      </c>
      <c r="T18" s="58" t="s">
        <v>195</v>
      </c>
      <c r="U18" s="58"/>
      <c r="V18" s="58" t="s">
        <v>203</v>
      </c>
      <c r="W18" s="58" t="s">
        <v>220</v>
      </c>
      <c r="X18"/>
      <c r="Y18"/>
      <c r="Z18"/>
    </row>
    <row r="19" spans="1:26" x14ac:dyDescent="0.35">
      <c r="A19" s="120" t="s">
        <v>13</v>
      </c>
      <c r="B19" s="120"/>
      <c r="C19" s="140" t="s">
        <v>185</v>
      </c>
      <c r="D19" s="140"/>
      <c r="E19" s="140" t="s">
        <v>12</v>
      </c>
      <c r="F19" s="140"/>
      <c r="G19" s="169" t="s">
        <v>182</v>
      </c>
      <c r="H19" s="169"/>
      <c r="S19" s="58" t="s">
        <v>189</v>
      </c>
      <c r="T19" s="58" t="s">
        <v>196</v>
      </c>
      <c r="U19" s="58"/>
      <c r="V19" s="58" t="s">
        <v>204</v>
      </c>
      <c r="W19" s="58" t="s">
        <v>221</v>
      </c>
      <c r="X19"/>
      <c r="Y19"/>
      <c r="Z19"/>
    </row>
    <row r="20" spans="1:26" x14ac:dyDescent="0.35">
      <c r="A20" s="120" t="s">
        <v>74</v>
      </c>
      <c r="B20" s="120"/>
      <c r="C20" s="140" t="s">
        <v>185</v>
      </c>
      <c r="D20" s="140"/>
      <c r="E20" s="140" t="s">
        <v>14</v>
      </c>
      <c r="F20" s="140"/>
      <c r="G20" s="140">
        <v>421301</v>
      </c>
      <c r="H20" s="140"/>
      <c r="S20" s="58"/>
      <c r="T20" s="58"/>
      <c r="U20" s="58"/>
      <c r="V20" s="58" t="s">
        <v>205</v>
      </c>
      <c r="W20" s="58" t="s">
        <v>222</v>
      </c>
      <c r="X20"/>
      <c r="Y20"/>
      <c r="Z20"/>
    </row>
    <row r="21" spans="1:26" ht="32.25" customHeight="1" x14ac:dyDescent="0.35">
      <c r="A21" s="120" t="s">
        <v>122</v>
      </c>
      <c r="B21" s="120"/>
      <c r="C21" s="140" t="s">
        <v>281</v>
      </c>
      <c r="D21" s="140"/>
      <c r="E21" s="140" t="s">
        <v>15</v>
      </c>
      <c r="F21" s="140"/>
      <c r="G21" s="140" t="s">
        <v>246</v>
      </c>
      <c r="H21" s="140"/>
      <c r="S21" s="58"/>
      <c r="T21" s="58"/>
      <c r="U21" s="58"/>
      <c r="V21" s="58" t="s">
        <v>206</v>
      </c>
      <c r="W21" s="58" t="s">
        <v>223</v>
      </c>
      <c r="X21"/>
      <c r="Y21"/>
      <c r="Z21"/>
    </row>
    <row r="22" spans="1:26" ht="15" customHeight="1" x14ac:dyDescent="0.35">
      <c r="A22" s="140" t="s">
        <v>76</v>
      </c>
      <c r="B22" s="140"/>
      <c r="C22" s="140"/>
      <c r="D22" s="140"/>
      <c r="E22" s="120" t="s">
        <v>16</v>
      </c>
      <c r="F22" s="120"/>
      <c r="G22" s="120"/>
      <c r="H22" s="120"/>
      <c r="S22" s="58"/>
      <c r="T22" s="58"/>
      <c r="U22" s="58"/>
      <c r="V22" s="58" t="s">
        <v>207</v>
      </c>
      <c r="W22" s="58" t="s">
        <v>224</v>
      </c>
      <c r="X22"/>
      <c r="Y22"/>
      <c r="Z22"/>
    </row>
    <row r="23" spans="1:26" ht="18.75" customHeight="1" x14ac:dyDescent="0.35">
      <c r="A23" s="140"/>
      <c r="B23" s="140"/>
      <c r="C23" s="140"/>
      <c r="D23" s="140"/>
      <c r="E23" s="120"/>
      <c r="F23" s="120"/>
      <c r="G23" s="120"/>
      <c r="H23" s="120"/>
      <c r="S23" s="58"/>
      <c r="T23" s="58"/>
      <c r="U23" s="58"/>
      <c r="V23" s="58" t="s">
        <v>208</v>
      </c>
      <c r="W23" s="58" t="s">
        <v>225</v>
      </c>
      <c r="X23"/>
      <c r="Y23"/>
      <c r="Z23"/>
    </row>
    <row r="24" spans="1:26" ht="15" customHeight="1" x14ac:dyDescent="0.35">
      <c r="A24" s="130" t="s">
        <v>17</v>
      </c>
      <c r="B24" s="130"/>
      <c r="C24" s="130"/>
      <c r="D24" s="130"/>
      <c r="E24" s="143" t="s">
        <v>18</v>
      </c>
      <c r="F24" s="143"/>
      <c r="G24" s="143"/>
      <c r="H24" s="143"/>
      <c r="S24" s="58"/>
      <c r="T24" s="58"/>
      <c r="U24" s="58"/>
      <c r="V24" s="58" t="s">
        <v>209</v>
      </c>
      <c r="W24" s="58" t="s">
        <v>226</v>
      </c>
      <c r="X24"/>
      <c r="Y24"/>
      <c r="Z24"/>
    </row>
    <row r="25" spans="1:26" ht="15" customHeight="1" x14ac:dyDescent="0.35">
      <c r="A25" s="125" t="s">
        <v>19</v>
      </c>
      <c r="B25" s="125"/>
      <c r="C25" s="125"/>
      <c r="D25" s="125"/>
      <c r="E25" s="143" t="str">
        <f>IF(AND(G19="Mumbai"),"Upper Class","Middle Class")</f>
        <v>Middle Class</v>
      </c>
      <c r="F25" s="143"/>
      <c r="G25" s="143"/>
      <c r="H25" s="143"/>
      <c r="S25" s="58"/>
      <c r="T25" s="58"/>
      <c r="U25" s="58"/>
      <c r="V25" s="58" t="s">
        <v>210</v>
      </c>
      <c r="W25" s="58" t="s">
        <v>227</v>
      </c>
      <c r="X25"/>
      <c r="Y25"/>
      <c r="Z25"/>
    </row>
    <row r="26" spans="1:26" x14ac:dyDescent="0.35">
      <c r="A26" s="125" t="s">
        <v>20</v>
      </c>
      <c r="B26" s="125"/>
      <c r="C26" s="125"/>
      <c r="D26" s="125"/>
      <c r="E26" s="143" t="s">
        <v>21</v>
      </c>
      <c r="F26" s="143"/>
      <c r="G26" s="143"/>
      <c r="H26" s="143"/>
      <c r="S26" s="58"/>
      <c r="T26" s="58"/>
      <c r="U26" s="58"/>
      <c r="V26" s="58" t="s">
        <v>211</v>
      </c>
      <c r="W26" s="58" t="s">
        <v>228</v>
      </c>
      <c r="X26"/>
      <c r="Y26"/>
      <c r="Z26"/>
    </row>
    <row r="27" spans="1:26" ht="15.75" customHeight="1" x14ac:dyDescent="0.35">
      <c r="A27" s="125" t="s">
        <v>22</v>
      </c>
      <c r="B27" s="125"/>
      <c r="C27" s="125"/>
      <c r="D27" s="125"/>
      <c r="E27" s="143" t="str">
        <f>IF(AND(G19="Mumbai"),"Developed","Developing")</f>
        <v>Developing</v>
      </c>
      <c r="F27" s="143"/>
      <c r="G27" s="143"/>
      <c r="H27" s="143"/>
    </row>
    <row r="28" spans="1:26" x14ac:dyDescent="0.35">
      <c r="A28" s="125" t="s">
        <v>23</v>
      </c>
      <c r="B28" s="125"/>
      <c r="C28" s="125"/>
      <c r="D28" s="125"/>
      <c r="E28" s="143" t="s">
        <v>24</v>
      </c>
      <c r="F28" s="143"/>
      <c r="G28" s="143"/>
      <c r="H28" s="143"/>
    </row>
    <row r="29" spans="1:26" ht="15.75" customHeight="1" x14ac:dyDescent="0.35">
      <c r="A29" s="125" t="s">
        <v>81</v>
      </c>
      <c r="B29" s="125"/>
      <c r="C29" s="125"/>
      <c r="D29" s="125"/>
      <c r="E29" s="143" t="s">
        <v>82</v>
      </c>
      <c r="F29" s="143"/>
      <c r="G29" s="143"/>
      <c r="H29" s="143"/>
    </row>
    <row r="30" spans="1:26" ht="15" customHeight="1" x14ac:dyDescent="0.35">
      <c r="A30" s="125" t="s">
        <v>32</v>
      </c>
      <c r="B30" s="125"/>
      <c r="C30" s="125"/>
      <c r="D30" s="125"/>
      <c r="E30" s="14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43"/>
      <c r="G30" s="143"/>
      <c r="H30" s="143"/>
    </row>
    <row r="31" spans="1:26" ht="15.75" customHeight="1" x14ac:dyDescent="0.35">
      <c r="A31" s="125" t="s">
        <v>93</v>
      </c>
      <c r="B31" s="125"/>
      <c r="C31" s="125"/>
      <c r="D31" s="125"/>
      <c r="E31" s="143" t="s">
        <v>33</v>
      </c>
      <c r="F31" s="143"/>
      <c r="G31" s="143"/>
      <c r="H31" s="143"/>
    </row>
    <row r="32" spans="1:26" s="23" customFormat="1" x14ac:dyDescent="0.35">
      <c r="A32" s="172" t="s">
        <v>94</v>
      </c>
      <c r="B32" s="172"/>
      <c r="C32" s="171" t="s">
        <v>176</v>
      </c>
      <c r="D32" s="171"/>
      <c r="E32" s="171"/>
      <c r="F32" s="171" t="s">
        <v>30</v>
      </c>
      <c r="G32" s="171"/>
      <c r="H32" s="171"/>
    </row>
    <row r="33" spans="1:8" s="23" customFormat="1" x14ac:dyDescent="0.35">
      <c r="A33" s="170" t="s">
        <v>25</v>
      </c>
      <c r="B33" s="170" t="s">
        <v>29</v>
      </c>
      <c r="C33" s="168" t="s">
        <v>251</v>
      </c>
      <c r="D33" s="168"/>
      <c r="E33" s="168"/>
      <c r="F33" s="168" t="s">
        <v>247</v>
      </c>
      <c r="G33" s="168"/>
      <c r="H33" s="168"/>
    </row>
    <row r="34" spans="1:8" x14ac:dyDescent="0.35">
      <c r="A34" s="170" t="s">
        <v>26</v>
      </c>
      <c r="B34" s="170" t="s">
        <v>29</v>
      </c>
      <c r="C34" s="168" t="s">
        <v>253</v>
      </c>
      <c r="D34" s="168"/>
      <c r="E34" s="168"/>
      <c r="F34" s="168" t="s">
        <v>248</v>
      </c>
      <c r="G34" s="168"/>
      <c r="H34" s="168"/>
    </row>
    <row r="35" spans="1:8" s="23" customFormat="1" x14ac:dyDescent="0.35">
      <c r="A35" s="170" t="s">
        <v>28</v>
      </c>
      <c r="B35" s="170" t="s">
        <v>29</v>
      </c>
      <c r="C35" s="168" t="s">
        <v>252</v>
      </c>
      <c r="D35" s="168"/>
      <c r="E35" s="168"/>
      <c r="F35" s="168" t="s">
        <v>249</v>
      </c>
      <c r="G35" s="168"/>
      <c r="H35" s="168"/>
    </row>
    <row r="36" spans="1:8" x14ac:dyDescent="0.35">
      <c r="A36" s="170" t="s">
        <v>27</v>
      </c>
      <c r="B36" s="170" t="s">
        <v>29</v>
      </c>
      <c r="C36" s="168" t="s">
        <v>253</v>
      </c>
      <c r="D36" s="168"/>
      <c r="E36" s="168"/>
      <c r="F36" s="168" t="s">
        <v>250</v>
      </c>
      <c r="G36" s="168"/>
      <c r="H36" s="168"/>
    </row>
    <row r="37" spans="1:8" x14ac:dyDescent="0.35">
      <c r="A37" s="125" t="s">
        <v>31</v>
      </c>
      <c r="B37" s="125"/>
      <c r="C37" s="125"/>
      <c r="D37" s="125"/>
      <c r="E37" s="125"/>
      <c r="F37" s="125"/>
      <c r="G37" s="125"/>
      <c r="H37" s="125"/>
    </row>
    <row r="38" spans="1:8" ht="15.75" customHeight="1" x14ac:dyDescent="0.35">
      <c r="A38" s="125" t="s">
        <v>167</v>
      </c>
      <c r="B38" s="125"/>
      <c r="C38" s="162" t="s">
        <v>238</v>
      </c>
      <c r="D38" s="162"/>
      <c r="E38" s="162"/>
      <c r="F38" s="162"/>
      <c r="G38" s="162"/>
      <c r="H38" s="162"/>
    </row>
    <row r="39" spans="1:8" x14ac:dyDescent="0.35">
      <c r="A39" s="125" t="s">
        <v>163</v>
      </c>
      <c r="B39" s="125"/>
      <c r="C39" s="197" t="s">
        <v>237</v>
      </c>
      <c r="D39" s="143"/>
      <c r="E39" s="143"/>
      <c r="F39" s="143"/>
      <c r="G39" s="143"/>
      <c r="H39" s="143"/>
    </row>
    <row r="40" spans="1:8" x14ac:dyDescent="0.35">
      <c r="A40" s="162" t="s">
        <v>34</v>
      </c>
      <c r="B40" s="162"/>
      <c r="C40" s="162"/>
      <c r="D40" s="162"/>
      <c r="E40" s="162"/>
      <c r="F40" s="162"/>
      <c r="G40" s="162"/>
      <c r="H40" s="162"/>
    </row>
    <row r="41" spans="1:8" x14ac:dyDescent="0.35">
      <c r="A41" s="125" t="s">
        <v>35</v>
      </c>
      <c r="B41" s="125"/>
      <c r="C41" s="125"/>
      <c r="D41" s="125"/>
      <c r="E41" s="198">
        <v>2886</v>
      </c>
      <c r="F41" s="198"/>
      <c r="G41" s="198"/>
      <c r="H41" s="198"/>
    </row>
    <row r="42" spans="1:8" x14ac:dyDescent="0.35">
      <c r="A42" s="125" t="s">
        <v>36</v>
      </c>
      <c r="B42" s="125"/>
      <c r="C42" s="125"/>
      <c r="D42" s="125"/>
      <c r="E42" s="182">
        <f>3174.6/E41</f>
        <v>1.0999999999999999</v>
      </c>
      <c r="F42" s="182"/>
      <c r="G42" s="182"/>
      <c r="H42" s="182"/>
    </row>
    <row r="43" spans="1:8" x14ac:dyDescent="0.35">
      <c r="A43" s="125" t="s">
        <v>37</v>
      </c>
      <c r="B43" s="125"/>
      <c r="C43" s="125"/>
      <c r="D43" s="125"/>
      <c r="E43" s="182">
        <f>E45/E41-E42</f>
        <v>3.7345599445599449</v>
      </c>
      <c r="F43" s="182"/>
      <c r="G43" s="182"/>
      <c r="H43" s="182"/>
    </row>
    <row r="44" spans="1:8" x14ac:dyDescent="0.35">
      <c r="A44" s="125" t="s">
        <v>38</v>
      </c>
      <c r="B44" s="125"/>
      <c r="C44" s="125"/>
      <c r="D44" s="125"/>
      <c r="E44" s="182">
        <f>E42+E43</f>
        <v>4.8345599445599445</v>
      </c>
      <c r="F44" s="182"/>
      <c r="G44" s="182"/>
      <c r="H44" s="182"/>
    </row>
    <row r="45" spans="1:8" x14ac:dyDescent="0.35">
      <c r="A45" s="120" t="s">
        <v>92</v>
      </c>
      <c r="B45" s="120"/>
      <c r="C45" s="120"/>
      <c r="D45" s="120"/>
      <c r="E45" s="189">
        <v>13952.54</v>
      </c>
      <c r="F45" s="189"/>
      <c r="G45" s="189"/>
      <c r="H45" s="189"/>
    </row>
    <row r="46" spans="1:8" x14ac:dyDescent="0.35">
      <c r="A46" s="120" t="s">
        <v>39</v>
      </c>
      <c r="B46" s="120"/>
      <c r="C46" s="120"/>
      <c r="D46" s="120"/>
      <c r="E46" s="120" t="s">
        <v>259</v>
      </c>
      <c r="F46" s="120"/>
      <c r="G46" s="120"/>
      <c r="H46" s="120"/>
    </row>
    <row r="47" spans="1:8" x14ac:dyDescent="0.35">
      <c r="A47" s="166" t="s">
        <v>40</v>
      </c>
      <c r="B47" s="166"/>
      <c r="C47" s="166"/>
      <c r="D47" s="166"/>
      <c r="E47" s="166"/>
      <c r="F47" s="166"/>
      <c r="G47" s="166"/>
      <c r="H47" s="166"/>
    </row>
    <row r="48" spans="1:8" ht="33.75" customHeight="1" x14ac:dyDescent="0.35">
      <c r="A48" s="199" t="s">
        <v>151</v>
      </c>
      <c r="B48" s="200"/>
      <c r="C48" s="201" t="s">
        <v>254</v>
      </c>
      <c r="D48" s="202"/>
      <c r="E48" s="202"/>
      <c r="F48" s="202"/>
      <c r="G48" s="202"/>
      <c r="H48" s="203"/>
    </row>
    <row r="49" spans="1:14" ht="15.75" customHeight="1" x14ac:dyDescent="0.35">
      <c r="A49" s="113" t="s">
        <v>41</v>
      </c>
      <c r="B49" s="115"/>
      <c r="C49" s="113" t="s">
        <v>255</v>
      </c>
      <c r="D49" s="114"/>
      <c r="E49" s="115"/>
      <c r="F49" s="19" t="s">
        <v>42</v>
      </c>
      <c r="G49" s="137">
        <v>45099</v>
      </c>
      <c r="H49" s="115"/>
    </row>
    <row r="50" spans="1:14" x14ac:dyDescent="0.35">
      <c r="A50" s="113" t="s">
        <v>43</v>
      </c>
      <c r="B50" s="115"/>
      <c r="C50" s="113" t="str">
        <f>C49</f>
        <v>KDMC/TPD/BP/KD/2021-22/84/128</v>
      </c>
      <c r="D50" s="114"/>
      <c r="E50" s="115"/>
      <c r="F50" s="19" t="s">
        <v>42</v>
      </c>
      <c r="G50" s="137">
        <f>G49</f>
        <v>45099</v>
      </c>
      <c r="H50" s="138"/>
    </row>
    <row r="51" spans="1:14" s="24" customFormat="1" ht="15.75" customHeight="1" x14ac:dyDescent="0.35">
      <c r="A51" s="177" t="s">
        <v>155</v>
      </c>
      <c r="B51" s="178"/>
      <c r="C51" s="113" t="str">
        <f>C50</f>
        <v>KDMC/TPD/BP/KD/2021-22/84/128</v>
      </c>
      <c r="D51" s="114"/>
      <c r="E51" s="115"/>
      <c r="F51" s="19" t="s">
        <v>42</v>
      </c>
      <c r="G51" s="137">
        <f>G50</f>
        <v>45099</v>
      </c>
      <c r="H51" s="138"/>
    </row>
    <row r="52" spans="1:14" s="24" customFormat="1" ht="34.5" customHeight="1" x14ac:dyDescent="0.35">
      <c r="A52" s="179"/>
      <c r="B52" s="180"/>
      <c r="C52" s="113" t="s">
        <v>283</v>
      </c>
      <c r="D52" s="114"/>
      <c r="E52" s="114"/>
      <c r="F52" s="114"/>
      <c r="G52" s="114"/>
      <c r="H52" s="115"/>
    </row>
    <row r="53" spans="1:14" x14ac:dyDescent="0.35">
      <c r="A53" s="126" t="s">
        <v>44</v>
      </c>
      <c r="B53" s="127"/>
      <c r="C53" s="126" t="s">
        <v>106</v>
      </c>
      <c r="D53" s="128"/>
      <c r="E53" s="127"/>
      <c r="F53" s="47" t="s">
        <v>42</v>
      </c>
      <c r="G53" s="141" t="s">
        <v>29</v>
      </c>
      <c r="H53" s="142"/>
    </row>
    <row r="54" spans="1:14" x14ac:dyDescent="0.35">
      <c r="A54" s="139" t="s">
        <v>46</v>
      </c>
      <c r="B54" s="139"/>
      <c r="C54" s="139"/>
      <c r="D54" s="139"/>
      <c r="E54" s="139"/>
      <c r="F54" s="139"/>
      <c r="G54" s="139"/>
      <c r="H54" s="139"/>
    </row>
    <row r="55" spans="1:14" x14ac:dyDescent="0.35">
      <c r="A55" s="130" t="s">
        <v>91</v>
      </c>
      <c r="B55" s="130"/>
      <c r="C55" s="130"/>
      <c r="D55" s="125">
        <f>E45</f>
        <v>13952.54</v>
      </c>
      <c r="E55" s="125"/>
      <c r="F55" s="125"/>
      <c r="G55" s="125"/>
      <c r="H55" s="125"/>
    </row>
    <row r="56" spans="1:14" x14ac:dyDescent="0.35">
      <c r="A56" s="140" t="s">
        <v>47</v>
      </c>
      <c r="B56" s="120"/>
      <c r="C56" s="120"/>
      <c r="D56" s="120" t="s">
        <v>280</v>
      </c>
      <c r="E56" s="120"/>
      <c r="F56" s="120"/>
      <c r="G56" s="120"/>
      <c r="H56" s="120"/>
      <c r="I56" s="25"/>
    </row>
    <row r="57" spans="1:14" ht="31.5" customHeight="1" x14ac:dyDescent="0.35">
      <c r="A57" s="93" t="s">
        <v>48</v>
      </c>
      <c r="B57" s="94"/>
      <c r="C57" s="95"/>
      <c r="D57" s="91" t="s">
        <v>260</v>
      </c>
      <c r="E57" s="92"/>
      <c r="F57" s="92"/>
      <c r="G57" s="92"/>
      <c r="H57" s="92"/>
    </row>
    <row r="58" spans="1:14" ht="15.75" customHeight="1" x14ac:dyDescent="0.35">
      <c r="A58" s="93" t="s">
        <v>89</v>
      </c>
      <c r="B58" s="94"/>
      <c r="C58" s="94"/>
      <c r="D58" s="120" t="s">
        <v>256</v>
      </c>
      <c r="E58" s="120"/>
      <c r="F58" s="120"/>
      <c r="G58" s="120"/>
      <c r="H58" s="120"/>
    </row>
    <row r="59" spans="1:14" ht="15.75" customHeight="1" x14ac:dyDescent="0.35">
      <c r="A59" s="116"/>
      <c r="B59" s="117"/>
      <c r="C59" s="117"/>
      <c r="D59" s="120" t="s">
        <v>261</v>
      </c>
      <c r="E59" s="120"/>
      <c r="F59" s="120"/>
      <c r="G59" s="120"/>
      <c r="H59" s="120"/>
    </row>
    <row r="60" spans="1:14" ht="15.75" hidden="1" customHeight="1" x14ac:dyDescent="0.35">
      <c r="A60" s="118"/>
      <c r="B60" s="119"/>
      <c r="C60" s="119"/>
      <c r="D60" s="120" t="s">
        <v>171</v>
      </c>
      <c r="E60" s="120"/>
      <c r="F60" s="120"/>
      <c r="G60" s="120"/>
      <c r="H60" s="120"/>
    </row>
    <row r="61" spans="1:14" ht="15.75" customHeight="1" x14ac:dyDescent="0.35">
      <c r="A61" s="120" t="s">
        <v>45</v>
      </c>
      <c r="B61" s="120"/>
      <c r="C61" s="120"/>
      <c r="D61" s="140" t="s">
        <v>257</v>
      </c>
      <c r="E61" s="140"/>
      <c r="F61" s="140"/>
      <c r="G61" s="140"/>
      <c r="H61" s="140"/>
      <c r="J61" s="26"/>
      <c r="K61" s="25"/>
      <c r="N61" s="25"/>
    </row>
    <row r="62" spans="1:14" ht="15.75" customHeight="1" x14ac:dyDescent="0.35">
      <c r="A62" s="120" t="s">
        <v>87</v>
      </c>
      <c r="B62" s="120"/>
      <c r="C62" s="120"/>
      <c r="D62" s="188" t="str">
        <f>(IF(G53="NA","60 Years After Completion",IF(G53&lt;&gt;"NA",""&amp;60-ROUNDDOWN((E3-G53)/360,0)&amp;" Years"," ")))</f>
        <v>60 Years After Completion</v>
      </c>
      <c r="E62" s="188"/>
      <c r="F62" s="188"/>
      <c r="G62" s="188"/>
      <c r="H62" s="188"/>
      <c r="N62" s="25"/>
    </row>
    <row r="63" spans="1:14" ht="15.75" customHeight="1" x14ac:dyDescent="0.35">
      <c r="A63" s="120" t="s">
        <v>88</v>
      </c>
      <c r="B63" s="120"/>
      <c r="C63" s="120"/>
      <c r="D63" s="140" t="s">
        <v>24</v>
      </c>
      <c r="E63" s="140"/>
      <c r="F63" s="140"/>
      <c r="G63" s="140"/>
      <c r="H63" s="140"/>
      <c r="J63" s="27"/>
      <c r="K63" s="27"/>
    </row>
    <row r="64" spans="1:14" ht="67.5" customHeight="1" x14ac:dyDescent="0.35">
      <c r="A64" s="120" t="s">
        <v>282</v>
      </c>
      <c r="B64" s="120"/>
      <c r="C64" s="120"/>
      <c r="D64" s="140" t="s">
        <v>258</v>
      </c>
      <c r="E64" s="140"/>
      <c r="F64" s="140"/>
      <c r="G64" s="140"/>
      <c r="H64" s="140"/>
    </row>
    <row r="65" spans="1:14" x14ac:dyDescent="0.35">
      <c r="A65" s="130" t="s">
        <v>148</v>
      </c>
      <c r="B65" s="130"/>
      <c r="C65" s="130"/>
      <c r="D65" s="130" t="s">
        <v>29</v>
      </c>
      <c r="E65" s="130"/>
      <c r="F65" s="130"/>
      <c r="G65" s="130"/>
      <c r="H65" s="130"/>
      <c r="I65" s="28"/>
      <c r="J65" s="28"/>
      <c r="K65" s="28"/>
      <c r="L65" s="28"/>
      <c r="M65" s="28"/>
      <c r="N65" s="28"/>
    </row>
    <row r="66" spans="1:14" ht="15.75" customHeight="1" x14ac:dyDescent="0.35">
      <c r="A66" s="125" t="s">
        <v>86</v>
      </c>
      <c r="B66" s="125"/>
      <c r="C66" s="125"/>
      <c r="D66" s="143" t="str">
        <f ca="1">(IF(G72&gt;95%,"Nothing",IF(G72&gt;0%,"Cement, Aggregate, Steel, etc",IF(G72=0%,"Work not yet Started"))))</f>
        <v>Cement, Aggregate, Steel, etc</v>
      </c>
      <c r="E66" s="143"/>
      <c r="F66" s="143"/>
      <c r="G66" s="143"/>
      <c r="H66" s="143"/>
      <c r="J66" s="27"/>
    </row>
    <row r="67" spans="1:14" ht="33.75" customHeight="1" thickBot="1" x14ac:dyDescent="0.4">
      <c r="A67" s="130" t="s">
        <v>119</v>
      </c>
      <c r="B67" s="130"/>
      <c r="C67" s="130"/>
      <c r="D67" s="143" t="str">
        <f ca="1">(IF(D66="Nothing","Yes",IF(D66="Cement, Aggregate, Steel, etc","Under Construction",IF(D66="Work not yet Started","Work not yet Started"))))</f>
        <v>Under Construction</v>
      </c>
      <c r="E67" s="143"/>
      <c r="F67" s="143" t="str">
        <f ca="1">(IF(D66="Nothing","Yes",IF(D66="Cement, Aggregate, Steel, etc","Under Construction",IF(D66="Work not yet Started","Work not yet Started"))))</f>
        <v>Under Construction</v>
      </c>
      <c r="G67" s="143"/>
      <c r="H67" s="143"/>
    </row>
    <row r="68" spans="1:14" ht="15.75" customHeight="1" x14ac:dyDescent="0.35">
      <c r="A68" s="181" t="s">
        <v>140</v>
      </c>
      <c r="B68" s="181"/>
      <c r="C68" s="175" t="str">
        <f>D58</f>
        <v>Building No.1 = Stilt(Pt)/Gr(Pt) + 1st to 17th Floor(Pt)</v>
      </c>
      <c r="D68" s="175"/>
      <c r="E68" s="175"/>
      <c r="F68" s="175"/>
      <c r="G68" s="175"/>
      <c r="H68" s="175"/>
      <c r="I68" s="66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 Completed, External Plaster upto 9 Floor, Flooring upto 7 Floor Completed</v>
      </c>
      <c r="J68" s="52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External Plaster upto 9 Floor, Flooring upto 7 Floor</v>
      </c>
    </row>
    <row r="69" spans="1:14" x14ac:dyDescent="0.35">
      <c r="A69" s="72" t="s">
        <v>142</v>
      </c>
      <c r="B69" s="72">
        <f>IF(AND(ISNUMBER(SEARCH("1B",C68))),1,IF(AND(ISNUMBER(SEARCH("2B",C68))),2,IF(AND(ISNUMBER(SEARCH("3B",C68))),3,IF(AND(ISNUMBER(SEARCH("4B",C68))),4,IF(ISNUMBER(SEARCH("5B",C68)),5,0)))))</f>
        <v>0</v>
      </c>
      <c r="C69" s="62" t="s">
        <v>72</v>
      </c>
      <c r="D69" s="62">
        <v>1</v>
      </c>
      <c r="E69" s="62" t="s">
        <v>71</v>
      </c>
      <c r="F69" s="62">
        <v>0</v>
      </c>
      <c r="G69" s="62" t="s">
        <v>80</v>
      </c>
      <c r="H69" s="62">
        <f ca="1">--TRIM(RIGHT(SUBSTITUTE(LEFT(C68,_xlfn.AGGREGATE(16,6,FIND({0,1,2,3,4,5,6,7,8,9},C68,ROW(INDIRECT("1:"&amp;LEN(C68)))),1))," ",REPT(" ",LEN(C68))),LEN(C68)))</f>
        <v>17</v>
      </c>
      <c r="I69" s="6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</v>
      </c>
      <c r="J69" s="5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5.5" customHeight="1" x14ac:dyDescent="0.35">
      <c r="A70" s="174" t="s">
        <v>90</v>
      </c>
      <c r="B70" s="174"/>
      <c r="C70" s="175" t="str">
        <f ca="1">I68</f>
        <v>Excavation, Plinth, RCC Slab, Brickwork, Internal Plaster Completed, External Plaster upto 9 Floor, Flooring upto 7 Floor Completed</v>
      </c>
      <c r="D70" s="175"/>
      <c r="E70" s="175"/>
      <c r="F70" s="175"/>
      <c r="G70" s="175"/>
      <c r="H70" s="175"/>
      <c r="I70" s="67" t="str">
        <f ca="1">IF(I69&lt;&gt;""," Completed","")</f>
        <v xml:space="preserve"> Completed</v>
      </c>
      <c r="J70" s="54" t="str">
        <f ca="1">IF(J68&lt;&gt;"","Completed","")</f>
        <v>Completed</v>
      </c>
    </row>
    <row r="71" spans="1:14" ht="15.75" customHeight="1" x14ac:dyDescent="0.35">
      <c r="A71" s="107" t="s">
        <v>49</v>
      </c>
      <c r="B71" s="107"/>
      <c r="C71" s="69" t="s">
        <v>139</v>
      </c>
      <c r="D71" s="69" t="s">
        <v>83</v>
      </c>
      <c r="E71" s="107" t="s">
        <v>85</v>
      </c>
      <c r="F71" s="107"/>
      <c r="G71" s="107" t="s">
        <v>84</v>
      </c>
      <c r="H71" s="107"/>
      <c r="I71" s="14" t="s">
        <v>141</v>
      </c>
      <c r="J71" s="29">
        <f ca="1">H69*25%</f>
        <v>4.25</v>
      </c>
    </row>
    <row r="72" spans="1:14" x14ac:dyDescent="0.35">
      <c r="A72" s="107" t="s">
        <v>128</v>
      </c>
      <c r="B72" s="107"/>
      <c r="C72" s="69">
        <f ca="1">J73</f>
        <v>17</v>
      </c>
      <c r="D72" s="20">
        <f ca="1">((100/H69)*C72)/100</f>
        <v>1</v>
      </c>
      <c r="E72" s="214">
        <f ca="1">(((C73/H69*10)+(40/(D69+F69+H69)*C74)+(7.5/(H69)*C75)+(7.5/(H69)*C76)+(10/H69*C77)+(10/H69*C78)+(5/H69*C79)+(5/H69*C80)+(5/H69*C81))/100)</f>
        <v>0.74411764705882366</v>
      </c>
      <c r="F72" s="214"/>
      <c r="G72" s="214">
        <f ca="1">((((C72/H69)*20)+((C73/H69)*25)+(30/(H69+F69+D69)*C74)+(5/H69*C75)+(5/H69*C76)+(5/H69*C77)+(5/H69*C78)+(0/H69*C79)+(0/H69*C80)+(5/H69*C81))/100)</f>
        <v>0.89705882352941169</v>
      </c>
      <c r="H72" s="214"/>
      <c r="I72" s="14" t="s">
        <v>101</v>
      </c>
      <c r="J72" s="30">
        <f ca="1">H69*50%</f>
        <v>8.5</v>
      </c>
    </row>
    <row r="73" spans="1:14" x14ac:dyDescent="0.35">
      <c r="A73" s="107" t="s">
        <v>50</v>
      </c>
      <c r="B73" s="107"/>
      <c r="C73" s="69">
        <f ca="1">J81</f>
        <v>17</v>
      </c>
      <c r="D73" s="20">
        <f ca="1">((100/H69)*C73)/100</f>
        <v>1</v>
      </c>
      <c r="E73" s="214"/>
      <c r="F73" s="214"/>
      <c r="G73" s="214"/>
      <c r="H73" s="214"/>
      <c r="I73" s="14" t="s">
        <v>102</v>
      </c>
      <c r="J73" s="30">
        <f ca="1">H69</f>
        <v>17</v>
      </c>
    </row>
    <row r="74" spans="1:14" ht="15.75" customHeight="1" x14ac:dyDescent="0.35">
      <c r="A74" s="107" t="s">
        <v>129</v>
      </c>
      <c r="B74" s="107"/>
      <c r="C74" s="69">
        <v>18</v>
      </c>
      <c r="D74" s="20">
        <f ca="1">((100/(D69+F69+H69))*C74)/100</f>
        <v>1</v>
      </c>
      <c r="E74" s="214"/>
      <c r="F74" s="214"/>
      <c r="G74" s="214"/>
      <c r="H74" s="214"/>
      <c r="I74" s="14" t="s">
        <v>103</v>
      </c>
      <c r="J74" s="31">
        <f ca="1">(IF(B69&gt;1,(H69/(B69+2)),H69/4))</f>
        <v>4.25</v>
      </c>
    </row>
    <row r="75" spans="1:14" ht="15.75" customHeight="1" x14ac:dyDescent="0.35">
      <c r="A75" s="107" t="s">
        <v>136</v>
      </c>
      <c r="B75" s="107" t="s">
        <v>130</v>
      </c>
      <c r="C75" s="69">
        <v>17</v>
      </c>
      <c r="D75" s="20">
        <f ca="1">((100/H69)*C75)/100</f>
        <v>1</v>
      </c>
      <c r="E75" s="214"/>
      <c r="F75" s="214"/>
      <c r="G75" s="214"/>
      <c r="H75" s="214"/>
      <c r="I75" s="14" t="s">
        <v>104</v>
      </c>
      <c r="J75" s="31">
        <f ca="1">(IF(B69&gt;1,(H69/(B69+2)+J74),H69/4+J74))</f>
        <v>8.5</v>
      </c>
    </row>
    <row r="76" spans="1:14" ht="15.75" customHeight="1" x14ac:dyDescent="0.35">
      <c r="A76" s="107" t="s">
        <v>137</v>
      </c>
      <c r="B76" s="107" t="s">
        <v>130</v>
      </c>
      <c r="C76" s="69">
        <v>17</v>
      </c>
      <c r="D76" s="20">
        <f ca="1">((100/H69)*C76)/100</f>
        <v>1</v>
      </c>
      <c r="E76" s="214"/>
      <c r="F76" s="214"/>
      <c r="G76" s="214"/>
      <c r="H76" s="214"/>
      <c r="I76" s="14" t="s">
        <v>146</v>
      </c>
      <c r="J76" s="31">
        <f>(IF(B69&gt;1,(H69/(B69+2)+J75),0))</f>
        <v>0</v>
      </c>
    </row>
    <row r="77" spans="1:14" ht="15" customHeight="1" x14ac:dyDescent="0.35">
      <c r="A77" s="107" t="s">
        <v>135</v>
      </c>
      <c r="B77" s="107" t="s">
        <v>132</v>
      </c>
      <c r="C77" s="69">
        <v>9</v>
      </c>
      <c r="D77" s="20">
        <f ca="1">((100/(H69))*C77)/100</f>
        <v>0.52941176470588236</v>
      </c>
      <c r="E77" s="214"/>
      <c r="F77" s="214"/>
      <c r="G77" s="214"/>
      <c r="H77" s="214"/>
      <c r="I77" s="14" t="s">
        <v>143</v>
      </c>
      <c r="J77" s="31">
        <f>(IF(B69&gt;2,(H69/(B69+2)+J76),0))</f>
        <v>0</v>
      </c>
    </row>
    <row r="78" spans="1:14" ht="15.75" customHeight="1" x14ac:dyDescent="0.35">
      <c r="A78" s="107" t="s">
        <v>131</v>
      </c>
      <c r="B78" s="107" t="s">
        <v>131</v>
      </c>
      <c r="C78" s="69">
        <v>7</v>
      </c>
      <c r="D78" s="20">
        <f ca="1">((100/H69)*C78)/100</f>
        <v>0.41176470588235298</v>
      </c>
      <c r="E78" s="214"/>
      <c r="F78" s="214"/>
      <c r="G78" s="214"/>
      <c r="H78" s="214"/>
      <c r="I78" s="14" t="s">
        <v>144</v>
      </c>
      <c r="J78" s="32">
        <f>(IF(B69&gt;3,(H69/(B69+2)+J77),0))</f>
        <v>0</v>
      </c>
    </row>
    <row r="79" spans="1:14" ht="15.75" customHeight="1" x14ac:dyDescent="0.35">
      <c r="A79" s="107" t="s">
        <v>138</v>
      </c>
      <c r="B79" s="107"/>
      <c r="C79" s="69">
        <v>0</v>
      </c>
      <c r="D79" s="20">
        <f ca="1">((100/H69)*C79)/100</f>
        <v>0</v>
      </c>
      <c r="E79" s="214"/>
      <c r="F79" s="214"/>
      <c r="G79" s="214"/>
      <c r="H79" s="214"/>
      <c r="I79" s="14" t="s">
        <v>145</v>
      </c>
      <c r="J79" s="31">
        <f>(IF(B69&gt;4,(H69/(B69+2)+J78),0))</f>
        <v>0</v>
      </c>
    </row>
    <row r="80" spans="1:14" ht="15.75" customHeight="1" x14ac:dyDescent="0.35">
      <c r="A80" s="107" t="s">
        <v>133</v>
      </c>
      <c r="B80" s="107" t="s">
        <v>133</v>
      </c>
      <c r="C80" s="69">
        <v>0</v>
      </c>
      <c r="D80" s="20">
        <f ca="1">((100/(H69))*C80)/100</f>
        <v>0</v>
      </c>
      <c r="E80" s="214"/>
      <c r="F80" s="214"/>
      <c r="G80" s="214"/>
      <c r="H80" s="214"/>
      <c r="I80" s="14" t="s">
        <v>147</v>
      </c>
      <c r="J80" s="31">
        <f ca="1">(IF(B69=1,(H69/(B69+3)+J75),IF(B69=0,(H69/4+J75),IF(B69&gt;1,0))))</f>
        <v>12.75</v>
      </c>
    </row>
    <row r="81" spans="1:10" ht="16" thickBot="1" x14ac:dyDescent="0.4">
      <c r="A81" s="107" t="s">
        <v>134</v>
      </c>
      <c r="B81" s="107"/>
      <c r="C81" s="69">
        <v>0</v>
      </c>
      <c r="D81" s="20">
        <f ca="1">((100/(H69))*C81)/100</f>
        <v>0</v>
      </c>
      <c r="E81" s="214"/>
      <c r="F81" s="214"/>
      <c r="G81" s="214"/>
      <c r="H81" s="214"/>
      <c r="I81" s="16" t="s">
        <v>105</v>
      </c>
      <c r="J81" s="33">
        <f ca="1">(IF(B69&gt;1.5,(H69/(B69+2)+J75+MAX(0,J76-J75)+MAX(0,J77-J76)+MAX(0,J78-J77)+MAX(0,J79-J78)+MAX(0,J80-J79)),IF(B69=1,(H69/(B69+3)+J80),IF(B69=0,H69/4+J80))))</f>
        <v>17</v>
      </c>
    </row>
    <row r="82" spans="1:10" ht="15.75" customHeight="1" x14ac:dyDescent="0.35">
      <c r="A82" s="209" t="s">
        <v>140</v>
      </c>
      <c r="B82" s="210"/>
      <c r="C82" s="211" t="str">
        <f>D59</f>
        <v>Building No. 2 = Gr + 1st to 3rd Floor</v>
      </c>
      <c r="D82" s="212"/>
      <c r="E82" s="212"/>
      <c r="F82" s="212"/>
      <c r="G82" s="212"/>
      <c r="H82" s="213"/>
      <c r="I82" s="51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 Completed, External Plaster upto 2.2 Floor, Flooring upto 1 Floor Completed</v>
      </c>
      <c r="J82" s="52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External Plaster upto 2.2 Floor, Flooring upto 1 Floor</v>
      </c>
    </row>
    <row r="83" spans="1:10" x14ac:dyDescent="0.35">
      <c r="A83" s="17" t="s">
        <v>142</v>
      </c>
      <c r="B83" s="55">
        <f>IF(AND(ISNUMBER(SEARCH("1B",C82))),1,IF(AND(ISNUMBER(SEARCH("2B",C82))),2,IF(AND(ISNUMBER(SEARCH("3B",C82))),3,IF(AND(ISNUMBER(SEARCH("4B",C82))),4,IF(ISNUMBER(SEARCH("5B",C82)),5,0)))))</f>
        <v>0</v>
      </c>
      <c r="C83" s="62" t="s">
        <v>72</v>
      </c>
      <c r="D83" s="62">
        <v>1</v>
      </c>
      <c r="E83" s="62" t="s">
        <v>71</v>
      </c>
      <c r="F83" s="62">
        <v>0</v>
      </c>
      <c r="G83" s="62" t="s">
        <v>80</v>
      </c>
      <c r="H83" s="63">
        <f ca="1">--TRIM(RIGHT(SUBSTITUTE(LEFT(C82,_xlfn.AGGREGATE(16,6,FIND({0,1,2,3,4,5,6,7,8,9},C82,ROW(INDIRECT("1:"&amp;LEN(C82)))),1))," ",REPT(" ",LEN(C82))),LEN(C82)))</f>
        <v>3</v>
      </c>
      <c r="I83" s="53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</v>
      </c>
      <c r="J83" s="54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1" customHeight="1" x14ac:dyDescent="0.35">
      <c r="A84" s="173" t="s">
        <v>90</v>
      </c>
      <c r="B84" s="174"/>
      <c r="C84" s="175" t="str">
        <f ca="1">(IF($G$53="NA",I82,"All work Completed. OC Received."))</f>
        <v>Excavation, Plinth, RCC Slab, Brickwork, Internal Plaster Completed, External Plaster upto 2.2 Floor, Flooring upto 1 Floor Completed</v>
      </c>
      <c r="D84" s="175"/>
      <c r="E84" s="175"/>
      <c r="F84" s="175"/>
      <c r="G84" s="175"/>
      <c r="H84" s="176"/>
      <c r="I84" s="53" t="str">
        <f ca="1">IF(I83&lt;&gt;""," Completed","")</f>
        <v xml:space="preserve"> Completed</v>
      </c>
      <c r="J84" s="54" t="str">
        <f ca="1">IF(J82&lt;&gt;"","Completed","")</f>
        <v>Completed</v>
      </c>
    </row>
    <row r="85" spans="1:10" ht="15.75" customHeight="1" x14ac:dyDescent="0.35">
      <c r="A85" s="106" t="s">
        <v>49</v>
      </c>
      <c r="B85" s="107"/>
      <c r="C85" s="45" t="s">
        <v>139</v>
      </c>
      <c r="D85" s="45" t="s">
        <v>83</v>
      </c>
      <c r="E85" s="107" t="s">
        <v>85</v>
      </c>
      <c r="F85" s="107"/>
      <c r="G85" s="107" t="s">
        <v>84</v>
      </c>
      <c r="H85" s="157"/>
      <c r="I85" s="14" t="s">
        <v>141</v>
      </c>
      <c r="J85" s="29">
        <f ca="1">H83*25%</f>
        <v>0.75</v>
      </c>
    </row>
    <row r="86" spans="1:10" x14ac:dyDescent="0.35">
      <c r="A86" s="106" t="s">
        <v>128</v>
      </c>
      <c r="B86" s="107"/>
      <c r="C86" s="45">
        <f ca="1">J87</f>
        <v>3</v>
      </c>
      <c r="D86" s="20">
        <f ca="1">((100/H83)*C86)/100</f>
        <v>1</v>
      </c>
      <c r="E86" s="131">
        <f ca="1">(((C87/H83*10)+(40/(D83+F83+H83)*C88)+(7.5/(H83)*C89)+(7.5/(H83)*C90)+(10/H83*C91)+(10/H83*C92)+(5/H83*C93)+(5/H83*C94)+(5/H83*C95))/100)</f>
        <v>0.7566666666666666</v>
      </c>
      <c r="F86" s="132"/>
      <c r="G86" s="131">
        <f ca="1">((((C86/H83)*20)+((C87/H83)*25)+(30/(H83+F83+D83)*C88)+(5/H83*C89)+(5/H83*C90)+(5/H83*C91)+(5/H83*C92)+(0/H83*C93)+(0/H83*C94)+(5/H83*C95))/100)</f>
        <v>0.90333333333333343</v>
      </c>
      <c r="H86" s="183"/>
      <c r="I86" s="14" t="s">
        <v>101</v>
      </c>
      <c r="J86" s="30">
        <f ca="1">H83*50%</f>
        <v>1.5</v>
      </c>
    </row>
    <row r="87" spans="1:10" x14ac:dyDescent="0.35">
      <c r="A87" s="106" t="s">
        <v>50</v>
      </c>
      <c r="B87" s="107"/>
      <c r="C87" s="56">
        <f ca="1">J95</f>
        <v>3</v>
      </c>
      <c r="D87" s="20">
        <f ca="1">((100/H83)*C87)/100</f>
        <v>1</v>
      </c>
      <c r="E87" s="133"/>
      <c r="F87" s="134"/>
      <c r="G87" s="133"/>
      <c r="H87" s="184"/>
      <c r="I87" s="14" t="s">
        <v>102</v>
      </c>
      <c r="J87" s="30">
        <f ca="1">H83</f>
        <v>3</v>
      </c>
    </row>
    <row r="88" spans="1:10" ht="15.75" customHeight="1" x14ac:dyDescent="0.35">
      <c r="A88" s="106" t="s">
        <v>129</v>
      </c>
      <c r="B88" s="107"/>
      <c r="C88" s="45">
        <v>4</v>
      </c>
      <c r="D88" s="20">
        <f ca="1">((100/(D83+F83+H83))*C88)/100</f>
        <v>1</v>
      </c>
      <c r="E88" s="133"/>
      <c r="F88" s="134"/>
      <c r="G88" s="133"/>
      <c r="H88" s="184"/>
      <c r="I88" s="14" t="s">
        <v>103</v>
      </c>
      <c r="J88" s="31">
        <f ca="1">(IF(B83&gt;1,(H83/(B83+2)),H83/4))</f>
        <v>0.75</v>
      </c>
    </row>
    <row r="89" spans="1:10" ht="15.75" customHeight="1" x14ac:dyDescent="0.35">
      <c r="A89" s="106" t="s">
        <v>136</v>
      </c>
      <c r="B89" s="107" t="s">
        <v>130</v>
      </c>
      <c r="C89" s="45">
        <v>3</v>
      </c>
      <c r="D89" s="20">
        <f ca="1">((100/H83)*C89)/100</f>
        <v>1</v>
      </c>
      <c r="E89" s="133"/>
      <c r="F89" s="134"/>
      <c r="G89" s="133"/>
      <c r="H89" s="184"/>
      <c r="I89" s="14" t="s">
        <v>104</v>
      </c>
      <c r="J89" s="31">
        <f ca="1">(IF(B83&gt;1,(H83/(B83+2)+J88),H83/4+J88))</f>
        <v>1.5</v>
      </c>
    </row>
    <row r="90" spans="1:10" ht="15.75" customHeight="1" x14ac:dyDescent="0.35">
      <c r="A90" s="106" t="s">
        <v>137</v>
      </c>
      <c r="B90" s="107" t="s">
        <v>130</v>
      </c>
      <c r="C90" s="45">
        <v>3</v>
      </c>
      <c r="D90" s="20">
        <f ca="1">((100/H83)*C90)/100</f>
        <v>1</v>
      </c>
      <c r="E90" s="133"/>
      <c r="F90" s="134"/>
      <c r="G90" s="133"/>
      <c r="H90" s="184"/>
      <c r="I90" s="14" t="s">
        <v>146</v>
      </c>
      <c r="J90" s="31">
        <f>(IF(B83&gt;1,(H83/(B83+2)+J89),0))</f>
        <v>0</v>
      </c>
    </row>
    <row r="91" spans="1:10" ht="15" customHeight="1" x14ac:dyDescent="0.35">
      <c r="A91" s="106" t="s">
        <v>135</v>
      </c>
      <c r="B91" s="107" t="s">
        <v>132</v>
      </c>
      <c r="C91" s="56">
        <v>2.2000000000000002</v>
      </c>
      <c r="D91" s="20">
        <f ca="1">((100/(H83))*C91)/100</f>
        <v>0.73333333333333339</v>
      </c>
      <c r="E91" s="133"/>
      <c r="F91" s="134"/>
      <c r="G91" s="133"/>
      <c r="H91" s="184"/>
      <c r="I91" s="14" t="s">
        <v>143</v>
      </c>
      <c r="J91" s="31">
        <f>(IF(B83&gt;2,(H83/(B83+2)+J90),0))</f>
        <v>0</v>
      </c>
    </row>
    <row r="92" spans="1:10" ht="15.75" customHeight="1" x14ac:dyDescent="0.35">
      <c r="A92" s="106" t="s">
        <v>131</v>
      </c>
      <c r="B92" s="107" t="s">
        <v>131</v>
      </c>
      <c r="C92" s="45">
        <v>1</v>
      </c>
      <c r="D92" s="20">
        <f ca="1">((100/H83)*C92)/100</f>
        <v>0.33333333333333337</v>
      </c>
      <c r="E92" s="133"/>
      <c r="F92" s="134"/>
      <c r="G92" s="133"/>
      <c r="H92" s="184"/>
      <c r="I92" s="14" t="s">
        <v>144</v>
      </c>
      <c r="J92" s="32">
        <f>(IF(B83&gt;3,(H83/(B83+2)+J91),0))</f>
        <v>0</v>
      </c>
    </row>
    <row r="93" spans="1:10" ht="15.75" customHeight="1" x14ac:dyDescent="0.35">
      <c r="A93" s="106" t="s">
        <v>138</v>
      </c>
      <c r="B93" s="107"/>
      <c r="C93" s="45">
        <v>0</v>
      </c>
      <c r="D93" s="20">
        <f ca="1">((100/H83)*C93)/100</f>
        <v>0</v>
      </c>
      <c r="E93" s="133"/>
      <c r="F93" s="134"/>
      <c r="G93" s="133"/>
      <c r="H93" s="184"/>
      <c r="I93" s="14" t="s">
        <v>145</v>
      </c>
      <c r="J93" s="31">
        <f>(IF(B83&gt;4,(H83/(B83+2)+J92),0))</f>
        <v>0</v>
      </c>
    </row>
    <row r="94" spans="1:10" ht="15.75" customHeight="1" x14ac:dyDescent="0.35">
      <c r="A94" s="106" t="s">
        <v>133</v>
      </c>
      <c r="B94" s="107" t="s">
        <v>133</v>
      </c>
      <c r="C94" s="45">
        <v>0</v>
      </c>
      <c r="D94" s="20">
        <f ca="1">((100/(H83))*C94)/100</f>
        <v>0</v>
      </c>
      <c r="E94" s="133"/>
      <c r="F94" s="134"/>
      <c r="G94" s="133"/>
      <c r="H94" s="184"/>
      <c r="I94" s="14" t="s">
        <v>147</v>
      </c>
      <c r="J94" s="31">
        <f ca="1">(IF(B83=1,(H83/(B83+3)+J89),IF(B83=0,(H83/4+J89),IF(B83&gt;1,0))))</f>
        <v>2.25</v>
      </c>
    </row>
    <row r="95" spans="1:10" ht="16" thickBot="1" x14ac:dyDescent="0.4">
      <c r="A95" s="186" t="s">
        <v>134</v>
      </c>
      <c r="B95" s="187"/>
      <c r="C95" s="46">
        <v>0</v>
      </c>
      <c r="D95" s="21">
        <f ca="1">((100/(H83))*C95)/100</f>
        <v>0</v>
      </c>
      <c r="E95" s="135"/>
      <c r="F95" s="136"/>
      <c r="G95" s="135"/>
      <c r="H95" s="185"/>
      <c r="I95" s="16" t="s">
        <v>105</v>
      </c>
      <c r="J95" s="33">
        <f ca="1">(IF(B83&gt;1.5,(H83/(B83+2)+J89+MAX(0,J90-J89)+MAX(0,J91-J90)+MAX(0,J92-J91)+MAX(0,J93-J92)+MAX(0,J94-J93)),IF(B83=1,(H83/(B83+3)+J94),IF(B83=0,H83/4+J94))))</f>
        <v>3</v>
      </c>
    </row>
    <row r="96" spans="1:10" ht="15.75" hidden="1" customHeight="1" x14ac:dyDescent="0.35">
      <c r="A96" s="108" t="s">
        <v>140</v>
      </c>
      <c r="B96" s="109"/>
      <c r="C96" s="193" t="str">
        <f>D60</f>
        <v>C Wing = 1B + G + 1st to 20th Floor</v>
      </c>
      <c r="D96" s="194"/>
      <c r="E96" s="194"/>
      <c r="F96" s="194"/>
      <c r="G96" s="194"/>
      <c r="H96" s="195"/>
      <c r="I96" s="51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2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 x14ac:dyDescent="0.35">
      <c r="A97" s="17" t="s">
        <v>142</v>
      </c>
      <c r="B97" s="55">
        <f>IF(AND(ISNUMBER(SEARCH("1B",C96))),1,IF(AND(ISNUMBER(SEARCH("2B",C96))),2,IF(AND(ISNUMBER(SEARCH("3B",C96))),3,IF(AND(ISNUMBER(SEARCH("4B",C96))),4,IF(ISNUMBER(SEARCH("5B",C96)),5,0)))))</f>
        <v>1</v>
      </c>
      <c r="C97" s="49" t="s">
        <v>72</v>
      </c>
      <c r="D97" s="49">
        <v>1</v>
      </c>
      <c r="E97" s="49" t="s">
        <v>71</v>
      </c>
      <c r="F97" s="15">
        <v>0</v>
      </c>
      <c r="G97" s="50" t="s">
        <v>80</v>
      </c>
      <c r="H97" s="18">
        <f ca="1">--TRIM(RIGHT(SUBSTITUTE(LEFT(C96,_xlfn.AGGREGATE(16,6,FIND({0,1,2,3,4,5,6,7,8,9},C96,ROW(INDIRECT("1:"&amp;LEN(C96)))),1))," ",REPT(" ",LEN(C96))),LEN(C96)))</f>
        <v>20</v>
      </c>
      <c r="I97" s="53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4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hidden="1" customHeight="1" x14ac:dyDescent="0.35">
      <c r="A98" s="173" t="s">
        <v>90</v>
      </c>
      <c r="B98" s="174"/>
      <c r="C98" s="190" t="str">
        <f ca="1">(IF($G$53="NA",I96,"All work Completed. OC Received."))</f>
        <v xml:space="preserve">Excavation, Plinth, RCC Slab Completed </v>
      </c>
      <c r="D98" s="190"/>
      <c r="E98" s="190"/>
      <c r="F98" s="190"/>
      <c r="G98" s="190"/>
      <c r="H98" s="191"/>
      <c r="I98" s="53" t="str">
        <f ca="1">IF(I97&lt;&gt;""," Completed","")</f>
        <v xml:space="preserve"> Completed</v>
      </c>
      <c r="J98" s="54" t="str">
        <f ca="1">IF(J96&lt;&gt;"","Completed","")</f>
        <v/>
      </c>
    </row>
    <row r="99" spans="1:10" ht="15.75" hidden="1" customHeight="1" x14ac:dyDescent="0.35">
      <c r="A99" s="106" t="s">
        <v>49</v>
      </c>
      <c r="B99" s="107"/>
      <c r="C99" s="45" t="s">
        <v>139</v>
      </c>
      <c r="D99" s="45" t="s">
        <v>83</v>
      </c>
      <c r="E99" s="107" t="s">
        <v>85</v>
      </c>
      <c r="F99" s="107"/>
      <c r="G99" s="107" t="s">
        <v>84</v>
      </c>
      <c r="H99" s="157"/>
      <c r="I99" s="14" t="s">
        <v>141</v>
      </c>
      <c r="J99" s="29">
        <f ca="1">H97*25%</f>
        <v>5</v>
      </c>
    </row>
    <row r="100" spans="1:10" hidden="1" x14ac:dyDescent="0.35">
      <c r="A100" s="106" t="s">
        <v>128</v>
      </c>
      <c r="B100" s="107"/>
      <c r="C100" s="45">
        <f ca="1">J101</f>
        <v>20</v>
      </c>
      <c r="D100" s="20">
        <f ca="1">((100/H97)*C100)/100</f>
        <v>1</v>
      </c>
      <c r="E100" s="131">
        <f ca="1">(((C101/H97*10)+(40/(D97+F97+H97)*C102)+(7.5/(H97)*C103)+(7.5/(H97)*C104)+(10/H97*C105)+(10/H97*C106)+(5/H97*C107)+(5/H97*C108)+(5/H97*C109))/100)</f>
        <v>0.5</v>
      </c>
      <c r="F100" s="132"/>
      <c r="G100" s="131">
        <f ca="1">((((C100/H97)*20)+((C101/H97)*25)+(30/(H97+F97+D97)*C102)+(5/H97*C103)+(5/H97*C104)+(5/H97*C105)+(5/H97*C106)+(0/H97*C107)+(0/H97*C108)+(5/H97*C109))/100)</f>
        <v>0.75</v>
      </c>
      <c r="H100" s="183"/>
      <c r="I100" s="14" t="s">
        <v>101</v>
      </c>
      <c r="J100" s="30">
        <f ca="1">H97*50%</f>
        <v>10</v>
      </c>
    </row>
    <row r="101" spans="1:10" hidden="1" x14ac:dyDescent="0.35">
      <c r="A101" s="106" t="s">
        <v>50</v>
      </c>
      <c r="B101" s="107"/>
      <c r="C101" s="45">
        <f ca="1">J109</f>
        <v>20</v>
      </c>
      <c r="D101" s="20">
        <f ca="1">((100/H97)*C101)/100</f>
        <v>1</v>
      </c>
      <c r="E101" s="133"/>
      <c r="F101" s="134"/>
      <c r="G101" s="133"/>
      <c r="H101" s="184"/>
      <c r="I101" s="14" t="s">
        <v>102</v>
      </c>
      <c r="J101" s="30">
        <f ca="1">H97</f>
        <v>20</v>
      </c>
    </row>
    <row r="102" spans="1:10" ht="15.75" hidden="1" customHeight="1" x14ac:dyDescent="0.35">
      <c r="A102" s="106" t="s">
        <v>129</v>
      </c>
      <c r="B102" s="107"/>
      <c r="C102" s="45">
        <f ca="1">D97+H97</f>
        <v>21</v>
      </c>
      <c r="D102" s="20">
        <f ca="1">((100/(D97+F97+H97))*C102)/100</f>
        <v>1</v>
      </c>
      <c r="E102" s="133"/>
      <c r="F102" s="134"/>
      <c r="G102" s="133"/>
      <c r="H102" s="184"/>
      <c r="I102" s="14" t="s">
        <v>103</v>
      </c>
      <c r="J102" s="31">
        <f ca="1">(IF(B97&gt;1,(H97/(B97+2)),H97/4))</f>
        <v>5</v>
      </c>
    </row>
    <row r="103" spans="1:10" ht="15.75" hidden="1" customHeight="1" x14ac:dyDescent="0.35">
      <c r="A103" s="106" t="s">
        <v>136</v>
      </c>
      <c r="B103" s="107" t="s">
        <v>130</v>
      </c>
      <c r="C103" s="45">
        <v>0</v>
      </c>
      <c r="D103" s="20">
        <f ca="1">((100/H97)*C103)/100</f>
        <v>0</v>
      </c>
      <c r="E103" s="133"/>
      <c r="F103" s="134"/>
      <c r="G103" s="133"/>
      <c r="H103" s="184"/>
      <c r="I103" s="14" t="s">
        <v>104</v>
      </c>
      <c r="J103" s="31">
        <f ca="1">(IF(B97&gt;1,(H97/(B97+2)+J102),H97/4+J102))</f>
        <v>10</v>
      </c>
    </row>
    <row r="104" spans="1:10" ht="15.75" hidden="1" customHeight="1" x14ac:dyDescent="0.35">
      <c r="A104" s="106" t="s">
        <v>137</v>
      </c>
      <c r="B104" s="107" t="s">
        <v>130</v>
      </c>
      <c r="C104" s="45">
        <v>0</v>
      </c>
      <c r="D104" s="20">
        <f ca="1">((100/H97)*C104)/100</f>
        <v>0</v>
      </c>
      <c r="E104" s="133"/>
      <c r="F104" s="134"/>
      <c r="G104" s="133"/>
      <c r="H104" s="184"/>
      <c r="I104" s="14" t="s">
        <v>146</v>
      </c>
      <c r="J104" s="31">
        <f>(IF(B97&gt;1,(H97/(B97+2)+J103),0))</f>
        <v>0</v>
      </c>
    </row>
    <row r="105" spans="1:10" ht="15" hidden="1" customHeight="1" x14ac:dyDescent="0.35">
      <c r="A105" s="106" t="s">
        <v>135</v>
      </c>
      <c r="B105" s="107" t="s">
        <v>132</v>
      </c>
      <c r="C105" s="45">
        <v>0</v>
      </c>
      <c r="D105" s="20">
        <f ca="1">((100/(H97))*C105)/100</f>
        <v>0</v>
      </c>
      <c r="E105" s="133"/>
      <c r="F105" s="134"/>
      <c r="G105" s="133"/>
      <c r="H105" s="184"/>
      <c r="I105" s="14" t="s">
        <v>143</v>
      </c>
      <c r="J105" s="31">
        <f>(IF(B97&gt;2,(H97/(B97+2)+J104),0))</f>
        <v>0</v>
      </c>
    </row>
    <row r="106" spans="1:10" ht="15.75" hidden="1" customHeight="1" x14ac:dyDescent="0.35">
      <c r="A106" s="106" t="s">
        <v>131</v>
      </c>
      <c r="B106" s="107" t="s">
        <v>131</v>
      </c>
      <c r="C106" s="45">
        <v>0</v>
      </c>
      <c r="D106" s="20">
        <f ca="1">((100/H97)*C106)/100</f>
        <v>0</v>
      </c>
      <c r="E106" s="133"/>
      <c r="F106" s="134"/>
      <c r="G106" s="133"/>
      <c r="H106" s="184"/>
      <c r="I106" s="14" t="s">
        <v>144</v>
      </c>
      <c r="J106" s="32">
        <f>(IF(B97&gt;3,(H97/(B97+2)+J105),0))</f>
        <v>0</v>
      </c>
    </row>
    <row r="107" spans="1:10" ht="15.75" hidden="1" customHeight="1" x14ac:dyDescent="0.35">
      <c r="A107" s="106" t="s">
        <v>138</v>
      </c>
      <c r="B107" s="107"/>
      <c r="C107" s="45">
        <v>0</v>
      </c>
      <c r="D107" s="20">
        <f ca="1">((100/H97)*C107)/100</f>
        <v>0</v>
      </c>
      <c r="E107" s="133"/>
      <c r="F107" s="134"/>
      <c r="G107" s="133"/>
      <c r="H107" s="184"/>
      <c r="I107" s="14" t="s">
        <v>145</v>
      </c>
      <c r="J107" s="31">
        <f>(IF(B97&gt;4,(H97/(B97+2)+J106),0))</f>
        <v>0</v>
      </c>
    </row>
    <row r="108" spans="1:10" ht="15.75" hidden="1" customHeight="1" x14ac:dyDescent="0.35">
      <c r="A108" s="106" t="s">
        <v>133</v>
      </c>
      <c r="B108" s="107" t="s">
        <v>133</v>
      </c>
      <c r="C108" s="45">
        <v>0</v>
      </c>
      <c r="D108" s="20">
        <f ca="1">((100/(H97))*C108)/100</f>
        <v>0</v>
      </c>
      <c r="E108" s="133"/>
      <c r="F108" s="134"/>
      <c r="G108" s="133"/>
      <c r="H108" s="184"/>
      <c r="I108" s="14" t="s">
        <v>147</v>
      </c>
      <c r="J108" s="31">
        <f ca="1">(IF(B97=1,(H97/(B97+3)+J103),IF(B97=0,(H97/4+J103),IF(B97&gt;1,0))))</f>
        <v>15</v>
      </c>
    </row>
    <row r="109" spans="1:10" ht="16" hidden="1" thickBot="1" x14ac:dyDescent="0.4">
      <c r="A109" s="186" t="s">
        <v>134</v>
      </c>
      <c r="B109" s="187"/>
      <c r="C109" s="46">
        <v>0</v>
      </c>
      <c r="D109" s="21">
        <f ca="1">((100/(H97))*C109)/100</f>
        <v>0</v>
      </c>
      <c r="E109" s="135"/>
      <c r="F109" s="136"/>
      <c r="G109" s="135"/>
      <c r="H109" s="185"/>
      <c r="I109" s="16" t="s">
        <v>105</v>
      </c>
      <c r="J109" s="33">
        <f ca="1">(IF(B97&gt;1.5,(H97/(B97+2)+J103+MAX(0,J104-J103)+MAX(0,J105-J104)+MAX(0,J106-J105)+MAX(0,J107-J106)+MAX(0,J108-J107)),IF(B97=1,(H97/(B97+3)+J108),IF(B97=0,H97/4+J108))))</f>
        <v>20</v>
      </c>
    </row>
    <row r="110" spans="1:10" x14ac:dyDescent="0.35">
      <c r="A110" s="196" t="s">
        <v>157</v>
      </c>
      <c r="B110" s="196"/>
      <c r="C110" s="196"/>
      <c r="D110" s="196"/>
      <c r="E110" s="196"/>
      <c r="F110" s="154" t="s">
        <v>161</v>
      </c>
      <c r="G110" s="154"/>
      <c r="H110" s="154"/>
    </row>
    <row r="111" spans="1:10" x14ac:dyDescent="0.35">
      <c r="A111" s="125" t="s">
        <v>159</v>
      </c>
      <c r="B111" s="125"/>
      <c r="C111" s="125"/>
      <c r="D111" s="125"/>
      <c r="E111" s="125"/>
      <c r="F111" s="123">
        <v>6700</v>
      </c>
      <c r="G111" s="123"/>
      <c r="H111" s="123"/>
      <c r="J111" s="23" t="s">
        <v>284</v>
      </c>
    </row>
    <row r="112" spans="1:10" x14ac:dyDescent="0.35">
      <c r="A112" s="125" t="s">
        <v>158</v>
      </c>
      <c r="B112" s="125"/>
      <c r="C112" s="125"/>
      <c r="D112" s="125"/>
      <c r="E112" s="125"/>
      <c r="F112" s="123">
        <v>9000</v>
      </c>
      <c r="G112" s="123"/>
      <c r="H112" s="123"/>
    </row>
    <row r="113" spans="1:8" hidden="1" x14ac:dyDescent="0.35">
      <c r="A113" s="125" t="s">
        <v>160</v>
      </c>
      <c r="B113" s="125"/>
      <c r="C113" s="125"/>
      <c r="D113" s="125"/>
      <c r="E113" s="125"/>
      <c r="F113" s="123"/>
      <c r="G113" s="123"/>
      <c r="H113" s="123"/>
    </row>
    <row r="114" spans="1:8" s="34" customFormat="1" hidden="1" x14ac:dyDescent="0.3">
      <c r="A114" s="125" t="s">
        <v>178</v>
      </c>
      <c r="B114" s="125"/>
      <c r="C114" s="125"/>
      <c r="D114" s="125"/>
      <c r="E114" s="125"/>
      <c r="F114" s="123"/>
      <c r="G114" s="123"/>
      <c r="H114" s="123"/>
    </row>
    <row r="115" spans="1:8" s="34" customFormat="1" hidden="1" x14ac:dyDescent="0.3">
      <c r="A115" s="125" t="s">
        <v>95</v>
      </c>
      <c r="B115" s="125"/>
      <c r="C115" s="125"/>
      <c r="D115" s="125"/>
      <c r="E115" s="125"/>
      <c r="F115" s="123"/>
      <c r="G115" s="123"/>
      <c r="H115" s="123"/>
    </row>
    <row r="116" spans="1:8" s="34" customFormat="1" hidden="1" x14ac:dyDescent="0.3">
      <c r="A116" s="125" t="s">
        <v>96</v>
      </c>
      <c r="B116" s="125"/>
      <c r="C116" s="125"/>
      <c r="D116" s="125"/>
      <c r="E116" s="125"/>
      <c r="F116" s="123"/>
      <c r="G116" s="123"/>
      <c r="H116" s="123"/>
    </row>
    <row r="117" spans="1:8" s="34" customFormat="1" hidden="1" x14ac:dyDescent="0.3">
      <c r="A117" s="125" t="s">
        <v>162</v>
      </c>
      <c r="B117" s="125"/>
      <c r="C117" s="125"/>
      <c r="D117" s="125"/>
      <c r="E117" s="125"/>
      <c r="F117" s="123"/>
      <c r="G117" s="123"/>
      <c r="H117" s="123"/>
    </row>
    <row r="118" spans="1:8" s="34" customFormat="1" hidden="1" x14ac:dyDescent="0.3">
      <c r="A118" s="125" t="s">
        <v>97</v>
      </c>
      <c r="B118" s="125"/>
      <c r="C118" s="125"/>
      <c r="D118" s="125"/>
      <c r="E118" s="125"/>
      <c r="F118" s="123"/>
      <c r="G118" s="123"/>
      <c r="H118" s="123"/>
    </row>
    <row r="119" spans="1:8" s="34" customFormat="1" hidden="1" x14ac:dyDescent="0.3">
      <c r="A119" s="125" t="s">
        <v>98</v>
      </c>
      <c r="B119" s="125"/>
      <c r="C119" s="125"/>
      <c r="D119" s="125"/>
      <c r="E119" s="125"/>
      <c r="F119" s="123"/>
      <c r="G119" s="123"/>
      <c r="H119" s="123"/>
    </row>
    <row r="120" spans="1:8" s="34" customFormat="1" hidden="1" x14ac:dyDescent="0.3">
      <c r="A120" s="125" t="s">
        <v>99</v>
      </c>
      <c r="B120" s="125"/>
      <c r="C120" s="125"/>
      <c r="D120" s="125"/>
      <c r="E120" s="125"/>
      <c r="F120" s="123"/>
      <c r="G120" s="123"/>
      <c r="H120" s="123"/>
    </row>
    <row r="121" spans="1:8" s="34" customFormat="1" hidden="1" x14ac:dyDescent="0.3">
      <c r="A121" s="125" t="s">
        <v>100</v>
      </c>
      <c r="B121" s="125"/>
      <c r="C121" s="125"/>
      <c r="D121" s="125"/>
      <c r="E121" s="125"/>
      <c r="F121" s="123"/>
      <c r="G121" s="123"/>
      <c r="H121" s="123"/>
    </row>
    <row r="122" spans="1:8" x14ac:dyDescent="0.35">
      <c r="A122" s="125" t="s">
        <v>51</v>
      </c>
      <c r="B122" s="125"/>
      <c r="C122" s="125"/>
      <c r="D122" s="125"/>
      <c r="E122" s="125"/>
      <c r="F122" s="161">
        <v>300000</v>
      </c>
      <c r="G122" s="161"/>
      <c r="H122" s="161"/>
    </row>
    <row r="123" spans="1:8" s="35" customFormat="1" x14ac:dyDescent="0.35">
      <c r="A123" s="162" t="s">
        <v>52</v>
      </c>
      <c r="B123" s="162"/>
      <c r="C123" s="162"/>
      <c r="D123" s="162"/>
      <c r="E123" s="162"/>
      <c r="F123" s="123">
        <f>F111*0.8</f>
        <v>5360</v>
      </c>
      <c r="G123" s="123"/>
      <c r="H123" s="123"/>
    </row>
    <row r="124" spans="1:8" s="36" customFormat="1" ht="15.75" customHeight="1" x14ac:dyDescent="0.35">
      <c r="A124" s="160" t="s">
        <v>75</v>
      </c>
      <c r="B124" s="160"/>
      <c r="C124" s="160"/>
      <c r="D124" s="160"/>
      <c r="E124" s="160"/>
      <c r="F124" s="160"/>
      <c r="G124" s="160"/>
      <c r="H124" s="160"/>
    </row>
    <row r="125" spans="1:8" s="36" customFormat="1" ht="15.75" customHeight="1" x14ac:dyDescent="0.35">
      <c r="A125" s="98" t="s">
        <v>53</v>
      </c>
      <c r="B125" s="98"/>
      <c r="C125" s="129" t="s">
        <v>78</v>
      </c>
      <c r="D125" s="129"/>
      <c r="E125" s="97" t="s">
        <v>54</v>
      </c>
      <c r="F125" s="97"/>
      <c r="G125" s="98" t="s">
        <v>55</v>
      </c>
      <c r="H125" s="98"/>
    </row>
    <row r="126" spans="1:8" s="36" customFormat="1" x14ac:dyDescent="0.35">
      <c r="A126" s="99" t="s">
        <v>278</v>
      </c>
      <c r="B126" s="99"/>
      <c r="C126" s="100">
        <f>COUNT(D141:D159)</f>
        <v>19</v>
      </c>
      <c r="D126" s="102"/>
      <c r="E126" s="101">
        <f>SUM(D141:D159)</f>
        <v>3052.0245599999989</v>
      </c>
      <c r="F126" s="103"/>
      <c r="G126" s="101">
        <f>SUM(F141:F159)</f>
        <v>6283.2613779000003</v>
      </c>
      <c r="H126" s="103"/>
    </row>
    <row r="127" spans="1:8" s="36" customFormat="1" x14ac:dyDescent="0.35">
      <c r="A127" s="99" t="s">
        <v>279</v>
      </c>
      <c r="B127" s="99"/>
      <c r="C127" s="100">
        <f>COUNT(D162:D164)</f>
        <v>3</v>
      </c>
      <c r="D127" s="102"/>
      <c r="E127" s="101">
        <f>SUM(D162:D164)</f>
        <v>827.53631999999993</v>
      </c>
      <c r="F127" s="103"/>
      <c r="G127" s="101">
        <f>SUM(F162:F164)</f>
        <v>1686.438936</v>
      </c>
      <c r="H127" s="103"/>
    </row>
    <row r="128" spans="1:8" s="36" customFormat="1" x14ac:dyDescent="0.35">
      <c r="A128" s="160" t="s">
        <v>150</v>
      </c>
      <c r="B128" s="160"/>
      <c r="C128" s="192">
        <f>SUM(C126:C127)</f>
        <v>22</v>
      </c>
      <c r="D128" s="129"/>
      <c r="E128" s="96">
        <f>SUM(E126:E127)</f>
        <v>3879.5608799999991</v>
      </c>
      <c r="F128" s="97"/>
      <c r="G128" s="98">
        <f>SUM(G126:G127)</f>
        <v>7969.7003139000008</v>
      </c>
      <c r="H128" s="98"/>
    </row>
    <row r="129" spans="1:14" s="36" customFormat="1" x14ac:dyDescent="0.35">
      <c r="A129" s="160" t="s">
        <v>70</v>
      </c>
      <c r="B129" s="160"/>
      <c r="C129" s="160"/>
      <c r="D129" s="160"/>
      <c r="E129" s="160"/>
      <c r="F129" s="160"/>
      <c r="G129" s="160"/>
      <c r="H129" s="160"/>
    </row>
    <row r="130" spans="1:14" s="36" customFormat="1" ht="15.75" customHeight="1" x14ac:dyDescent="0.35">
      <c r="A130" s="98" t="s">
        <v>53</v>
      </c>
      <c r="B130" s="98"/>
      <c r="C130" s="129" t="s">
        <v>78</v>
      </c>
      <c r="D130" s="129"/>
      <c r="E130" s="97" t="s">
        <v>54</v>
      </c>
      <c r="F130" s="97"/>
      <c r="G130" s="98" t="s">
        <v>55</v>
      </c>
      <c r="H130" s="98"/>
    </row>
    <row r="131" spans="1:14" s="36" customFormat="1" x14ac:dyDescent="0.35">
      <c r="A131" s="99" t="s">
        <v>278</v>
      </c>
      <c r="B131" s="99"/>
      <c r="C131" s="100">
        <f>COUNT(D172:D177)*3+COUNT(D183:D194)+COUNT(D196:D207)*10+COUNT(D209:D211,D213:D214,D216:D220)*2+COUNT(D225:D228)</f>
        <v>174</v>
      </c>
      <c r="D131" s="100"/>
      <c r="E131" s="101">
        <f>SUM(D172:D177)*3+SUM(D183:D194)+SUM(D196:D207)*10+SUM(D209:D211,D213:D214,D216:D220)*2+SUM(D225:D228)</f>
        <v>111366.81971999998</v>
      </c>
      <c r="F131" s="101"/>
      <c r="G131" s="101">
        <f>SUM(F172:F177)*3+SUM(F183:F194)+SUM(F196:F207)*10+SUM(F209:F211,F213:F214,F216:F220)*2+SUM(F225:F228)</f>
        <v>167050.22958000001</v>
      </c>
      <c r="H131" s="101"/>
    </row>
    <row r="132" spans="1:14" s="36" customFormat="1" x14ac:dyDescent="0.35">
      <c r="A132" s="99" t="s">
        <v>279</v>
      </c>
      <c r="B132" s="99"/>
      <c r="C132" s="100">
        <f>COUNT(D236)*3</f>
        <v>3</v>
      </c>
      <c r="D132" s="100"/>
      <c r="E132" s="101">
        <f>SUM(D236)*3</f>
        <v>2368.94112</v>
      </c>
      <c r="F132" s="101"/>
      <c r="G132" s="101">
        <f>SUM(F236)*3</f>
        <v>3553.4116800000002</v>
      </c>
      <c r="H132" s="101"/>
    </row>
    <row r="133" spans="1:14" s="36" customFormat="1" x14ac:dyDescent="0.35">
      <c r="A133" s="160" t="s">
        <v>150</v>
      </c>
      <c r="B133" s="160"/>
      <c r="C133" s="192">
        <f>SUM(C131:C132)</f>
        <v>177</v>
      </c>
      <c r="D133" s="129"/>
      <c r="E133" s="96">
        <f>SUM(E131:E132)</f>
        <v>113735.76083999999</v>
      </c>
      <c r="F133" s="97"/>
      <c r="G133" s="98">
        <f>SUM(G131:G132)</f>
        <v>170603.64126</v>
      </c>
      <c r="H133" s="98"/>
    </row>
    <row r="134" spans="1:14" s="36" customFormat="1" x14ac:dyDescent="0.35">
      <c r="A134" s="160" t="s">
        <v>168</v>
      </c>
      <c r="B134" s="160"/>
      <c r="C134" s="129">
        <f>C128+C133</f>
        <v>199</v>
      </c>
      <c r="D134" s="129"/>
      <c r="E134" s="97">
        <f>E128+E133</f>
        <v>117615.32171999999</v>
      </c>
      <c r="F134" s="97"/>
      <c r="G134" s="98">
        <f>G128+G133</f>
        <v>178573.34157390002</v>
      </c>
      <c r="H134" s="98"/>
    </row>
    <row r="135" spans="1:14" s="35" customFormat="1" x14ac:dyDescent="0.35">
      <c r="A135" s="124" t="s">
        <v>56</v>
      </c>
      <c r="B135" s="124"/>
      <c r="C135" s="124"/>
      <c r="D135" s="124"/>
      <c r="E135" s="124"/>
      <c r="F135" s="124"/>
      <c r="G135" s="124"/>
      <c r="H135" s="124"/>
    </row>
    <row r="136" spans="1:14" x14ac:dyDescent="0.35">
      <c r="A136" s="124" t="s">
        <v>177</v>
      </c>
      <c r="B136" s="124"/>
      <c r="C136" s="124"/>
      <c r="D136" s="124"/>
      <c r="E136" s="124"/>
      <c r="F136" s="124"/>
      <c r="G136" s="124"/>
      <c r="H136" s="124"/>
    </row>
    <row r="137" spans="1:14" ht="47.25" customHeight="1" x14ac:dyDescent="0.35">
      <c r="A137" s="104" t="s">
        <v>120</v>
      </c>
      <c r="B137" s="104" t="s">
        <v>179</v>
      </c>
      <c r="C137" s="104" t="s">
        <v>57</v>
      </c>
      <c r="D137" s="104" t="s">
        <v>58</v>
      </c>
      <c r="E137" s="155" t="s">
        <v>156</v>
      </c>
      <c r="F137" s="44" t="s">
        <v>149</v>
      </c>
      <c r="G137" s="204" t="s">
        <v>60</v>
      </c>
      <c r="H137" s="205"/>
    </row>
    <row r="138" spans="1:14" s="38" customFormat="1" x14ac:dyDescent="0.35">
      <c r="A138" s="105"/>
      <c r="B138" s="105"/>
      <c r="C138" s="105"/>
      <c r="D138" s="105"/>
      <c r="E138" s="156"/>
      <c r="F138" s="13">
        <v>0.55000000000000004</v>
      </c>
      <c r="G138" s="206"/>
      <c r="H138" s="207"/>
    </row>
    <row r="139" spans="1:14" s="60" customFormat="1" x14ac:dyDescent="0.35">
      <c r="A139" s="88" t="s">
        <v>262</v>
      </c>
      <c r="B139" s="89"/>
      <c r="C139" s="89"/>
      <c r="D139" s="89"/>
      <c r="E139" s="89"/>
      <c r="F139" s="89"/>
      <c r="G139" s="89"/>
      <c r="H139" s="90"/>
      <c r="J139" s="37"/>
    </row>
    <row r="140" spans="1:14" s="38" customFormat="1" x14ac:dyDescent="0.35">
      <c r="A140" s="88" t="s">
        <v>263</v>
      </c>
      <c r="B140" s="89"/>
      <c r="C140" s="89"/>
      <c r="D140" s="89"/>
      <c r="E140" s="89"/>
      <c r="F140" s="89"/>
      <c r="G140" s="89"/>
      <c r="H140" s="90"/>
      <c r="J140" s="61">
        <v>10.763999999999999</v>
      </c>
    </row>
    <row r="141" spans="1:14" s="38" customFormat="1" ht="15.75" customHeight="1" x14ac:dyDescent="0.35">
      <c r="A141" s="86">
        <v>1</v>
      </c>
      <c r="B141" s="87"/>
      <c r="C141" s="43" t="s">
        <v>264</v>
      </c>
      <c r="D141" s="61">
        <f>(9.91+4.94)*10.764</f>
        <v>159.84540000000001</v>
      </c>
      <c r="E141" s="61">
        <f>(3.05*1.63)*10.764</f>
        <v>53.513225999999996</v>
      </c>
      <c r="F141" s="43">
        <f>(D141+E141)*(($F$138)+1)</f>
        <v>330.70587030000002</v>
      </c>
      <c r="G141" s="75" t="str">
        <f>A140</f>
        <v>Ground Floor For Commercial, Meter Room, Driver Room &amp; Parking</v>
      </c>
      <c r="H141" s="77"/>
      <c r="I141" s="37">
        <f>3.05*4.9</f>
        <v>14.945</v>
      </c>
      <c r="J141" s="38">
        <f>1.5*3.05</f>
        <v>4.5749999999999993</v>
      </c>
      <c r="K141" s="37">
        <f>I141-J141</f>
        <v>10.370000000000001</v>
      </c>
      <c r="L141" s="85"/>
      <c r="M141" s="85"/>
      <c r="N141" s="37"/>
    </row>
    <row r="142" spans="1:14" s="38" customFormat="1" ht="15.75" customHeight="1" x14ac:dyDescent="0.35">
      <c r="A142" s="86">
        <f t="shared" ref="A142:A159" si="0">A141+1</f>
        <v>2</v>
      </c>
      <c r="B142" s="87"/>
      <c r="C142" s="59" t="s">
        <v>264</v>
      </c>
      <c r="D142" s="61">
        <f>(6.58+4.02)*10.764</f>
        <v>114.09839999999998</v>
      </c>
      <c r="E142" s="61">
        <f>(3.05*1.17)*10.764</f>
        <v>38.411333999999997</v>
      </c>
      <c r="F142" s="43">
        <f t="shared" ref="F142:F144" si="1">(D142+E142)*(($F$138)+1)</f>
        <v>236.39008769999998</v>
      </c>
      <c r="G142" s="78"/>
      <c r="H142" s="80"/>
      <c r="I142" s="37">
        <f>3.05*3.5-1.2*3.05</f>
        <v>7.0149999999999988</v>
      </c>
      <c r="L142" s="85"/>
      <c r="M142" s="85"/>
      <c r="N142" s="37"/>
    </row>
    <row r="143" spans="1:14" s="38" customFormat="1" ht="15.75" customHeight="1" x14ac:dyDescent="0.35">
      <c r="A143" s="86">
        <f t="shared" si="0"/>
        <v>3</v>
      </c>
      <c r="B143" s="87"/>
      <c r="C143" s="59" t="s">
        <v>264</v>
      </c>
      <c r="D143" s="61">
        <f>(10.34+4.11)*10.764</f>
        <v>155.53979999999999</v>
      </c>
      <c r="E143" s="61">
        <f>(2.55*1.9)*10.764</f>
        <v>52.151579999999996</v>
      </c>
      <c r="F143" s="43">
        <f t="shared" si="1"/>
        <v>321.92163899999997</v>
      </c>
      <c r="G143" s="78"/>
      <c r="H143" s="80"/>
      <c r="I143" s="37"/>
      <c r="L143" s="85"/>
      <c r="M143" s="85"/>
      <c r="N143" s="37"/>
    </row>
    <row r="144" spans="1:14" s="38" customFormat="1" ht="15.75" customHeight="1" x14ac:dyDescent="0.35">
      <c r="A144" s="86">
        <f t="shared" si="0"/>
        <v>4</v>
      </c>
      <c r="B144" s="87"/>
      <c r="C144" s="59" t="s">
        <v>264</v>
      </c>
      <c r="D144" s="61">
        <f>(5.63+3.35)*10.764</f>
        <v>96.660719999999998</v>
      </c>
      <c r="E144" s="61">
        <f>(3.05*1.18)*10.764</f>
        <v>38.739635999999997</v>
      </c>
      <c r="F144" s="43">
        <f t="shared" si="1"/>
        <v>209.87055179999999</v>
      </c>
      <c r="G144" s="78"/>
      <c r="H144" s="80"/>
      <c r="I144" s="37"/>
      <c r="L144" s="85"/>
      <c r="M144" s="85"/>
      <c r="N144" s="37"/>
    </row>
    <row r="145" spans="1:14" s="60" customFormat="1" ht="15.75" customHeight="1" x14ac:dyDescent="0.35">
      <c r="A145" s="86">
        <f t="shared" si="0"/>
        <v>5</v>
      </c>
      <c r="B145" s="87"/>
      <c r="C145" s="59" t="s">
        <v>264</v>
      </c>
      <c r="D145" s="61">
        <f>(14.71+5.7)*10.764</f>
        <v>219.69323999999997</v>
      </c>
      <c r="E145" s="61">
        <f>(3.5*1.95)*10.764</f>
        <v>73.464299999999994</v>
      </c>
      <c r="F145" s="59">
        <f t="shared" ref="F145:F150" si="2">(D145+E145)*(($F$138)+1)</f>
        <v>454.39418699999999</v>
      </c>
      <c r="G145" s="78"/>
      <c r="H145" s="80"/>
      <c r="I145" s="37"/>
      <c r="L145" s="85"/>
      <c r="M145" s="85"/>
      <c r="N145" s="37"/>
    </row>
    <row r="146" spans="1:14" s="60" customFormat="1" ht="15.75" customHeight="1" x14ac:dyDescent="0.35">
      <c r="A146" s="86">
        <f t="shared" si="0"/>
        <v>6</v>
      </c>
      <c r="B146" s="87"/>
      <c r="C146" s="59" t="s">
        <v>264</v>
      </c>
      <c r="D146" s="61">
        <f>(10.61+3.21)*10.764</f>
        <v>148.75847999999999</v>
      </c>
      <c r="E146" s="61">
        <f>(2.45*1.7+1*1.2)*10.764</f>
        <v>57.748860000000001</v>
      </c>
      <c r="F146" s="59">
        <f t="shared" si="2"/>
        <v>320.08637700000003</v>
      </c>
      <c r="G146" s="78"/>
      <c r="H146" s="80"/>
      <c r="I146" s="37"/>
      <c r="L146" s="85"/>
      <c r="M146" s="85"/>
      <c r="N146" s="37"/>
    </row>
    <row r="147" spans="1:14" s="60" customFormat="1" ht="15.75" customHeight="1" x14ac:dyDescent="0.35">
      <c r="A147" s="86">
        <f t="shared" si="0"/>
        <v>7</v>
      </c>
      <c r="B147" s="87"/>
      <c r="C147" s="59" t="s">
        <v>264</v>
      </c>
      <c r="D147" s="61">
        <f>(11.24+4.94)*10.764</f>
        <v>174.16152</v>
      </c>
      <c r="E147" s="61">
        <f>(3.05*1.78)*10.764</f>
        <v>58.437755999999993</v>
      </c>
      <c r="F147" s="59">
        <f t="shared" si="2"/>
        <v>360.52887779999998</v>
      </c>
      <c r="G147" s="78"/>
      <c r="H147" s="80"/>
      <c r="I147" s="37"/>
      <c r="L147" s="85"/>
      <c r="M147" s="85"/>
      <c r="N147" s="37"/>
    </row>
    <row r="148" spans="1:14" s="60" customFormat="1" ht="15.75" customHeight="1" x14ac:dyDescent="0.35">
      <c r="A148" s="86">
        <f t="shared" si="0"/>
        <v>8</v>
      </c>
      <c r="B148" s="87"/>
      <c r="C148" s="59" t="s">
        <v>264</v>
      </c>
      <c r="D148" s="61">
        <f>(11.57+4.95)*10.764</f>
        <v>177.82127999999997</v>
      </c>
      <c r="E148" s="61">
        <f>(3.05*1.81)*10.764</f>
        <v>59.422661999999995</v>
      </c>
      <c r="F148" s="59">
        <f t="shared" si="2"/>
        <v>367.72811009999998</v>
      </c>
      <c r="G148" s="78"/>
      <c r="H148" s="80"/>
      <c r="I148" s="37"/>
      <c r="L148" s="85"/>
      <c r="M148" s="85"/>
      <c r="N148" s="37"/>
    </row>
    <row r="149" spans="1:14" s="60" customFormat="1" ht="15.75" customHeight="1" x14ac:dyDescent="0.35">
      <c r="A149" s="86">
        <f t="shared" si="0"/>
        <v>9</v>
      </c>
      <c r="B149" s="87"/>
      <c r="C149" s="59" t="s">
        <v>264</v>
      </c>
      <c r="D149" s="61">
        <f>(11.35+4.72)*10.764</f>
        <v>172.97747999999999</v>
      </c>
      <c r="E149" s="61">
        <f>(2.9*1.84)*10.764</f>
        <v>57.436703999999999</v>
      </c>
      <c r="F149" s="59">
        <f t="shared" si="2"/>
        <v>357.14198519999997</v>
      </c>
      <c r="G149" s="78"/>
      <c r="H149" s="80"/>
      <c r="I149" s="37"/>
      <c r="L149" s="85"/>
      <c r="M149" s="85"/>
      <c r="N149" s="37"/>
    </row>
    <row r="150" spans="1:14" s="60" customFormat="1" ht="15.75" customHeight="1" x14ac:dyDescent="0.35">
      <c r="A150" s="86">
        <f t="shared" si="0"/>
        <v>10</v>
      </c>
      <c r="B150" s="87"/>
      <c r="C150" s="59" t="s">
        <v>264</v>
      </c>
      <c r="D150" s="61">
        <f>(12.98+3.95)*10.764</f>
        <v>182.23451999999997</v>
      </c>
      <c r="E150" s="61">
        <f>(2.45*2.31)*10.764</f>
        <v>60.918858</v>
      </c>
      <c r="F150" s="59">
        <f t="shared" si="2"/>
        <v>376.8877359</v>
      </c>
      <c r="G150" s="78"/>
      <c r="H150" s="80"/>
      <c r="I150" s="37"/>
      <c r="L150" s="85"/>
      <c r="M150" s="85"/>
      <c r="N150" s="37"/>
    </row>
    <row r="151" spans="1:14" s="60" customFormat="1" ht="15.75" customHeight="1" x14ac:dyDescent="0.35">
      <c r="A151" s="86">
        <f t="shared" si="0"/>
        <v>11</v>
      </c>
      <c r="B151" s="87"/>
      <c r="C151" s="59" t="s">
        <v>264</v>
      </c>
      <c r="D151" s="61">
        <f>(13.72+3.95)*10.764</f>
        <v>190.19988000000001</v>
      </c>
      <c r="E151" s="61">
        <f>(2.45*2.41)*10.764</f>
        <v>63.556038000000001</v>
      </c>
      <c r="F151" s="59">
        <f t="shared" ref="F151:F154" si="3">(D151+E151)*(($F$138)+1)</f>
        <v>393.32167290000001</v>
      </c>
      <c r="G151" s="78"/>
      <c r="H151" s="80"/>
      <c r="I151" s="37"/>
      <c r="L151" s="85"/>
      <c r="M151" s="85"/>
      <c r="N151" s="37"/>
    </row>
    <row r="152" spans="1:14" s="60" customFormat="1" ht="15.75" customHeight="1" x14ac:dyDescent="0.35">
      <c r="A152" s="86">
        <f t="shared" si="0"/>
        <v>12</v>
      </c>
      <c r="B152" s="87"/>
      <c r="C152" s="59" t="s">
        <v>264</v>
      </c>
      <c r="D152" s="61">
        <f>(12.52+4.7)*10.764</f>
        <v>185.35607999999996</v>
      </c>
      <c r="E152" s="61">
        <f>(2.9*1.98)*10.764</f>
        <v>61.806887999999994</v>
      </c>
      <c r="F152" s="59">
        <f t="shared" si="3"/>
        <v>383.10260039999991</v>
      </c>
      <c r="G152" s="78"/>
      <c r="H152" s="80"/>
      <c r="I152" s="37"/>
      <c r="L152" s="85"/>
      <c r="M152" s="85"/>
      <c r="N152" s="37"/>
    </row>
    <row r="153" spans="1:14" s="60" customFormat="1" ht="15.75" customHeight="1" x14ac:dyDescent="0.35">
      <c r="A153" s="86">
        <f t="shared" si="0"/>
        <v>13</v>
      </c>
      <c r="B153" s="87"/>
      <c r="C153" s="59" t="s">
        <v>264</v>
      </c>
      <c r="D153" s="61">
        <f>(12.12+4.96)*10.764</f>
        <v>183.84911999999997</v>
      </c>
      <c r="E153" s="61">
        <f>(3.05*1.88)*10.764</f>
        <v>61.720775999999987</v>
      </c>
      <c r="F153" s="59">
        <f t="shared" si="3"/>
        <v>380.63333879999999</v>
      </c>
      <c r="G153" s="78"/>
      <c r="H153" s="80"/>
      <c r="I153" s="37"/>
      <c r="L153" s="85"/>
      <c r="M153" s="85"/>
      <c r="N153" s="37"/>
    </row>
    <row r="154" spans="1:14" s="60" customFormat="1" ht="15.75" customHeight="1" x14ac:dyDescent="0.35">
      <c r="A154" s="86">
        <f t="shared" si="0"/>
        <v>14</v>
      </c>
      <c r="B154" s="87"/>
      <c r="C154" s="59" t="s">
        <v>264</v>
      </c>
      <c r="D154" s="61">
        <f>(10.93+4.92)*10.764</f>
        <v>170.60939999999999</v>
      </c>
      <c r="E154" s="61">
        <f>(3.05*1.75)*10.764</f>
        <v>57.452849999999991</v>
      </c>
      <c r="F154" s="59">
        <f t="shared" si="3"/>
        <v>353.4964875</v>
      </c>
      <c r="G154" s="78"/>
      <c r="H154" s="80"/>
      <c r="I154" s="37"/>
      <c r="L154" s="85"/>
      <c r="M154" s="85"/>
      <c r="N154" s="37"/>
    </row>
    <row r="155" spans="1:14" s="60" customFormat="1" ht="15.75" customHeight="1" x14ac:dyDescent="0.35">
      <c r="A155" s="86">
        <f t="shared" si="0"/>
        <v>15</v>
      </c>
      <c r="B155" s="87"/>
      <c r="C155" s="59" t="s">
        <v>264</v>
      </c>
      <c r="D155" s="61">
        <f>(11.16+3.93)*10.764</f>
        <v>162.42875999999998</v>
      </c>
      <c r="E155" s="61">
        <f>(2.45*2.06)*10.764</f>
        <v>54.325908000000005</v>
      </c>
      <c r="F155" s="59">
        <f t="shared" ref="F155:F157" si="4">(D155+E155)*(($F$138)+1)</f>
        <v>335.96973539999999</v>
      </c>
      <c r="G155" s="78"/>
      <c r="H155" s="80"/>
      <c r="I155" s="37"/>
      <c r="L155" s="85"/>
      <c r="M155" s="85"/>
      <c r="N155" s="37"/>
    </row>
    <row r="156" spans="1:14" s="60" customFormat="1" ht="15.75" customHeight="1" x14ac:dyDescent="0.35">
      <c r="A156" s="86">
        <f t="shared" si="0"/>
        <v>16</v>
      </c>
      <c r="B156" s="87"/>
      <c r="C156" s="59" t="s">
        <v>264</v>
      </c>
      <c r="D156" s="61">
        <f>(14.56+5.68)*10.764</f>
        <v>217.86336</v>
      </c>
      <c r="E156" s="61">
        <f>(3.5*1.93)*10.764</f>
        <v>72.710819999999998</v>
      </c>
      <c r="F156" s="59">
        <f t="shared" si="4"/>
        <v>450.38997900000004</v>
      </c>
      <c r="G156" s="78"/>
      <c r="H156" s="80"/>
      <c r="I156" s="37"/>
      <c r="L156" s="85"/>
      <c r="M156" s="85"/>
      <c r="N156" s="37"/>
    </row>
    <row r="157" spans="1:14" s="60" customFormat="1" ht="15.75" customHeight="1" x14ac:dyDescent="0.35">
      <c r="A157" s="86">
        <f t="shared" si="0"/>
        <v>17</v>
      </c>
      <c r="B157" s="87"/>
      <c r="C157" s="59" t="s">
        <v>264</v>
      </c>
      <c r="D157" s="61">
        <f>(5.4+3.35)*10.764</f>
        <v>94.184999999999988</v>
      </c>
      <c r="E157" s="61">
        <f>(2.55*1.15)*10.764</f>
        <v>31.565429999999996</v>
      </c>
      <c r="F157" s="59">
        <f t="shared" si="4"/>
        <v>194.91316649999999</v>
      </c>
      <c r="G157" s="78"/>
      <c r="H157" s="80"/>
      <c r="I157" s="37"/>
      <c r="L157" s="85"/>
      <c r="M157" s="85"/>
      <c r="N157" s="37"/>
    </row>
    <row r="158" spans="1:14" s="60" customFormat="1" ht="15.75" customHeight="1" x14ac:dyDescent="0.35">
      <c r="A158" s="86">
        <f t="shared" si="0"/>
        <v>18</v>
      </c>
      <c r="B158" s="87"/>
      <c r="C158" s="59" t="s">
        <v>264</v>
      </c>
      <c r="D158" s="61">
        <f>(9.35+4.11)*10.764</f>
        <v>144.88344000000001</v>
      </c>
      <c r="E158" s="61">
        <f>(2.55*1.76)*10.764</f>
        <v>48.308831999999995</v>
      </c>
      <c r="F158" s="59">
        <f t="shared" ref="F158:F159" si="5">(D158+E158)*(($F$138)+1)</f>
        <v>299.4480216</v>
      </c>
      <c r="G158" s="78"/>
      <c r="H158" s="80"/>
      <c r="I158" s="37"/>
      <c r="L158" s="85"/>
      <c r="M158" s="85"/>
      <c r="N158" s="37"/>
    </row>
    <row r="159" spans="1:14" s="60" customFormat="1" ht="15.75" customHeight="1" x14ac:dyDescent="0.35">
      <c r="A159" s="86">
        <f t="shared" si="0"/>
        <v>19</v>
      </c>
      <c r="B159" s="87"/>
      <c r="C159" s="59" t="s">
        <v>264</v>
      </c>
      <c r="D159" s="61">
        <f>(5.36+4.01)*10.764</f>
        <v>100.85868000000001</v>
      </c>
      <c r="E159" s="61">
        <v>0</v>
      </c>
      <c r="F159" s="59">
        <f t="shared" si="5"/>
        <v>156.33095400000002</v>
      </c>
      <c r="G159" s="81"/>
      <c r="H159" s="83"/>
      <c r="I159" s="37"/>
      <c r="L159" s="85"/>
      <c r="M159" s="85"/>
      <c r="N159" s="37"/>
    </row>
    <row r="160" spans="1:14" s="60" customFormat="1" x14ac:dyDescent="0.35">
      <c r="A160" s="88" t="s">
        <v>265</v>
      </c>
      <c r="B160" s="89"/>
      <c r="C160" s="89"/>
      <c r="D160" s="89"/>
      <c r="E160" s="89"/>
      <c r="F160" s="89"/>
      <c r="G160" s="89"/>
      <c r="H160" s="90"/>
      <c r="J160" s="37"/>
    </row>
    <row r="161" spans="1:14" s="60" customFormat="1" x14ac:dyDescent="0.35">
      <c r="A161" s="88" t="s">
        <v>266</v>
      </c>
      <c r="B161" s="89"/>
      <c r="C161" s="89"/>
      <c r="D161" s="89"/>
      <c r="E161" s="89"/>
      <c r="F161" s="89"/>
      <c r="G161" s="89"/>
      <c r="H161" s="90"/>
      <c r="J161" s="61">
        <v>10.763999999999999</v>
      </c>
    </row>
    <row r="162" spans="1:14" s="60" customFormat="1" ht="15.75" customHeight="1" x14ac:dyDescent="0.35">
      <c r="A162" s="86">
        <v>1</v>
      </c>
      <c r="B162" s="87"/>
      <c r="C162" s="59" t="s">
        <v>264</v>
      </c>
      <c r="D162" s="61">
        <f>(19.98+7.97)*10.764</f>
        <v>300.85379999999998</v>
      </c>
      <c r="E162" s="61">
        <f>(3.15*2.95)*10.764</f>
        <v>100.02446999999999</v>
      </c>
      <c r="F162" s="59">
        <f>(D162+E162)*(($F$138)+1)</f>
        <v>621.36131850000004</v>
      </c>
      <c r="G162" s="75" t="str">
        <f>A161</f>
        <v>Ground Floor For Commercial</v>
      </c>
      <c r="H162" s="77"/>
      <c r="I162" s="37"/>
      <c r="K162" s="37"/>
      <c r="L162" s="85"/>
      <c r="M162" s="85"/>
      <c r="N162" s="37"/>
    </row>
    <row r="163" spans="1:14" s="60" customFormat="1" ht="15.75" customHeight="1" x14ac:dyDescent="0.35">
      <c r="A163" s="86">
        <f t="shared" ref="A163:A164" si="6">A162+1</f>
        <v>2</v>
      </c>
      <c r="B163" s="87"/>
      <c r="C163" s="59" t="s">
        <v>264</v>
      </c>
      <c r="D163" s="61">
        <f>(19+8.4)*10.764</f>
        <v>294.93359999999996</v>
      </c>
      <c r="E163" s="61">
        <f>(3.35*2.5)*10.764</f>
        <v>90.148499999999999</v>
      </c>
      <c r="F163" s="59">
        <f t="shared" ref="F163:F164" si="7">(D163+E163)*(($F$138)+1)</f>
        <v>596.87725499999999</v>
      </c>
      <c r="G163" s="78"/>
      <c r="H163" s="80"/>
      <c r="I163" s="37"/>
      <c r="L163" s="85"/>
      <c r="M163" s="85"/>
      <c r="N163" s="37"/>
    </row>
    <row r="164" spans="1:14" s="60" customFormat="1" ht="15.75" customHeight="1" x14ac:dyDescent="0.35">
      <c r="A164" s="86">
        <f t="shared" si="6"/>
        <v>3</v>
      </c>
      <c r="B164" s="87"/>
      <c r="C164" s="59" t="s">
        <v>264</v>
      </c>
      <c r="D164" s="61">
        <f>(14.84+6.69)*10.764</f>
        <v>231.74892</v>
      </c>
      <c r="E164" s="61">
        <f>(3.35*1.4+0.5*3.35*1.1)*10.764</f>
        <v>70.315829999999991</v>
      </c>
      <c r="F164" s="59">
        <f t="shared" si="7"/>
        <v>468.20036250000004</v>
      </c>
      <c r="G164" s="81"/>
      <c r="H164" s="83"/>
      <c r="I164" s="37"/>
      <c r="L164" s="85"/>
      <c r="M164" s="85"/>
      <c r="N164" s="37"/>
    </row>
    <row r="165" spans="1:14" s="38" customFormat="1" x14ac:dyDescent="0.35">
      <c r="A165" s="74"/>
      <c r="B165" s="74"/>
      <c r="C165" s="74"/>
      <c r="D165" s="74"/>
      <c r="E165" s="74"/>
      <c r="F165" s="74"/>
      <c r="G165" s="74"/>
      <c r="H165" s="74"/>
      <c r="I165" s="37"/>
      <c r="N165" s="37"/>
    </row>
    <row r="166" spans="1:14" ht="47.25" customHeight="1" x14ac:dyDescent="0.35">
      <c r="A166" s="145" t="s">
        <v>121</v>
      </c>
      <c r="B166" s="145" t="s">
        <v>180</v>
      </c>
      <c r="C166" s="145" t="s">
        <v>57</v>
      </c>
      <c r="D166" s="145" t="s">
        <v>58</v>
      </c>
      <c r="E166" s="146" t="s">
        <v>59</v>
      </c>
      <c r="F166" s="71" t="s">
        <v>149</v>
      </c>
      <c r="G166" s="145" t="s">
        <v>60</v>
      </c>
      <c r="H166" s="145"/>
      <c r="I166" s="37"/>
    </row>
    <row r="167" spans="1:14" s="38" customFormat="1" x14ac:dyDescent="0.35">
      <c r="A167" s="145"/>
      <c r="B167" s="145"/>
      <c r="C167" s="145"/>
      <c r="D167" s="145"/>
      <c r="E167" s="146"/>
      <c r="F167" s="68">
        <v>0.5</v>
      </c>
      <c r="G167" s="145"/>
      <c r="H167" s="145"/>
      <c r="I167" s="37"/>
    </row>
    <row r="168" spans="1:14" s="60" customFormat="1" x14ac:dyDescent="0.35">
      <c r="A168" s="84" t="s">
        <v>262</v>
      </c>
      <c r="B168" s="84"/>
      <c r="C168" s="84"/>
      <c r="D168" s="84"/>
      <c r="E168" s="84"/>
      <c r="F168" s="84"/>
      <c r="G168" s="84"/>
      <c r="H168" s="84"/>
      <c r="J168" s="37"/>
    </row>
    <row r="169" spans="1:14" s="60" customFormat="1" x14ac:dyDescent="0.35">
      <c r="A169" s="84" t="s">
        <v>267</v>
      </c>
      <c r="B169" s="84"/>
      <c r="C169" s="84"/>
      <c r="D169" s="84"/>
      <c r="E169" s="84"/>
      <c r="F169" s="84"/>
      <c r="G169" s="84"/>
      <c r="H169" s="84"/>
      <c r="J169" s="61">
        <v>10.763999999999999</v>
      </c>
    </row>
    <row r="170" spans="1:14" s="60" customFormat="1" ht="15.75" customHeight="1" x14ac:dyDescent="0.35">
      <c r="A170" s="74">
        <v>1</v>
      </c>
      <c r="B170" s="74"/>
      <c r="C170" s="74" t="s">
        <v>270</v>
      </c>
      <c r="D170" s="74"/>
      <c r="E170" s="74"/>
      <c r="F170" s="74"/>
      <c r="G170" s="74" t="str">
        <f>A169</f>
        <v>1st to 3rd Floor For Residential</v>
      </c>
      <c r="H170" s="74"/>
      <c r="I170" s="37"/>
      <c r="L170" s="85"/>
      <c r="M170" s="85"/>
      <c r="N170" s="37"/>
    </row>
    <row r="171" spans="1:14" s="60" customFormat="1" ht="15.75" customHeight="1" x14ac:dyDescent="0.35">
      <c r="A171" s="74">
        <f t="shared" ref="A171:A181" si="8">A170+1</f>
        <v>2</v>
      </c>
      <c r="B171" s="74"/>
      <c r="C171" s="74"/>
      <c r="D171" s="74"/>
      <c r="E171" s="74"/>
      <c r="F171" s="74"/>
      <c r="G171" s="74"/>
      <c r="H171" s="74"/>
      <c r="I171" s="37"/>
      <c r="L171" s="85"/>
      <c r="M171" s="85"/>
      <c r="N171" s="37"/>
    </row>
    <row r="172" spans="1:14" s="60" customFormat="1" ht="15.75" customHeight="1" x14ac:dyDescent="0.35">
      <c r="A172" s="74">
        <f t="shared" si="8"/>
        <v>3</v>
      </c>
      <c r="B172" s="74"/>
      <c r="C172" s="70" t="s">
        <v>268</v>
      </c>
      <c r="D172" s="61">
        <f>(47+3.44+0.75*(2.55))*10.764</f>
        <v>563.52230999999995</v>
      </c>
      <c r="E172" s="70">
        <v>0</v>
      </c>
      <c r="F172" s="70">
        <f t="shared" ref="F172:F177" si="9">D172*(($F$167)+1)+(IF(E172&lt;101,E172,IF(E172&lt;201,E172/2,IF(E172&lt;=301,E172/3,E172/4))))</f>
        <v>845.28346499999998</v>
      </c>
      <c r="G172" s="74"/>
      <c r="H172" s="74"/>
      <c r="I172" s="37">
        <f>5.25*3.5+2.55*2.75+3.05*3.2+1.45*3.05+1.45*1.5+1.45*1.9+(1.5*2.5+0.8*2.55)</f>
        <v>50.29</v>
      </c>
      <c r="K172" s="37"/>
      <c r="L172" s="85">
        <f>47+3.44</f>
        <v>50.44</v>
      </c>
      <c r="M172" s="85"/>
      <c r="N172" s="37"/>
    </row>
    <row r="173" spans="1:14" s="60" customFormat="1" ht="15.75" customHeight="1" x14ac:dyDescent="0.35">
      <c r="A173" s="74">
        <f t="shared" si="8"/>
        <v>4</v>
      </c>
      <c r="B173" s="74"/>
      <c r="C173" s="70" t="s">
        <v>268</v>
      </c>
      <c r="D173" s="61">
        <f>(38.67+8.71+0.75*(2.45))*10.764</f>
        <v>529.77716999999996</v>
      </c>
      <c r="E173" s="70">
        <v>0</v>
      </c>
      <c r="F173" s="70">
        <f t="shared" si="9"/>
        <v>794.66575499999999</v>
      </c>
      <c r="G173" s="74"/>
      <c r="H173" s="74"/>
      <c r="I173" s="37">
        <f>3.05*4.55+2.45*2.75+3.05*3.4+1.65*0.5+1.25*1.7+1.25*1.95+1.25*1.4+(1.8*1.8+1*3.05+0.8*2.45)</f>
        <v>46.372500000000002</v>
      </c>
      <c r="J173" s="60">
        <f>5399000/F173</f>
        <v>6794.0514185111706</v>
      </c>
      <c r="K173" s="37"/>
      <c r="L173" s="85">
        <f>38.67+8.71</f>
        <v>47.38</v>
      </c>
      <c r="M173" s="85"/>
      <c r="N173" s="37"/>
    </row>
    <row r="174" spans="1:14" s="60" customFormat="1" ht="15.75" customHeight="1" x14ac:dyDescent="0.35">
      <c r="A174" s="74">
        <f t="shared" si="8"/>
        <v>5</v>
      </c>
      <c r="B174" s="74"/>
      <c r="C174" s="70" t="s">
        <v>269</v>
      </c>
      <c r="D174" s="61">
        <f>(61.61+7.95+0.75*(2.45))*10.764</f>
        <v>768.52269000000001</v>
      </c>
      <c r="E174" s="70">
        <v>0</v>
      </c>
      <c r="F174" s="70">
        <f t="shared" si="9"/>
        <v>1152.7840350000001</v>
      </c>
      <c r="G174" s="74"/>
      <c r="H174" s="74"/>
      <c r="I174" s="37">
        <f>4.8*4.55+2.45*2.8+2.9*3.2+3.05*3.4+3.05*0.5+1.35*1.95+1.35*1.7+1.7*1.1+1.6*1.85+(1*3.05+1.8*2.2+2.45*0.8)</f>
        <v>68.602499999999992</v>
      </c>
      <c r="L174" s="85">
        <f>61.61+7.95</f>
        <v>69.56</v>
      </c>
      <c r="M174" s="85"/>
      <c r="N174" s="37"/>
    </row>
    <row r="175" spans="1:14" s="60" customFormat="1" ht="15.75" customHeight="1" x14ac:dyDescent="0.35">
      <c r="A175" s="74">
        <f t="shared" si="8"/>
        <v>6</v>
      </c>
      <c r="B175" s="74"/>
      <c r="C175" s="70" t="s">
        <v>269</v>
      </c>
      <c r="D175" s="61">
        <f>(58.73+8.27+0.75*(2.45))*10.764</f>
        <v>740.96685000000002</v>
      </c>
      <c r="E175" s="70">
        <v>0</v>
      </c>
      <c r="F175" s="70">
        <f t="shared" si="9"/>
        <v>1111.4502750000001</v>
      </c>
      <c r="G175" s="74"/>
      <c r="H175" s="74"/>
      <c r="I175" s="37"/>
      <c r="L175" s="85"/>
      <c r="M175" s="85"/>
      <c r="N175" s="37"/>
    </row>
    <row r="176" spans="1:14" s="60" customFormat="1" ht="15.75" customHeight="1" x14ac:dyDescent="0.35">
      <c r="A176" s="74">
        <f t="shared" si="8"/>
        <v>7</v>
      </c>
      <c r="B176" s="74"/>
      <c r="C176" s="70" t="s">
        <v>268</v>
      </c>
      <c r="D176" s="61">
        <f>(39.8+7.6+0.75*(2.45))*10.764</f>
        <v>529.99244999999996</v>
      </c>
      <c r="E176" s="70">
        <v>0</v>
      </c>
      <c r="F176" s="70">
        <f t="shared" si="9"/>
        <v>794.98867499999994</v>
      </c>
      <c r="G176" s="74"/>
      <c r="H176" s="74"/>
      <c r="I176" s="37"/>
      <c r="L176" s="85"/>
      <c r="M176" s="85"/>
      <c r="N176" s="37"/>
    </row>
    <row r="177" spans="1:14" s="60" customFormat="1" ht="15.75" customHeight="1" x14ac:dyDescent="0.35">
      <c r="A177" s="74">
        <f t="shared" si="8"/>
        <v>8</v>
      </c>
      <c r="B177" s="74"/>
      <c r="C177" s="70" t="s">
        <v>269</v>
      </c>
      <c r="D177" s="61">
        <f>(59.78+6.03+0.75*(2.55))*10.764</f>
        <v>728.96498999999994</v>
      </c>
      <c r="E177" s="70">
        <v>0</v>
      </c>
      <c r="F177" s="70">
        <f t="shared" si="9"/>
        <v>1093.4474849999999</v>
      </c>
      <c r="G177" s="74"/>
      <c r="H177" s="74"/>
      <c r="I177" s="37"/>
      <c r="L177" s="85"/>
      <c r="M177" s="85"/>
      <c r="N177" s="37"/>
    </row>
    <row r="178" spans="1:14" s="60" customFormat="1" ht="15.75" customHeight="1" x14ac:dyDescent="0.35">
      <c r="A178" s="74">
        <f t="shared" si="8"/>
        <v>9</v>
      </c>
      <c r="B178" s="74"/>
      <c r="C178" s="74" t="s">
        <v>270</v>
      </c>
      <c r="D178" s="74"/>
      <c r="E178" s="74"/>
      <c r="F178" s="74"/>
      <c r="G178" s="74"/>
      <c r="H178" s="74"/>
      <c r="I178" s="37"/>
      <c r="L178" s="85"/>
      <c r="M178" s="85"/>
      <c r="N178" s="37"/>
    </row>
    <row r="179" spans="1:14" s="60" customFormat="1" ht="15.75" customHeight="1" x14ac:dyDescent="0.35">
      <c r="A179" s="74">
        <f t="shared" si="8"/>
        <v>10</v>
      </c>
      <c r="B179" s="74"/>
      <c r="C179" s="74"/>
      <c r="D179" s="74"/>
      <c r="E179" s="74"/>
      <c r="F179" s="74"/>
      <c r="G179" s="74"/>
      <c r="H179" s="74"/>
      <c r="I179" s="37"/>
      <c r="L179" s="85"/>
      <c r="M179" s="85"/>
      <c r="N179" s="37"/>
    </row>
    <row r="180" spans="1:14" s="60" customFormat="1" ht="15.75" customHeight="1" x14ac:dyDescent="0.35">
      <c r="A180" s="74">
        <f t="shared" si="8"/>
        <v>11</v>
      </c>
      <c r="B180" s="74"/>
      <c r="C180" s="74"/>
      <c r="D180" s="74"/>
      <c r="E180" s="74"/>
      <c r="F180" s="74"/>
      <c r="G180" s="74"/>
      <c r="H180" s="74"/>
      <c r="I180" s="37"/>
      <c r="L180" s="85"/>
      <c r="M180" s="85"/>
      <c r="N180" s="37"/>
    </row>
    <row r="181" spans="1:14" s="60" customFormat="1" ht="15.75" customHeight="1" x14ac:dyDescent="0.35">
      <c r="A181" s="74">
        <f t="shared" si="8"/>
        <v>12</v>
      </c>
      <c r="B181" s="74"/>
      <c r="C181" s="74"/>
      <c r="D181" s="74"/>
      <c r="E181" s="74"/>
      <c r="F181" s="74"/>
      <c r="G181" s="74"/>
      <c r="H181" s="74"/>
      <c r="I181" s="37"/>
      <c r="L181" s="85"/>
      <c r="M181" s="85"/>
      <c r="N181" s="37"/>
    </row>
    <row r="182" spans="1:14" s="38" customFormat="1" x14ac:dyDescent="0.35">
      <c r="A182" s="88" t="s">
        <v>271</v>
      </c>
      <c r="B182" s="89"/>
      <c r="C182" s="89"/>
      <c r="D182" s="89"/>
      <c r="E182" s="89"/>
      <c r="F182" s="89"/>
      <c r="G182" s="89"/>
      <c r="H182" s="90"/>
      <c r="J182" s="37"/>
      <c r="K182" s="38">
        <v>7000</v>
      </c>
    </row>
    <row r="183" spans="1:14" s="38" customFormat="1" x14ac:dyDescent="0.35">
      <c r="A183" s="86">
        <v>1</v>
      </c>
      <c r="B183" s="87"/>
      <c r="C183" s="43" t="s">
        <v>268</v>
      </c>
      <c r="D183" s="61">
        <f>(34.8+11.04+0.75*(2.55))*10.764</f>
        <v>514.00790999999992</v>
      </c>
      <c r="E183" s="43">
        <v>0</v>
      </c>
      <c r="F183" s="43">
        <f t="shared" ref="F183:F194" si="10">D183*(($F$167)+1)+(IF(E183&lt;101,E183,IF(E183&lt;201,E183/2,IF(E183&lt;=301,E183/3,E183/4))))</f>
        <v>771.01186499999994</v>
      </c>
      <c r="G183" s="75" t="str">
        <f>A182</f>
        <v>4th Floor</v>
      </c>
      <c r="H183" s="77"/>
      <c r="I183" s="37"/>
      <c r="K183" s="38">
        <f>K$182*F183</f>
        <v>5397083.0549999997</v>
      </c>
      <c r="L183" s="85"/>
      <c r="M183" s="85"/>
      <c r="N183" s="37"/>
    </row>
    <row r="184" spans="1:14" s="38" customFormat="1" x14ac:dyDescent="0.35">
      <c r="A184" s="86">
        <f t="shared" ref="A184:A194" si="11">A183+1</f>
        <v>2</v>
      </c>
      <c r="B184" s="87"/>
      <c r="C184" s="43" t="s">
        <v>268</v>
      </c>
      <c r="D184" s="61">
        <f>(36.85+11.72+0.75*(2.55))*10.764</f>
        <v>543.39363000000003</v>
      </c>
      <c r="E184" s="43">
        <v>0</v>
      </c>
      <c r="F184" s="43">
        <f t="shared" si="10"/>
        <v>815.09044500000005</v>
      </c>
      <c r="G184" s="78" t="str">
        <f t="shared" ref="G184:G194" si="12">G183</f>
        <v>4th Floor</v>
      </c>
      <c r="H184" s="80"/>
      <c r="I184" s="37"/>
      <c r="K184" s="60">
        <f t="shared" ref="K184:K194" si="13">K$182*F184</f>
        <v>5705633.1150000002</v>
      </c>
      <c r="L184" s="85"/>
      <c r="M184" s="85"/>
      <c r="N184" s="37"/>
    </row>
    <row r="185" spans="1:14" s="38" customFormat="1" x14ac:dyDescent="0.35">
      <c r="A185" s="86">
        <f t="shared" si="11"/>
        <v>3</v>
      </c>
      <c r="B185" s="87"/>
      <c r="C185" s="43" t="s">
        <v>269</v>
      </c>
      <c r="D185" s="61">
        <f>(59.78+3.44+0.75*(2.55)+3.05)*10.764</f>
        <v>733.91642999999988</v>
      </c>
      <c r="E185" s="43">
        <v>0</v>
      </c>
      <c r="F185" s="43">
        <f t="shared" si="10"/>
        <v>1100.8746449999999</v>
      </c>
      <c r="G185" s="78" t="str">
        <f t="shared" si="12"/>
        <v>4th Floor</v>
      </c>
      <c r="H185" s="80"/>
      <c r="I185" s="37"/>
      <c r="K185" s="60">
        <f t="shared" si="13"/>
        <v>7706122.5149999987</v>
      </c>
      <c r="L185" s="85">
        <f>7300000/F185</f>
        <v>6631.0910448845889</v>
      </c>
      <c r="M185" s="85"/>
      <c r="N185" s="37"/>
    </row>
    <row r="186" spans="1:14" s="38" customFormat="1" ht="15" customHeight="1" x14ac:dyDescent="0.35">
      <c r="A186" s="86">
        <f t="shared" si="11"/>
        <v>4</v>
      </c>
      <c r="B186" s="87"/>
      <c r="C186" s="43" t="s">
        <v>268</v>
      </c>
      <c r="D186" s="61">
        <f>(38.67+8.71+0.75*(2.45))*10.764</f>
        <v>529.77716999999996</v>
      </c>
      <c r="E186" s="43">
        <v>0</v>
      </c>
      <c r="F186" s="43">
        <f t="shared" si="10"/>
        <v>794.66575499999999</v>
      </c>
      <c r="G186" s="78" t="str">
        <f t="shared" si="12"/>
        <v>4th Floor</v>
      </c>
      <c r="H186" s="80"/>
      <c r="I186" s="37"/>
      <c r="J186" s="38">
        <f>5399000/F186</f>
        <v>6794.0514185111706</v>
      </c>
      <c r="K186" s="60">
        <f t="shared" si="13"/>
        <v>5562660.2850000001</v>
      </c>
      <c r="L186" s="85">
        <f>5300000/F186</f>
        <v>6669.4707386755326</v>
      </c>
      <c r="M186" s="85"/>
      <c r="N186" s="37"/>
    </row>
    <row r="187" spans="1:14" s="60" customFormat="1" x14ac:dyDescent="0.35">
      <c r="A187" s="86">
        <f t="shared" si="11"/>
        <v>5</v>
      </c>
      <c r="B187" s="87"/>
      <c r="C187" s="59" t="s">
        <v>269</v>
      </c>
      <c r="D187" s="64">
        <f>(61.61+7.95+0.75*(2.45))*10.764</f>
        <v>768.52269000000001</v>
      </c>
      <c r="E187" s="59">
        <v>0</v>
      </c>
      <c r="F187" s="59">
        <f t="shared" si="10"/>
        <v>1152.7840350000001</v>
      </c>
      <c r="G187" s="78" t="str">
        <f t="shared" si="12"/>
        <v>4th Floor</v>
      </c>
      <c r="H187" s="80"/>
      <c r="I187" s="37"/>
      <c r="K187" s="60">
        <f t="shared" si="13"/>
        <v>8069488.245000001</v>
      </c>
      <c r="L187" s="85"/>
      <c r="M187" s="85"/>
      <c r="N187" s="37"/>
    </row>
    <row r="188" spans="1:14" s="60" customFormat="1" x14ac:dyDescent="0.35">
      <c r="A188" s="86">
        <f t="shared" si="11"/>
        <v>6</v>
      </c>
      <c r="B188" s="87"/>
      <c r="C188" s="59" t="s">
        <v>269</v>
      </c>
      <c r="D188" s="61">
        <f>(58.73+10.87+0.75*(2.45))*10.764</f>
        <v>768.95324999999991</v>
      </c>
      <c r="E188" s="59">
        <v>0</v>
      </c>
      <c r="F188" s="59">
        <f t="shared" si="10"/>
        <v>1153.4298749999998</v>
      </c>
      <c r="G188" s="78" t="str">
        <f t="shared" si="12"/>
        <v>4th Floor</v>
      </c>
      <c r="H188" s="80"/>
      <c r="I188" s="37"/>
      <c r="K188" s="60">
        <f t="shared" si="13"/>
        <v>8074009.1249999991</v>
      </c>
      <c r="L188" s="85"/>
      <c r="M188" s="85"/>
      <c r="N188" s="37"/>
    </row>
    <row r="189" spans="1:14" s="60" customFormat="1" x14ac:dyDescent="0.35">
      <c r="A189" s="86">
        <f t="shared" si="11"/>
        <v>7</v>
      </c>
      <c r="B189" s="87"/>
      <c r="C189" s="59" t="s">
        <v>268</v>
      </c>
      <c r="D189" s="61">
        <f>(39.8+7.6+0.75*(2.45))*10.764</f>
        <v>529.99244999999996</v>
      </c>
      <c r="E189" s="59">
        <v>0</v>
      </c>
      <c r="F189" s="59">
        <f t="shared" si="10"/>
        <v>794.98867499999994</v>
      </c>
      <c r="G189" s="78" t="str">
        <f t="shared" si="12"/>
        <v>4th Floor</v>
      </c>
      <c r="H189" s="80"/>
      <c r="I189" s="37"/>
      <c r="K189" s="60">
        <f t="shared" si="13"/>
        <v>5564920.7249999996</v>
      </c>
      <c r="L189" s="85"/>
      <c r="M189" s="85"/>
      <c r="N189" s="37"/>
    </row>
    <row r="190" spans="1:14" s="60" customFormat="1" x14ac:dyDescent="0.35">
      <c r="A190" s="86">
        <f t="shared" si="11"/>
        <v>8</v>
      </c>
      <c r="B190" s="87"/>
      <c r="C190" s="59" t="s">
        <v>269</v>
      </c>
      <c r="D190" s="61">
        <f>(59.78+3.44+0.75*(2.55)+3.05)*10.764</f>
        <v>733.91642999999988</v>
      </c>
      <c r="E190" s="59">
        <v>0</v>
      </c>
      <c r="F190" s="59">
        <f t="shared" si="10"/>
        <v>1100.8746449999999</v>
      </c>
      <c r="G190" s="78" t="str">
        <f t="shared" si="12"/>
        <v>4th Floor</v>
      </c>
      <c r="H190" s="80"/>
      <c r="I190" s="37"/>
      <c r="K190" s="60">
        <f t="shared" si="13"/>
        <v>7706122.5149999987</v>
      </c>
      <c r="L190" s="85"/>
      <c r="M190" s="85"/>
      <c r="N190" s="37"/>
    </row>
    <row r="191" spans="1:14" s="60" customFormat="1" ht="15" customHeight="1" x14ac:dyDescent="0.35">
      <c r="A191" s="86">
        <f t="shared" si="11"/>
        <v>9</v>
      </c>
      <c r="B191" s="87"/>
      <c r="C191" s="59" t="s">
        <v>268</v>
      </c>
      <c r="D191" s="61">
        <f>(36.85+11.72+0.75*(2.55))*10.764</f>
        <v>543.39363000000003</v>
      </c>
      <c r="E191" s="59">
        <v>0</v>
      </c>
      <c r="F191" s="59">
        <f t="shared" si="10"/>
        <v>815.09044500000005</v>
      </c>
      <c r="G191" s="78" t="str">
        <f t="shared" si="12"/>
        <v>4th Floor</v>
      </c>
      <c r="H191" s="80"/>
      <c r="I191" s="37"/>
      <c r="K191" s="60">
        <f t="shared" si="13"/>
        <v>5705633.1150000002</v>
      </c>
      <c r="L191" s="85"/>
      <c r="M191" s="85"/>
      <c r="N191" s="37"/>
    </row>
    <row r="192" spans="1:14" s="60" customFormat="1" x14ac:dyDescent="0.35">
      <c r="A192" s="86">
        <f t="shared" si="11"/>
        <v>10</v>
      </c>
      <c r="B192" s="87"/>
      <c r="C192" s="59" t="s">
        <v>268</v>
      </c>
      <c r="D192" s="61">
        <f>(34.8+11.04+0.75*(2.55))*10.764</f>
        <v>514.00790999999992</v>
      </c>
      <c r="E192" s="59">
        <v>0</v>
      </c>
      <c r="F192" s="59">
        <f t="shared" si="10"/>
        <v>771.01186499999994</v>
      </c>
      <c r="G192" s="78" t="str">
        <f t="shared" si="12"/>
        <v>4th Floor</v>
      </c>
      <c r="H192" s="80"/>
      <c r="I192" s="37"/>
      <c r="K192" s="60">
        <f t="shared" si="13"/>
        <v>5397083.0549999997</v>
      </c>
      <c r="L192" s="85"/>
      <c r="M192" s="85"/>
      <c r="N192" s="37"/>
    </row>
    <row r="193" spans="1:14" s="60" customFormat="1" x14ac:dyDescent="0.35">
      <c r="A193" s="86">
        <f t="shared" si="11"/>
        <v>11</v>
      </c>
      <c r="B193" s="87"/>
      <c r="C193" s="59" t="s">
        <v>269</v>
      </c>
      <c r="D193" s="61">
        <f>(51.13+8.33+0.75*(2.5)+3.4+3.05)*10.764</f>
        <v>729.63773999999989</v>
      </c>
      <c r="E193" s="59">
        <v>0</v>
      </c>
      <c r="F193" s="59">
        <f t="shared" si="10"/>
        <v>1094.4566099999997</v>
      </c>
      <c r="G193" s="78" t="str">
        <f t="shared" si="12"/>
        <v>4th Floor</v>
      </c>
      <c r="H193" s="80"/>
      <c r="I193" s="37"/>
      <c r="J193" s="60">
        <f>7599000/F193</f>
        <v>6943.1715525022064</v>
      </c>
      <c r="K193" s="60">
        <f t="shared" si="13"/>
        <v>7661196.2699999977</v>
      </c>
      <c r="L193" s="85"/>
      <c r="M193" s="85"/>
      <c r="N193" s="37"/>
    </row>
    <row r="194" spans="1:14" s="60" customFormat="1" x14ac:dyDescent="0.35">
      <c r="A194" s="86">
        <f t="shared" si="11"/>
        <v>12</v>
      </c>
      <c r="B194" s="87"/>
      <c r="C194" s="59" t="s">
        <v>269</v>
      </c>
      <c r="D194" s="61">
        <f>(51.13+8.33+0.75*(2.5)+3.4+3.05)*10.764</f>
        <v>729.63773999999989</v>
      </c>
      <c r="E194" s="59">
        <v>0</v>
      </c>
      <c r="F194" s="59">
        <f t="shared" si="10"/>
        <v>1094.4566099999997</v>
      </c>
      <c r="G194" s="81" t="str">
        <f t="shared" si="12"/>
        <v>4th Floor</v>
      </c>
      <c r="H194" s="83"/>
      <c r="I194" s="37"/>
      <c r="K194" s="60">
        <f t="shared" si="13"/>
        <v>7661196.2699999977</v>
      </c>
      <c r="L194" s="85"/>
      <c r="M194" s="85"/>
      <c r="N194" s="37"/>
    </row>
    <row r="195" spans="1:14" s="60" customFormat="1" x14ac:dyDescent="0.35">
      <c r="A195" s="88" t="s">
        <v>272</v>
      </c>
      <c r="B195" s="89"/>
      <c r="C195" s="89"/>
      <c r="D195" s="89"/>
      <c r="E195" s="89"/>
      <c r="F195" s="89"/>
      <c r="G195" s="89"/>
      <c r="H195" s="90"/>
      <c r="J195" s="37"/>
    </row>
    <row r="196" spans="1:14" s="60" customFormat="1" x14ac:dyDescent="0.35">
      <c r="A196" s="86">
        <v>1</v>
      </c>
      <c r="B196" s="87"/>
      <c r="C196" s="59" t="s">
        <v>268</v>
      </c>
      <c r="D196" s="61">
        <f>(34.8+11.04+0.75*(2.55))*10.764</f>
        <v>514.00790999999992</v>
      </c>
      <c r="E196" s="59">
        <v>0</v>
      </c>
      <c r="F196" s="59">
        <f t="shared" ref="F196:F207" si="14">D196*(($F$167)+1)+(IF(E196&lt;101,E196,IF(E196&lt;201,E196/2,IF(E196&lt;=301,E196/3,E196/4))))</f>
        <v>771.01186499999994</v>
      </c>
      <c r="G196" s="75" t="str">
        <f>A195</f>
        <v>5th to 7th, 9th to 12th, &amp; 14th to 16th Floor</v>
      </c>
      <c r="H196" s="77"/>
      <c r="I196" s="37"/>
      <c r="L196" s="85"/>
      <c r="M196" s="85"/>
      <c r="N196" s="37"/>
    </row>
    <row r="197" spans="1:14" s="60" customFormat="1" x14ac:dyDescent="0.35">
      <c r="A197" s="86">
        <f t="shared" ref="A197:A207" si="15">A196+1</f>
        <v>2</v>
      </c>
      <c r="B197" s="87"/>
      <c r="C197" s="59" t="s">
        <v>268</v>
      </c>
      <c r="D197" s="61">
        <f>(36.85+11.72+0.75*(2.55))*10.764</f>
        <v>543.39363000000003</v>
      </c>
      <c r="E197" s="59">
        <v>0</v>
      </c>
      <c r="F197" s="59">
        <f t="shared" si="14"/>
        <v>815.09044500000005</v>
      </c>
      <c r="G197" s="78" t="str">
        <f t="shared" ref="G197:G207" si="16">G196</f>
        <v>5th to 7th, 9th to 12th, &amp; 14th to 16th Floor</v>
      </c>
      <c r="H197" s="80"/>
      <c r="I197" s="37"/>
      <c r="L197" s="85"/>
      <c r="M197" s="85"/>
      <c r="N197" s="37"/>
    </row>
    <row r="198" spans="1:14" s="60" customFormat="1" x14ac:dyDescent="0.35">
      <c r="A198" s="86">
        <f t="shared" si="15"/>
        <v>3</v>
      </c>
      <c r="B198" s="87"/>
      <c r="C198" s="59" t="s">
        <v>269</v>
      </c>
      <c r="D198" s="61">
        <f>(59.78+3.44+0.75*(2.55)+3.05)*10.764</f>
        <v>733.91642999999988</v>
      </c>
      <c r="E198" s="59">
        <v>0</v>
      </c>
      <c r="F198" s="59">
        <f t="shared" si="14"/>
        <v>1100.8746449999999</v>
      </c>
      <c r="G198" s="78" t="str">
        <f t="shared" si="16"/>
        <v>5th to 7th, 9th to 12th, &amp; 14th to 16th Floor</v>
      </c>
      <c r="H198" s="80"/>
      <c r="I198" s="37"/>
      <c r="L198" s="85"/>
      <c r="M198" s="85"/>
      <c r="N198" s="37"/>
    </row>
    <row r="199" spans="1:14" s="60" customFormat="1" ht="15" customHeight="1" x14ac:dyDescent="0.35">
      <c r="A199" s="86">
        <f t="shared" si="15"/>
        <v>4</v>
      </c>
      <c r="B199" s="87"/>
      <c r="C199" s="59" t="s">
        <v>268</v>
      </c>
      <c r="D199" s="61">
        <f>(38.67+8.71+0.75*(2.45))*10.764</f>
        <v>529.77716999999996</v>
      </c>
      <c r="E199" s="59">
        <v>0</v>
      </c>
      <c r="F199" s="59">
        <f t="shared" si="14"/>
        <v>794.66575499999999</v>
      </c>
      <c r="G199" s="78" t="str">
        <f t="shared" si="16"/>
        <v>5th to 7th, 9th to 12th, &amp; 14th to 16th Floor</v>
      </c>
      <c r="H199" s="80"/>
      <c r="I199" s="37"/>
      <c r="J199" s="60">
        <f>5499000/F199</f>
        <v>6919.8904890522181</v>
      </c>
      <c r="L199" s="85"/>
      <c r="M199" s="85"/>
      <c r="N199" s="37"/>
    </row>
    <row r="200" spans="1:14" s="60" customFormat="1" x14ac:dyDescent="0.35">
      <c r="A200" s="86">
        <f t="shared" si="15"/>
        <v>5</v>
      </c>
      <c r="B200" s="87"/>
      <c r="C200" s="59" t="s">
        <v>269</v>
      </c>
      <c r="D200" s="64">
        <f>(61.61+7.95+0.75*(2.45))*10.764</f>
        <v>768.52269000000001</v>
      </c>
      <c r="E200" s="59">
        <v>0</v>
      </c>
      <c r="F200" s="59">
        <f t="shared" si="14"/>
        <v>1152.7840350000001</v>
      </c>
      <c r="G200" s="78" t="str">
        <f t="shared" si="16"/>
        <v>5th to 7th, 9th to 12th, &amp; 14th to 16th Floor</v>
      </c>
      <c r="H200" s="80"/>
      <c r="I200" s="37"/>
      <c r="L200" s="85"/>
      <c r="M200" s="85"/>
      <c r="N200" s="37"/>
    </row>
    <row r="201" spans="1:14" s="60" customFormat="1" x14ac:dyDescent="0.35">
      <c r="A201" s="86">
        <f t="shared" si="15"/>
        <v>6</v>
      </c>
      <c r="B201" s="87"/>
      <c r="C201" s="59" t="s">
        <v>269</v>
      </c>
      <c r="D201" s="61">
        <f>(58.73+10.87+0.75*(2.45))*10.764</f>
        <v>768.95324999999991</v>
      </c>
      <c r="E201" s="59">
        <v>0</v>
      </c>
      <c r="F201" s="59">
        <f t="shared" si="14"/>
        <v>1153.4298749999998</v>
      </c>
      <c r="G201" s="78" t="str">
        <f t="shared" si="16"/>
        <v>5th to 7th, 9th to 12th, &amp; 14th to 16th Floor</v>
      </c>
      <c r="H201" s="80"/>
      <c r="I201" s="37"/>
      <c r="L201" s="85"/>
      <c r="M201" s="85"/>
      <c r="N201" s="37"/>
    </row>
    <row r="202" spans="1:14" s="60" customFormat="1" x14ac:dyDescent="0.35">
      <c r="A202" s="86">
        <f t="shared" si="15"/>
        <v>7</v>
      </c>
      <c r="B202" s="87"/>
      <c r="C202" s="59" t="s">
        <v>268</v>
      </c>
      <c r="D202" s="61">
        <f>(39.8+7.6+0.75*(2.45))*10.764</f>
        <v>529.99244999999996</v>
      </c>
      <c r="E202" s="59">
        <v>0</v>
      </c>
      <c r="F202" s="59">
        <f t="shared" si="14"/>
        <v>794.98867499999994</v>
      </c>
      <c r="G202" s="78" t="str">
        <f t="shared" si="16"/>
        <v>5th to 7th, 9th to 12th, &amp; 14th to 16th Floor</v>
      </c>
      <c r="H202" s="80"/>
      <c r="I202" s="37"/>
      <c r="L202" s="85"/>
      <c r="M202" s="85"/>
      <c r="N202" s="37"/>
    </row>
    <row r="203" spans="1:14" s="60" customFormat="1" x14ac:dyDescent="0.35">
      <c r="A203" s="86">
        <f t="shared" si="15"/>
        <v>8</v>
      </c>
      <c r="B203" s="87"/>
      <c r="C203" s="59" t="s">
        <v>269</v>
      </c>
      <c r="D203" s="61">
        <f>(59.78+3.44+0.75*(2.55)+3.05)*10.764</f>
        <v>733.91642999999988</v>
      </c>
      <c r="E203" s="59">
        <v>0</v>
      </c>
      <c r="F203" s="59">
        <f t="shared" si="14"/>
        <v>1100.8746449999999</v>
      </c>
      <c r="G203" s="78" t="str">
        <f t="shared" si="16"/>
        <v>5th to 7th, 9th to 12th, &amp; 14th to 16th Floor</v>
      </c>
      <c r="H203" s="80"/>
      <c r="I203" s="37"/>
      <c r="L203" s="85"/>
      <c r="M203" s="85"/>
      <c r="N203" s="37"/>
    </row>
    <row r="204" spans="1:14" s="60" customFormat="1" ht="15" customHeight="1" x14ac:dyDescent="0.35">
      <c r="A204" s="86">
        <f t="shared" si="15"/>
        <v>9</v>
      </c>
      <c r="B204" s="87"/>
      <c r="C204" s="59" t="s">
        <v>268</v>
      </c>
      <c r="D204" s="61">
        <f>(36.85+11.72+0.75*(2.55))*10.764</f>
        <v>543.39363000000003</v>
      </c>
      <c r="E204" s="59">
        <v>0</v>
      </c>
      <c r="F204" s="59">
        <f t="shared" si="14"/>
        <v>815.09044500000005</v>
      </c>
      <c r="G204" s="78" t="str">
        <f t="shared" si="16"/>
        <v>5th to 7th, 9th to 12th, &amp; 14th to 16th Floor</v>
      </c>
      <c r="H204" s="80"/>
      <c r="I204" s="37"/>
      <c r="L204" s="85"/>
      <c r="M204" s="85"/>
      <c r="N204" s="37"/>
    </row>
    <row r="205" spans="1:14" s="60" customFormat="1" x14ac:dyDescent="0.35">
      <c r="A205" s="86">
        <f t="shared" si="15"/>
        <v>10</v>
      </c>
      <c r="B205" s="87"/>
      <c r="C205" s="59" t="s">
        <v>268</v>
      </c>
      <c r="D205" s="61">
        <f>(34.8+11.04+0.75*(2.55))*10.764</f>
        <v>514.00790999999992</v>
      </c>
      <c r="E205" s="59">
        <v>0</v>
      </c>
      <c r="F205" s="59">
        <f t="shared" si="14"/>
        <v>771.01186499999994</v>
      </c>
      <c r="G205" s="78" t="str">
        <f t="shared" si="16"/>
        <v>5th to 7th, 9th to 12th, &amp; 14th to 16th Floor</v>
      </c>
      <c r="H205" s="80"/>
      <c r="I205" s="37"/>
      <c r="L205" s="85"/>
      <c r="M205" s="85"/>
      <c r="N205" s="37"/>
    </row>
    <row r="206" spans="1:14" s="60" customFormat="1" x14ac:dyDescent="0.35">
      <c r="A206" s="86">
        <f t="shared" si="15"/>
        <v>11</v>
      </c>
      <c r="B206" s="87"/>
      <c r="C206" s="59" t="s">
        <v>269</v>
      </c>
      <c r="D206" s="61">
        <f>(51.13+14.76+0.75*(2.5))*10.764</f>
        <v>729.42246</v>
      </c>
      <c r="E206" s="59">
        <v>0</v>
      </c>
      <c r="F206" s="59">
        <f t="shared" si="14"/>
        <v>1094.1336900000001</v>
      </c>
      <c r="G206" s="78" t="str">
        <f t="shared" si="16"/>
        <v>5th to 7th, 9th to 12th, &amp; 14th to 16th Floor</v>
      </c>
      <c r="H206" s="80"/>
      <c r="I206" s="37"/>
      <c r="L206" s="85"/>
      <c r="M206" s="85"/>
      <c r="N206" s="37"/>
    </row>
    <row r="207" spans="1:14" s="60" customFormat="1" x14ac:dyDescent="0.35">
      <c r="A207" s="86">
        <f t="shared" si="15"/>
        <v>12</v>
      </c>
      <c r="B207" s="87"/>
      <c r="C207" s="59" t="s">
        <v>269</v>
      </c>
      <c r="D207" s="61">
        <f>(51.13+14.76+0.75*(2.5))*10.764</f>
        <v>729.42246</v>
      </c>
      <c r="E207" s="59">
        <v>0</v>
      </c>
      <c r="F207" s="59">
        <f t="shared" si="14"/>
        <v>1094.1336900000001</v>
      </c>
      <c r="G207" s="81" t="str">
        <f t="shared" si="16"/>
        <v>5th to 7th, 9th to 12th, &amp; 14th to 16th Floor</v>
      </c>
      <c r="H207" s="83"/>
      <c r="I207" s="37"/>
      <c r="L207" s="85"/>
      <c r="M207" s="85"/>
      <c r="N207" s="37"/>
    </row>
    <row r="208" spans="1:14" s="60" customFormat="1" x14ac:dyDescent="0.35">
      <c r="A208" s="84" t="s">
        <v>273</v>
      </c>
      <c r="B208" s="84"/>
      <c r="C208" s="84"/>
      <c r="D208" s="84"/>
      <c r="E208" s="84"/>
      <c r="F208" s="84"/>
      <c r="G208" s="84"/>
      <c r="H208" s="84"/>
      <c r="J208" s="37"/>
    </row>
    <row r="209" spans="1:14" s="60" customFormat="1" x14ac:dyDescent="0.35">
      <c r="A209" s="74">
        <v>1</v>
      </c>
      <c r="B209" s="74"/>
      <c r="C209" s="70" t="s">
        <v>268</v>
      </c>
      <c r="D209" s="61">
        <f>(34.8+11.04+0.75*(2.55))*10.764</f>
        <v>514.00790999999992</v>
      </c>
      <c r="E209" s="70">
        <v>0</v>
      </c>
      <c r="F209" s="70">
        <f t="shared" ref="F209:F220" si="17">D209*(($F$167)+1)+(IF(E209&lt;101,E209,IF(E209&lt;201,E209/2,IF(E209&lt;=301,E209/3,E209/4))))</f>
        <v>771.01186499999994</v>
      </c>
      <c r="G209" s="74" t="str">
        <f>A208</f>
        <v>8th &amp; 13th Floor (Part Refuge Area)</v>
      </c>
      <c r="H209" s="74"/>
      <c r="I209" s="37"/>
      <c r="L209" s="85"/>
      <c r="M209" s="85"/>
      <c r="N209" s="37"/>
    </row>
    <row r="210" spans="1:14" s="60" customFormat="1" x14ac:dyDescent="0.35">
      <c r="A210" s="74">
        <f t="shared" ref="A210:A220" si="18">A209+1</f>
        <v>2</v>
      </c>
      <c r="B210" s="74"/>
      <c r="C210" s="70" t="s">
        <v>268</v>
      </c>
      <c r="D210" s="61">
        <f>(36.85+11.72+0.75*(2.55))*10.764</f>
        <v>543.39363000000003</v>
      </c>
      <c r="E210" s="70">
        <v>0</v>
      </c>
      <c r="F210" s="70">
        <f t="shared" si="17"/>
        <v>815.09044500000005</v>
      </c>
      <c r="G210" s="74" t="str">
        <f t="shared" ref="G210:G220" si="19">G209</f>
        <v>8th &amp; 13th Floor (Part Refuge Area)</v>
      </c>
      <c r="H210" s="74"/>
      <c r="I210" s="37"/>
      <c r="L210" s="85"/>
      <c r="M210" s="85"/>
      <c r="N210" s="37"/>
    </row>
    <row r="211" spans="1:14" s="60" customFormat="1" x14ac:dyDescent="0.35">
      <c r="A211" s="74">
        <f t="shared" si="18"/>
        <v>3</v>
      </c>
      <c r="B211" s="74"/>
      <c r="C211" s="70" t="s">
        <v>269</v>
      </c>
      <c r="D211" s="61">
        <f>(59.78+3.44+0.75*(2.55)+3.05)*10.764</f>
        <v>733.91642999999988</v>
      </c>
      <c r="E211" s="70">
        <v>0</v>
      </c>
      <c r="F211" s="70">
        <f t="shared" si="17"/>
        <v>1100.8746449999999</v>
      </c>
      <c r="G211" s="74" t="str">
        <f t="shared" si="19"/>
        <v>8th &amp; 13th Floor (Part Refuge Area)</v>
      </c>
      <c r="H211" s="74"/>
      <c r="I211" s="37"/>
      <c r="L211" s="85"/>
      <c r="M211" s="85"/>
      <c r="N211" s="37"/>
    </row>
    <row r="212" spans="1:14" s="60" customFormat="1" ht="15" customHeight="1" x14ac:dyDescent="0.35">
      <c r="A212" s="74">
        <f t="shared" si="18"/>
        <v>4</v>
      </c>
      <c r="B212" s="74"/>
      <c r="C212" s="74" t="s">
        <v>274</v>
      </c>
      <c r="D212" s="74"/>
      <c r="E212" s="74"/>
      <c r="F212" s="74"/>
      <c r="G212" s="74" t="str">
        <f t="shared" si="19"/>
        <v>8th &amp; 13th Floor (Part Refuge Area)</v>
      </c>
      <c r="H212" s="74"/>
      <c r="I212" s="37"/>
      <c r="L212" s="85"/>
      <c r="M212" s="85"/>
      <c r="N212" s="37"/>
    </row>
    <row r="213" spans="1:14" s="60" customFormat="1" x14ac:dyDescent="0.35">
      <c r="A213" s="74">
        <f t="shared" si="18"/>
        <v>5</v>
      </c>
      <c r="B213" s="74"/>
      <c r="C213" s="70" t="s">
        <v>269</v>
      </c>
      <c r="D213" s="64">
        <f>(61.61+7.95+0.75*(2.45))*10.764</f>
        <v>768.52269000000001</v>
      </c>
      <c r="E213" s="70">
        <v>0</v>
      </c>
      <c r="F213" s="70">
        <f t="shared" si="17"/>
        <v>1152.7840350000001</v>
      </c>
      <c r="G213" s="74" t="str">
        <f t="shared" si="19"/>
        <v>8th &amp; 13th Floor (Part Refuge Area)</v>
      </c>
      <c r="H213" s="74"/>
      <c r="I213" s="37"/>
      <c r="L213" s="85"/>
      <c r="M213" s="85"/>
      <c r="N213" s="37"/>
    </row>
    <row r="214" spans="1:14" s="60" customFormat="1" x14ac:dyDescent="0.35">
      <c r="A214" s="74">
        <f t="shared" si="18"/>
        <v>6</v>
      </c>
      <c r="B214" s="74"/>
      <c r="C214" s="70" t="s">
        <v>269</v>
      </c>
      <c r="D214" s="61">
        <f>(58.73+10.87+0.75*(2.45))*10.764</f>
        <v>768.95324999999991</v>
      </c>
      <c r="E214" s="70">
        <v>0</v>
      </c>
      <c r="F214" s="70">
        <f t="shared" si="17"/>
        <v>1153.4298749999998</v>
      </c>
      <c r="G214" s="74" t="str">
        <f t="shared" si="19"/>
        <v>8th &amp; 13th Floor (Part Refuge Area)</v>
      </c>
      <c r="H214" s="74"/>
      <c r="I214" s="37"/>
      <c r="L214" s="85"/>
      <c r="M214" s="85"/>
      <c r="N214" s="37"/>
    </row>
    <row r="215" spans="1:14" s="60" customFormat="1" x14ac:dyDescent="0.35">
      <c r="A215" s="74">
        <f t="shared" si="18"/>
        <v>7</v>
      </c>
      <c r="B215" s="74"/>
      <c r="C215" s="74" t="s">
        <v>274</v>
      </c>
      <c r="D215" s="74"/>
      <c r="E215" s="74"/>
      <c r="F215" s="74"/>
      <c r="G215" s="74" t="str">
        <f t="shared" si="19"/>
        <v>8th &amp; 13th Floor (Part Refuge Area)</v>
      </c>
      <c r="H215" s="74"/>
      <c r="I215" s="37"/>
      <c r="L215" s="85"/>
      <c r="M215" s="85"/>
      <c r="N215" s="37"/>
    </row>
    <row r="216" spans="1:14" s="60" customFormat="1" x14ac:dyDescent="0.35">
      <c r="A216" s="74">
        <f t="shared" si="18"/>
        <v>8</v>
      </c>
      <c r="B216" s="74"/>
      <c r="C216" s="70" t="s">
        <v>269</v>
      </c>
      <c r="D216" s="61">
        <f>(59.78+3.44+0.75*(2.55)+3.05)*10.764</f>
        <v>733.91642999999988</v>
      </c>
      <c r="E216" s="70">
        <v>0</v>
      </c>
      <c r="F216" s="70">
        <f t="shared" si="17"/>
        <v>1100.8746449999999</v>
      </c>
      <c r="G216" s="74" t="str">
        <f t="shared" si="19"/>
        <v>8th &amp; 13th Floor (Part Refuge Area)</v>
      </c>
      <c r="H216" s="74"/>
      <c r="I216" s="37"/>
      <c r="L216" s="85"/>
      <c r="M216" s="85"/>
      <c r="N216" s="37"/>
    </row>
    <row r="217" spans="1:14" s="60" customFormat="1" ht="15" customHeight="1" x14ac:dyDescent="0.35">
      <c r="A217" s="74">
        <f t="shared" si="18"/>
        <v>9</v>
      </c>
      <c r="B217" s="74"/>
      <c r="C217" s="70" t="s">
        <v>268</v>
      </c>
      <c r="D217" s="61">
        <f>(36.85+11.72+0.75*(2.55))*10.764</f>
        <v>543.39363000000003</v>
      </c>
      <c r="E217" s="70">
        <v>0</v>
      </c>
      <c r="F217" s="70">
        <f t="shared" si="17"/>
        <v>815.09044500000005</v>
      </c>
      <c r="G217" s="74" t="str">
        <f t="shared" si="19"/>
        <v>8th &amp; 13th Floor (Part Refuge Area)</v>
      </c>
      <c r="H217" s="74"/>
      <c r="I217" s="37"/>
      <c r="L217" s="85"/>
      <c r="M217" s="85"/>
      <c r="N217" s="37"/>
    </row>
    <row r="218" spans="1:14" s="60" customFormat="1" x14ac:dyDescent="0.35">
      <c r="A218" s="74">
        <f t="shared" si="18"/>
        <v>10</v>
      </c>
      <c r="B218" s="74"/>
      <c r="C218" s="70" t="s">
        <v>268</v>
      </c>
      <c r="D218" s="61">
        <f>(34.8+11.04+0.75*(2.55))*10.764</f>
        <v>514.00790999999992</v>
      </c>
      <c r="E218" s="70">
        <v>0</v>
      </c>
      <c r="F218" s="70">
        <f t="shared" si="17"/>
        <v>771.01186499999994</v>
      </c>
      <c r="G218" s="74" t="str">
        <f t="shared" si="19"/>
        <v>8th &amp; 13th Floor (Part Refuge Area)</v>
      </c>
      <c r="H218" s="74"/>
      <c r="I218" s="37"/>
      <c r="L218" s="85"/>
      <c r="M218" s="85"/>
      <c r="N218" s="37"/>
    </row>
    <row r="219" spans="1:14" s="60" customFormat="1" x14ac:dyDescent="0.35">
      <c r="A219" s="74">
        <f t="shared" si="18"/>
        <v>11</v>
      </c>
      <c r="B219" s="74"/>
      <c r="C219" s="70" t="s">
        <v>269</v>
      </c>
      <c r="D219" s="61">
        <f>(51.13+14.76+0.75*(2.5))*10.764</f>
        <v>729.42246</v>
      </c>
      <c r="E219" s="70">
        <v>0</v>
      </c>
      <c r="F219" s="70">
        <f t="shared" si="17"/>
        <v>1094.1336900000001</v>
      </c>
      <c r="G219" s="74" t="str">
        <f t="shared" si="19"/>
        <v>8th &amp; 13th Floor (Part Refuge Area)</v>
      </c>
      <c r="H219" s="74"/>
      <c r="I219" s="37"/>
      <c r="L219" s="85"/>
      <c r="M219" s="85"/>
      <c r="N219" s="37"/>
    </row>
    <row r="220" spans="1:14" s="60" customFormat="1" x14ac:dyDescent="0.35">
      <c r="A220" s="74">
        <f t="shared" si="18"/>
        <v>12</v>
      </c>
      <c r="B220" s="74"/>
      <c r="C220" s="70" t="s">
        <v>269</v>
      </c>
      <c r="D220" s="61">
        <f>(51.13+14.76+0.75*(2.5))*10.764</f>
        <v>729.42246</v>
      </c>
      <c r="E220" s="70">
        <v>0</v>
      </c>
      <c r="F220" s="70">
        <f t="shared" si="17"/>
        <v>1094.1336900000001</v>
      </c>
      <c r="G220" s="74" t="str">
        <f t="shared" si="19"/>
        <v>8th &amp; 13th Floor (Part Refuge Area)</v>
      </c>
      <c r="H220" s="74"/>
      <c r="I220" s="37"/>
      <c r="L220" s="85"/>
      <c r="M220" s="85"/>
      <c r="N220" s="37"/>
    </row>
    <row r="221" spans="1:14" s="60" customFormat="1" x14ac:dyDescent="0.35">
      <c r="A221" s="88" t="s">
        <v>276</v>
      </c>
      <c r="B221" s="89"/>
      <c r="C221" s="89"/>
      <c r="D221" s="89"/>
      <c r="E221" s="89"/>
      <c r="F221" s="89"/>
      <c r="G221" s="89"/>
      <c r="H221" s="90"/>
      <c r="J221" s="37"/>
    </row>
    <row r="222" spans="1:14" s="60" customFormat="1" ht="15.75" customHeight="1" x14ac:dyDescent="0.35">
      <c r="A222" s="86">
        <v>1</v>
      </c>
      <c r="B222" s="87"/>
      <c r="C222" s="75" t="s">
        <v>275</v>
      </c>
      <c r="D222" s="76"/>
      <c r="E222" s="76"/>
      <c r="F222" s="77"/>
      <c r="G222" s="75" t="str">
        <f>A221</f>
        <v>17th Floor (Part Recreation Area)</v>
      </c>
      <c r="H222" s="77"/>
      <c r="I222" s="37"/>
      <c r="L222" s="85"/>
      <c r="M222" s="85"/>
      <c r="N222" s="37"/>
    </row>
    <row r="223" spans="1:14" s="60" customFormat="1" x14ac:dyDescent="0.35">
      <c r="A223" s="86">
        <f t="shared" ref="A223:A233" si="20">A222+1</f>
        <v>2</v>
      </c>
      <c r="B223" s="87"/>
      <c r="C223" s="78"/>
      <c r="D223" s="79"/>
      <c r="E223" s="79"/>
      <c r="F223" s="80"/>
      <c r="G223" s="78" t="str">
        <f t="shared" ref="G223:G233" si="21">G222</f>
        <v>17th Floor (Part Recreation Area)</v>
      </c>
      <c r="H223" s="80"/>
      <c r="I223" s="37"/>
      <c r="L223" s="85"/>
      <c r="M223" s="85"/>
      <c r="N223" s="37"/>
    </row>
    <row r="224" spans="1:14" s="60" customFormat="1" x14ac:dyDescent="0.35">
      <c r="A224" s="86">
        <f t="shared" si="20"/>
        <v>3</v>
      </c>
      <c r="B224" s="87"/>
      <c r="C224" s="81"/>
      <c r="D224" s="82"/>
      <c r="E224" s="82"/>
      <c r="F224" s="83"/>
      <c r="G224" s="78" t="str">
        <f t="shared" si="21"/>
        <v>17th Floor (Part Recreation Area)</v>
      </c>
      <c r="H224" s="80"/>
      <c r="I224" s="37"/>
      <c r="L224" s="85"/>
      <c r="M224" s="85"/>
      <c r="N224" s="37"/>
    </row>
    <row r="225" spans="1:14" s="60" customFormat="1" ht="15" customHeight="1" x14ac:dyDescent="0.35">
      <c r="A225" s="86">
        <f t="shared" si="20"/>
        <v>4</v>
      </c>
      <c r="B225" s="87"/>
      <c r="C225" s="59" t="s">
        <v>268</v>
      </c>
      <c r="D225" s="61">
        <f>(38.67+8.71+0.75*(2.45))*10.764</f>
        <v>529.77716999999996</v>
      </c>
      <c r="E225" s="59">
        <v>0</v>
      </c>
      <c r="F225" s="59">
        <f t="shared" ref="F225:F228" si="22">D225*(($F$167)+1)+(IF(E225&lt;101,E225,IF(E225&lt;201,E225/2,IF(E225&lt;=301,E225/3,E225/4))))</f>
        <v>794.66575499999999</v>
      </c>
      <c r="G225" s="78" t="str">
        <f t="shared" si="21"/>
        <v>17th Floor (Part Recreation Area)</v>
      </c>
      <c r="H225" s="80"/>
      <c r="I225" s="37"/>
      <c r="L225" s="85"/>
      <c r="M225" s="85"/>
      <c r="N225" s="37"/>
    </row>
    <row r="226" spans="1:14" s="60" customFormat="1" x14ac:dyDescent="0.35">
      <c r="A226" s="86">
        <f t="shared" si="20"/>
        <v>5</v>
      </c>
      <c r="B226" s="87"/>
      <c r="C226" s="59" t="s">
        <v>269</v>
      </c>
      <c r="D226" s="64">
        <f>(61.61+7.95+0.75*(2.45))*10.764</f>
        <v>768.52269000000001</v>
      </c>
      <c r="E226" s="59">
        <v>0</v>
      </c>
      <c r="F226" s="59">
        <f t="shared" si="22"/>
        <v>1152.7840350000001</v>
      </c>
      <c r="G226" s="78" t="str">
        <f t="shared" si="21"/>
        <v>17th Floor (Part Recreation Area)</v>
      </c>
      <c r="H226" s="80"/>
      <c r="I226" s="37"/>
      <c r="L226" s="85"/>
      <c r="M226" s="85"/>
      <c r="N226" s="37"/>
    </row>
    <row r="227" spans="1:14" s="60" customFormat="1" x14ac:dyDescent="0.35">
      <c r="A227" s="86">
        <f t="shared" si="20"/>
        <v>6</v>
      </c>
      <c r="B227" s="87"/>
      <c r="C227" s="59" t="s">
        <v>269</v>
      </c>
      <c r="D227" s="61">
        <f>(58.73+10.87+0.75*(2.45))*10.764</f>
        <v>768.95324999999991</v>
      </c>
      <c r="E227" s="59">
        <v>0</v>
      </c>
      <c r="F227" s="59">
        <f t="shared" si="22"/>
        <v>1153.4298749999998</v>
      </c>
      <c r="G227" s="78" t="str">
        <f t="shared" si="21"/>
        <v>17th Floor (Part Recreation Area)</v>
      </c>
      <c r="H227" s="80"/>
      <c r="I227" s="37"/>
      <c r="L227" s="85"/>
      <c r="M227" s="85"/>
      <c r="N227" s="37"/>
    </row>
    <row r="228" spans="1:14" s="60" customFormat="1" x14ac:dyDescent="0.35">
      <c r="A228" s="86">
        <f t="shared" si="20"/>
        <v>7</v>
      </c>
      <c r="B228" s="87"/>
      <c r="C228" s="59" t="s">
        <v>268</v>
      </c>
      <c r="D228" s="61">
        <f>(39.8+7.6+0.75*(2.45))*10.764</f>
        <v>529.99244999999996</v>
      </c>
      <c r="E228" s="59">
        <v>0</v>
      </c>
      <c r="F228" s="59">
        <f t="shared" si="22"/>
        <v>794.98867499999994</v>
      </c>
      <c r="G228" s="78" t="str">
        <f t="shared" si="21"/>
        <v>17th Floor (Part Recreation Area)</v>
      </c>
      <c r="H228" s="80"/>
      <c r="I228" s="37"/>
      <c r="L228" s="85"/>
      <c r="M228" s="85"/>
      <c r="N228" s="37"/>
    </row>
    <row r="229" spans="1:14" s="60" customFormat="1" ht="15.75" customHeight="1" x14ac:dyDescent="0.35">
      <c r="A229" s="86">
        <f t="shared" si="20"/>
        <v>8</v>
      </c>
      <c r="B229" s="87"/>
      <c r="C229" s="75" t="s">
        <v>275</v>
      </c>
      <c r="D229" s="76"/>
      <c r="E229" s="76"/>
      <c r="F229" s="77"/>
      <c r="G229" s="78" t="str">
        <f t="shared" si="21"/>
        <v>17th Floor (Part Recreation Area)</v>
      </c>
      <c r="H229" s="80"/>
      <c r="I229" s="37"/>
      <c r="L229" s="85"/>
      <c r="M229" s="85"/>
      <c r="N229" s="37"/>
    </row>
    <row r="230" spans="1:14" s="60" customFormat="1" ht="15" customHeight="1" x14ac:dyDescent="0.35">
      <c r="A230" s="86">
        <f t="shared" si="20"/>
        <v>9</v>
      </c>
      <c r="B230" s="87"/>
      <c r="C230" s="78"/>
      <c r="D230" s="79"/>
      <c r="E230" s="79"/>
      <c r="F230" s="80"/>
      <c r="G230" s="78" t="str">
        <f t="shared" si="21"/>
        <v>17th Floor (Part Recreation Area)</v>
      </c>
      <c r="H230" s="80"/>
      <c r="I230" s="37"/>
      <c r="L230" s="85"/>
      <c r="M230" s="85"/>
      <c r="N230" s="37"/>
    </row>
    <row r="231" spans="1:14" s="60" customFormat="1" x14ac:dyDescent="0.35">
      <c r="A231" s="86">
        <f t="shared" si="20"/>
        <v>10</v>
      </c>
      <c r="B231" s="87"/>
      <c r="C231" s="78"/>
      <c r="D231" s="79"/>
      <c r="E231" s="79"/>
      <c r="F231" s="80"/>
      <c r="G231" s="78" t="str">
        <f t="shared" si="21"/>
        <v>17th Floor (Part Recreation Area)</v>
      </c>
      <c r="H231" s="80"/>
      <c r="I231" s="37"/>
      <c r="L231" s="85"/>
      <c r="M231" s="85"/>
      <c r="N231" s="37"/>
    </row>
    <row r="232" spans="1:14" s="60" customFormat="1" x14ac:dyDescent="0.35">
      <c r="A232" s="86">
        <f t="shared" si="20"/>
        <v>11</v>
      </c>
      <c r="B232" s="87"/>
      <c r="C232" s="78"/>
      <c r="D232" s="79"/>
      <c r="E232" s="79"/>
      <c r="F232" s="80"/>
      <c r="G232" s="78" t="str">
        <f t="shared" si="21"/>
        <v>17th Floor (Part Recreation Area)</v>
      </c>
      <c r="H232" s="80"/>
      <c r="I232" s="37"/>
      <c r="L232" s="85"/>
      <c r="M232" s="85"/>
      <c r="N232" s="37"/>
    </row>
    <row r="233" spans="1:14" s="60" customFormat="1" x14ac:dyDescent="0.35">
      <c r="A233" s="86">
        <f t="shared" si="20"/>
        <v>12</v>
      </c>
      <c r="B233" s="87"/>
      <c r="C233" s="81"/>
      <c r="D233" s="82"/>
      <c r="E233" s="82"/>
      <c r="F233" s="83"/>
      <c r="G233" s="81" t="str">
        <f t="shared" si="21"/>
        <v>17th Floor (Part Recreation Area)</v>
      </c>
      <c r="H233" s="83"/>
      <c r="I233" s="37"/>
      <c r="L233" s="85"/>
      <c r="M233" s="85"/>
      <c r="N233" s="37"/>
    </row>
    <row r="234" spans="1:14" s="60" customFormat="1" x14ac:dyDescent="0.35">
      <c r="A234" s="84" t="s">
        <v>265</v>
      </c>
      <c r="B234" s="84"/>
      <c r="C234" s="84"/>
      <c r="D234" s="84"/>
      <c r="E234" s="84"/>
      <c r="F234" s="84"/>
      <c r="G234" s="84"/>
      <c r="H234" s="84"/>
      <c r="I234" s="37"/>
      <c r="L234" s="85"/>
      <c r="M234" s="85"/>
    </row>
    <row r="235" spans="1:14" s="38" customFormat="1" x14ac:dyDescent="0.35">
      <c r="A235" s="84" t="s">
        <v>267</v>
      </c>
      <c r="B235" s="84"/>
      <c r="C235" s="84"/>
      <c r="D235" s="84"/>
      <c r="E235" s="84"/>
      <c r="F235" s="84"/>
      <c r="G235" s="84"/>
      <c r="H235" s="84"/>
      <c r="I235" s="37"/>
      <c r="L235" s="85"/>
      <c r="M235" s="85"/>
    </row>
    <row r="236" spans="1:14" s="38" customFormat="1" x14ac:dyDescent="0.35">
      <c r="A236" s="74">
        <v>1</v>
      </c>
      <c r="B236" s="74"/>
      <c r="C236" s="43" t="s">
        <v>269</v>
      </c>
      <c r="D236" s="61">
        <f>(59.47+13.89)*10.764</f>
        <v>789.64703999999995</v>
      </c>
      <c r="E236" s="43">
        <v>0</v>
      </c>
      <c r="F236" s="43">
        <f t="shared" ref="F236" si="23">D236*(($F$167)+1)+(IF(E236&lt;101,E236,IF(E236&lt;201,E236/2,IF(E236&lt;=301,E236/3,E236/4))))</f>
        <v>1184.47056</v>
      </c>
      <c r="G236" s="74" t="str">
        <f>A235</f>
        <v>1st to 3rd Floor For Residential</v>
      </c>
      <c r="H236" s="74"/>
      <c r="I236" s="37"/>
      <c r="N236" s="37"/>
    </row>
    <row r="237" spans="1:14" s="36" customFormat="1" x14ac:dyDescent="0.35">
      <c r="A237" s="163" t="s">
        <v>68</v>
      </c>
      <c r="B237" s="163"/>
      <c r="C237" s="163"/>
      <c r="D237" s="163"/>
      <c r="E237" s="163"/>
      <c r="F237" s="163"/>
      <c r="G237" s="163"/>
      <c r="H237" s="163"/>
    </row>
    <row r="238" spans="1:14" s="36" customFormat="1" ht="32" customHeight="1" x14ac:dyDescent="0.35">
      <c r="A238" s="48" t="s">
        <v>153</v>
      </c>
      <c r="B238" s="110" t="s">
        <v>290</v>
      </c>
      <c r="C238" s="111"/>
      <c r="D238" s="111"/>
      <c r="E238" s="111"/>
      <c r="F238" s="111"/>
      <c r="G238" s="111"/>
      <c r="H238" s="112"/>
    </row>
    <row r="239" spans="1:14" s="36" customFormat="1" x14ac:dyDescent="0.35">
      <c r="A239" s="48" t="s">
        <v>153</v>
      </c>
      <c r="B239" s="150" t="str">
        <f>(IF(F166="Saleable area Loading :","We have considered Saleable area of Flats as per our Calculation.","We considered Saleable area of Flat as per Builder area Sheet."))</f>
        <v>We have considered Saleable area of Flats as per our Calculation.</v>
      </c>
      <c r="C239" s="151"/>
      <c r="D239" s="151"/>
      <c r="E239" s="151"/>
      <c r="F239" s="151"/>
      <c r="G239" s="151"/>
      <c r="H239" s="152"/>
    </row>
    <row r="240" spans="1:14" s="36" customFormat="1" x14ac:dyDescent="0.35">
      <c r="A240" s="48" t="s">
        <v>153</v>
      </c>
      <c r="B240" s="150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0" s="151"/>
      <c r="D240" s="151"/>
      <c r="E240" s="151"/>
      <c r="F240" s="151"/>
      <c r="G240" s="151"/>
      <c r="H240" s="152"/>
    </row>
    <row r="241" spans="1:8" s="36" customFormat="1" x14ac:dyDescent="0.35">
      <c r="A241" s="48" t="s">
        <v>153</v>
      </c>
      <c r="B241" s="147" t="s">
        <v>123</v>
      </c>
      <c r="C241" s="148"/>
      <c r="D241" s="148"/>
      <c r="E241" s="148"/>
      <c r="F241" s="148"/>
      <c r="G241" s="148"/>
      <c r="H241" s="149"/>
    </row>
    <row r="242" spans="1:8" s="36" customFormat="1" x14ac:dyDescent="0.35">
      <c r="A242" s="48" t="s">
        <v>153</v>
      </c>
      <c r="B242" s="147" t="s">
        <v>277</v>
      </c>
      <c r="C242" s="148"/>
      <c r="D242" s="148"/>
      <c r="E242" s="148"/>
      <c r="F242" s="148"/>
      <c r="G242" s="148"/>
      <c r="H242" s="149"/>
    </row>
    <row r="243" spans="1:8" s="36" customFormat="1" x14ac:dyDescent="0.35">
      <c r="A243" s="48" t="s">
        <v>153</v>
      </c>
      <c r="B243" s="147" t="s">
        <v>152</v>
      </c>
      <c r="C243" s="148"/>
      <c r="D243" s="148"/>
      <c r="E243" s="148"/>
      <c r="F243" s="148"/>
      <c r="G243" s="148"/>
      <c r="H243" s="149"/>
    </row>
    <row r="244" spans="1:8" s="36" customFormat="1" x14ac:dyDescent="0.35">
      <c r="A244" s="48" t="s">
        <v>153</v>
      </c>
      <c r="B244" s="147" t="s">
        <v>124</v>
      </c>
      <c r="C244" s="148"/>
      <c r="D244" s="148"/>
      <c r="E244" s="148"/>
      <c r="F244" s="148"/>
      <c r="G244" s="148"/>
      <c r="H244" s="149"/>
    </row>
    <row r="245" spans="1:8" s="36" customFormat="1" ht="34.5" customHeight="1" x14ac:dyDescent="0.35">
      <c r="A245" s="65" t="s">
        <v>153</v>
      </c>
      <c r="B245" s="73" t="s">
        <v>154</v>
      </c>
      <c r="C245" s="73"/>
      <c r="D245" s="73"/>
      <c r="E245" s="73"/>
      <c r="F245" s="73"/>
      <c r="G245" s="73"/>
      <c r="H245" s="73"/>
    </row>
    <row r="246" spans="1:8" s="36" customFormat="1" x14ac:dyDescent="0.35">
      <c r="A246" s="65" t="s">
        <v>153</v>
      </c>
      <c r="B246" s="73" t="s">
        <v>125</v>
      </c>
      <c r="C246" s="73"/>
      <c r="D246" s="73"/>
      <c r="E246" s="73"/>
      <c r="F246" s="73"/>
      <c r="G246" s="73"/>
      <c r="H246" s="73"/>
    </row>
    <row r="247" spans="1:8" s="36" customFormat="1" ht="32.25" hidden="1" customHeight="1" x14ac:dyDescent="0.35">
      <c r="A247" s="65" t="s">
        <v>153</v>
      </c>
      <c r="B247" s="153" t="s">
        <v>181</v>
      </c>
      <c r="C247" s="153"/>
      <c r="D247" s="153"/>
      <c r="E247" s="153"/>
      <c r="F247" s="153"/>
      <c r="G247" s="153"/>
      <c r="H247" s="153"/>
    </row>
    <row r="248" spans="1:8" s="36" customFormat="1" x14ac:dyDescent="0.35">
      <c r="A248" s="65" t="s">
        <v>153</v>
      </c>
      <c r="B248" s="73" t="s">
        <v>285</v>
      </c>
      <c r="C248" s="73"/>
      <c r="D248" s="73"/>
      <c r="E248" s="73"/>
      <c r="F248" s="73"/>
      <c r="G248" s="73"/>
      <c r="H248" s="73"/>
    </row>
    <row r="249" spans="1:8" x14ac:dyDescent="0.35">
      <c r="A249" s="139" t="s">
        <v>61</v>
      </c>
      <c r="B249" s="139"/>
      <c r="C249" s="139"/>
      <c r="D249" s="139"/>
      <c r="E249" s="139"/>
      <c r="F249" s="139"/>
      <c r="G249" s="139"/>
      <c r="H249" s="139"/>
    </row>
    <row r="250" spans="1:8" x14ac:dyDescent="0.35">
      <c r="A250" s="125" t="s">
        <v>62</v>
      </c>
      <c r="B250" s="125"/>
      <c r="C250" s="125"/>
      <c r="D250" s="125"/>
      <c r="E250" s="125"/>
      <c r="F250" s="125"/>
      <c r="G250" s="125"/>
      <c r="H250" s="125"/>
    </row>
    <row r="251" spans="1:8" ht="15.75" customHeight="1" x14ac:dyDescent="0.35">
      <c r="A251" s="144" t="s">
        <v>63</v>
      </c>
      <c r="B251" s="144"/>
      <c r="C251" s="144"/>
      <c r="D251" s="144"/>
      <c r="E251" s="144"/>
      <c r="F251" s="144"/>
      <c r="G251" s="144"/>
      <c r="H251" s="144"/>
    </row>
    <row r="252" spans="1:8" x14ac:dyDescent="0.35">
      <c r="A252" s="125" t="s">
        <v>64</v>
      </c>
      <c r="B252" s="125"/>
      <c r="C252" s="125"/>
      <c r="D252" s="125"/>
      <c r="E252" s="125"/>
      <c r="F252" s="125"/>
      <c r="G252" s="125"/>
      <c r="H252" s="125"/>
    </row>
    <row r="253" spans="1:8" x14ac:dyDescent="0.35">
      <c r="A253" s="125" t="s">
        <v>65</v>
      </c>
      <c r="B253" s="125"/>
      <c r="C253" s="125"/>
      <c r="D253" s="125"/>
      <c r="E253" s="125"/>
      <c r="F253" s="125"/>
      <c r="G253" s="125"/>
      <c r="H253" s="125"/>
    </row>
    <row r="254" spans="1:8" x14ac:dyDescent="0.35">
      <c r="A254" s="125" t="s">
        <v>126</v>
      </c>
      <c r="B254" s="125"/>
      <c r="C254" s="125"/>
      <c r="D254" s="125"/>
      <c r="E254" s="125"/>
      <c r="F254" s="125"/>
      <c r="G254" s="125"/>
      <c r="H254" s="125"/>
    </row>
    <row r="255" spans="1:8" ht="34" customHeight="1" x14ac:dyDescent="0.35">
      <c r="A255" s="130" t="s">
        <v>127</v>
      </c>
      <c r="B255" s="130"/>
      <c r="C255" s="130"/>
      <c r="D255" s="130"/>
      <c r="E255" s="130"/>
      <c r="F255" s="130"/>
      <c r="G255" s="130"/>
      <c r="H255" s="130"/>
    </row>
    <row r="256" spans="1:8" x14ac:dyDescent="0.35">
      <c r="A256" s="159" t="s">
        <v>77</v>
      </c>
      <c r="B256" s="159"/>
      <c r="C256" s="159" t="s">
        <v>289</v>
      </c>
      <c r="D256" s="159"/>
      <c r="E256" s="159" t="s">
        <v>107</v>
      </c>
      <c r="F256" s="159"/>
      <c r="G256" s="159" t="s">
        <v>291</v>
      </c>
      <c r="H256" s="159"/>
    </row>
    <row r="257" spans="1:8" x14ac:dyDescent="0.35">
      <c r="A257" s="158" t="s">
        <v>79</v>
      </c>
      <c r="B257" s="158"/>
      <c r="C257" s="158"/>
      <c r="D257" s="158"/>
      <c r="E257" s="158"/>
      <c r="F257" s="158"/>
      <c r="G257" s="158"/>
      <c r="H257" s="158"/>
    </row>
    <row r="258" spans="1:8" x14ac:dyDescent="0.35">
      <c r="A258" s="158"/>
      <c r="B258" s="158"/>
      <c r="C258" s="158"/>
      <c r="D258" s="158"/>
      <c r="E258" s="158"/>
      <c r="F258" s="158"/>
      <c r="G258" s="158"/>
      <c r="H258" s="158"/>
    </row>
    <row r="259" spans="1:8" x14ac:dyDescent="0.35">
      <c r="A259" s="158"/>
      <c r="B259" s="158"/>
      <c r="C259" s="158"/>
      <c r="D259" s="158"/>
      <c r="E259" s="158"/>
      <c r="F259" s="158"/>
      <c r="G259" s="158"/>
      <c r="H259" s="158"/>
    </row>
    <row r="260" spans="1:8" x14ac:dyDescent="0.35">
      <c r="A260" s="158"/>
      <c r="B260" s="158"/>
      <c r="C260" s="158"/>
      <c r="D260" s="158"/>
      <c r="E260" s="158"/>
      <c r="F260" s="158"/>
      <c r="G260" s="158"/>
      <c r="H260" s="158"/>
    </row>
    <row r="261" spans="1:8" x14ac:dyDescent="0.35">
      <c r="A261" s="39" t="s">
        <v>66</v>
      </c>
      <c r="B261" s="40"/>
      <c r="C261" s="40"/>
      <c r="D261" s="39" t="str">
        <f>E8</f>
        <v>Mangeshi Arcade II</v>
      </c>
      <c r="F261" s="40"/>
      <c r="G261" s="40"/>
      <c r="H261" s="40"/>
    </row>
    <row r="262" spans="1:8" x14ac:dyDescent="0.35">
      <c r="A262" s="40"/>
      <c r="B262" s="40"/>
      <c r="C262" s="40"/>
      <c r="D262" s="40"/>
      <c r="E262" s="40"/>
      <c r="F262" s="40"/>
      <c r="G262" s="40"/>
      <c r="H262" s="40"/>
    </row>
    <row r="263" spans="1:8" x14ac:dyDescent="0.35">
      <c r="A263" s="40"/>
      <c r="B263" s="40"/>
      <c r="C263" s="40"/>
      <c r="D263" s="40"/>
      <c r="E263" s="40"/>
      <c r="F263" s="40"/>
      <c r="G263" s="40"/>
      <c r="H263" s="40"/>
    </row>
    <row r="264" spans="1:8" ht="15" customHeight="1" x14ac:dyDescent="0.35"/>
    <row r="304" spans="1:1" x14ac:dyDescent="0.35">
      <c r="A304" s="42" t="s">
        <v>165</v>
      </c>
    </row>
    <row r="337" spans="1:1" x14ac:dyDescent="0.35">
      <c r="A337" s="42" t="s">
        <v>67</v>
      </c>
    </row>
  </sheetData>
  <mergeCells count="496">
    <mergeCell ref="B245:H245"/>
    <mergeCell ref="A48:B48"/>
    <mergeCell ref="C48:H48"/>
    <mergeCell ref="B243:H243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G236:H236"/>
    <mergeCell ref="D137:D138"/>
    <mergeCell ref="A114:E114"/>
    <mergeCell ref="A107:B107"/>
    <mergeCell ref="A108:B108"/>
    <mergeCell ref="G137:H138"/>
    <mergeCell ref="G130:H130"/>
    <mergeCell ref="C137:C138"/>
    <mergeCell ref="B166:B167"/>
    <mergeCell ref="A151:B151"/>
    <mergeCell ref="A158:B158"/>
    <mergeCell ref="A133:B133"/>
    <mergeCell ref="E133:F133"/>
    <mergeCell ref="L235:M235"/>
    <mergeCell ref="A38:B38"/>
    <mergeCell ref="C38:H38"/>
    <mergeCell ref="A45:D45"/>
    <mergeCell ref="L144:M144"/>
    <mergeCell ref="L143:M143"/>
    <mergeCell ref="L142:M142"/>
    <mergeCell ref="L141:M141"/>
    <mergeCell ref="A79:B79"/>
    <mergeCell ref="C131:D131"/>
    <mergeCell ref="E131:F131"/>
    <mergeCell ref="G131:H131"/>
    <mergeCell ref="F117:H117"/>
    <mergeCell ref="A111:E111"/>
    <mergeCell ref="A96:B96"/>
    <mergeCell ref="C96:H96"/>
    <mergeCell ref="A140:H140"/>
    <mergeCell ref="A113:E113"/>
    <mergeCell ref="A110:E110"/>
    <mergeCell ref="C39:H39"/>
    <mergeCell ref="G100:H109"/>
    <mergeCell ref="A41:D41"/>
    <mergeCell ref="E41:H41"/>
    <mergeCell ref="F36:H36"/>
    <mergeCell ref="F114:H114"/>
    <mergeCell ref="G99:H99"/>
    <mergeCell ref="A98:B98"/>
    <mergeCell ref="C98:H98"/>
    <mergeCell ref="A99:B99"/>
    <mergeCell ref="A86:B86"/>
    <mergeCell ref="A121:E121"/>
    <mergeCell ref="G133:H133"/>
    <mergeCell ref="C127:D127"/>
    <mergeCell ref="E127:F127"/>
    <mergeCell ref="G127:H127"/>
    <mergeCell ref="A128:B128"/>
    <mergeCell ref="C128:D128"/>
    <mergeCell ref="F111:H111"/>
    <mergeCell ref="G126:H126"/>
    <mergeCell ref="A109:B109"/>
    <mergeCell ref="F118:H118"/>
    <mergeCell ref="C125:D125"/>
    <mergeCell ref="A93:B93"/>
    <mergeCell ref="A94:B94"/>
    <mergeCell ref="E99:F99"/>
    <mergeCell ref="A115:E115"/>
    <mergeCell ref="A95:B95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A42:D42"/>
    <mergeCell ref="A47:H47"/>
    <mergeCell ref="E45:H45"/>
    <mergeCell ref="A85:B85"/>
    <mergeCell ref="E46:H46"/>
    <mergeCell ref="A84:B84"/>
    <mergeCell ref="C84:H84"/>
    <mergeCell ref="A44:D44"/>
    <mergeCell ref="A100:B100"/>
    <mergeCell ref="A28:D28"/>
    <mergeCell ref="E28:H28"/>
    <mergeCell ref="G50:H50"/>
    <mergeCell ref="A51:B52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A39:B39"/>
    <mergeCell ref="E42:H42"/>
    <mergeCell ref="A37:H37"/>
    <mergeCell ref="A36:B36"/>
    <mergeCell ref="C36:E36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57:H260"/>
    <mergeCell ref="A256:B256"/>
    <mergeCell ref="E256:F256"/>
    <mergeCell ref="C256:D256"/>
    <mergeCell ref="G256:H256"/>
    <mergeCell ref="A124:H124"/>
    <mergeCell ref="A122:E122"/>
    <mergeCell ref="F122:H122"/>
    <mergeCell ref="A123:E123"/>
    <mergeCell ref="F123:H123"/>
    <mergeCell ref="A235:H235"/>
    <mergeCell ref="A131:B131"/>
    <mergeCell ref="A126:B126"/>
    <mergeCell ref="A252:H252"/>
    <mergeCell ref="A129:H129"/>
    <mergeCell ref="A255:H255"/>
    <mergeCell ref="A253:H253"/>
    <mergeCell ref="A249:H249"/>
    <mergeCell ref="A185:B185"/>
    <mergeCell ref="B241:H241"/>
    <mergeCell ref="B242:H242"/>
    <mergeCell ref="A237:H237"/>
    <mergeCell ref="A186:B186"/>
    <mergeCell ref="C166:C167"/>
    <mergeCell ref="B239:H239"/>
    <mergeCell ref="A166:A167"/>
    <mergeCell ref="D66:H66"/>
    <mergeCell ref="A72:B72"/>
    <mergeCell ref="G71:H71"/>
    <mergeCell ref="F110:H110"/>
    <mergeCell ref="F115:H115"/>
    <mergeCell ref="A183:B183"/>
    <mergeCell ref="A144:B144"/>
    <mergeCell ref="A143:B143"/>
    <mergeCell ref="E85:F85"/>
    <mergeCell ref="G85:H85"/>
    <mergeCell ref="A116:E116"/>
    <mergeCell ref="F116:H116"/>
    <mergeCell ref="A117:E117"/>
    <mergeCell ref="A119:E119"/>
    <mergeCell ref="F113:H113"/>
    <mergeCell ref="A118:E118"/>
    <mergeCell ref="A103:B103"/>
    <mergeCell ref="A104:B104"/>
    <mergeCell ref="E86:F95"/>
    <mergeCell ref="E71:F71"/>
    <mergeCell ref="A92:B92"/>
    <mergeCell ref="A106:B106"/>
    <mergeCell ref="A254:H254"/>
    <mergeCell ref="A251:H251"/>
    <mergeCell ref="A236:B236"/>
    <mergeCell ref="A130:B130"/>
    <mergeCell ref="D166:D167"/>
    <mergeCell ref="E166:E167"/>
    <mergeCell ref="G166:H167"/>
    <mergeCell ref="C133:D133"/>
    <mergeCell ref="A182:H182"/>
    <mergeCell ref="A141:B141"/>
    <mergeCell ref="A250:H250"/>
    <mergeCell ref="E130:F130"/>
    <mergeCell ref="B246:H246"/>
    <mergeCell ref="B244:H244"/>
    <mergeCell ref="B240:H240"/>
    <mergeCell ref="B247:H247"/>
    <mergeCell ref="A134:B134"/>
    <mergeCell ref="C134:D134"/>
    <mergeCell ref="E134:F134"/>
    <mergeCell ref="G134:H134"/>
    <mergeCell ref="A135:H135"/>
    <mergeCell ref="A184:B184"/>
    <mergeCell ref="A148:B148"/>
    <mergeCell ref="E137:E138"/>
    <mergeCell ref="C82:H82"/>
    <mergeCell ref="A77:B77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0:H60"/>
    <mergeCell ref="A64:C64"/>
    <mergeCell ref="D64:H64"/>
    <mergeCell ref="A67:C67"/>
    <mergeCell ref="D67:H67"/>
    <mergeCell ref="A65:C65"/>
    <mergeCell ref="C52:H52"/>
    <mergeCell ref="B238:H238"/>
    <mergeCell ref="C51:E51"/>
    <mergeCell ref="A58:C60"/>
    <mergeCell ref="D58:H58"/>
    <mergeCell ref="D59:H59"/>
    <mergeCell ref="C50:E50"/>
    <mergeCell ref="I14:P14"/>
    <mergeCell ref="F121:H121"/>
    <mergeCell ref="F119:H119"/>
    <mergeCell ref="A136:H136"/>
    <mergeCell ref="G125:H125"/>
    <mergeCell ref="A120:E120"/>
    <mergeCell ref="A53:B53"/>
    <mergeCell ref="C53:E53"/>
    <mergeCell ref="D55:H55"/>
    <mergeCell ref="F120:H120"/>
    <mergeCell ref="E125:F125"/>
    <mergeCell ref="A125:B125"/>
    <mergeCell ref="A127:B127"/>
    <mergeCell ref="C130:D130"/>
    <mergeCell ref="D65:H65"/>
    <mergeCell ref="A66:C66"/>
    <mergeCell ref="E100:F109"/>
    <mergeCell ref="A46:D46"/>
    <mergeCell ref="A139:H139"/>
    <mergeCell ref="A145:B145"/>
    <mergeCell ref="L145:M145"/>
    <mergeCell ref="A146:B146"/>
    <mergeCell ref="L146:M146"/>
    <mergeCell ref="A147:B147"/>
    <mergeCell ref="L147:M147"/>
    <mergeCell ref="A142:B142"/>
    <mergeCell ref="D57:H57"/>
    <mergeCell ref="A57:C57"/>
    <mergeCell ref="E128:F128"/>
    <mergeCell ref="G128:H128"/>
    <mergeCell ref="A132:B132"/>
    <mergeCell ref="C132:D132"/>
    <mergeCell ref="E132:F132"/>
    <mergeCell ref="G132:H132"/>
    <mergeCell ref="C126:D126"/>
    <mergeCell ref="E126:F126"/>
    <mergeCell ref="B137:B138"/>
    <mergeCell ref="A137:A138"/>
    <mergeCell ref="A105:B105"/>
    <mergeCell ref="A90:B90"/>
    <mergeCell ref="A91:B91"/>
    <mergeCell ref="A82:B82"/>
    <mergeCell ref="L158:M158"/>
    <mergeCell ref="A159:B159"/>
    <mergeCell ref="L159:M159"/>
    <mergeCell ref="G141:H159"/>
    <mergeCell ref="A160:H160"/>
    <mergeCell ref="A161:H161"/>
    <mergeCell ref="A155:B155"/>
    <mergeCell ref="L155:M155"/>
    <mergeCell ref="A156:B156"/>
    <mergeCell ref="L156:M156"/>
    <mergeCell ref="A157:B157"/>
    <mergeCell ref="L157:M157"/>
    <mergeCell ref="A152:B152"/>
    <mergeCell ref="L152:M152"/>
    <mergeCell ref="A153:B153"/>
    <mergeCell ref="L153:M153"/>
    <mergeCell ref="A154:B154"/>
    <mergeCell ref="L154:M154"/>
    <mergeCell ref="L148:M148"/>
    <mergeCell ref="A149:B149"/>
    <mergeCell ref="L149:M149"/>
    <mergeCell ref="A150:B150"/>
    <mergeCell ref="L150:M150"/>
    <mergeCell ref="L151:M151"/>
    <mergeCell ref="A189:B189"/>
    <mergeCell ref="L189:M189"/>
    <mergeCell ref="A190:B190"/>
    <mergeCell ref="L190:M190"/>
    <mergeCell ref="A162:B162"/>
    <mergeCell ref="L162:M162"/>
    <mergeCell ref="A163:B163"/>
    <mergeCell ref="L163:M163"/>
    <mergeCell ref="A164:B164"/>
    <mergeCell ref="L164:M164"/>
    <mergeCell ref="G162:H164"/>
    <mergeCell ref="A187:B187"/>
    <mergeCell ref="L187:M187"/>
    <mergeCell ref="A168:H168"/>
    <mergeCell ref="A169:H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65:H165"/>
    <mergeCell ref="A178:B178"/>
    <mergeCell ref="L178:M178"/>
    <mergeCell ref="A174:B174"/>
    <mergeCell ref="L174:M174"/>
    <mergeCell ref="A175:B175"/>
    <mergeCell ref="L175:M175"/>
    <mergeCell ref="A188:B188"/>
    <mergeCell ref="L188:M188"/>
    <mergeCell ref="L186:M186"/>
    <mergeCell ref="L183:M183"/>
    <mergeCell ref="C178:F181"/>
    <mergeCell ref="L184:M184"/>
    <mergeCell ref="L185:M185"/>
    <mergeCell ref="A206:B206"/>
    <mergeCell ref="L206:M206"/>
    <mergeCell ref="A207:B207"/>
    <mergeCell ref="A194:B194"/>
    <mergeCell ref="L194:M194"/>
    <mergeCell ref="G170:H181"/>
    <mergeCell ref="G183:H194"/>
    <mergeCell ref="A195:H195"/>
    <mergeCell ref="A191:B191"/>
    <mergeCell ref="L191:M191"/>
    <mergeCell ref="A192:B192"/>
    <mergeCell ref="L192:M192"/>
    <mergeCell ref="A193:B193"/>
    <mergeCell ref="L193:M193"/>
    <mergeCell ref="A179:B179"/>
    <mergeCell ref="L179:M179"/>
    <mergeCell ref="A180:B180"/>
    <mergeCell ref="L180:M180"/>
    <mergeCell ref="A181:B181"/>
    <mergeCell ref="L181:M181"/>
    <mergeCell ref="A177:B177"/>
    <mergeCell ref="L177:M177"/>
    <mergeCell ref="L176:M176"/>
    <mergeCell ref="A176:B176"/>
    <mergeCell ref="A218:B218"/>
    <mergeCell ref="L218:M218"/>
    <mergeCell ref="A219:B219"/>
    <mergeCell ref="A196:B196"/>
    <mergeCell ref="G196:H207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29:B229"/>
    <mergeCell ref="L229:M229"/>
    <mergeCell ref="A230:B230"/>
    <mergeCell ref="L207:M207"/>
    <mergeCell ref="A208:H208"/>
    <mergeCell ref="A209:B209"/>
    <mergeCell ref="G209:H220"/>
    <mergeCell ref="L209:M209"/>
    <mergeCell ref="A210:B210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A216:B216"/>
    <mergeCell ref="L216:M216"/>
    <mergeCell ref="A217:B217"/>
    <mergeCell ref="L217:M217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L228:M228"/>
    <mergeCell ref="B248:H248"/>
    <mergeCell ref="C170:F171"/>
    <mergeCell ref="C229:F233"/>
    <mergeCell ref="C222:F224"/>
    <mergeCell ref="C212:F212"/>
    <mergeCell ref="C215:F215"/>
    <mergeCell ref="A234:H234"/>
    <mergeCell ref="L234:M234"/>
    <mergeCell ref="L230:M230"/>
    <mergeCell ref="A231:B231"/>
    <mergeCell ref="L231:M231"/>
    <mergeCell ref="A232:B232"/>
    <mergeCell ref="L232:M232"/>
    <mergeCell ref="A233:B233"/>
    <mergeCell ref="L233:M233"/>
    <mergeCell ref="L219:M219"/>
    <mergeCell ref="A220:B220"/>
    <mergeCell ref="L220:M220"/>
    <mergeCell ref="A221:H221"/>
    <mergeCell ref="A222:B222"/>
    <mergeCell ref="G222:H233"/>
    <mergeCell ref="L222:M222"/>
    <mergeCell ref="A223:B223"/>
    <mergeCell ref="L223:M223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37:E138">
      <formula1>"Attached Loft area,Attached Terrace area,Attached Mezzanine area"</formula1>
    </dataValidation>
    <dataValidation type="list" allowBlank="1" showInputMessage="1" showErrorMessage="1" sqref="F138 F167">
      <formula1>"45%,50%,55%,60%"</formula1>
    </dataValidation>
    <dataValidation type="list" allowBlank="1" showInputMessage="1" showErrorMessage="1" sqref="G256:H256">
      <formula1>"Kunal Kadam,Shruti Tathare,Pranita Mhatre,Shruti Fule,Pooja Kawale,Mansee Mohite,Anjali Kamble, Hitakshi Mhatre, Sachin Sawant"</formula1>
    </dataValidation>
    <dataValidation type="list" allowBlank="1" showInputMessage="1" showErrorMessage="1" sqref="F110:H110">
      <formula1>"On Saleable Area,On Builtup Area,On Carpet Area,On Plot Area"</formula1>
    </dataValidation>
    <dataValidation type="list" allowBlank="1" showInputMessage="1" showErrorMessage="1" sqref="F122:H122">
      <formula1>"100000,150000,200000,250000,300000,350000,400000,500000,600000,700000,800000,900000,1000000,1200000,1400000,1500000"</formula1>
    </dataValidation>
    <dataValidation type="list" allowBlank="1" showInputMessage="1" showErrorMessage="1" sqref="F137 F166">
      <formula1>"Saleable area Loading :,Builder Saleable area"</formula1>
    </dataValidation>
    <dataValidation type="list" allowBlank="1" showInputMessage="1" showErrorMessage="1" sqref="B137:B138">
      <formula1>"Shop No. (Sale Plan),Sale / Rehab,Sale / Mhada"</formula1>
    </dataValidation>
    <dataValidation type="list" allowBlank="1" showInputMessage="1" showErrorMessage="1" sqref="B166:B167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16383" man="1"/>
    <brk id="128" max="16383" man="1"/>
    <brk id="260" max="16383" man="1"/>
    <brk id="303" max="16383" man="1"/>
    <brk id="33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8" t="s">
        <v>108</v>
      </c>
      <c r="C3" s="208"/>
      <c r="D3" s="208"/>
      <c r="E3" s="208"/>
      <c r="F3" s="208"/>
      <c r="G3" s="208"/>
      <c r="H3" s="208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7"/>
      <c r="C4" s="57" t="s">
        <v>12</v>
      </c>
      <c r="D4" s="58" t="s">
        <v>182</v>
      </c>
      <c r="E4" s="58" t="s">
        <v>192</v>
      </c>
      <c r="F4" s="58" t="s">
        <v>175</v>
      </c>
      <c r="G4" s="58" t="s">
        <v>197</v>
      </c>
      <c r="H4" s="58" t="s">
        <v>215</v>
      </c>
      <c r="J4" t="s">
        <v>197</v>
      </c>
      <c r="K4" t="s">
        <v>213</v>
      </c>
    </row>
    <row r="5" spans="2:11" x14ac:dyDescent="0.35">
      <c r="B5" s="57"/>
      <c r="C5" s="57"/>
      <c r="D5" s="58" t="s">
        <v>183</v>
      </c>
      <c r="E5" s="58" t="s">
        <v>190</v>
      </c>
      <c r="F5" s="58" t="s">
        <v>212</v>
      </c>
      <c r="G5" s="58" t="s">
        <v>198</v>
      </c>
      <c r="H5" s="58" t="s">
        <v>216</v>
      </c>
    </row>
    <row r="6" spans="2:11" x14ac:dyDescent="0.35">
      <c r="B6" s="57"/>
      <c r="C6" s="57"/>
      <c r="D6" s="58" t="s">
        <v>184</v>
      </c>
      <c r="E6" s="58" t="s">
        <v>191</v>
      </c>
      <c r="F6" s="58" t="s">
        <v>213</v>
      </c>
      <c r="G6" s="58" t="s">
        <v>199</v>
      </c>
      <c r="H6" s="58" t="s">
        <v>229</v>
      </c>
    </row>
    <row r="7" spans="2:11" x14ac:dyDescent="0.35">
      <c r="B7" s="57"/>
      <c r="C7" s="57"/>
      <c r="D7" s="58" t="s">
        <v>185</v>
      </c>
      <c r="E7" s="58" t="s">
        <v>193</v>
      </c>
      <c r="F7" s="58" t="s">
        <v>214</v>
      </c>
      <c r="G7" s="58" t="s">
        <v>200</v>
      </c>
      <c r="H7" s="58" t="s">
        <v>217</v>
      </c>
    </row>
    <row r="8" spans="2:11" x14ac:dyDescent="0.35">
      <c r="B8" s="57"/>
      <c r="C8" s="57"/>
      <c r="D8" s="58" t="s">
        <v>186</v>
      </c>
      <c r="E8" s="58" t="s">
        <v>194</v>
      </c>
      <c r="F8" s="58"/>
      <c r="G8" s="58" t="s">
        <v>201</v>
      </c>
      <c r="H8" s="58" t="s">
        <v>218</v>
      </c>
    </row>
    <row r="9" spans="2:11" x14ac:dyDescent="0.35">
      <c r="B9" s="57"/>
      <c r="C9" s="57"/>
      <c r="D9" s="58" t="s">
        <v>187</v>
      </c>
      <c r="E9" s="58" t="s">
        <v>192</v>
      </c>
      <c r="F9" s="58"/>
      <c r="G9" s="58" t="s">
        <v>202</v>
      </c>
      <c r="H9" s="58" t="s">
        <v>219</v>
      </c>
    </row>
    <row r="10" spans="2:11" x14ac:dyDescent="0.35">
      <c r="B10" s="57"/>
      <c r="C10" s="57"/>
      <c r="D10" s="58" t="s">
        <v>188</v>
      </c>
      <c r="E10" s="58" t="s">
        <v>195</v>
      </c>
      <c r="F10" s="58"/>
      <c r="G10" s="58" t="s">
        <v>203</v>
      </c>
      <c r="H10" s="58" t="s">
        <v>220</v>
      </c>
    </row>
    <row r="11" spans="2:11" x14ac:dyDescent="0.35">
      <c r="B11" s="57"/>
      <c r="C11" s="57"/>
      <c r="D11" s="58" t="s">
        <v>189</v>
      </c>
      <c r="E11" s="58" t="s">
        <v>196</v>
      </c>
      <c r="F11" s="58"/>
      <c r="G11" s="58" t="s">
        <v>204</v>
      </c>
      <c r="H11" s="58" t="s">
        <v>221</v>
      </c>
    </row>
    <row r="12" spans="2:11" x14ac:dyDescent="0.35">
      <c r="B12" s="57"/>
      <c r="C12" s="57"/>
      <c r="D12" s="58"/>
      <c r="E12" s="58"/>
      <c r="F12" s="58"/>
      <c r="G12" s="58" t="s">
        <v>205</v>
      </c>
      <c r="H12" s="58" t="s">
        <v>222</v>
      </c>
    </row>
    <row r="13" spans="2:11" x14ac:dyDescent="0.35">
      <c r="B13" s="57"/>
      <c r="C13" s="57"/>
      <c r="D13" s="58"/>
      <c r="E13" s="58"/>
      <c r="F13" s="58"/>
      <c r="G13" s="58" t="s">
        <v>206</v>
      </c>
      <c r="H13" s="58" t="s">
        <v>223</v>
      </c>
    </row>
    <row r="14" spans="2:11" x14ac:dyDescent="0.35">
      <c r="B14" s="57"/>
      <c r="C14" s="57"/>
      <c r="D14" s="58"/>
      <c r="E14" s="58"/>
      <c r="F14" s="58"/>
      <c r="G14" s="58" t="s">
        <v>207</v>
      </c>
      <c r="H14" s="58" t="s">
        <v>224</v>
      </c>
    </row>
    <row r="15" spans="2:11" x14ac:dyDescent="0.35">
      <c r="B15" s="57"/>
      <c r="C15" s="57"/>
      <c r="D15" s="58"/>
      <c r="E15" s="58"/>
      <c r="F15" s="58"/>
      <c r="G15" s="58" t="s">
        <v>208</v>
      </c>
      <c r="H15" s="58" t="s">
        <v>225</v>
      </c>
    </row>
    <row r="16" spans="2:11" x14ac:dyDescent="0.35">
      <c r="B16" s="57"/>
      <c r="C16" s="57"/>
      <c r="D16" s="58"/>
      <c r="E16" s="58"/>
      <c r="F16" s="58"/>
      <c r="G16" s="58" t="s">
        <v>209</v>
      </c>
      <c r="H16" s="58" t="s">
        <v>226</v>
      </c>
    </row>
    <row r="17" spans="2:8" x14ac:dyDescent="0.35">
      <c r="B17" s="57"/>
      <c r="C17" s="57"/>
      <c r="D17" s="58"/>
      <c r="E17" s="58"/>
      <c r="F17" s="58"/>
      <c r="G17" s="58" t="s">
        <v>210</v>
      </c>
      <c r="H17" s="58" t="s">
        <v>227</v>
      </c>
    </row>
    <row r="18" spans="2:8" x14ac:dyDescent="0.35">
      <c r="B18" s="57"/>
      <c r="C18" s="57"/>
      <c r="D18" s="58"/>
      <c r="E18" s="58"/>
      <c r="F18" s="58"/>
      <c r="G18" s="58" t="s">
        <v>211</v>
      </c>
      <c r="H18" s="58" t="s">
        <v>228</v>
      </c>
    </row>
    <row r="24" spans="2:8" x14ac:dyDescent="0.35">
      <c r="C24" t="s">
        <v>172</v>
      </c>
    </row>
    <row r="25" spans="2:8" x14ac:dyDescent="0.35">
      <c r="C25" t="s">
        <v>230</v>
      </c>
    </row>
    <row r="26" spans="2:8" x14ac:dyDescent="0.35">
      <c r="C26" t="s">
        <v>231</v>
      </c>
    </row>
    <row r="27" spans="2:8" x14ac:dyDescent="0.35">
      <c r="C27" t="s">
        <v>232</v>
      </c>
    </row>
    <row r="28" spans="2:8" x14ac:dyDescent="0.35">
      <c r="C28" t="s">
        <v>233</v>
      </c>
    </row>
    <row r="29" spans="2:8" x14ac:dyDescent="0.35">
      <c r="C29" t="s">
        <v>234</v>
      </c>
    </row>
    <row r="30" spans="2:8" x14ac:dyDescent="0.35">
      <c r="C30" t="s">
        <v>172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2025-06-09T12:22:16Z</cp:lastPrinted>
  <dcterms:created xsi:type="dcterms:W3CDTF">2019-07-16T09:29:46Z</dcterms:created>
  <dcterms:modified xsi:type="dcterms:W3CDTF">2025-09-11T12:12:52Z</dcterms:modified>
</cp:coreProperties>
</file>