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codeName="ThisWorkbook"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Sept 2025\13-09-2025\"/>
    </mc:Choice>
  </mc:AlternateContent>
  <bookViews>
    <workbookView xWindow="0" yWindow="0" windowWidth="19200" windowHeight="6930" tabRatio="728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Report!$A$1:$H$320</definedName>
  </definedNames>
  <calcPr calcId="162913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I142" i="1" l="1"/>
  <c r="G110" i="1"/>
  <c r="G109" i="1"/>
  <c r="I158" i="1"/>
  <c r="I145" i="1"/>
  <c r="I156" i="1"/>
  <c r="L157" i="1"/>
  <c r="I157" i="1"/>
  <c r="D156" i="1"/>
  <c r="D157" i="1"/>
  <c r="D158" i="1"/>
  <c r="L156" i="1"/>
  <c r="I146" i="1"/>
  <c r="K156" i="1"/>
  <c r="K157" i="1"/>
  <c r="K158" i="1"/>
  <c r="K159" i="1"/>
  <c r="K160" i="1"/>
  <c r="K161" i="1"/>
  <c r="K162" i="1"/>
  <c r="K163" i="1"/>
  <c r="K164" i="1"/>
  <c r="K165" i="1"/>
  <c r="K166" i="1"/>
  <c r="K155" i="1"/>
  <c r="K142" i="1"/>
  <c r="M142" i="1" s="1"/>
  <c r="K143" i="1"/>
  <c r="M143" i="1" s="1"/>
  <c r="K144" i="1"/>
  <c r="M144" i="1" s="1"/>
  <c r="K145" i="1"/>
  <c r="M145" i="1" s="1"/>
  <c r="K146" i="1"/>
  <c r="M146" i="1" s="1"/>
  <c r="K147" i="1"/>
  <c r="M147" i="1" s="1"/>
  <c r="K148" i="1"/>
  <c r="M148" i="1" s="1"/>
  <c r="K149" i="1"/>
  <c r="M149" i="1" s="1"/>
  <c r="K150" i="1"/>
  <c r="M150" i="1" s="1"/>
  <c r="K151" i="1"/>
  <c r="M151" i="1" s="1"/>
  <c r="K141" i="1"/>
  <c r="M141" i="1" s="1"/>
  <c r="I55" i="1"/>
  <c r="D164" i="1"/>
  <c r="D165" i="1"/>
  <c r="D160" i="1"/>
  <c r="D161" i="1"/>
  <c r="D162" i="1"/>
  <c r="D163" i="1"/>
  <c r="D159" i="1"/>
  <c r="D167" i="1"/>
  <c r="A143" i="1"/>
  <c r="A144" i="1" s="1"/>
  <c r="A145" i="1" s="1"/>
  <c r="A146" i="1" s="1"/>
  <c r="A147" i="1" s="1"/>
  <c r="A148" i="1" s="1"/>
  <c r="A149" i="1" s="1"/>
  <c r="A150" i="1" s="1"/>
  <c r="A151" i="1" s="1"/>
  <c r="A152" i="1" s="1"/>
  <c r="E41" i="1"/>
  <c r="E44" i="1" l="1"/>
  <c r="I171" i="1"/>
  <c r="J171" i="1"/>
  <c r="J169" i="1"/>
  <c r="I169" i="1"/>
  <c r="J168" i="1"/>
  <c r="I168" i="1"/>
  <c r="D134" i="1"/>
  <c r="D146" i="1"/>
  <c r="D132" i="1"/>
  <c r="K169" i="1" l="1"/>
  <c r="K168" i="1"/>
  <c r="K171" i="1"/>
  <c r="K98" i="1"/>
  <c r="G105" i="1" l="1"/>
  <c r="G106" i="1" s="1"/>
  <c r="K130" i="1"/>
  <c r="K131" i="1"/>
  <c r="K132" i="1"/>
  <c r="K133" i="1"/>
  <c r="K134" i="1"/>
  <c r="K136" i="1"/>
  <c r="K137" i="1"/>
  <c r="K138" i="1"/>
  <c r="K139" i="1"/>
  <c r="K129" i="1"/>
  <c r="G111" i="1" l="1"/>
  <c r="G112" i="1" s="1"/>
  <c r="I166" i="1"/>
  <c r="J166" i="1" l="1"/>
  <c r="D166" i="1"/>
  <c r="J165" i="1" s="1"/>
  <c r="J164" i="1"/>
  <c r="J163" i="1"/>
  <c r="J159" i="1"/>
  <c r="J160" i="1"/>
  <c r="J161" i="1"/>
  <c r="J162" i="1"/>
  <c r="J158" i="1"/>
  <c r="J156" i="1"/>
  <c r="D152" i="1"/>
  <c r="J151" i="1" s="1"/>
  <c r="D151" i="1"/>
  <c r="J150" i="1" s="1"/>
  <c r="D150" i="1"/>
  <c r="J149" i="1" s="1"/>
  <c r="D149" i="1"/>
  <c r="J148" i="1" s="1"/>
  <c r="D148" i="1"/>
  <c r="J147" i="1" s="1"/>
  <c r="D147" i="1"/>
  <c r="J146" i="1" s="1"/>
  <c r="J145" i="1"/>
  <c r="D145" i="1"/>
  <c r="J144" i="1" s="1"/>
  <c r="D144" i="1"/>
  <c r="J143" i="1" s="1"/>
  <c r="D143" i="1"/>
  <c r="J142" i="1" s="1"/>
  <c r="D142" i="1"/>
  <c r="J141" i="1" s="1"/>
  <c r="G142" i="1"/>
  <c r="D140" i="1"/>
  <c r="J139" i="1" s="1"/>
  <c r="D139" i="1"/>
  <c r="J138" i="1" s="1"/>
  <c r="D138" i="1"/>
  <c r="J137" i="1" s="1"/>
  <c r="D137" i="1"/>
  <c r="J136" i="1" s="1"/>
  <c r="D136" i="1"/>
  <c r="J134" i="1" s="1"/>
  <c r="J133" i="1"/>
  <c r="D133" i="1"/>
  <c r="J132" i="1" s="1"/>
  <c r="J131" i="1"/>
  <c r="D131" i="1"/>
  <c r="J130" i="1" s="1"/>
  <c r="D130" i="1"/>
  <c r="J129" i="1" s="1"/>
  <c r="G130" i="1"/>
  <c r="A131" i="1"/>
  <c r="A132" i="1" s="1"/>
  <c r="A133" i="1" s="1"/>
  <c r="A134" i="1" s="1"/>
  <c r="E124" i="1"/>
  <c r="E123" i="1"/>
  <c r="E122" i="1"/>
  <c r="E121" i="1"/>
  <c r="E120" i="1"/>
  <c r="E119" i="1"/>
  <c r="E118" i="1"/>
  <c r="D124" i="1"/>
  <c r="J123" i="1" s="1"/>
  <c r="D123" i="1"/>
  <c r="J122" i="1" s="1"/>
  <c r="D122" i="1"/>
  <c r="J121" i="1" s="1"/>
  <c r="D121" i="1"/>
  <c r="J120" i="1" s="1"/>
  <c r="D120" i="1"/>
  <c r="J119" i="1" s="1"/>
  <c r="D119" i="1"/>
  <c r="J118" i="1" s="1"/>
  <c r="D118" i="1"/>
  <c r="A136" i="1" l="1"/>
  <c r="A137" i="1" s="1"/>
  <c r="A138" i="1" s="1"/>
  <c r="A139" i="1" s="1"/>
  <c r="A140" i="1" s="1"/>
  <c r="J157" i="1"/>
  <c r="E110" i="1"/>
  <c r="C110" i="1"/>
  <c r="C105" i="1"/>
  <c r="C106" i="1" s="1"/>
  <c r="J155" i="1"/>
  <c r="C109" i="1"/>
  <c r="E105" i="1"/>
  <c r="E106" i="1" s="1"/>
  <c r="J117" i="1"/>
  <c r="E109" i="1"/>
  <c r="C14" i="1"/>
  <c r="C111" i="1" l="1"/>
  <c r="C112" i="1" s="1"/>
  <c r="E111" i="1"/>
  <c r="E112" i="1" s="1"/>
  <c r="E29" i="1"/>
  <c r="J112" i="1" l="1"/>
  <c r="A157" i="1"/>
  <c r="A158" i="1" s="1"/>
  <c r="A159" i="1" s="1"/>
  <c r="A160" i="1" s="1"/>
  <c r="A161" i="1" s="1"/>
  <c r="A162" i="1" s="1"/>
  <c r="A163" i="1" s="1"/>
  <c r="A164" i="1" s="1"/>
  <c r="A165" i="1" s="1"/>
  <c r="A166" i="1" s="1"/>
  <c r="A167" i="1" s="1"/>
  <c r="G156" i="1"/>
  <c r="F102" i="1" l="1"/>
  <c r="B170" i="1" l="1"/>
  <c r="B171" i="1" l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194" i="1"/>
  <c r="A119" i="1"/>
  <c r="A120" i="1" s="1"/>
  <c r="A121" i="1" s="1"/>
  <c r="A122" i="1" s="1"/>
  <c r="A123" i="1" s="1"/>
  <c r="A124" i="1" s="1"/>
  <c r="G118" i="1"/>
  <c r="J93" i="1"/>
  <c r="J92" i="1"/>
  <c r="J91" i="1"/>
  <c r="J90" i="1"/>
  <c r="C82" i="1"/>
  <c r="J79" i="1"/>
  <c r="J78" i="1"/>
  <c r="J77" i="1"/>
  <c r="J76" i="1"/>
  <c r="C67" i="1"/>
  <c r="D55" i="1"/>
  <c r="G49" i="1"/>
  <c r="C49" i="1"/>
  <c r="E42" i="1"/>
  <c r="E43" i="1" s="1"/>
  <c r="E26" i="1"/>
  <c r="E24" i="1"/>
  <c r="E3" i="1"/>
  <c r="H83" i="1"/>
  <c r="H68" i="1"/>
  <c r="D61" i="1" l="1"/>
  <c r="D93" i="1"/>
  <c r="D94" i="1"/>
  <c r="D95" i="1"/>
  <c r="D89" i="1"/>
  <c r="D90" i="1"/>
  <c r="D91" i="1"/>
  <c r="D92" i="1"/>
  <c r="J82" i="1"/>
  <c r="D81" i="1"/>
  <c r="I67" i="1" s="1"/>
  <c r="D79" i="1"/>
  <c r="D78" i="1"/>
  <c r="D77" i="1"/>
  <c r="D75" i="1"/>
  <c r="J67" i="1"/>
  <c r="D80" i="1"/>
  <c r="D76" i="1"/>
  <c r="J72" i="1"/>
  <c r="J73" i="1"/>
  <c r="C72" i="1" s="1"/>
  <c r="J71" i="1"/>
  <c r="J74" i="1"/>
  <c r="J88" i="1"/>
  <c r="J89" i="1" s="1"/>
  <c r="J94" i="1" s="1"/>
  <c r="J95" i="1" s="1"/>
  <c r="C87" i="1" s="1"/>
  <c r="J86" i="1"/>
  <c r="J87" i="1"/>
  <c r="C86" i="1" s="1"/>
  <c r="J85" i="1"/>
  <c r="J75" i="1" l="1"/>
  <c r="J80" i="1" s="1"/>
  <c r="J81" i="1" s="1"/>
  <c r="D73" i="1"/>
  <c r="D88" i="1"/>
  <c r="J84" i="1"/>
  <c r="D74" i="1"/>
  <c r="J70" i="1"/>
  <c r="D72" i="1"/>
  <c r="E86" i="1"/>
  <c r="D87" i="1"/>
  <c r="G86" i="1"/>
  <c r="D65" i="1" s="1"/>
  <c r="D86" i="1"/>
  <c r="E72" i="1" l="1"/>
  <c r="J68" i="1"/>
  <c r="G72" i="1"/>
  <c r="D66" i="1" s="1"/>
  <c r="I83" i="1"/>
  <c r="I84" i="1" s="1"/>
  <c r="J83" i="1"/>
  <c r="I68" i="1"/>
  <c r="F66" i="1" l="1"/>
  <c r="I82" i="1"/>
  <c r="C84" i="1" s="1"/>
  <c r="I70" i="1"/>
</calcChain>
</file>

<file path=xl/sharedStrings.xml><?xml version="1.0" encoding="utf-8"?>
<sst xmlns="http://schemas.openxmlformats.org/spreadsheetml/2006/main" count="330" uniqueCount="234">
  <si>
    <t xml:space="preserve">Valuation Report </t>
  </si>
  <si>
    <t>Date:</t>
  </si>
  <si>
    <t>CPC Name:</t>
  </si>
  <si>
    <t>Date Of Property Visit</t>
  </si>
  <si>
    <t>Name of the builder group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</si>
  <si>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</si>
  <si>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</si>
  <si>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</si>
  <si>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</si>
  <si>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</si>
  <si>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</si>
  <si>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</si>
  <si>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</si>
  <si>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</si>
  <si>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</si>
  <si>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</si>
  <si>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</si>
  <si>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</si>
  <si>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</si>
  <si>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</si>
  <si>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</si>
  <si>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</si>
  <si>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</si>
  <si>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</si>
  <si>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</si>
  <si>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</si>
  <si>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</si>
  <si>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</si>
  <si>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</si>
  <si>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</si>
  <si>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</si>
  <si>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</si>
  <si>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</si>
  <si>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</si>
  <si>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</si>
  <si>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</si>
  <si>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</si>
  <si>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</si>
  <si>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</si>
  <si>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</si>
  <si>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</si>
  <si>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</si>
  <si>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</si>
  <si>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</si>
  <si>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</si>
  <si>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</si>
  <si>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</si>
  <si>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</si>
  <si>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</si>
  <si>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</si>
  <si>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</si>
  <si>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</si>
  <si>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</si>
  <si>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</si>
  <si>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</si>
  <si>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</si>
  <si>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</si>
  <si>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</si>
  <si>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</si>
  <si>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</si>
  <si>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</si>
  <si>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</si>
  <si>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</si>
  <si>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</si>
  <si>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</si>
  <si>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</si>
  <si>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</si>
  <si>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</si>
  <si>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</si>
  <si>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</si>
  <si>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</si>
  <si>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</si>
  <si>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</si>
  <si>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</si>
  <si>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</si>
  <si>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</si>
  <si>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</si>
  <si>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</si>
  <si>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</si>
  <si>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</si>
  <si>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</si>
  <si>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</si>
  <si>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</si>
  <si>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</si>
  <si>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</si>
  <si>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</si>
  <si>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</si>
  <si>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</si>
  <si>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</si>
  <si>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</si>
  <si>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</si>
  <si>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</si>
  <si>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</si>
  <si>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Excavation in process</t>
  </si>
  <si>
    <t>Excavation Completed</t>
  </si>
  <si>
    <t>Footing in Process</t>
  </si>
  <si>
    <t>Footing Completed</t>
  </si>
  <si>
    <t>Plinth completed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</si>
  <si>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</si>
  <si>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</si>
  <si>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</si>
  <si>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</si>
  <si>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</si>
  <si>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</si>
  <si>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</si>
  <si>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</si>
  <si>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</si>
  <si>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</si>
  <si>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</si>
  <si>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</si>
  <si>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</si>
  <si>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Shop No.
(Sale Plan)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</si>
  <si>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</si>
  <si>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</si>
  <si>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</si>
  <si>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</si>
  <si>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</si>
  <si>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</si>
  <si>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</si>
  <si>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</si>
  <si>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</si>
  <si>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</si>
  <si>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</si>
  <si>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</si>
  <si>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</si>
  <si>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</si>
  <si>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</si>
  <si>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</si>
  <si>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</si>
  <si>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</si>
  <si>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</si>
  <si>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</si>
  <si>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</si>
  <si>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</si>
  <si>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</si>
  <si>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</si>
  <si>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</si>
  <si>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</si>
  <si>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</si>
  <si>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</si>
  <si>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Basement 1</t>
  </si>
  <si>
    <t>Plinth in process</t>
  </si>
  <si>
    <t>Vitrified tiles flooring, Kitchen Platform, Decorative</t>
  </si>
  <si>
    <t xml:space="preserve">Violations Observed if any : 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</si>
  <si>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</si>
  <si>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</si>
  <si>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</si>
  <si>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</si>
  <si>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</si>
  <si>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</si>
  <si>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</si>
  <si>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</si>
  <si>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</si>
  <si>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</si>
  <si>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</si>
  <si>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</si>
  <si>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</si>
  <si>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</si>
  <si>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Village</t>
  </si>
  <si>
    <t xml:space="preserve">O. Certificate No.: 
Approved upto : </t>
  </si>
  <si>
    <t>Axis Badlapur</t>
  </si>
  <si>
    <t>Name of the builder</t>
  </si>
  <si>
    <t>Shivdooti Residency</t>
  </si>
  <si>
    <t>Building No. 1 &amp; 2</t>
  </si>
  <si>
    <t>P51700045495</t>
  </si>
  <si>
    <t>Survey No</t>
  </si>
  <si>
    <t>Vadavali</t>
  </si>
  <si>
    <t>Kalyan</t>
  </si>
  <si>
    <t>Thane</t>
  </si>
  <si>
    <t>Nirmal Lifestyle City</t>
  </si>
  <si>
    <t>Kalyan West</t>
  </si>
  <si>
    <t>Nirmal Lifestyle City Road</t>
  </si>
  <si>
    <t>1.5 KM from Ambivali Railway Station</t>
  </si>
  <si>
    <t>Open Plot</t>
  </si>
  <si>
    <t>https://goo.gl/maps/3kkALAeiKKf3gN7j7</t>
  </si>
  <si>
    <t>Building No 1 = G + 1st to 7th Floor</t>
  </si>
  <si>
    <t>As per RERA - 31/12/2025</t>
  </si>
  <si>
    <t>Building No. 1</t>
  </si>
  <si>
    <t>Office</t>
  </si>
  <si>
    <t>Building No.1</t>
  </si>
  <si>
    <t>Building No. 2</t>
  </si>
  <si>
    <t>Lower Ground Floor For Parking</t>
  </si>
  <si>
    <t>AP Group of Construction</t>
  </si>
  <si>
    <t>2 Buildings</t>
  </si>
  <si>
    <t>Kalyan-Dombivli Municipal Corporation (KDMC)</t>
  </si>
  <si>
    <t xml:space="preserve">Builder Saleable Area </t>
  </si>
  <si>
    <t>rate sheet</t>
  </si>
  <si>
    <t>visitor</t>
  </si>
  <si>
    <t>shop</t>
  </si>
  <si>
    <t>flat</t>
  </si>
  <si>
    <t>builder</t>
  </si>
  <si>
    <t>other charges added</t>
  </si>
  <si>
    <t>Abhishek Manjrekar</t>
  </si>
  <si>
    <t>cost Sheet</t>
  </si>
  <si>
    <t xml:space="preserve">Office No. 1031, Wing J, Akshar Business Park, Plot No. 03 Sector 25, Near APMC Market, Vashi, Navi Mumbai, Maharashtra 400703 TEL: 022-46090378/79/80                                                                                                    E mail : vsjcapf@gmail.com. Web site : www.vsjadon.com </t>
  </si>
  <si>
    <t>Latitude,Longitude</t>
  </si>
  <si>
    <t>KDMC/TPD/BP/KD/2021-22/87/316</t>
  </si>
  <si>
    <t>Building No 1 = G + 1st to 7th Floor
Building No 2 = LG + UG + 1st to 7th Floor</t>
  </si>
  <si>
    <t>64 Hissa No.5/2</t>
  </si>
  <si>
    <t>Site Meet person ( Name &amp; Contact No.)</t>
  </si>
  <si>
    <t>Mangesh</t>
  </si>
  <si>
    <t>9.00M Wide Road</t>
  </si>
  <si>
    <t>Other Plot</t>
  </si>
  <si>
    <t>As per floor plan bldg no. 1 has 10 flats on 1st floor but as per table bldg 1 has 11 flats
Flat no. 108 is 2bhk on floor plan and 1bhk in  carpet area table</t>
  </si>
  <si>
    <t>Grand Total</t>
  </si>
  <si>
    <t>Layout :</t>
  </si>
  <si>
    <t>Old BUA</t>
  </si>
  <si>
    <t>Mr. Arun Balu Patil</t>
  </si>
  <si>
    <t>Building No.1 = G + 1st to 7th Floor
Building No.2 = LG + UG + 1st to 7th Floor</t>
  </si>
  <si>
    <t>As per Layout</t>
  </si>
  <si>
    <t>19.261249,73.160643</t>
  </si>
  <si>
    <t>Building No.1 = All work Completed. Provide OC.
Building No.2 = Construction work is in process at the time of Visit.</t>
  </si>
  <si>
    <t>All work Completed. Provide OC.</t>
  </si>
  <si>
    <t>Building No 2 = LG + UG + 1st to 7th Floor</t>
  </si>
  <si>
    <t>Building Details Floor Wise</t>
  </si>
  <si>
    <t xml:space="preserve">Details of Residential &amp; Commercial in Building   </t>
  </si>
  <si>
    <t>Building No.2</t>
  </si>
  <si>
    <t>1st Floor For Residential &amp; (Part Amenity Area Hand over to KDMC)</t>
  </si>
  <si>
    <t>-</t>
  </si>
  <si>
    <t>Amenity Area Hand over to KDMC</t>
  </si>
  <si>
    <t>Ground Floor For Commercial, Parking &amp; Part Amenity Area Hand over to KDMC</t>
  </si>
  <si>
    <t xml:space="preserve">2nd to 7th Floor For Residential </t>
  </si>
  <si>
    <t>Since building no.2 have received CC on 23/03/2022, but as of construction work is not started.</t>
  </si>
  <si>
    <t>We have updated revised approved CC from RERA site On 14/08/2024.</t>
  </si>
  <si>
    <t>We have referred Approved Layout plan form RERA site On 28/06/2025.</t>
  </si>
  <si>
    <t>We have updated Approved layout and floor plans for Building No.1 &amp; 2 On 28/06/2025.</t>
  </si>
  <si>
    <t>Mr. Pramod 8879890909</t>
  </si>
  <si>
    <t xml:space="preserve">Approved Plans, CC, Builder Saleable Area, Cost sheet </t>
  </si>
  <si>
    <t>Flat - 172, Office - 7</t>
  </si>
  <si>
    <t>Sq yard</t>
  </si>
  <si>
    <t>We considered Gross carpet area = Net carpet + Balcony Area.</t>
  </si>
  <si>
    <t>Upper Ground &amp; 1st to 7th Floor For Residential</t>
  </si>
  <si>
    <t xml:space="preserve">Recommended Rates of the Property have been revised as per market inquiry on 28/06/2025
</t>
  </si>
  <si>
    <t>Pooja Kawale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</si>
</sst>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b/>
      <sz val="12"/>
      <color rgb="FFFF0000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theme="5" tint="0.79998168889431442"/>
        <bgColor indexed="64"/>
      </patternFill>
    </fill>
  </fills>
  <borders count="2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</borders>
  <cellStyleXfs count="11">
    <xf numFmtId="0" fontId="0" fillId="0" borderId="0"/>
    <xf numFmtId="0" fontId="3" fillId="0" borderId="0"/>
    <xf numFmtId="0" fontId="4" fillId="0" borderId="0"/>
    <xf numFmtId="0" fontId="2" fillId="0" borderId="0"/>
    <xf numFmtId="0" fontId="4" fillId="0" borderId="0"/>
    <xf numFmtId="0" fontId="1" fillId="0" borderId="0"/>
    <xf numFmtId="165" fontId="4" fillId="0" borderId="0" applyFont="0" applyFill="0" applyBorder="0" applyAlignment="0" applyProtection="0"/>
    <xf numFmtId="0" fontId="19" fillId="0" borderId="0"/>
    <xf numFmtId="9" fontId="20" fillId="0" borderId="0" applyFont="0" applyFill="0" applyBorder="0" applyAlignment="0" applyProtection="0"/>
    <xf numFmtId="43" fontId="20" fillId="0" borderId="0" applyFont="0" applyFill="0" applyBorder="0" applyAlignment="0" applyProtection="0"/>
    <xf numFmtId="0" fontId="25" fillId="0" borderId="0" applyNumberFormat="0" applyFill="0" applyBorder="0" applyAlignment="0" applyProtection="0"/>
  </cellStyleXfs>
  <cellXfs count="198">
    <xf numFmtId="0" fontId="0" fillId="0" borderId="0" xfId="0"/>
    <xf numFmtId="0" fontId="4" fillId="0" borderId="0" xfId="4"/>
    <xf numFmtId="0" fontId="1" fillId="0" borderId="0" xfId="5"/>
    <xf numFmtId="0" fontId="8" fillId="0" borderId="1" xfId="5" applyFont="1" applyBorder="1" applyAlignment="1">
      <alignment horizontal="center" vertical="top" wrapText="1"/>
    </xf>
    <xf numFmtId="0" fontId="18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8" fillId="0" borderId="1" xfId="5" applyFont="1" applyBorder="1" applyAlignment="1">
      <alignment horizontal="center" vertical="center"/>
    </xf>
    <xf numFmtId="1" fontId="17" fillId="0" borderId="1" xfId="5" applyNumberFormat="1" applyFont="1" applyBorder="1" applyAlignment="1">
      <alignment horizontal="center" vertical="center"/>
    </xf>
    <xf numFmtId="0" fontId="4" fillId="0" borderId="1" xfId="4" applyBorder="1" applyAlignment="1">
      <alignment horizontal="center" vertical="center"/>
    </xf>
    <xf numFmtId="0" fontId="16" fillId="0" borderId="0" xfId="0" applyFont="1" applyProtection="1">
      <protection hidden="1"/>
    </xf>
    <xf numFmtId="0" fontId="16" fillId="0" borderId="8" xfId="0" applyFont="1" applyBorder="1" applyProtection="1">
      <protection hidden="1"/>
    </xf>
    <xf numFmtId="0" fontId="5" fillId="0" borderId="1" xfId="1" applyFont="1" applyBorder="1" applyAlignment="1" applyProtection="1">
      <alignment vertical="top" wrapText="1"/>
      <protection locked="0"/>
    </xf>
    <xf numFmtId="0" fontId="6" fillId="0" borderId="0" xfId="1" applyFont="1"/>
    <xf numFmtId="0" fontId="14" fillId="0" borderId="0" xfId="1" applyFont="1"/>
    <xf numFmtId="0" fontId="11" fillId="0" borderId="0" xfId="1" applyFont="1"/>
    <xf numFmtId="1" fontId="6" fillId="0" borderId="0" xfId="1" applyNumberFormat="1" applyFont="1"/>
    <xf numFmtId="14" fontId="6" fillId="0" borderId="0" xfId="1" applyNumberFormat="1" applyFont="1"/>
    <xf numFmtId="0" fontId="6" fillId="0" borderId="0" xfId="1" applyFont="1" applyProtection="1">
      <protection hidden="1"/>
    </xf>
    <xf numFmtId="0" fontId="22" fillId="0" borderId="0" xfId="1" applyFont="1"/>
    <xf numFmtId="0" fontId="6" fillId="0" borderId="7" xfId="1" applyFont="1" applyBorder="1"/>
    <xf numFmtId="0" fontId="16" fillId="0" borderId="7" xfId="0" applyFont="1" applyBorder="1" applyProtection="1">
      <protection hidden="1"/>
    </xf>
    <xf numFmtId="1" fontId="0" fillId="0" borderId="7" xfId="0" applyNumberFormat="1" applyBorder="1"/>
    <xf numFmtId="1" fontId="0" fillId="0" borderId="7" xfId="0" applyNumberFormat="1" applyBorder="1" applyAlignment="1">
      <alignment horizontal="right"/>
    </xf>
    <xf numFmtId="1" fontId="0" fillId="0" borderId="9" xfId="0" applyNumberFormat="1" applyBorder="1"/>
    <xf numFmtId="0" fontId="15" fillId="0" borderId="0" xfId="1" applyFont="1"/>
    <xf numFmtId="0" fontId="5" fillId="0" borderId="0" xfId="2" applyFont="1"/>
    <xf numFmtId="0" fontId="6" fillId="0" borderId="0" xfId="0" applyFont="1" applyAlignment="1">
      <alignment horizontal="center" vertical="center"/>
    </xf>
    <xf numFmtId="1" fontId="6" fillId="0" borderId="0" xfId="1" applyNumberFormat="1" applyFont="1" applyAlignment="1">
      <alignment horizontal="center" vertical="center"/>
    </xf>
    <xf numFmtId="0" fontId="6" fillId="0" borderId="0" xfId="1" applyFont="1" applyAlignment="1">
      <alignment horizontal="center" vertical="center"/>
    </xf>
    <xf numFmtId="0" fontId="7" fillId="0" borderId="0" xfId="1" applyFont="1" applyAlignment="1" applyProtection="1">
      <alignment vertical="top"/>
      <protection locked="0"/>
    </xf>
    <xf numFmtId="0" fontId="7" fillId="0" borderId="0" xfId="1" applyFont="1" applyAlignment="1" applyProtection="1">
      <alignment vertical="top" wrapText="1"/>
      <protection locked="0"/>
    </xf>
    <xf numFmtId="0" fontId="6" fillId="0" borderId="0" xfId="1" applyFont="1" applyProtection="1">
      <protection locked="0"/>
    </xf>
    <xf numFmtId="0" fontId="9" fillId="0" borderId="0" xfId="1" applyFont="1" applyProtection="1">
      <protection locked="0"/>
    </xf>
    <xf numFmtId="1" fontId="5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3" xfId="1" applyNumberFormat="1" applyFont="1" applyBorder="1" applyAlignment="1" applyProtection="1">
      <alignment horizontal="center" vertical="top" wrapText="1"/>
      <protection locked="0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0" fontId="24" fillId="0" borderId="20" xfId="0" applyFont="1" applyBorder="1"/>
    <xf numFmtId="0" fontId="24" fillId="0" borderId="4" xfId="0" applyFont="1" applyBorder="1"/>
    <xf numFmtId="0" fontId="7" fillId="0" borderId="1" xfId="1" applyFont="1" applyBorder="1" applyAlignment="1" applyProtection="1">
      <alignment vertical="top"/>
      <protection locked="0"/>
    </xf>
    <xf numFmtId="168" fontId="5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12" xfId="1" applyNumberFormat="1" applyFont="1" applyBorder="1" applyAlignment="1" applyProtection="1">
      <alignment horizontal="center" vertical="top" wrapText="1"/>
      <protection locked="0"/>
    </xf>
    <xf numFmtId="9" fontId="11" fillId="0" borderId="1" xfId="8" applyFont="1" applyFill="1" applyBorder="1" applyAlignment="1" applyProtection="1">
      <alignment horizontal="center" vertical="top" wrapText="1"/>
      <protection locked="0"/>
    </xf>
    <xf numFmtId="1" fontId="11" fillId="0" borderId="1" xfId="1" applyNumberFormat="1" applyFont="1" applyBorder="1" applyAlignment="1" applyProtection="1">
      <alignment horizontal="center" vertical="top" wrapText="1"/>
      <protection locked="0"/>
    </xf>
    <xf numFmtId="168" fontId="11" fillId="0" borderId="1" xfId="1" applyNumberFormat="1" applyFont="1" applyBorder="1" applyAlignment="1" applyProtection="1">
      <alignment horizontal="center" vertical="center" wrapText="1"/>
      <protection locked="0"/>
    </xf>
    <xf numFmtId="1" fontId="11" fillId="0" borderId="1" xfId="1" applyNumberFormat="1" applyFont="1" applyBorder="1" applyAlignment="1" applyProtection="1">
      <alignment horizontal="center" vertical="center" wrapText="1"/>
      <protection locked="0"/>
    </xf>
    <xf numFmtId="1" fontId="11" fillId="0" borderId="1" xfId="0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>
      <alignment horizontal="center" vertical="center"/>
    </xf>
    <xf numFmtId="14" fontId="15" fillId="2" borderId="0" xfId="1" applyNumberFormat="1" applyFont="1" applyFill="1"/>
    <xf numFmtId="0" fontId="15" fillId="2" borderId="0" xfId="1" applyFont="1" applyFill="1"/>
    <xf numFmtId="1" fontId="5" fillId="0" borderId="0" xfId="2" applyNumberFormat="1" applyFont="1"/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0" fontId="23" fillId="2" borderId="10" xfId="0" applyFont="1" applyFill="1" applyBorder="1"/>
    <xf numFmtId="0" fontId="24" fillId="0" borderId="6" xfId="0" applyFont="1" applyBorder="1"/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1" fontId="6" fillId="0" borderId="0" xfId="0" applyNumberFormat="1" applyFont="1" applyAlignment="1">
      <alignment horizontal="center" vertical="center"/>
    </xf>
    <xf numFmtId="0" fontId="6" fillId="0" borderId="0" xfId="1" applyFont="1" applyAlignment="1">
      <alignment horizontal="center" vertical="center"/>
    </xf>
    <xf numFmtId="1" fontId="11" fillId="0" borderId="1" xfId="1" applyNumberFormat="1" applyFont="1" applyBorder="1" applyAlignment="1" applyProtection="1">
      <alignment horizontal="center" vertical="center" wrapText="1"/>
      <protection locked="0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0" fontId="11" fillId="0" borderId="1" xfId="1" applyFont="1" applyBorder="1" applyAlignment="1" applyProtection="1">
      <alignment horizontal="center" vertical="top"/>
      <protection locked="0"/>
    </xf>
    <xf numFmtId="2" fontId="6" fillId="0" borderId="0" xfId="1" applyNumberFormat="1" applyFont="1" applyAlignment="1">
      <alignment horizontal="center" vertical="center"/>
    </xf>
    <xf numFmtId="2" fontId="6" fillId="0" borderId="0" xfId="0" applyNumberFormat="1" applyFont="1" applyAlignment="1">
      <alignment horizontal="center" vertical="center"/>
    </xf>
    <xf numFmtId="0" fontId="9" fillId="0" borderId="0" xfId="1" applyFont="1" applyAlignment="1">
      <alignment horizontal="center" vertical="center"/>
    </xf>
    <xf numFmtId="1" fontId="5" fillId="0" borderId="5" xfId="1" applyNumberFormat="1" applyFont="1" applyBorder="1" applyAlignment="1" applyProtection="1">
      <alignment horizontal="center" vertical="center" wrapText="1"/>
      <protection locked="0"/>
    </xf>
    <xf numFmtId="1" fontId="5" fillId="0" borderId="6" xfId="1" applyNumberFormat="1" applyFont="1" applyBorder="1" applyAlignment="1" applyProtection="1">
      <alignment horizontal="center" vertical="center" wrapText="1"/>
      <protection locked="0"/>
    </xf>
    <xf numFmtId="1" fontId="5" fillId="0" borderId="12" xfId="1" applyNumberFormat="1" applyFont="1" applyBorder="1" applyAlignment="1" applyProtection="1">
      <alignment horizontal="center" vertical="center" wrapText="1"/>
      <protection locked="0"/>
    </xf>
    <xf numFmtId="1" fontId="5" fillId="0" borderId="13" xfId="1" applyNumberFormat="1" applyFont="1" applyBorder="1" applyAlignment="1" applyProtection="1">
      <alignment horizontal="center" vertical="center" wrapText="1"/>
      <protection locked="0"/>
    </xf>
    <xf numFmtId="1" fontId="5" fillId="0" borderId="18" xfId="1" applyNumberFormat="1" applyFont="1" applyBorder="1" applyAlignment="1" applyProtection="1">
      <alignment horizontal="center" vertical="center" wrapText="1"/>
      <protection locked="0"/>
    </xf>
    <xf numFmtId="1" fontId="5" fillId="0" borderId="19" xfId="1" applyNumberFormat="1" applyFont="1" applyBorder="1" applyAlignment="1" applyProtection="1">
      <alignment horizontal="center" vertical="center" wrapText="1"/>
      <protection locked="0"/>
    </xf>
    <xf numFmtId="1" fontId="5" fillId="0" borderId="14" xfId="1" applyNumberFormat="1" applyFont="1" applyBorder="1" applyAlignment="1" applyProtection="1">
      <alignment horizontal="center" vertical="center" wrapText="1"/>
      <protection locked="0"/>
    </xf>
    <xf numFmtId="1" fontId="5" fillId="0" borderId="15" xfId="1" applyNumberFormat="1" applyFont="1" applyBorder="1" applyAlignment="1" applyProtection="1">
      <alignment horizontal="center" vertical="center" wrapText="1"/>
      <protection locked="0"/>
    </xf>
    <xf numFmtId="1" fontId="5" fillId="0" borderId="16" xfId="1" applyNumberFormat="1" applyFont="1" applyBorder="1" applyAlignment="1" applyProtection="1">
      <alignment horizontal="center" vertical="center" wrapText="1"/>
      <protection locked="0"/>
    </xf>
    <xf numFmtId="1" fontId="12" fillId="0" borderId="5" xfId="0" applyNumberFormat="1" applyFont="1" applyBorder="1" applyAlignment="1" applyProtection="1">
      <alignment vertical="top" wrapText="1"/>
      <protection locked="0"/>
    </xf>
    <xf numFmtId="1" fontId="12" fillId="0" borderId="16" xfId="0" applyNumberFormat="1" applyFont="1" applyBorder="1" applyAlignment="1" applyProtection="1">
      <alignment vertical="top" wrapText="1"/>
      <protection locked="0"/>
    </xf>
    <xf numFmtId="1" fontId="12" fillId="0" borderId="6" xfId="0" applyNumberFormat="1" applyFont="1" applyBorder="1" applyAlignment="1" applyProtection="1">
      <alignment vertical="top" wrapText="1"/>
      <protection locked="0"/>
    </xf>
    <xf numFmtId="1" fontId="7" fillId="0" borderId="5" xfId="0" applyNumberFormat="1" applyFont="1" applyBorder="1" applyAlignment="1" applyProtection="1">
      <alignment vertical="top"/>
      <protection locked="0"/>
    </xf>
    <xf numFmtId="1" fontId="7" fillId="0" borderId="16" xfId="0" applyNumberFormat="1" applyFont="1" applyBorder="1" applyAlignment="1" applyProtection="1">
      <alignment vertical="top"/>
      <protection locked="0"/>
    </xf>
    <xf numFmtId="1" fontId="7" fillId="0" borderId="6" xfId="0" applyNumberFormat="1" applyFont="1" applyBorder="1" applyAlignment="1" applyProtection="1">
      <alignment vertical="top"/>
      <protection locked="0"/>
    </xf>
    <xf numFmtId="1" fontId="7" fillId="0" borderId="21" xfId="0" applyNumberFormat="1" applyFont="1" applyBorder="1" applyAlignment="1" applyProtection="1">
      <alignment horizontal="center" vertical="center" wrapText="1"/>
      <protection locked="0"/>
    </xf>
    <xf numFmtId="1" fontId="7" fillId="0" borderId="22" xfId="0" applyNumberFormat="1" applyFont="1" applyBorder="1" applyAlignment="1" applyProtection="1">
      <alignment horizontal="center" vertical="center" wrapText="1"/>
      <protection locked="0"/>
    </xf>
    <xf numFmtId="1" fontId="9" fillId="0" borderId="22" xfId="0" applyNumberFormat="1" applyFont="1" applyBorder="1" applyAlignment="1" applyProtection="1">
      <alignment horizontal="center" vertical="center"/>
      <protection locked="0"/>
    </xf>
    <xf numFmtId="2" fontId="5" fillId="0" borderId="1" xfId="1" applyNumberFormat="1" applyFont="1" applyBorder="1" applyAlignment="1" applyProtection="1">
      <alignment horizontal="left" vertical="top"/>
      <protection locked="0"/>
    </xf>
    <xf numFmtId="0" fontId="9" fillId="0" borderId="5" xfId="1" applyFont="1" applyBorder="1" applyAlignment="1" applyProtection="1">
      <alignment horizontal="left"/>
      <protection locked="0"/>
    </xf>
    <xf numFmtId="0" fontId="9" fillId="0" borderId="16" xfId="1" applyFont="1" applyBorder="1" applyAlignment="1" applyProtection="1">
      <alignment horizontal="left"/>
      <protection locked="0"/>
    </xf>
    <xf numFmtId="0" fontId="9" fillId="0" borderId="6" xfId="1" applyFont="1" applyBorder="1" applyAlignment="1" applyProtection="1">
      <alignment horizontal="left"/>
      <protection locked="0"/>
    </xf>
    <xf numFmtId="1" fontId="7" fillId="0" borderId="5" xfId="0" applyNumberFormat="1" applyFont="1" applyBorder="1" applyAlignment="1" applyProtection="1">
      <alignment vertical="top" wrapText="1"/>
      <protection locked="0"/>
    </xf>
    <xf numFmtId="1" fontId="7" fillId="0" borderId="16" xfId="0" applyNumberFormat="1" applyFont="1" applyBorder="1" applyAlignment="1" applyProtection="1">
      <alignment vertical="top" wrapText="1"/>
      <protection locked="0"/>
    </xf>
    <xf numFmtId="1" fontId="7" fillId="0" borderId="6" xfId="0" applyNumberFormat="1" applyFont="1" applyBorder="1" applyAlignment="1" applyProtection="1">
      <alignment vertical="top" wrapText="1"/>
      <protection locked="0"/>
    </xf>
    <xf numFmtId="0" fontId="6" fillId="0" borderId="0" xfId="1" applyFont="1" applyAlignment="1">
      <alignment horizontal="center" vertical="center"/>
    </xf>
    <xf numFmtId="1" fontId="11" fillId="0" borderId="1" xfId="1" applyNumberFormat="1" applyFont="1" applyBorder="1" applyAlignment="1" applyProtection="1">
      <alignment horizontal="center" vertical="center" wrapText="1"/>
      <protection locked="0"/>
    </xf>
    <xf numFmtId="1" fontId="5" fillId="0" borderId="1" xfId="1" applyNumberFormat="1" applyFont="1" applyBorder="1" applyAlignment="1" applyProtection="1">
      <alignment horizontal="center" vertical="center" wrapText="1"/>
      <protection locked="0"/>
    </xf>
    <xf numFmtId="1" fontId="7" fillId="0" borderId="3" xfId="0" applyNumberFormat="1" applyFont="1" applyBorder="1" applyAlignment="1" applyProtection="1">
      <alignment horizontal="center" vertical="center" wrapText="1"/>
      <protection locked="0"/>
    </xf>
    <xf numFmtId="1" fontId="9" fillId="0" borderId="3" xfId="0" applyNumberFormat="1" applyFont="1" applyBorder="1" applyAlignment="1" applyProtection="1">
      <alignment horizontal="center" vertical="center"/>
      <protection locked="0"/>
    </xf>
    <xf numFmtId="1" fontId="7" fillId="3" borderId="1" xfId="1" applyNumberFormat="1" applyFont="1" applyFill="1" applyBorder="1" applyAlignment="1" applyProtection="1">
      <alignment horizontal="center" vertical="center" wrapText="1"/>
      <protection locked="0"/>
    </xf>
    <xf numFmtId="1" fontId="7" fillId="0" borderId="5" xfId="1" applyNumberFormat="1" applyFont="1" applyBorder="1" applyAlignment="1" applyProtection="1">
      <alignment horizontal="center" vertical="center" wrapText="1"/>
      <protection locked="0"/>
    </xf>
    <xf numFmtId="1" fontId="7" fillId="0" borderId="16" xfId="1" applyNumberFormat="1" applyFont="1" applyBorder="1" applyAlignment="1" applyProtection="1">
      <alignment horizontal="center" vertical="center" wrapText="1"/>
      <protection locked="0"/>
    </xf>
    <xf numFmtId="1" fontId="7" fillId="0" borderId="6" xfId="1" applyNumberFormat="1" applyFont="1" applyBorder="1" applyAlignment="1" applyProtection="1">
      <alignment horizontal="center" vertical="center" wrapText="1"/>
      <protection locked="0"/>
    </xf>
    <xf numFmtId="1" fontId="7" fillId="0" borderId="1" xfId="1" applyNumberFormat="1" applyFont="1" applyBorder="1" applyAlignment="1" applyProtection="1">
      <alignment horizontal="center" vertical="center" wrapText="1"/>
      <protection locked="0"/>
    </xf>
    <xf numFmtId="0" fontId="26" fillId="0" borderId="0" xfId="1" applyFont="1" applyAlignment="1">
      <alignment horizontal="center" wrapText="1"/>
    </xf>
    <xf numFmtId="0" fontId="7" fillId="0" borderId="5" xfId="1" applyFont="1" applyBorder="1" applyAlignment="1" applyProtection="1">
      <alignment horizontal="left" vertical="top" wrapText="1"/>
      <protection locked="0"/>
    </xf>
    <xf numFmtId="0" fontId="7" fillId="0" borderId="16" xfId="1" applyFont="1" applyBorder="1" applyAlignment="1" applyProtection="1">
      <alignment horizontal="left" vertical="top" wrapText="1"/>
      <protection locked="0"/>
    </xf>
    <xf numFmtId="0" fontId="7" fillId="0" borderId="6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left" vertical="top"/>
      <protection locked="0"/>
    </xf>
    <xf numFmtId="14" fontId="7" fillId="0" borderId="5" xfId="1" applyNumberFormat="1" applyFont="1" applyBorder="1" applyAlignment="1" applyProtection="1">
      <alignment horizontal="left" vertical="top"/>
      <protection locked="0"/>
    </xf>
    <xf numFmtId="0" fontId="7" fillId="0" borderId="6" xfId="1" applyFont="1" applyBorder="1" applyAlignment="1" applyProtection="1">
      <alignment horizontal="left" vertical="top"/>
      <protection locked="0"/>
    </xf>
    <xf numFmtId="0" fontId="7" fillId="0" borderId="12" xfId="1" applyFont="1" applyBorder="1" applyAlignment="1" applyProtection="1">
      <alignment horizontal="left" vertical="top" wrapText="1"/>
      <protection locked="0"/>
    </xf>
    <xf numFmtId="0" fontId="7" fillId="0" borderId="13" xfId="1" applyFont="1" applyBorder="1" applyAlignment="1" applyProtection="1">
      <alignment horizontal="left" vertical="top" wrapText="1"/>
      <protection locked="0"/>
    </xf>
    <xf numFmtId="0" fontId="7" fillId="0" borderId="14" xfId="1" applyFont="1" applyBorder="1" applyAlignment="1" applyProtection="1">
      <alignment horizontal="left" vertical="top" wrapText="1"/>
      <protection locked="0"/>
    </xf>
    <xf numFmtId="0" fontId="7" fillId="0" borderId="15" xfId="1" applyFont="1" applyBorder="1" applyAlignment="1" applyProtection="1">
      <alignment horizontal="left" vertical="top" wrapText="1"/>
      <protection locked="0"/>
    </xf>
    <xf numFmtId="0" fontId="5" fillId="0" borderId="5" xfId="1" applyFont="1" applyBorder="1" applyAlignment="1" applyProtection="1">
      <alignment horizontal="left" vertical="top" wrapText="1"/>
      <protection locked="0"/>
    </xf>
    <xf numFmtId="0" fontId="5" fillId="0" borderId="16" xfId="1" applyFont="1" applyBorder="1" applyAlignment="1" applyProtection="1">
      <alignment horizontal="left" vertical="top" wrapText="1"/>
      <protection locked="0"/>
    </xf>
    <xf numFmtId="0" fontId="5" fillId="0" borderId="6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5" fillId="0" borderId="1" xfId="1" applyFont="1" applyBorder="1" applyAlignment="1" applyProtection="1">
      <alignment horizontal="left" vertical="top"/>
      <protection locked="0"/>
    </xf>
    <xf numFmtId="0" fontId="5" fillId="0" borderId="1" xfId="1" applyFont="1" applyBorder="1" applyAlignment="1" applyProtection="1">
      <alignment horizontal="left" vertical="top" wrapText="1"/>
      <protection locked="0"/>
    </xf>
    <xf numFmtId="0" fontId="11" fillId="0" borderId="3" xfId="1" applyFont="1" applyBorder="1" applyAlignment="1" applyProtection="1">
      <alignment horizontal="left" vertical="top" wrapText="1"/>
      <protection locked="0"/>
    </xf>
    <xf numFmtId="0" fontId="5" fillId="0" borderId="3" xfId="1" applyFont="1" applyBorder="1" applyAlignment="1" applyProtection="1">
      <alignment horizontal="left" vertical="top"/>
      <protection locked="0"/>
    </xf>
    <xf numFmtId="0" fontId="7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164" fontId="5" fillId="0" borderId="1" xfId="1" applyNumberFormat="1" applyFont="1" applyBorder="1" applyAlignment="1" applyProtection="1">
      <alignment horizontal="left" vertical="top"/>
      <protection locked="0"/>
    </xf>
    <xf numFmtId="0" fontId="5" fillId="0" borderId="1" xfId="1" applyFont="1" applyBorder="1" applyAlignment="1" applyProtection="1">
      <alignment vertical="top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7" fillId="0" borderId="12" xfId="1" applyNumberFormat="1" applyFont="1" applyBorder="1" applyAlignment="1" applyProtection="1">
      <alignment horizontal="center" vertical="top" wrapText="1"/>
      <protection locked="0"/>
    </xf>
    <xf numFmtId="1" fontId="7" fillId="0" borderId="13" xfId="1" applyNumberFormat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67" fontId="11" fillId="0" borderId="1" xfId="9" applyNumberFormat="1" applyFont="1" applyFill="1" applyBorder="1" applyAlignment="1" applyProtection="1">
      <alignment horizontal="left" vertical="top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0" fontId="6" fillId="0" borderId="1" xfId="0" applyFont="1" applyBorder="1" applyAlignment="1" applyProtection="1">
      <alignment horizontal="center" vertical="center" wrapText="1"/>
      <protection locked="0"/>
    </xf>
    <xf numFmtId="1" fontId="12" fillId="0" borderId="1" xfId="0" applyNumberFormat="1" applyFont="1" applyBorder="1" applyAlignment="1" applyProtection="1">
      <alignment horizontal="left" vertical="top" wrapText="1"/>
      <protection locked="0"/>
    </xf>
    <xf numFmtId="1" fontId="7" fillId="3" borderId="5" xfId="1" applyNumberFormat="1" applyFont="1" applyFill="1" applyBorder="1" applyAlignment="1" applyProtection="1">
      <alignment horizontal="center" vertical="center" wrapText="1"/>
      <protection locked="0"/>
    </xf>
    <xf numFmtId="1" fontId="7" fillId="3" borderId="16" xfId="1" applyNumberFormat="1" applyFont="1" applyFill="1" applyBorder="1" applyAlignment="1" applyProtection="1">
      <alignment horizontal="center" vertical="center" wrapText="1"/>
      <protection locked="0"/>
    </xf>
    <xf numFmtId="1" fontId="7" fillId="3" borderId="6" xfId="1" applyNumberFormat="1" applyFont="1" applyFill="1" applyBorder="1" applyAlignment="1" applyProtection="1">
      <alignment horizontal="center" vertical="center" wrapText="1"/>
      <protection locked="0"/>
    </xf>
    <xf numFmtId="168" fontId="5" fillId="0" borderId="5" xfId="1" applyNumberFormat="1" applyFont="1" applyBorder="1" applyAlignment="1" applyProtection="1">
      <alignment horizontal="center" vertical="center" wrapText="1"/>
      <protection locked="0"/>
    </xf>
    <xf numFmtId="168" fontId="5" fillId="0" borderId="16" xfId="1" applyNumberFormat="1" applyFont="1" applyBorder="1" applyAlignment="1" applyProtection="1">
      <alignment horizontal="center" vertical="center" wrapText="1"/>
      <protection locked="0"/>
    </xf>
    <xf numFmtId="168" fontId="5" fillId="0" borderId="6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1" fontId="5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1" xfId="0" applyNumberFormat="1" applyFont="1" applyBorder="1" applyAlignment="1" applyProtection="1">
      <alignment horizontal="center" vertical="center" wrapText="1"/>
      <protection locked="0"/>
    </xf>
    <xf numFmtId="0" fontId="7" fillId="0" borderId="1" xfId="1" applyFont="1" applyBorder="1" applyAlignment="1" applyProtection="1">
      <alignment vertical="top"/>
      <protection locked="0"/>
    </xf>
    <xf numFmtId="0" fontId="9" fillId="0" borderId="1" xfId="0" applyFont="1" applyBorder="1" applyAlignment="1" applyProtection="1">
      <alignment horizontal="center" vertical="top" wrapText="1"/>
      <protection locked="0"/>
    </xf>
    <xf numFmtId="0" fontId="7" fillId="0" borderId="11" xfId="1" applyFont="1" applyBorder="1" applyAlignment="1" applyProtection="1">
      <alignment horizontal="center" vertical="top"/>
      <protection locked="0"/>
    </xf>
    <xf numFmtId="0" fontId="10" fillId="0" borderId="1" xfId="1" applyFont="1" applyBorder="1" applyAlignment="1" applyProtection="1">
      <alignment horizontal="center" vertical="top" wrapText="1"/>
      <protection locked="0"/>
    </xf>
    <xf numFmtId="14" fontId="11" fillId="0" borderId="5" xfId="1" applyNumberFormat="1" applyFont="1" applyBorder="1" applyAlignment="1" applyProtection="1">
      <alignment horizontal="left" vertical="top"/>
      <protection locked="0"/>
    </xf>
    <xf numFmtId="14" fontId="11" fillId="0" borderId="16" xfId="1" applyNumberFormat="1" applyFont="1" applyBorder="1" applyAlignment="1" applyProtection="1">
      <alignment horizontal="left" vertical="top"/>
      <protection locked="0"/>
    </xf>
    <xf numFmtId="14" fontId="11" fillId="0" borderId="6" xfId="1" applyNumberFormat="1" applyFont="1" applyBorder="1" applyAlignment="1" applyProtection="1">
      <alignment horizontal="left" vertical="top"/>
      <protection locked="0"/>
    </xf>
    <xf numFmtId="0" fontId="11" fillId="0" borderId="5" xfId="1" applyFont="1" applyBorder="1" applyAlignment="1" applyProtection="1">
      <alignment horizontal="left" vertical="top" wrapText="1"/>
      <protection locked="0"/>
    </xf>
    <xf numFmtId="0" fontId="11" fillId="0" borderId="6" xfId="1" applyFont="1" applyBorder="1" applyAlignment="1" applyProtection="1">
      <alignment horizontal="left" vertical="top" wrapText="1"/>
      <protection locked="0"/>
    </xf>
    <xf numFmtId="0" fontId="11" fillId="0" borderId="16" xfId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left"/>
      <protection locked="0"/>
    </xf>
    <xf numFmtId="0" fontId="11" fillId="0" borderId="1" xfId="1" applyFont="1" applyBorder="1" applyAlignment="1" applyProtection="1">
      <alignment horizontal="center"/>
      <protection locked="0"/>
    </xf>
    <xf numFmtId="0" fontId="11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2" fontId="5" fillId="0" borderId="1" xfId="1" applyNumberFormat="1" applyFont="1" applyBorder="1" applyAlignment="1" applyProtection="1">
      <alignment horizontal="left" vertical="top" wrapText="1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1" fillId="0" borderId="3" xfId="1" applyFont="1" applyBorder="1" applyAlignment="1" applyProtection="1">
      <alignment horizontal="left" vertical="top"/>
      <protection locked="0"/>
    </xf>
    <xf numFmtId="0" fontId="11" fillId="0" borderId="12" xfId="1" applyFont="1" applyBorder="1" applyAlignment="1" applyProtection="1">
      <alignment horizontal="left" vertical="top" wrapText="1"/>
      <protection locked="0"/>
    </xf>
    <xf numFmtId="0" fontId="11" fillId="0" borderId="17" xfId="1" applyFont="1" applyBorder="1" applyAlignment="1" applyProtection="1">
      <alignment horizontal="left" vertical="top" wrapText="1"/>
      <protection locked="0"/>
    </xf>
    <xf numFmtId="0" fontId="11" fillId="0" borderId="13" xfId="1" applyFont="1" applyBorder="1" applyAlignment="1" applyProtection="1">
      <alignment horizontal="left" vertical="top" wrapText="1"/>
      <protection locked="0"/>
    </xf>
    <xf numFmtId="0" fontId="5" fillId="0" borderId="12" xfId="1" applyFont="1" applyBorder="1" applyAlignment="1" applyProtection="1">
      <alignment horizontal="left" vertical="top" wrapText="1"/>
      <protection locked="0"/>
    </xf>
    <xf numFmtId="0" fontId="5" fillId="0" borderId="13" xfId="1" applyFont="1" applyBorder="1" applyAlignment="1" applyProtection="1">
      <alignment horizontal="left" vertical="top" wrapText="1"/>
      <protection locked="0"/>
    </xf>
    <xf numFmtId="0" fontId="5" fillId="0" borderId="14" xfId="1" applyFont="1" applyBorder="1" applyAlignment="1" applyProtection="1">
      <alignment horizontal="left" vertical="top" wrapText="1"/>
      <protection locked="0"/>
    </xf>
    <xf numFmtId="0" fontId="5" fillId="0" borderId="15" xfId="1" applyFont="1" applyBorder="1" applyAlignment="1" applyProtection="1">
      <alignment horizontal="left" vertical="top" wrapText="1"/>
      <protection locked="0"/>
    </xf>
    <xf numFmtId="0" fontId="11" fillId="0" borderId="18" xfId="1" applyFont="1" applyBorder="1" applyAlignment="1" applyProtection="1">
      <alignment horizontal="left" vertical="top" wrapText="1"/>
      <protection locked="0"/>
    </xf>
    <xf numFmtId="0" fontId="11" fillId="0" borderId="0" xfId="1" applyFont="1" applyAlignment="1" applyProtection="1">
      <alignment horizontal="left" vertical="top" wrapText="1"/>
      <protection locked="0"/>
    </xf>
    <xf numFmtId="0" fontId="11" fillId="0" borderId="12" xfId="1" applyFont="1" applyBorder="1" applyAlignment="1" applyProtection="1">
      <alignment horizontal="left" vertical="top"/>
      <protection locked="0"/>
    </xf>
    <xf numFmtId="0" fontId="11" fillId="0" borderId="17" xfId="1" applyFont="1" applyBorder="1" applyAlignment="1" applyProtection="1">
      <alignment horizontal="left" vertical="top"/>
      <protection locked="0"/>
    </xf>
    <xf numFmtId="0" fontId="11" fillId="0" borderId="13" xfId="1" applyFont="1" applyBorder="1" applyAlignment="1" applyProtection="1">
      <alignment horizontal="left" vertical="top"/>
      <protection locked="0"/>
    </xf>
    <xf numFmtId="0" fontId="11" fillId="0" borderId="14" xfId="1" applyFont="1" applyBorder="1" applyAlignment="1" applyProtection="1">
      <alignment horizontal="left" vertical="top"/>
      <protection locked="0"/>
    </xf>
    <xf numFmtId="0" fontId="11" fillId="0" borderId="2" xfId="1" applyFont="1" applyBorder="1" applyAlignment="1" applyProtection="1">
      <alignment horizontal="left" vertical="top"/>
      <protection locked="0"/>
    </xf>
    <xf numFmtId="0" fontId="11" fillId="0" borderId="15" xfId="1" applyFont="1" applyBorder="1" applyAlignment="1" applyProtection="1">
      <alignment horizontal="left" vertical="top"/>
      <protection locked="0"/>
    </xf>
    <xf numFmtId="14" fontId="5" fillId="0" borderId="5" xfId="1" applyNumberFormat="1" applyFont="1" applyBorder="1" applyAlignment="1" applyProtection="1">
      <alignment horizontal="left" vertical="top" wrapText="1"/>
      <protection locked="0"/>
    </xf>
    <xf numFmtId="14" fontId="5" fillId="0" borderId="6" xfId="1" applyNumberFormat="1" applyFont="1" applyBorder="1" applyAlignment="1" applyProtection="1">
      <alignment horizontal="left" vertical="top" wrapText="1"/>
      <protection locked="0"/>
    </xf>
    <xf numFmtId="0" fontId="11" fillId="0" borderId="11" xfId="1" applyFont="1" applyBorder="1" applyAlignment="1" applyProtection="1">
      <alignment horizontal="left" vertical="top" wrapText="1"/>
      <protection locked="0"/>
    </xf>
    <xf numFmtId="9" fontId="11" fillId="0" borderId="1" xfId="8" applyFont="1" applyFill="1" applyBorder="1" applyAlignment="1" applyProtection="1">
      <alignment horizontal="center" vertical="center" wrapText="1"/>
      <protection locked="0"/>
    </xf>
    <xf numFmtId="1" fontId="11" fillId="0" borderId="1" xfId="1" applyNumberFormat="1" applyFont="1" applyBorder="1" applyAlignment="1" applyProtection="1">
      <alignment horizontal="left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/>
      <protection locked="0"/>
    </xf>
    <xf numFmtId="0" fontId="6" fillId="0" borderId="1" xfId="0" applyFont="1" applyBorder="1" applyAlignment="1" applyProtection="1">
      <alignment horizontal="center" vertical="center"/>
      <protection locked="0"/>
    </xf>
    <xf numFmtId="1" fontId="9" fillId="0" borderId="3" xfId="0" applyNumberFormat="1" applyFont="1" applyBorder="1" applyAlignment="1" applyProtection="1">
      <alignment horizontal="center"/>
      <protection locked="0"/>
    </xf>
    <xf numFmtId="0" fontId="9" fillId="0" borderId="1" xfId="0" applyFont="1" applyBorder="1" applyAlignment="1" applyProtection="1">
      <alignment horizontal="center" vertical="center"/>
      <protection locked="0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1" fontId="7" fillId="0" borderId="1" xfId="1" applyNumberFormat="1" applyFont="1" applyBorder="1" applyAlignment="1" applyProtection="1">
      <alignment horizontal="center" vertical="top" wrapText="1"/>
      <protection locked="0"/>
    </xf>
    <xf numFmtId="0" fontId="25" fillId="0" borderId="1" xfId="10" applyFill="1" applyBorder="1" applyAlignment="1" applyProtection="1">
      <alignment horizontal="left" vertical="top" wrapText="1"/>
      <protection locked="0"/>
    </xf>
    <xf numFmtId="1" fontId="6" fillId="0" borderId="5" xfId="0" applyNumberFormat="1" applyFont="1" applyBorder="1" applyAlignment="1" applyProtection="1">
      <alignment horizontal="center" vertical="top" wrapText="1"/>
      <protection locked="0"/>
    </xf>
    <xf numFmtId="1" fontId="6" fillId="0" borderId="6" xfId="0" applyNumberFormat="1" applyFont="1" applyBorder="1" applyAlignment="1" applyProtection="1">
      <alignment horizontal="center" vertical="top" wrapText="1"/>
      <protection locked="0"/>
    </xf>
    <xf numFmtId="0" fontId="8" fillId="0" borderId="1" xfId="5" applyFont="1" applyBorder="1" applyAlignment="1">
      <alignment horizontal="left"/>
    </xf>
    <xf numFmtId="0" fontId="6" fillId="0" borderId="1" xfId="1" applyFont="1" applyBorder="1" applyAlignment="1" applyProtection="1">
      <alignment horizontal="left" vertical="top" wrapText="1"/>
      <protection locked="0"/>
    </xf>
    <xf numFmtId="14" fontId="6" fillId="0" borderId="1" xfId="1" applyNumberFormat="1" applyFont="1" applyBorder="1" applyAlignment="1" applyProtection="1">
      <alignment horizontal="left" vertical="top" wrapText="1"/>
      <protection locked="0"/>
    </xf>
    <xf numFmtId="9" fontId="12" fillId="0" borderId="1" xfId="1" applyNumberFormat="1" applyFont="1" applyBorder="1" applyAlignment="1" applyProtection="1">
      <alignment horizontal="center" vertical="top"/>
      <protection locked="0"/>
    </xf>
  </cellXfs>
  <cellStyles count="11">
    <cellStyle name="Comma" xfId="9" builtinId="3"/>
    <cellStyle name="Comma 2" xfId="6"/>
    <cellStyle name="Excel Built-in Normal" xfId="2"/>
    <cellStyle name="Excel Built-in Normal 2" xfId="4"/>
    <cellStyle name="Hyperlink" xfId="10" builtinId="8"/>
    <cellStyle name="Normal" xfId="0" builtinId="0"/>
    <cellStyle name="Normal 2" xfId="3"/>
    <cellStyle name="Normal 3" xfId="1"/>
    <cellStyle name="Normal 3 3" xfId="7"/>
    <cellStyle name="Normal 4" xfId="5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pn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png"/><Relationship Id="rId7" Type="http://schemas.openxmlformats.org/officeDocument/2006/relationships/image" Target="../media/image7.png"/><Relationship Id="rId12" Type="http://schemas.openxmlformats.org/officeDocument/2006/relationships/image" Target="../media/image12.pn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20" Type="http://schemas.openxmlformats.org/officeDocument/2006/relationships/image" Target="../media/image20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png"/><Relationship Id="rId5" Type="http://schemas.openxmlformats.org/officeDocument/2006/relationships/image" Target="../media/image5.png"/><Relationship Id="rId15" Type="http://schemas.openxmlformats.org/officeDocument/2006/relationships/image" Target="../media/image15.png"/><Relationship Id="rId10" Type="http://schemas.openxmlformats.org/officeDocument/2006/relationships/image" Target="../media/image10.pn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png"/><Relationship Id="rId22" Type="http://schemas.openxmlformats.org/officeDocument/2006/relationships/image" Target="../media/image22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7.png"/><Relationship Id="rId2" Type="http://schemas.openxmlformats.org/officeDocument/2006/relationships/image" Target="../media/image26.png"/><Relationship Id="rId1" Type="http://schemas.openxmlformats.org/officeDocument/2006/relationships/image" Target="../media/image25.png"/><Relationship Id="rId4" Type="http://schemas.openxmlformats.org/officeDocument/2006/relationships/image" Target="../media/image28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4.png"/><Relationship Id="rId1" Type="http://schemas.openxmlformats.org/officeDocument/2006/relationships/image" Target="../media/image23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508186</xdr:colOff>
      <xdr:row>298</xdr:row>
      <xdr:rowOff>68495</xdr:rowOff>
    </xdr:from>
    <xdr:to>
      <xdr:col>6</xdr:col>
      <xdr:colOff>392205</xdr:colOff>
      <xdr:row>313</xdr:row>
      <xdr:rowOff>183078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000-000005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1270186" y="59571730"/>
          <a:ext cx="4075019" cy="314017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oneCellAnchor>
    <xdr:from>
      <xdr:col>13</xdr:col>
      <xdr:colOff>680002</xdr:colOff>
      <xdr:row>194</xdr:row>
      <xdr:rowOff>29210</xdr:rowOff>
    </xdr:from>
    <xdr:ext cx="789127" cy="280205"/>
    <xdr:sp macro="" textlink="">
      <xdr:nvSpPr>
        <xdr:cNvPr id="30" name="TextBox 29">
          <a:extLst>
            <a:ext uri="{FF2B5EF4-FFF2-40B4-BE49-F238E27FC236}">
              <a16:creationId xmlns:a16="http://schemas.microsoft.com/office/drawing/2014/main" id="{00000000-0008-0000-0000-00001E000000}"/>
            </a:ext>
          </a:extLst>
        </xdr:cNvPr>
        <xdr:cNvSpPr txBox="1"/>
      </xdr:nvSpPr>
      <xdr:spPr>
        <a:xfrm>
          <a:off x="11652802" y="40102790"/>
          <a:ext cx="789127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/>
            <a:t>Bldg No.1</a:t>
          </a:r>
        </a:p>
      </xdr:txBody>
    </xdr:sp>
    <xdr:clientData/>
  </xdr:oneCellAnchor>
  <xdr:oneCellAnchor>
    <xdr:from>
      <xdr:col>11</xdr:col>
      <xdr:colOff>234508</xdr:colOff>
      <xdr:row>193</xdr:row>
      <xdr:rowOff>144780</xdr:rowOff>
    </xdr:from>
    <xdr:ext cx="789127" cy="280205"/>
    <xdr:sp macro="" textlink="">
      <xdr:nvSpPr>
        <xdr:cNvPr id="31" name="TextBox 30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 txBox="1"/>
      </xdr:nvSpPr>
      <xdr:spPr>
        <a:xfrm>
          <a:off x="9675688" y="40020240"/>
          <a:ext cx="789127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/>
            <a:t>Bldg No.1</a:t>
          </a:r>
        </a:p>
      </xdr:txBody>
    </xdr:sp>
    <xdr:clientData/>
  </xdr:oneCellAnchor>
  <xdr:oneCellAnchor>
    <xdr:from>
      <xdr:col>10</xdr:col>
      <xdr:colOff>221821</xdr:colOff>
      <xdr:row>218</xdr:row>
      <xdr:rowOff>70022</xdr:rowOff>
    </xdr:from>
    <xdr:ext cx="789127" cy="280205"/>
    <xdr:sp macro="" textlink="">
      <xdr:nvSpPr>
        <xdr:cNvPr id="33" name="TextBox 32">
          <a:extLst>
            <a:ext uri="{FF2B5EF4-FFF2-40B4-BE49-F238E27FC236}">
              <a16:creationId xmlns:a16="http://schemas.microsoft.com/office/drawing/2014/main" id="{00000000-0008-0000-0000-000021000000}"/>
            </a:ext>
          </a:extLst>
        </xdr:cNvPr>
        <xdr:cNvSpPr txBox="1"/>
      </xdr:nvSpPr>
      <xdr:spPr>
        <a:xfrm>
          <a:off x="8939101" y="44890862"/>
          <a:ext cx="789127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/>
            <a:t>Bldg No.2</a:t>
          </a:r>
        </a:p>
      </xdr:txBody>
    </xdr:sp>
    <xdr:clientData/>
  </xdr:oneCellAnchor>
  <xdr:oneCellAnchor>
    <xdr:from>
      <xdr:col>13</xdr:col>
      <xdr:colOff>100270</xdr:colOff>
      <xdr:row>217</xdr:row>
      <xdr:rowOff>165272</xdr:rowOff>
    </xdr:from>
    <xdr:ext cx="789127" cy="280205"/>
    <xdr:sp macro="" textlink="">
      <xdr:nvSpPr>
        <xdr:cNvPr id="34" name="TextBox 33">
          <a:extLst>
            <a:ext uri="{FF2B5EF4-FFF2-40B4-BE49-F238E27FC236}">
              <a16:creationId xmlns:a16="http://schemas.microsoft.com/office/drawing/2014/main" id="{00000000-0008-0000-0000-000022000000}"/>
            </a:ext>
          </a:extLst>
        </xdr:cNvPr>
        <xdr:cNvSpPr txBox="1"/>
      </xdr:nvSpPr>
      <xdr:spPr>
        <a:xfrm>
          <a:off x="11073070" y="44787992"/>
          <a:ext cx="789127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/>
            <a:t>Bldg No.2</a:t>
          </a:r>
        </a:p>
      </xdr:txBody>
    </xdr:sp>
    <xdr:clientData/>
  </xdr:oneCellAnchor>
  <xdr:oneCellAnchor>
    <xdr:from>
      <xdr:col>8</xdr:col>
      <xdr:colOff>440838</xdr:colOff>
      <xdr:row>205</xdr:row>
      <xdr:rowOff>133876</xdr:rowOff>
    </xdr:from>
    <xdr:ext cx="789127" cy="280205"/>
    <xdr:sp macro="" textlink="">
      <xdr:nvSpPr>
        <xdr:cNvPr id="35" name="TextBox 34">
          <a:extLst>
            <a:ext uri="{FF2B5EF4-FFF2-40B4-BE49-F238E27FC236}">
              <a16:creationId xmlns:a16="http://schemas.microsoft.com/office/drawing/2014/main" id="{00000000-0008-0000-0000-000023000000}"/>
            </a:ext>
          </a:extLst>
        </xdr:cNvPr>
        <xdr:cNvSpPr txBox="1"/>
      </xdr:nvSpPr>
      <xdr:spPr>
        <a:xfrm>
          <a:off x="7176918" y="42379156"/>
          <a:ext cx="789127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spAutoFit/>
        </a:bodyPr>
        <a:lstStyle/>
        <a:p>
          <a:r>
            <a:rPr lang="en-IN" sz="1200"/>
            <a:t>Bldg No.1</a:t>
          </a:r>
        </a:p>
      </xdr:txBody>
    </xdr:sp>
    <xdr:clientData/>
  </xdr:oneCellAnchor>
  <xdr:twoCellAnchor editAs="oneCell">
    <xdr:from>
      <xdr:col>10</xdr:col>
      <xdr:colOff>528918</xdr:colOff>
      <xdr:row>39</xdr:row>
      <xdr:rowOff>107576</xdr:rowOff>
    </xdr:from>
    <xdr:to>
      <xdr:col>14</xdr:col>
      <xdr:colOff>53672</xdr:colOff>
      <xdr:row>48</xdr:row>
      <xdr:rowOff>26377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F33868AE-B877-4563-BFED-62E64A41F6A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9034183" y="8579223"/>
          <a:ext cx="2884482" cy="1958272"/>
        </a:xfrm>
        <a:prstGeom prst="rect">
          <a:avLst/>
        </a:prstGeom>
      </xdr:spPr>
    </xdr:pic>
    <xdr:clientData/>
  </xdr:twoCellAnchor>
  <xdr:twoCellAnchor editAs="oneCell">
    <xdr:from>
      <xdr:col>13</xdr:col>
      <xdr:colOff>328332</xdr:colOff>
      <xdr:row>126</xdr:row>
      <xdr:rowOff>184897</xdr:rowOff>
    </xdr:from>
    <xdr:to>
      <xdr:col>27</xdr:col>
      <xdr:colOff>4564</xdr:colOff>
      <xdr:row>142</xdr:row>
      <xdr:rowOff>59876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DFC24A80-294E-4296-92A3-A05E54AB30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1041156" y="25106779"/>
          <a:ext cx="8629732" cy="3505685"/>
        </a:xfrm>
        <a:prstGeom prst="rect">
          <a:avLst/>
        </a:prstGeom>
      </xdr:spPr>
    </xdr:pic>
    <xdr:clientData/>
  </xdr:twoCellAnchor>
  <xdr:twoCellAnchor editAs="oneCell">
    <xdr:from>
      <xdr:col>13</xdr:col>
      <xdr:colOff>282388</xdr:colOff>
      <xdr:row>148</xdr:row>
      <xdr:rowOff>158005</xdr:rowOff>
    </xdr:from>
    <xdr:to>
      <xdr:col>26</xdr:col>
      <xdr:colOff>163632</xdr:colOff>
      <xdr:row>167</xdr:row>
      <xdr:rowOff>4434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E776BB99-269C-493E-B2C5-E23386F46E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995212" y="29920829"/>
          <a:ext cx="8229626" cy="3678840"/>
        </a:xfrm>
        <a:prstGeom prst="rect">
          <a:avLst/>
        </a:prstGeom>
      </xdr:spPr>
    </xdr:pic>
    <xdr:clientData/>
  </xdr:twoCellAnchor>
  <xdr:twoCellAnchor>
    <xdr:from>
      <xdr:col>0</xdr:col>
      <xdr:colOff>535641</xdr:colOff>
      <xdr:row>238</xdr:row>
      <xdr:rowOff>173691</xdr:rowOff>
    </xdr:from>
    <xdr:to>
      <xdr:col>7</xdr:col>
      <xdr:colOff>326862</xdr:colOff>
      <xdr:row>274</xdr:row>
      <xdr:rowOff>166640</xdr:rowOff>
    </xdr:to>
    <xdr:grpSp>
      <xdr:nvGrpSpPr>
        <xdr:cNvPr id="45" name="Group 44">
          <a:extLst>
            <a:ext uri="{FF2B5EF4-FFF2-40B4-BE49-F238E27FC236}">
              <a16:creationId xmlns:a16="http://schemas.microsoft.com/office/drawing/2014/main" id="{B73BE3F7-6CA1-4FD5-8367-20B4F467F8EB}"/>
            </a:ext>
          </a:extLst>
        </xdr:cNvPr>
        <xdr:cNvGrpSpPr/>
      </xdr:nvGrpSpPr>
      <xdr:grpSpPr>
        <a:xfrm>
          <a:off x="535641" y="47525641"/>
          <a:ext cx="5791971" cy="7079549"/>
          <a:chOff x="666364" y="635905"/>
          <a:chExt cx="5525271" cy="7193849"/>
        </a:xfrm>
      </xdr:grpSpPr>
      <xdr:grpSp>
        <xdr:nvGrpSpPr>
          <xdr:cNvPr id="46" name="Group 45">
            <a:extLst>
              <a:ext uri="{FF2B5EF4-FFF2-40B4-BE49-F238E27FC236}">
                <a16:creationId xmlns:a16="http://schemas.microsoft.com/office/drawing/2014/main" id="{8DBF74DC-2F94-4714-AF11-5471299692BD}"/>
              </a:ext>
            </a:extLst>
          </xdr:cNvPr>
          <xdr:cNvGrpSpPr/>
        </xdr:nvGrpSpPr>
        <xdr:grpSpPr>
          <a:xfrm>
            <a:off x="666364" y="635905"/>
            <a:ext cx="5525271" cy="4429743"/>
            <a:chOff x="666364" y="635905"/>
            <a:chExt cx="5525271" cy="4429743"/>
          </a:xfrm>
        </xdr:grpSpPr>
        <xdr:pic>
          <xdr:nvPicPr>
            <xdr:cNvPr id="50" name="Picture 49">
              <a:extLst>
                <a:ext uri="{FF2B5EF4-FFF2-40B4-BE49-F238E27FC236}">
                  <a16:creationId xmlns:a16="http://schemas.microsoft.com/office/drawing/2014/main" id="{D48A716E-E7C3-4DA6-B42E-38127F96AB4A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5"/>
            <a:stretch>
              <a:fillRect/>
            </a:stretch>
          </xdr:blipFill>
          <xdr:spPr>
            <a:xfrm>
              <a:off x="666364" y="635905"/>
              <a:ext cx="5525271" cy="4429743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51" name="Rectangle 50">
              <a:extLst>
                <a:ext uri="{FF2B5EF4-FFF2-40B4-BE49-F238E27FC236}">
                  <a16:creationId xmlns:a16="http://schemas.microsoft.com/office/drawing/2014/main" id="{6B941CC0-E277-458C-927F-DFB6E7388350}"/>
                </a:ext>
              </a:extLst>
            </xdr:cNvPr>
            <xdr:cNvSpPr/>
          </xdr:nvSpPr>
          <xdr:spPr>
            <a:xfrm>
              <a:off x="1541929" y="3227294"/>
              <a:ext cx="2187389" cy="1344706"/>
            </a:xfrm>
            <a:prstGeom prst="rect">
              <a:avLst/>
            </a:prstGeom>
            <a:noFill/>
            <a:ln w="28575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52" name="Rectangle 51">
              <a:extLst>
                <a:ext uri="{FF2B5EF4-FFF2-40B4-BE49-F238E27FC236}">
                  <a16:creationId xmlns:a16="http://schemas.microsoft.com/office/drawing/2014/main" id="{A47DCD44-5259-4070-A410-BB2D1D31AFDE}"/>
                </a:ext>
              </a:extLst>
            </xdr:cNvPr>
            <xdr:cNvSpPr/>
          </xdr:nvSpPr>
          <xdr:spPr>
            <a:xfrm>
              <a:off x="3729319" y="2223247"/>
              <a:ext cx="1757082" cy="2348752"/>
            </a:xfrm>
            <a:prstGeom prst="rect">
              <a:avLst/>
            </a:prstGeom>
            <a:noFill/>
            <a:ln w="28575">
              <a:solidFill>
                <a:srgbClr val="FF0000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>
                <a:solidFill>
                  <a:srgbClr val="FF0000"/>
                </a:solidFill>
              </a:endParaRPr>
            </a:p>
          </xdr:txBody>
        </xdr:sp>
        <xdr:sp macro="" textlink="">
          <xdr:nvSpPr>
            <xdr:cNvPr id="53" name="TextBox 4">
              <a:extLst>
                <a:ext uri="{FF2B5EF4-FFF2-40B4-BE49-F238E27FC236}">
                  <a16:creationId xmlns:a16="http://schemas.microsoft.com/office/drawing/2014/main" id="{180BCA5D-04B6-4AA8-BC55-962C3CCD6650}"/>
                </a:ext>
              </a:extLst>
            </xdr:cNvPr>
            <xdr:cNvSpPr txBox="1"/>
          </xdr:nvSpPr>
          <xdr:spPr>
            <a:xfrm>
              <a:off x="1541928" y="4571999"/>
              <a:ext cx="1162498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b="1">
                  <a:solidFill>
                    <a:srgbClr val="FF0000"/>
                  </a:solidFill>
                </a:rPr>
                <a:t>Bldg No. 2</a:t>
              </a:r>
              <a:endParaRPr lang="en-IN" b="1">
                <a:solidFill>
                  <a:srgbClr val="FF0000"/>
                </a:solidFill>
              </a:endParaRPr>
            </a:p>
          </xdr:txBody>
        </xdr:sp>
        <xdr:sp macro="" textlink="">
          <xdr:nvSpPr>
            <xdr:cNvPr id="54" name="TextBox 5">
              <a:extLst>
                <a:ext uri="{FF2B5EF4-FFF2-40B4-BE49-F238E27FC236}">
                  <a16:creationId xmlns:a16="http://schemas.microsoft.com/office/drawing/2014/main" id="{735A079E-861B-4CA5-8937-937615EC834A}"/>
                </a:ext>
              </a:extLst>
            </xdr:cNvPr>
            <xdr:cNvSpPr txBox="1"/>
          </xdr:nvSpPr>
          <xdr:spPr>
            <a:xfrm>
              <a:off x="4095271" y="4556616"/>
              <a:ext cx="1162498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b="1">
                  <a:solidFill>
                    <a:srgbClr val="FF0000"/>
                  </a:solidFill>
                </a:rPr>
                <a:t>Bldg No. 1</a:t>
              </a:r>
              <a:endParaRPr lang="en-IN" b="1">
                <a:solidFill>
                  <a:srgbClr val="FF0000"/>
                </a:solidFill>
              </a:endParaRPr>
            </a:p>
          </xdr:txBody>
        </xdr:sp>
        <xdr:sp macro="" textlink="">
          <xdr:nvSpPr>
            <xdr:cNvPr id="56" name="Arrow: Right 55">
              <a:extLst>
                <a:ext uri="{FF2B5EF4-FFF2-40B4-BE49-F238E27FC236}">
                  <a16:creationId xmlns:a16="http://schemas.microsoft.com/office/drawing/2014/main" id="{7ABB5376-95A4-454F-B629-F54D02E2F0F1}"/>
                </a:ext>
              </a:extLst>
            </xdr:cNvPr>
            <xdr:cNvSpPr/>
          </xdr:nvSpPr>
          <xdr:spPr>
            <a:xfrm rot="18389509">
              <a:off x="1351918" y="953922"/>
              <a:ext cx="562369" cy="410357"/>
            </a:xfrm>
            <a:prstGeom prst="rightArrow">
              <a:avLst/>
            </a:prstGeom>
            <a:solidFill>
              <a:schemeClr val="tx1"/>
            </a:solidFill>
            <a:ln>
              <a:solidFill>
                <a:schemeClr val="tx1"/>
              </a:solidFill>
            </a:ln>
          </xdr:spPr>
          <xdr:style>
            <a:lnRef idx="2">
              <a:schemeClr val="accent1">
                <a:shade val="50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rot="0" spcFirstLastPara="0" vert="horz" wrap="square" lIns="91440" tIns="45720" rIns="91440" bIns="45720" numCol="1" spcCol="0" rtlCol="0" fromWordArt="0" anchor="ctr" anchorCtr="0" forceAA="0" compatLnSpc="1">
              <a:prstTxWarp prst="textNoShape">
                <a:avLst/>
              </a:prstTxWarp>
              <a:no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57" name="TextBox 8">
              <a:extLst>
                <a:ext uri="{FF2B5EF4-FFF2-40B4-BE49-F238E27FC236}">
                  <a16:creationId xmlns:a16="http://schemas.microsoft.com/office/drawing/2014/main" id="{7D5CAAC1-2FCA-407A-A5AC-376FCE442363}"/>
                </a:ext>
              </a:extLst>
            </xdr:cNvPr>
            <xdr:cNvSpPr txBox="1"/>
          </xdr:nvSpPr>
          <xdr:spPr>
            <a:xfrm>
              <a:off x="1156031" y="1338139"/>
              <a:ext cx="333746" cy="3693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b="1"/>
                <a:t>N</a:t>
              </a:r>
              <a:endParaRPr lang="en-IN" b="1"/>
            </a:p>
          </xdr:txBody>
        </xdr:sp>
      </xdr:grpSp>
      <xdr:pic>
        <xdr:nvPicPr>
          <xdr:cNvPr id="47" name="Picture 46">
            <a:extLst>
              <a:ext uri="{FF2B5EF4-FFF2-40B4-BE49-F238E27FC236}">
                <a16:creationId xmlns:a16="http://schemas.microsoft.com/office/drawing/2014/main" id="{224F43F6-8DF5-49B4-A616-A4CF0E47CF2C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6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932497" y="5177900"/>
            <a:ext cx="3117257" cy="2622268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48" name="Arrow: Right 47">
            <a:extLst>
              <a:ext uri="{FF2B5EF4-FFF2-40B4-BE49-F238E27FC236}">
                <a16:creationId xmlns:a16="http://schemas.microsoft.com/office/drawing/2014/main" id="{52009D5E-ED12-4275-9AD5-634055E504CD}"/>
              </a:ext>
            </a:extLst>
          </xdr:cNvPr>
          <xdr:cNvSpPr/>
        </xdr:nvSpPr>
        <xdr:spPr>
          <a:xfrm rot="16200000">
            <a:off x="2018308" y="7192850"/>
            <a:ext cx="432995" cy="223256"/>
          </a:xfrm>
          <a:prstGeom prst="rightArrow">
            <a:avLst/>
          </a:prstGeom>
          <a:solidFill>
            <a:schemeClr val="tx1"/>
          </a:solidFill>
          <a:ln>
            <a:solidFill>
              <a:schemeClr val="tx1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rot="0" spcFirstLastPara="0" vert="horz" wrap="square" lIns="91440" tIns="45720" rIns="91440" bIns="45720" numCol="1" spcCol="0" rtlCol="0" fromWordArt="0" anchor="ctr" anchorCtr="0" forceAA="0" compatLnSpc="1">
            <a:prstTxWarp prst="textNoShape">
              <a:avLst/>
            </a:prstTxWarp>
            <a:no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lt1"/>
                </a:solidFill>
                <a:latin typeface="+mn-lt"/>
                <a:ea typeface="+mn-ea"/>
                <a:cs typeface="+mn-cs"/>
              </a:defRPr>
            </a:lvl9pPr>
          </a:lstStyle>
          <a:p>
            <a:pPr algn="ctr"/>
            <a:endParaRPr lang="en-IN"/>
          </a:p>
        </xdr:txBody>
      </xdr:sp>
      <xdr:sp macro="" textlink="">
        <xdr:nvSpPr>
          <xdr:cNvPr id="49" name="TextBox 12">
            <a:extLst>
              <a:ext uri="{FF2B5EF4-FFF2-40B4-BE49-F238E27FC236}">
                <a16:creationId xmlns:a16="http://schemas.microsoft.com/office/drawing/2014/main" id="{E17113A9-2E5A-48BC-9D84-1EF32D234A7E}"/>
              </a:ext>
            </a:extLst>
          </xdr:cNvPr>
          <xdr:cNvSpPr txBox="1"/>
        </xdr:nvSpPr>
        <xdr:spPr>
          <a:xfrm>
            <a:off x="2067932" y="7460422"/>
            <a:ext cx="333746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/>
              <a:t>N</a:t>
            </a:r>
            <a:endParaRPr lang="en-IN" b="1"/>
          </a:p>
        </xdr:txBody>
      </xdr:sp>
    </xdr:grpSp>
    <xdr:clientData/>
  </xdr:twoCellAnchor>
  <xdr:twoCellAnchor editAs="oneCell">
    <xdr:from>
      <xdr:col>10</xdr:col>
      <xdr:colOff>198504</xdr:colOff>
      <xdr:row>45</xdr:row>
      <xdr:rowOff>84205</xdr:rowOff>
    </xdr:from>
    <xdr:to>
      <xdr:col>14</xdr:col>
      <xdr:colOff>111910</xdr:colOff>
      <xdr:row>59</xdr:row>
      <xdr:rowOff>41539</xdr:rowOff>
    </xdr:to>
    <xdr:pic>
      <xdr:nvPicPr>
        <xdr:cNvPr id="7" name="Picture 6">
          <a:extLst>
            <a:ext uri="{FF2B5EF4-FFF2-40B4-BE49-F238E27FC236}">
              <a16:creationId xmlns:a16="http://schemas.microsoft.com/office/drawing/2014/main" id="{C51936EA-E640-493F-85ED-0CBABF2683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8703769" y="9766087"/>
          <a:ext cx="3273134" cy="3442364"/>
        </a:xfrm>
        <a:prstGeom prst="rect">
          <a:avLst/>
        </a:prstGeom>
      </xdr:spPr>
    </xdr:pic>
    <xdr:clientData/>
  </xdr:twoCellAnchor>
  <xdr:twoCellAnchor editAs="oneCell">
    <xdr:from>
      <xdr:col>13</xdr:col>
      <xdr:colOff>320</xdr:colOff>
      <xdr:row>44</xdr:row>
      <xdr:rowOff>147359</xdr:rowOff>
    </xdr:from>
    <xdr:to>
      <xdr:col>18</xdr:col>
      <xdr:colOff>49155</xdr:colOff>
      <xdr:row>59</xdr:row>
      <xdr:rowOff>171006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D7078040-DA8B-4A54-9691-D6F48DCE1C9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0713144" y="9627535"/>
          <a:ext cx="3556277" cy="3710383"/>
        </a:xfrm>
        <a:prstGeom prst="rect">
          <a:avLst/>
        </a:prstGeom>
      </xdr:spPr>
    </xdr:pic>
    <xdr:clientData/>
  </xdr:twoCellAnchor>
  <xdr:twoCellAnchor editAs="oneCell">
    <xdr:from>
      <xdr:col>8</xdr:col>
      <xdr:colOff>666750</xdr:colOff>
      <xdr:row>11</xdr:row>
      <xdr:rowOff>15875</xdr:rowOff>
    </xdr:from>
    <xdr:to>
      <xdr:col>16</xdr:col>
      <xdr:colOff>371506</xdr:colOff>
      <xdr:row>20</xdr:row>
      <xdr:rowOff>35211</xdr:rowOff>
    </xdr:to>
    <xdr:pic>
      <xdr:nvPicPr>
        <xdr:cNvPr id="9" name="Picture 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537450" y="2587625"/>
          <a:ext cx="6740556" cy="2025936"/>
        </a:xfrm>
        <a:prstGeom prst="rect">
          <a:avLst/>
        </a:prstGeom>
      </xdr:spPr>
    </xdr:pic>
    <xdr:clientData/>
  </xdr:twoCellAnchor>
  <xdr:twoCellAnchor>
    <xdr:from>
      <xdr:col>1</xdr:col>
      <xdr:colOff>31937</xdr:colOff>
      <xdr:row>277</xdr:row>
      <xdr:rowOff>112058</xdr:rowOff>
    </xdr:from>
    <xdr:to>
      <xdr:col>6</xdr:col>
      <xdr:colOff>740403</xdr:colOff>
      <xdr:row>297</xdr:row>
      <xdr:rowOff>123264</xdr:rowOff>
    </xdr:to>
    <xdr:grpSp>
      <xdr:nvGrpSpPr>
        <xdr:cNvPr id="12" name="Group 11"/>
        <xdr:cNvGrpSpPr/>
      </xdr:nvGrpSpPr>
      <xdr:grpSpPr>
        <a:xfrm>
          <a:off x="832037" y="55141158"/>
          <a:ext cx="5083616" cy="3948206"/>
          <a:chOff x="793937" y="55379470"/>
          <a:chExt cx="4899466" cy="4045323"/>
        </a:xfrm>
      </xdr:grpSpPr>
      <xdr:pic>
        <xdr:nvPicPr>
          <xdr:cNvPr id="10" name="Picture 9"/>
          <xdr:cNvPicPr>
            <a:picLocks noChangeAspect="1"/>
          </xdr:cNvPicPr>
        </xdr:nvPicPr>
        <xdr:blipFill>
          <a:blip xmlns:r="http://schemas.openxmlformats.org/officeDocument/2006/relationships" r:embed="rId10"/>
          <a:stretch>
            <a:fillRect/>
          </a:stretch>
        </xdr:blipFill>
        <xdr:spPr>
          <a:xfrm>
            <a:off x="793937" y="55379470"/>
            <a:ext cx="4899466" cy="4045323"/>
          </a:xfrm>
          <a:prstGeom prst="rect">
            <a:avLst/>
          </a:prstGeom>
          <a:ln>
            <a:solidFill>
              <a:sysClr val="windowText" lastClr="000000"/>
            </a:solidFill>
          </a:ln>
        </xdr:spPr>
      </xdr:pic>
      <xdr:sp macro="" textlink="">
        <xdr:nvSpPr>
          <xdr:cNvPr id="11" name="Rectangle 10"/>
          <xdr:cNvSpPr/>
        </xdr:nvSpPr>
        <xdr:spPr>
          <a:xfrm>
            <a:off x="2689412" y="56679353"/>
            <a:ext cx="1546412" cy="1837765"/>
          </a:xfrm>
          <a:prstGeom prst="rect">
            <a:avLst/>
          </a:prstGeom>
          <a:noFill/>
          <a:ln w="57150">
            <a:solidFill>
              <a:srgbClr val="FFFF00"/>
            </a:solidFill>
          </a:ln>
        </xdr:spPr>
        <xdr:style>
          <a:lnRef idx="2">
            <a:schemeClr val="accent1">
              <a:shade val="50000"/>
            </a:schemeClr>
          </a:lnRef>
          <a:fillRef idx="1">
            <a:schemeClr val="accent1"/>
          </a:fillRef>
          <a:effectRef idx="0">
            <a:schemeClr val="accent1"/>
          </a:effectRef>
          <a:fontRef idx="minor">
            <a:schemeClr val="lt1"/>
          </a:fontRef>
        </xdr:style>
        <xdr:txBody>
          <a:bodyPr vertOverflow="clip" horzOverflow="clip" rtlCol="0" anchor="t"/>
          <a:lstStyle/>
          <a:p>
            <a:pPr algn="l"/>
            <a:endParaRPr lang="en-IN" sz="1100"/>
          </a:p>
        </xdr:txBody>
      </xdr:sp>
    </xdr:grpSp>
    <xdr:clientData/>
  </xdr:twoCellAnchor>
  <xdr:twoCellAnchor editAs="oneCell">
    <xdr:from>
      <xdr:col>13</xdr:col>
      <xdr:colOff>176239</xdr:colOff>
      <xdr:row>143</xdr:row>
      <xdr:rowOff>58575</xdr:rowOff>
    </xdr:from>
    <xdr:to>
      <xdr:col>20</xdr:col>
      <xdr:colOff>116938</xdr:colOff>
      <xdr:row>166</xdr:row>
      <xdr:rowOff>8631</xdr:rowOff>
    </xdr:to>
    <xdr:pic>
      <xdr:nvPicPr>
        <xdr:cNvPr id="13" name="Picture 1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11170810" y="29014575"/>
          <a:ext cx="4675985" cy="4644520"/>
        </a:xfrm>
        <a:prstGeom prst="rect">
          <a:avLst/>
        </a:prstGeom>
      </xdr:spPr>
    </xdr:pic>
    <xdr:clientData/>
  </xdr:twoCellAnchor>
  <xdr:twoCellAnchor editAs="oneCell">
    <xdr:from>
      <xdr:col>12</xdr:col>
      <xdr:colOff>455660</xdr:colOff>
      <xdr:row>163</xdr:row>
      <xdr:rowOff>26703</xdr:rowOff>
    </xdr:from>
    <xdr:to>
      <xdr:col>21</xdr:col>
      <xdr:colOff>458491</xdr:colOff>
      <xdr:row>176</xdr:row>
      <xdr:rowOff>9144</xdr:rowOff>
    </xdr:to>
    <xdr:pic>
      <xdr:nvPicPr>
        <xdr:cNvPr id="15" name="Picture 14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10378978" y="33572021"/>
          <a:ext cx="6427877" cy="3134350"/>
        </a:xfrm>
        <a:prstGeom prst="rect">
          <a:avLst/>
        </a:prstGeom>
      </xdr:spPr>
    </xdr:pic>
    <xdr:clientData/>
  </xdr:twoCellAnchor>
  <xdr:twoCellAnchor editAs="oneCell">
    <xdr:from>
      <xdr:col>17</xdr:col>
      <xdr:colOff>315076</xdr:colOff>
      <xdr:row>129</xdr:row>
      <xdr:rowOff>79459</xdr:rowOff>
    </xdr:from>
    <xdr:to>
      <xdr:col>31</xdr:col>
      <xdr:colOff>592354</xdr:colOff>
      <xdr:row>153</xdr:row>
      <xdr:rowOff>149388</xdr:rowOff>
    </xdr:to>
    <xdr:pic>
      <xdr:nvPicPr>
        <xdr:cNvPr id="16" name="Picture 1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3927167" y="26558959"/>
          <a:ext cx="8763187" cy="5057565"/>
        </a:xfrm>
        <a:prstGeom prst="rect">
          <a:avLst/>
        </a:prstGeom>
      </xdr:spPr>
    </xdr:pic>
    <xdr:clientData/>
  </xdr:twoCellAnchor>
  <xdr:twoCellAnchor editAs="oneCell">
    <xdr:from>
      <xdr:col>13</xdr:col>
      <xdr:colOff>89650</xdr:colOff>
      <xdr:row>128</xdr:row>
      <xdr:rowOff>162484</xdr:rowOff>
    </xdr:from>
    <xdr:to>
      <xdr:col>26</xdr:col>
      <xdr:colOff>473238</xdr:colOff>
      <xdr:row>141</xdr:row>
      <xdr:rowOff>157411</xdr:rowOff>
    </xdr:to>
    <xdr:pic>
      <xdr:nvPicPr>
        <xdr:cNvPr id="25" name="Picture 24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0771257" y="26056877"/>
          <a:ext cx="8792802" cy="2648320"/>
        </a:xfrm>
        <a:prstGeom prst="rect">
          <a:avLst/>
        </a:prstGeom>
      </xdr:spPr>
    </xdr:pic>
    <xdr:clientData/>
  </xdr:twoCellAnchor>
  <xdr:twoCellAnchor editAs="oneCell">
    <xdr:from>
      <xdr:col>23</xdr:col>
      <xdr:colOff>384710</xdr:colOff>
      <xdr:row>153</xdr:row>
      <xdr:rowOff>61850</xdr:rowOff>
    </xdr:from>
    <xdr:to>
      <xdr:col>35</xdr:col>
      <xdr:colOff>58497</xdr:colOff>
      <xdr:row>169</xdr:row>
      <xdr:rowOff>98712</xdr:rowOff>
    </xdr:to>
    <xdr:pic>
      <xdr:nvPicPr>
        <xdr:cNvPr id="32" name="Picture 31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7633619" y="31528986"/>
          <a:ext cx="6947424" cy="3587090"/>
        </a:xfrm>
        <a:prstGeom prst="rect">
          <a:avLst/>
        </a:prstGeom>
      </xdr:spPr>
    </xdr:pic>
    <xdr:clientData/>
  </xdr:twoCellAnchor>
  <xdr:twoCellAnchor>
    <xdr:from>
      <xdr:col>3</xdr:col>
      <xdr:colOff>814257</xdr:colOff>
      <xdr:row>226</xdr:row>
      <xdr:rowOff>93198</xdr:rowOff>
    </xdr:from>
    <xdr:to>
      <xdr:col>5</xdr:col>
      <xdr:colOff>77032</xdr:colOff>
      <xdr:row>233</xdr:row>
      <xdr:rowOff>155248</xdr:rowOff>
    </xdr:to>
    <xdr:pic>
      <xdr:nvPicPr>
        <xdr:cNvPr id="41" name="Picture 40"/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347907" y="45082948"/>
          <a:ext cx="1078875" cy="144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5</xdr:col>
      <xdr:colOff>5788</xdr:colOff>
      <xdr:row>214</xdr:row>
      <xdr:rowOff>190949</xdr:rowOff>
    </xdr:from>
    <xdr:to>
      <xdr:col>6</xdr:col>
      <xdr:colOff>798601</xdr:colOff>
      <xdr:row>225</xdr:row>
      <xdr:rowOff>185599</xdr:rowOff>
    </xdr:to>
    <xdr:pic>
      <xdr:nvPicPr>
        <xdr:cNvPr id="42" name="Picture 41"/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355538" y="42818499"/>
          <a:ext cx="1618313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1</xdr:col>
      <xdr:colOff>53634</xdr:colOff>
      <xdr:row>214</xdr:row>
      <xdr:rowOff>190949</xdr:rowOff>
    </xdr:from>
    <xdr:to>
      <xdr:col>2</xdr:col>
      <xdr:colOff>833747</xdr:colOff>
      <xdr:row>225</xdr:row>
      <xdr:rowOff>185599</xdr:rowOff>
    </xdr:to>
    <xdr:pic>
      <xdr:nvPicPr>
        <xdr:cNvPr id="43" name="Picture 42"/>
        <xdr:cNvPicPr>
          <a:picLocks noChangeAspect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53734" y="42818499"/>
          <a:ext cx="1618313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381000</xdr:colOff>
      <xdr:row>194</xdr:row>
      <xdr:rowOff>57150</xdr:rowOff>
    </xdr:from>
    <xdr:to>
      <xdr:col>3</xdr:col>
      <xdr:colOff>814257</xdr:colOff>
      <xdr:row>214</xdr:row>
      <xdr:rowOff>86500</xdr:rowOff>
    </xdr:to>
    <xdr:pic>
      <xdr:nvPicPr>
        <xdr:cNvPr id="44" name="Picture 43"/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0" y="38754050"/>
          <a:ext cx="2966907" cy="39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2</xdr:col>
      <xdr:colOff>555605</xdr:colOff>
      <xdr:row>226</xdr:row>
      <xdr:rowOff>93198</xdr:rowOff>
    </xdr:from>
    <xdr:to>
      <xdr:col>3</xdr:col>
      <xdr:colOff>739130</xdr:colOff>
      <xdr:row>233</xdr:row>
      <xdr:rowOff>155248</xdr:rowOff>
    </xdr:to>
    <xdr:pic>
      <xdr:nvPicPr>
        <xdr:cNvPr id="55" name="Picture 54"/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3905" y="45082948"/>
          <a:ext cx="1078875" cy="144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70986</xdr:colOff>
      <xdr:row>214</xdr:row>
      <xdr:rowOff>190949</xdr:rowOff>
    </xdr:from>
    <xdr:to>
      <xdr:col>4</xdr:col>
      <xdr:colOff>698699</xdr:colOff>
      <xdr:row>225</xdr:row>
      <xdr:rowOff>185599</xdr:rowOff>
    </xdr:to>
    <xdr:pic>
      <xdr:nvPicPr>
        <xdr:cNvPr id="65" name="Picture 64"/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4636" y="42818499"/>
          <a:ext cx="1618313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3</xdr:col>
      <xdr:colOff>949116</xdr:colOff>
      <xdr:row>194</xdr:row>
      <xdr:rowOff>57150</xdr:rowOff>
    </xdr:from>
    <xdr:to>
      <xdr:col>7</xdr:col>
      <xdr:colOff>448923</xdr:colOff>
      <xdr:row>214</xdr:row>
      <xdr:rowOff>86500</xdr:rowOff>
    </xdr:to>
    <xdr:pic>
      <xdr:nvPicPr>
        <xdr:cNvPr id="66" name="Picture 65"/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82766" y="38754050"/>
          <a:ext cx="2966907" cy="39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5</xdr:col>
      <xdr:colOff>104566</xdr:colOff>
      <xdr:row>199</xdr:row>
      <xdr:rowOff>25400</xdr:rowOff>
    </xdr:from>
    <xdr:to>
      <xdr:col>6</xdr:col>
      <xdr:colOff>68193</xdr:colOff>
      <xdr:row>200</xdr:row>
      <xdr:rowOff>108755</xdr:rowOff>
    </xdr:to>
    <xdr:sp macro="" textlink="">
      <xdr:nvSpPr>
        <xdr:cNvPr id="67" name="TextBox 66">
          <a:extLst>
            <a:ext uri="{FF2B5EF4-FFF2-40B4-BE49-F238E27FC236}">
              <a16:creationId xmlns:a16="http://schemas.microsoft.com/office/drawing/2014/main" id="{00000000-0008-0000-0000-00001F000000}"/>
            </a:ext>
          </a:extLst>
        </xdr:cNvPr>
        <xdr:cNvSpPr txBox="1"/>
      </xdr:nvSpPr>
      <xdr:spPr>
        <a:xfrm>
          <a:off x="4454316" y="39700200"/>
          <a:ext cx="789127" cy="280205"/>
        </a:xfrm>
        <a:prstGeom prst="rect">
          <a:avLst/>
        </a:prstGeom>
        <a:noFill/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vertOverflow="clip" horzOverflow="clip" wrap="none" rtlCol="0" anchor="t">
          <a:noAutofit/>
        </a:bodyPr>
        <a:lstStyle/>
        <a:p>
          <a:r>
            <a:rPr lang="en-IN" sz="1200" b="0" cap="none" spc="0">
              <a:ln w="0"/>
              <a:solidFill>
                <a:sysClr val="windowText" lastClr="000000"/>
              </a:solidFill>
              <a:effectLst>
                <a:outerShdw blurRad="38100" dist="25400" dir="5400000" algn="ctr" rotWithShape="0">
                  <a:srgbClr val="6E747A">
                    <a:alpha val="43000"/>
                  </a:srgbClr>
                </a:outerShdw>
              </a:effectLst>
            </a:rPr>
            <a:t>Bldg No.2</a:t>
          </a:r>
        </a:p>
      </xdr:txBody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4</xdr:col>
      <xdr:colOff>696668</xdr:colOff>
      <xdr:row>31</xdr:row>
      <xdr:rowOff>40868</xdr:rowOff>
    </xdr:from>
    <xdr:to>
      <xdr:col>10</xdr:col>
      <xdr:colOff>529991</xdr:colOff>
      <xdr:row>46</xdr:row>
      <xdr:rowOff>63368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5985844" y="5957574"/>
          <a:ext cx="5122500" cy="28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7162</xdr:colOff>
      <xdr:row>15</xdr:row>
      <xdr:rowOff>0</xdr:rowOff>
    </xdr:from>
    <xdr:to>
      <xdr:col>4</xdr:col>
      <xdr:colOff>423192</xdr:colOff>
      <xdr:row>30</xdr:row>
      <xdr:rowOff>22500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589868" y="2868706"/>
          <a:ext cx="5122500" cy="28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4</xdr:col>
      <xdr:colOff>696668</xdr:colOff>
      <xdr:row>15</xdr:row>
      <xdr:rowOff>0</xdr:rowOff>
    </xdr:from>
    <xdr:to>
      <xdr:col>10</xdr:col>
      <xdr:colOff>529991</xdr:colOff>
      <xdr:row>30</xdr:row>
      <xdr:rowOff>22500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985844" y="2868706"/>
          <a:ext cx="5122500" cy="28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0</xdr:colOff>
      <xdr:row>31</xdr:row>
      <xdr:rowOff>40868</xdr:rowOff>
    </xdr:from>
    <xdr:to>
      <xdr:col>4</xdr:col>
      <xdr:colOff>416030</xdr:colOff>
      <xdr:row>46</xdr:row>
      <xdr:rowOff>63368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582706" y="5957574"/>
          <a:ext cx="5122500" cy="288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3kkALAeiKKf3gN7j7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1">
    <pageSetUpPr fitToPage="1"/>
  </sheetPr>
  <dimension ref="A1:O319"/>
  <sheetViews>
    <sheetView tabSelected="1" view="pageBreakPreview" topLeftCell="A61" zoomScaleNormal="100" zoomScaleSheetLayoutView="100" workbookViewId="0">
      <selection activeCell="A66" sqref="A66:H95"/>
    </sheetView>
  </sheetViews>
  <sheetFormatPr defaultColWidth="9.1796875" defaultRowHeight="15.5" x14ac:dyDescent="0.35"/>
  <cols>
    <col min="1" max="1" width="11.453125" style="35" customWidth="1"/>
    <col min="2" max="2" width="12" style="35" customWidth="1"/>
    <col min="3" max="3" width="12.81640625" style="35" customWidth="1"/>
    <col min="4" max="4" width="14.1796875" style="35" customWidth="1"/>
    <col min="5" max="7" width="11.81640625" style="35" customWidth="1"/>
    <col min="8" max="8" width="12.453125" style="35" customWidth="1"/>
    <col min="9" max="9" width="17.453125" style="16" customWidth="1"/>
    <col min="10" max="10" width="11.453125" style="16" customWidth="1"/>
    <col min="11" max="11" width="10.54296875" style="16" bestFit="1" customWidth="1"/>
    <col min="12" max="12" width="10.54296875" style="16" customWidth="1"/>
    <col min="13" max="13" width="16.54296875" style="16" customWidth="1"/>
    <col min="14" max="14" width="12.54296875" style="16" customWidth="1"/>
    <col min="15" max="15" width="9.81640625" style="16" customWidth="1"/>
    <col min="16" max="16" width="11.81640625" style="16" customWidth="1"/>
    <col min="17" max="247" width="9.1796875" style="16"/>
    <col min="248" max="248" width="8.81640625" style="16" customWidth="1"/>
    <col min="249" max="249" width="9.81640625" style="16" customWidth="1"/>
    <col min="250" max="250" width="14.453125" style="16" customWidth="1"/>
    <col min="251" max="251" width="7.1796875" style="16" customWidth="1"/>
    <col min="252" max="252" width="5.54296875" style="16" customWidth="1"/>
    <col min="253" max="253" width="9" style="16" customWidth="1"/>
    <col min="254" max="255" width="9.81640625" style="16" customWidth="1"/>
    <col min="256" max="256" width="11.1796875" style="16" customWidth="1"/>
    <col min="257" max="257" width="2.81640625" style="16" customWidth="1"/>
    <col min="258" max="258" width="3.54296875" style="16" customWidth="1"/>
    <col min="259" max="503" width="9.1796875" style="16"/>
    <col min="504" max="504" width="8.81640625" style="16" customWidth="1"/>
    <col min="505" max="505" width="9.81640625" style="16" customWidth="1"/>
    <col min="506" max="506" width="14.453125" style="16" customWidth="1"/>
    <col min="507" max="507" width="7.1796875" style="16" customWidth="1"/>
    <col min="508" max="508" width="5.54296875" style="16" customWidth="1"/>
    <col min="509" max="509" width="9" style="16" customWidth="1"/>
    <col min="510" max="511" width="9.81640625" style="16" customWidth="1"/>
    <col min="512" max="512" width="11.1796875" style="16" customWidth="1"/>
    <col min="513" max="513" width="2.81640625" style="16" customWidth="1"/>
    <col min="514" max="514" width="3.54296875" style="16" customWidth="1"/>
    <col min="515" max="759" width="9.1796875" style="16"/>
    <col min="760" max="760" width="8.81640625" style="16" customWidth="1"/>
    <col min="761" max="761" width="9.81640625" style="16" customWidth="1"/>
    <col min="762" max="762" width="14.453125" style="16" customWidth="1"/>
    <col min="763" max="763" width="7.1796875" style="16" customWidth="1"/>
    <col min="764" max="764" width="5.54296875" style="16" customWidth="1"/>
    <col min="765" max="765" width="9" style="16" customWidth="1"/>
    <col min="766" max="767" width="9.81640625" style="16" customWidth="1"/>
    <col min="768" max="768" width="11.1796875" style="16" customWidth="1"/>
    <col min="769" max="769" width="2.81640625" style="16" customWidth="1"/>
    <col min="770" max="770" width="3.54296875" style="16" customWidth="1"/>
    <col min="771" max="1015" width="9.1796875" style="16"/>
    <col min="1016" max="1016" width="8.81640625" style="16" customWidth="1"/>
    <col min="1017" max="1017" width="9.81640625" style="16" customWidth="1"/>
    <col min="1018" max="1018" width="14.453125" style="16" customWidth="1"/>
    <col min="1019" max="1019" width="7.1796875" style="16" customWidth="1"/>
    <col min="1020" max="1020" width="5.54296875" style="16" customWidth="1"/>
    <col min="1021" max="1021" width="9" style="16" customWidth="1"/>
    <col min="1022" max="1023" width="9.81640625" style="16" customWidth="1"/>
    <col min="1024" max="1024" width="11.1796875" style="16" customWidth="1"/>
    <col min="1025" max="1025" width="2.81640625" style="16" customWidth="1"/>
    <col min="1026" max="1026" width="3.54296875" style="16" customWidth="1"/>
    <col min="1027" max="1271" width="9.1796875" style="16"/>
    <col min="1272" max="1272" width="8.81640625" style="16" customWidth="1"/>
    <col min="1273" max="1273" width="9.81640625" style="16" customWidth="1"/>
    <col min="1274" max="1274" width="14.453125" style="16" customWidth="1"/>
    <col min="1275" max="1275" width="7.1796875" style="16" customWidth="1"/>
    <col min="1276" max="1276" width="5.54296875" style="16" customWidth="1"/>
    <col min="1277" max="1277" width="9" style="16" customWidth="1"/>
    <col min="1278" max="1279" width="9.81640625" style="16" customWidth="1"/>
    <col min="1280" max="1280" width="11.1796875" style="16" customWidth="1"/>
    <col min="1281" max="1281" width="2.81640625" style="16" customWidth="1"/>
    <col min="1282" max="1282" width="3.54296875" style="16" customWidth="1"/>
    <col min="1283" max="1527" width="9.1796875" style="16"/>
    <col min="1528" max="1528" width="8.81640625" style="16" customWidth="1"/>
    <col min="1529" max="1529" width="9.81640625" style="16" customWidth="1"/>
    <col min="1530" max="1530" width="14.453125" style="16" customWidth="1"/>
    <col min="1531" max="1531" width="7.1796875" style="16" customWidth="1"/>
    <col min="1532" max="1532" width="5.54296875" style="16" customWidth="1"/>
    <col min="1533" max="1533" width="9" style="16" customWidth="1"/>
    <col min="1534" max="1535" width="9.81640625" style="16" customWidth="1"/>
    <col min="1536" max="1536" width="11.1796875" style="16" customWidth="1"/>
    <col min="1537" max="1537" width="2.81640625" style="16" customWidth="1"/>
    <col min="1538" max="1538" width="3.54296875" style="16" customWidth="1"/>
    <col min="1539" max="1783" width="9.1796875" style="16"/>
    <col min="1784" max="1784" width="8.81640625" style="16" customWidth="1"/>
    <col min="1785" max="1785" width="9.81640625" style="16" customWidth="1"/>
    <col min="1786" max="1786" width="14.453125" style="16" customWidth="1"/>
    <col min="1787" max="1787" width="7.1796875" style="16" customWidth="1"/>
    <col min="1788" max="1788" width="5.54296875" style="16" customWidth="1"/>
    <col min="1789" max="1789" width="9" style="16" customWidth="1"/>
    <col min="1790" max="1791" width="9.81640625" style="16" customWidth="1"/>
    <col min="1792" max="1792" width="11.1796875" style="16" customWidth="1"/>
    <col min="1793" max="1793" width="2.81640625" style="16" customWidth="1"/>
    <col min="1794" max="1794" width="3.54296875" style="16" customWidth="1"/>
    <col min="1795" max="2039" width="9.1796875" style="16"/>
    <col min="2040" max="2040" width="8.81640625" style="16" customWidth="1"/>
    <col min="2041" max="2041" width="9.81640625" style="16" customWidth="1"/>
    <col min="2042" max="2042" width="14.453125" style="16" customWidth="1"/>
    <col min="2043" max="2043" width="7.1796875" style="16" customWidth="1"/>
    <col min="2044" max="2044" width="5.54296875" style="16" customWidth="1"/>
    <col min="2045" max="2045" width="9" style="16" customWidth="1"/>
    <col min="2046" max="2047" width="9.81640625" style="16" customWidth="1"/>
    <col min="2048" max="2048" width="11.1796875" style="16" customWidth="1"/>
    <col min="2049" max="2049" width="2.81640625" style="16" customWidth="1"/>
    <col min="2050" max="2050" width="3.54296875" style="16" customWidth="1"/>
    <col min="2051" max="2295" width="9.1796875" style="16"/>
    <col min="2296" max="2296" width="8.81640625" style="16" customWidth="1"/>
    <col min="2297" max="2297" width="9.81640625" style="16" customWidth="1"/>
    <col min="2298" max="2298" width="14.453125" style="16" customWidth="1"/>
    <col min="2299" max="2299" width="7.1796875" style="16" customWidth="1"/>
    <col min="2300" max="2300" width="5.54296875" style="16" customWidth="1"/>
    <col min="2301" max="2301" width="9" style="16" customWidth="1"/>
    <col min="2302" max="2303" width="9.81640625" style="16" customWidth="1"/>
    <col min="2304" max="2304" width="11.1796875" style="16" customWidth="1"/>
    <col min="2305" max="2305" width="2.81640625" style="16" customWidth="1"/>
    <col min="2306" max="2306" width="3.54296875" style="16" customWidth="1"/>
    <col min="2307" max="2551" width="9.1796875" style="16"/>
    <col min="2552" max="2552" width="8.81640625" style="16" customWidth="1"/>
    <col min="2553" max="2553" width="9.81640625" style="16" customWidth="1"/>
    <col min="2554" max="2554" width="14.453125" style="16" customWidth="1"/>
    <col min="2555" max="2555" width="7.1796875" style="16" customWidth="1"/>
    <col min="2556" max="2556" width="5.54296875" style="16" customWidth="1"/>
    <col min="2557" max="2557" width="9" style="16" customWidth="1"/>
    <col min="2558" max="2559" width="9.81640625" style="16" customWidth="1"/>
    <col min="2560" max="2560" width="11.1796875" style="16" customWidth="1"/>
    <col min="2561" max="2561" width="2.81640625" style="16" customWidth="1"/>
    <col min="2562" max="2562" width="3.54296875" style="16" customWidth="1"/>
    <col min="2563" max="2807" width="9.1796875" style="16"/>
    <col min="2808" max="2808" width="8.81640625" style="16" customWidth="1"/>
    <col min="2809" max="2809" width="9.81640625" style="16" customWidth="1"/>
    <col min="2810" max="2810" width="14.453125" style="16" customWidth="1"/>
    <col min="2811" max="2811" width="7.1796875" style="16" customWidth="1"/>
    <col min="2812" max="2812" width="5.54296875" style="16" customWidth="1"/>
    <col min="2813" max="2813" width="9" style="16" customWidth="1"/>
    <col min="2814" max="2815" width="9.81640625" style="16" customWidth="1"/>
    <col min="2816" max="2816" width="11.1796875" style="16" customWidth="1"/>
    <col min="2817" max="2817" width="2.81640625" style="16" customWidth="1"/>
    <col min="2818" max="2818" width="3.54296875" style="16" customWidth="1"/>
    <col min="2819" max="3063" width="9.1796875" style="16"/>
    <col min="3064" max="3064" width="8.81640625" style="16" customWidth="1"/>
    <col min="3065" max="3065" width="9.81640625" style="16" customWidth="1"/>
    <col min="3066" max="3066" width="14.453125" style="16" customWidth="1"/>
    <col min="3067" max="3067" width="7.1796875" style="16" customWidth="1"/>
    <col min="3068" max="3068" width="5.54296875" style="16" customWidth="1"/>
    <col min="3069" max="3069" width="9" style="16" customWidth="1"/>
    <col min="3070" max="3071" width="9.81640625" style="16" customWidth="1"/>
    <col min="3072" max="3072" width="11.1796875" style="16" customWidth="1"/>
    <col min="3073" max="3073" width="2.81640625" style="16" customWidth="1"/>
    <col min="3074" max="3074" width="3.54296875" style="16" customWidth="1"/>
    <col min="3075" max="3319" width="9.1796875" style="16"/>
    <col min="3320" max="3320" width="8.81640625" style="16" customWidth="1"/>
    <col min="3321" max="3321" width="9.81640625" style="16" customWidth="1"/>
    <col min="3322" max="3322" width="14.453125" style="16" customWidth="1"/>
    <col min="3323" max="3323" width="7.1796875" style="16" customWidth="1"/>
    <col min="3324" max="3324" width="5.54296875" style="16" customWidth="1"/>
    <col min="3325" max="3325" width="9" style="16" customWidth="1"/>
    <col min="3326" max="3327" width="9.81640625" style="16" customWidth="1"/>
    <col min="3328" max="3328" width="11.1796875" style="16" customWidth="1"/>
    <col min="3329" max="3329" width="2.81640625" style="16" customWidth="1"/>
    <col min="3330" max="3330" width="3.54296875" style="16" customWidth="1"/>
    <col min="3331" max="3575" width="9.1796875" style="16"/>
    <col min="3576" max="3576" width="8.81640625" style="16" customWidth="1"/>
    <col min="3577" max="3577" width="9.81640625" style="16" customWidth="1"/>
    <col min="3578" max="3578" width="14.453125" style="16" customWidth="1"/>
    <col min="3579" max="3579" width="7.1796875" style="16" customWidth="1"/>
    <col min="3580" max="3580" width="5.54296875" style="16" customWidth="1"/>
    <col min="3581" max="3581" width="9" style="16" customWidth="1"/>
    <col min="3582" max="3583" width="9.81640625" style="16" customWidth="1"/>
    <col min="3584" max="3584" width="11.1796875" style="16" customWidth="1"/>
    <col min="3585" max="3585" width="2.81640625" style="16" customWidth="1"/>
    <col min="3586" max="3586" width="3.54296875" style="16" customWidth="1"/>
    <col min="3587" max="3831" width="9.1796875" style="16"/>
    <col min="3832" max="3832" width="8.81640625" style="16" customWidth="1"/>
    <col min="3833" max="3833" width="9.81640625" style="16" customWidth="1"/>
    <col min="3834" max="3834" width="14.453125" style="16" customWidth="1"/>
    <col min="3835" max="3835" width="7.1796875" style="16" customWidth="1"/>
    <col min="3836" max="3836" width="5.54296875" style="16" customWidth="1"/>
    <col min="3837" max="3837" width="9" style="16" customWidth="1"/>
    <col min="3838" max="3839" width="9.81640625" style="16" customWidth="1"/>
    <col min="3840" max="3840" width="11.1796875" style="16" customWidth="1"/>
    <col min="3841" max="3841" width="2.81640625" style="16" customWidth="1"/>
    <col min="3842" max="3842" width="3.54296875" style="16" customWidth="1"/>
    <col min="3843" max="4087" width="9.1796875" style="16"/>
    <col min="4088" max="4088" width="8.81640625" style="16" customWidth="1"/>
    <col min="4089" max="4089" width="9.81640625" style="16" customWidth="1"/>
    <col min="4090" max="4090" width="14.453125" style="16" customWidth="1"/>
    <col min="4091" max="4091" width="7.1796875" style="16" customWidth="1"/>
    <col min="4092" max="4092" width="5.54296875" style="16" customWidth="1"/>
    <col min="4093" max="4093" width="9" style="16" customWidth="1"/>
    <col min="4094" max="4095" width="9.81640625" style="16" customWidth="1"/>
    <col min="4096" max="4096" width="11.1796875" style="16" customWidth="1"/>
    <col min="4097" max="4097" width="2.81640625" style="16" customWidth="1"/>
    <col min="4098" max="4098" width="3.54296875" style="16" customWidth="1"/>
    <col min="4099" max="4343" width="9.1796875" style="16"/>
    <col min="4344" max="4344" width="8.81640625" style="16" customWidth="1"/>
    <col min="4345" max="4345" width="9.81640625" style="16" customWidth="1"/>
    <col min="4346" max="4346" width="14.453125" style="16" customWidth="1"/>
    <col min="4347" max="4347" width="7.1796875" style="16" customWidth="1"/>
    <col min="4348" max="4348" width="5.54296875" style="16" customWidth="1"/>
    <col min="4349" max="4349" width="9" style="16" customWidth="1"/>
    <col min="4350" max="4351" width="9.81640625" style="16" customWidth="1"/>
    <col min="4352" max="4352" width="11.1796875" style="16" customWidth="1"/>
    <col min="4353" max="4353" width="2.81640625" style="16" customWidth="1"/>
    <col min="4354" max="4354" width="3.54296875" style="16" customWidth="1"/>
    <col min="4355" max="4599" width="9.1796875" style="16"/>
    <col min="4600" max="4600" width="8.81640625" style="16" customWidth="1"/>
    <col min="4601" max="4601" width="9.81640625" style="16" customWidth="1"/>
    <col min="4602" max="4602" width="14.453125" style="16" customWidth="1"/>
    <col min="4603" max="4603" width="7.1796875" style="16" customWidth="1"/>
    <col min="4604" max="4604" width="5.54296875" style="16" customWidth="1"/>
    <col min="4605" max="4605" width="9" style="16" customWidth="1"/>
    <col min="4606" max="4607" width="9.81640625" style="16" customWidth="1"/>
    <col min="4608" max="4608" width="11.1796875" style="16" customWidth="1"/>
    <col min="4609" max="4609" width="2.81640625" style="16" customWidth="1"/>
    <col min="4610" max="4610" width="3.54296875" style="16" customWidth="1"/>
    <col min="4611" max="4855" width="9.1796875" style="16"/>
    <col min="4856" max="4856" width="8.81640625" style="16" customWidth="1"/>
    <col min="4857" max="4857" width="9.81640625" style="16" customWidth="1"/>
    <col min="4858" max="4858" width="14.453125" style="16" customWidth="1"/>
    <col min="4859" max="4859" width="7.1796875" style="16" customWidth="1"/>
    <col min="4860" max="4860" width="5.54296875" style="16" customWidth="1"/>
    <col min="4861" max="4861" width="9" style="16" customWidth="1"/>
    <col min="4862" max="4863" width="9.81640625" style="16" customWidth="1"/>
    <col min="4864" max="4864" width="11.1796875" style="16" customWidth="1"/>
    <col min="4865" max="4865" width="2.81640625" style="16" customWidth="1"/>
    <col min="4866" max="4866" width="3.54296875" style="16" customWidth="1"/>
    <col min="4867" max="5111" width="9.1796875" style="16"/>
    <col min="5112" max="5112" width="8.81640625" style="16" customWidth="1"/>
    <col min="5113" max="5113" width="9.81640625" style="16" customWidth="1"/>
    <col min="5114" max="5114" width="14.453125" style="16" customWidth="1"/>
    <col min="5115" max="5115" width="7.1796875" style="16" customWidth="1"/>
    <col min="5116" max="5116" width="5.54296875" style="16" customWidth="1"/>
    <col min="5117" max="5117" width="9" style="16" customWidth="1"/>
    <col min="5118" max="5119" width="9.81640625" style="16" customWidth="1"/>
    <col min="5120" max="5120" width="11.1796875" style="16" customWidth="1"/>
    <col min="5121" max="5121" width="2.81640625" style="16" customWidth="1"/>
    <col min="5122" max="5122" width="3.54296875" style="16" customWidth="1"/>
    <col min="5123" max="5367" width="9.1796875" style="16"/>
    <col min="5368" max="5368" width="8.81640625" style="16" customWidth="1"/>
    <col min="5369" max="5369" width="9.81640625" style="16" customWidth="1"/>
    <col min="5370" max="5370" width="14.453125" style="16" customWidth="1"/>
    <col min="5371" max="5371" width="7.1796875" style="16" customWidth="1"/>
    <col min="5372" max="5372" width="5.54296875" style="16" customWidth="1"/>
    <col min="5373" max="5373" width="9" style="16" customWidth="1"/>
    <col min="5374" max="5375" width="9.81640625" style="16" customWidth="1"/>
    <col min="5376" max="5376" width="11.1796875" style="16" customWidth="1"/>
    <col min="5377" max="5377" width="2.81640625" style="16" customWidth="1"/>
    <col min="5378" max="5378" width="3.54296875" style="16" customWidth="1"/>
    <col min="5379" max="5623" width="9.1796875" style="16"/>
    <col min="5624" max="5624" width="8.81640625" style="16" customWidth="1"/>
    <col min="5625" max="5625" width="9.81640625" style="16" customWidth="1"/>
    <col min="5626" max="5626" width="14.453125" style="16" customWidth="1"/>
    <col min="5627" max="5627" width="7.1796875" style="16" customWidth="1"/>
    <col min="5628" max="5628" width="5.54296875" style="16" customWidth="1"/>
    <col min="5629" max="5629" width="9" style="16" customWidth="1"/>
    <col min="5630" max="5631" width="9.81640625" style="16" customWidth="1"/>
    <col min="5632" max="5632" width="11.1796875" style="16" customWidth="1"/>
    <col min="5633" max="5633" width="2.81640625" style="16" customWidth="1"/>
    <col min="5634" max="5634" width="3.54296875" style="16" customWidth="1"/>
    <col min="5635" max="5879" width="9.1796875" style="16"/>
    <col min="5880" max="5880" width="8.81640625" style="16" customWidth="1"/>
    <col min="5881" max="5881" width="9.81640625" style="16" customWidth="1"/>
    <col min="5882" max="5882" width="14.453125" style="16" customWidth="1"/>
    <col min="5883" max="5883" width="7.1796875" style="16" customWidth="1"/>
    <col min="5884" max="5884" width="5.54296875" style="16" customWidth="1"/>
    <col min="5885" max="5885" width="9" style="16" customWidth="1"/>
    <col min="5886" max="5887" width="9.81640625" style="16" customWidth="1"/>
    <col min="5888" max="5888" width="11.1796875" style="16" customWidth="1"/>
    <col min="5889" max="5889" width="2.81640625" style="16" customWidth="1"/>
    <col min="5890" max="5890" width="3.54296875" style="16" customWidth="1"/>
    <col min="5891" max="6135" width="9.1796875" style="16"/>
    <col min="6136" max="6136" width="8.81640625" style="16" customWidth="1"/>
    <col min="6137" max="6137" width="9.81640625" style="16" customWidth="1"/>
    <col min="6138" max="6138" width="14.453125" style="16" customWidth="1"/>
    <col min="6139" max="6139" width="7.1796875" style="16" customWidth="1"/>
    <col min="6140" max="6140" width="5.54296875" style="16" customWidth="1"/>
    <col min="6141" max="6141" width="9" style="16" customWidth="1"/>
    <col min="6142" max="6143" width="9.81640625" style="16" customWidth="1"/>
    <col min="6144" max="6144" width="11.1796875" style="16" customWidth="1"/>
    <col min="6145" max="6145" width="2.81640625" style="16" customWidth="1"/>
    <col min="6146" max="6146" width="3.54296875" style="16" customWidth="1"/>
    <col min="6147" max="6391" width="9.1796875" style="16"/>
    <col min="6392" max="6392" width="8.81640625" style="16" customWidth="1"/>
    <col min="6393" max="6393" width="9.81640625" style="16" customWidth="1"/>
    <col min="6394" max="6394" width="14.453125" style="16" customWidth="1"/>
    <col min="6395" max="6395" width="7.1796875" style="16" customWidth="1"/>
    <col min="6396" max="6396" width="5.54296875" style="16" customWidth="1"/>
    <col min="6397" max="6397" width="9" style="16" customWidth="1"/>
    <col min="6398" max="6399" width="9.81640625" style="16" customWidth="1"/>
    <col min="6400" max="6400" width="11.1796875" style="16" customWidth="1"/>
    <col min="6401" max="6401" width="2.81640625" style="16" customWidth="1"/>
    <col min="6402" max="6402" width="3.54296875" style="16" customWidth="1"/>
    <col min="6403" max="6647" width="9.1796875" style="16"/>
    <col min="6648" max="6648" width="8.81640625" style="16" customWidth="1"/>
    <col min="6649" max="6649" width="9.81640625" style="16" customWidth="1"/>
    <col min="6650" max="6650" width="14.453125" style="16" customWidth="1"/>
    <col min="6651" max="6651" width="7.1796875" style="16" customWidth="1"/>
    <col min="6652" max="6652" width="5.54296875" style="16" customWidth="1"/>
    <col min="6653" max="6653" width="9" style="16" customWidth="1"/>
    <col min="6654" max="6655" width="9.81640625" style="16" customWidth="1"/>
    <col min="6656" max="6656" width="11.1796875" style="16" customWidth="1"/>
    <col min="6657" max="6657" width="2.81640625" style="16" customWidth="1"/>
    <col min="6658" max="6658" width="3.54296875" style="16" customWidth="1"/>
    <col min="6659" max="6903" width="9.1796875" style="16"/>
    <col min="6904" max="6904" width="8.81640625" style="16" customWidth="1"/>
    <col min="6905" max="6905" width="9.81640625" style="16" customWidth="1"/>
    <col min="6906" max="6906" width="14.453125" style="16" customWidth="1"/>
    <col min="6907" max="6907" width="7.1796875" style="16" customWidth="1"/>
    <col min="6908" max="6908" width="5.54296875" style="16" customWidth="1"/>
    <col min="6909" max="6909" width="9" style="16" customWidth="1"/>
    <col min="6910" max="6911" width="9.81640625" style="16" customWidth="1"/>
    <col min="6912" max="6912" width="11.1796875" style="16" customWidth="1"/>
    <col min="6913" max="6913" width="2.81640625" style="16" customWidth="1"/>
    <col min="6914" max="6914" width="3.54296875" style="16" customWidth="1"/>
    <col min="6915" max="7159" width="9.1796875" style="16"/>
    <col min="7160" max="7160" width="8.81640625" style="16" customWidth="1"/>
    <col min="7161" max="7161" width="9.81640625" style="16" customWidth="1"/>
    <col min="7162" max="7162" width="14.453125" style="16" customWidth="1"/>
    <col min="7163" max="7163" width="7.1796875" style="16" customWidth="1"/>
    <col min="7164" max="7164" width="5.54296875" style="16" customWidth="1"/>
    <col min="7165" max="7165" width="9" style="16" customWidth="1"/>
    <col min="7166" max="7167" width="9.81640625" style="16" customWidth="1"/>
    <col min="7168" max="7168" width="11.1796875" style="16" customWidth="1"/>
    <col min="7169" max="7169" width="2.81640625" style="16" customWidth="1"/>
    <col min="7170" max="7170" width="3.54296875" style="16" customWidth="1"/>
    <col min="7171" max="7415" width="9.1796875" style="16"/>
    <col min="7416" max="7416" width="8.81640625" style="16" customWidth="1"/>
    <col min="7417" max="7417" width="9.81640625" style="16" customWidth="1"/>
    <col min="7418" max="7418" width="14.453125" style="16" customWidth="1"/>
    <col min="7419" max="7419" width="7.1796875" style="16" customWidth="1"/>
    <col min="7420" max="7420" width="5.54296875" style="16" customWidth="1"/>
    <col min="7421" max="7421" width="9" style="16" customWidth="1"/>
    <col min="7422" max="7423" width="9.81640625" style="16" customWidth="1"/>
    <col min="7424" max="7424" width="11.1796875" style="16" customWidth="1"/>
    <col min="7425" max="7425" width="2.81640625" style="16" customWidth="1"/>
    <col min="7426" max="7426" width="3.54296875" style="16" customWidth="1"/>
    <col min="7427" max="7671" width="9.1796875" style="16"/>
    <col min="7672" max="7672" width="8.81640625" style="16" customWidth="1"/>
    <col min="7673" max="7673" width="9.81640625" style="16" customWidth="1"/>
    <col min="7674" max="7674" width="14.453125" style="16" customWidth="1"/>
    <col min="7675" max="7675" width="7.1796875" style="16" customWidth="1"/>
    <col min="7676" max="7676" width="5.54296875" style="16" customWidth="1"/>
    <col min="7677" max="7677" width="9" style="16" customWidth="1"/>
    <col min="7678" max="7679" width="9.81640625" style="16" customWidth="1"/>
    <col min="7680" max="7680" width="11.1796875" style="16" customWidth="1"/>
    <col min="7681" max="7681" width="2.81640625" style="16" customWidth="1"/>
    <col min="7682" max="7682" width="3.54296875" style="16" customWidth="1"/>
    <col min="7683" max="7927" width="9.1796875" style="16"/>
    <col min="7928" max="7928" width="8.81640625" style="16" customWidth="1"/>
    <col min="7929" max="7929" width="9.81640625" style="16" customWidth="1"/>
    <col min="7930" max="7930" width="14.453125" style="16" customWidth="1"/>
    <col min="7931" max="7931" width="7.1796875" style="16" customWidth="1"/>
    <col min="7932" max="7932" width="5.54296875" style="16" customWidth="1"/>
    <col min="7933" max="7933" width="9" style="16" customWidth="1"/>
    <col min="7934" max="7935" width="9.81640625" style="16" customWidth="1"/>
    <col min="7936" max="7936" width="11.1796875" style="16" customWidth="1"/>
    <col min="7937" max="7937" width="2.81640625" style="16" customWidth="1"/>
    <col min="7938" max="7938" width="3.54296875" style="16" customWidth="1"/>
    <col min="7939" max="8183" width="9.1796875" style="16"/>
    <col min="8184" max="8184" width="8.81640625" style="16" customWidth="1"/>
    <col min="8185" max="8185" width="9.81640625" style="16" customWidth="1"/>
    <col min="8186" max="8186" width="14.453125" style="16" customWidth="1"/>
    <col min="8187" max="8187" width="7.1796875" style="16" customWidth="1"/>
    <col min="8188" max="8188" width="5.54296875" style="16" customWidth="1"/>
    <col min="8189" max="8189" width="9" style="16" customWidth="1"/>
    <col min="8190" max="8191" width="9.81640625" style="16" customWidth="1"/>
    <col min="8192" max="8192" width="11.1796875" style="16" customWidth="1"/>
    <col min="8193" max="8193" width="2.81640625" style="16" customWidth="1"/>
    <col min="8194" max="8194" width="3.54296875" style="16" customWidth="1"/>
    <col min="8195" max="8439" width="9.1796875" style="16"/>
    <col min="8440" max="8440" width="8.81640625" style="16" customWidth="1"/>
    <col min="8441" max="8441" width="9.81640625" style="16" customWidth="1"/>
    <col min="8442" max="8442" width="14.453125" style="16" customWidth="1"/>
    <col min="8443" max="8443" width="7.1796875" style="16" customWidth="1"/>
    <col min="8444" max="8444" width="5.54296875" style="16" customWidth="1"/>
    <col min="8445" max="8445" width="9" style="16" customWidth="1"/>
    <col min="8446" max="8447" width="9.81640625" style="16" customWidth="1"/>
    <col min="8448" max="8448" width="11.1796875" style="16" customWidth="1"/>
    <col min="8449" max="8449" width="2.81640625" style="16" customWidth="1"/>
    <col min="8450" max="8450" width="3.54296875" style="16" customWidth="1"/>
    <col min="8451" max="8695" width="9.1796875" style="16"/>
    <col min="8696" max="8696" width="8.81640625" style="16" customWidth="1"/>
    <col min="8697" max="8697" width="9.81640625" style="16" customWidth="1"/>
    <col min="8698" max="8698" width="14.453125" style="16" customWidth="1"/>
    <col min="8699" max="8699" width="7.1796875" style="16" customWidth="1"/>
    <col min="8700" max="8700" width="5.54296875" style="16" customWidth="1"/>
    <col min="8701" max="8701" width="9" style="16" customWidth="1"/>
    <col min="8702" max="8703" width="9.81640625" style="16" customWidth="1"/>
    <col min="8704" max="8704" width="11.1796875" style="16" customWidth="1"/>
    <col min="8705" max="8705" width="2.81640625" style="16" customWidth="1"/>
    <col min="8706" max="8706" width="3.54296875" style="16" customWidth="1"/>
    <col min="8707" max="8951" width="9.1796875" style="16"/>
    <col min="8952" max="8952" width="8.81640625" style="16" customWidth="1"/>
    <col min="8953" max="8953" width="9.81640625" style="16" customWidth="1"/>
    <col min="8954" max="8954" width="14.453125" style="16" customWidth="1"/>
    <col min="8955" max="8955" width="7.1796875" style="16" customWidth="1"/>
    <col min="8956" max="8956" width="5.54296875" style="16" customWidth="1"/>
    <col min="8957" max="8957" width="9" style="16" customWidth="1"/>
    <col min="8958" max="8959" width="9.81640625" style="16" customWidth="1"/>
    <col min="8960" max="8960" width="11.1796875" style="16" customWidth="1"/>
    <col min="8961" max="8961" width="2.81640625" style="16" customWidth="1"/>
    <col min="8962" max="8962" width="3.54296875" style="16" customWidth="1"/>
    <col min="8963" max="9207" width="9.1796875" style="16"/>
    <col min="9208" max="9208" width="8.81640625" style="16" customWidth="1"/>
    <col min="9209" max="9209" width="9.81640625" style="16" customWidth="1"/>
    <col min="9210" max="9210" width="14.453125" style="16" customWidth="1"/>
    <col min="9211" max="9211" width="7.1796875" style="16" customWidth="1"/>
    <col min="9212" max="9212" width="5.54296875" style="16" customWidth="1"/>
    <col min="9213" max="9213" width="9" style="16" customWidth="1"/>
    <col min="9214" max="9215" width="9.81640625" style="16" customWidth="1"/>
    <col min="9216" max="9216" width="11.1796875" style="16" customWidth="1"/>
    <col min="9217" max="9217" width="2.81640625" style="16" customWidth="1"/>
    <col min="9218" max="9218" width="3.54296875" style="16" customWidth="1"/>
    <col min="9219" max="9463" width="9.1796875" style="16"/>
    <col min="9464" max="9464" width="8.81640625" style="16" customWidth="1"/>
    <col min="9465" max="9465" width="9.81640625" style="16" customWidth="1"/>
    <col min="9466" max="9466" width="14.453125" style="16" customWidth="1"/>
    <col min="9467" max="9467" width="7.1796875" style="16" customWidth="1"/>
    <col min="9468" max="9468" width="5.54296875" style="16" customWidth="1"/>
    <col min="9469" max="9469" width="9" style="16" customWidth="1"/>
    <col min="9470" max="9471" width="9.81640625" style="16" customWidth="1"/>
    <col min="9472" max="9472" width="11.1796875" style="16" customWidth="1"/>
    <col min="9473" max="9473" width="2.81640625" style="16" customWidth="1"/>
    <col min="9474" max="9474" width="3.54296875" style="16" customWidth="1"/>
    <col min="9475" max="9719" width="9.1796875" style="16"/>
    <col min="9720" max="9720" width="8.81640625" style="16" customWidth="1"/>
    <col min="9721" max="9721" width="9.81640625" style="16" customWidth="1"/>
    <col min="9722" max="9722" width="14.453125" style="16" customWidth="1"/>
    <col min="9723" max="9723" width="7.1796875" style="16" customWidth="1"/>
    <col min="9724" max="9724" width="5.54296875" style="16" customWidth="1"/>
    <col min="9725" max="9725" width="9" style="16" customWidth="1"/>
    <col min="9726" max="9727" width="9.81640625" style="16" customWidth="1"/>
    <col min="9728" max="9728" width="11.1796875" style="16" customWidth="1"/>
    <col min="9729" max="9729" width="2.81640625" style="16" customWidth="1"/>
    <col min="9730" max="9730" width="3.54296875" style="16" customWidth="1"/>
    <col min="9731" max="9975" width="9.1796875" style="16"/>
    <col min="9976" max="9976" width="8.81640625" style="16" customWidth="1"/>
    <col min="9977" max="9977" width="9.81640625" style="16" customWidth="1"/>
    <col min="9978" max="9978" width="14.453125" style="16" customWidth="1"/>
    <col min="9979" max="9979" width="7.1796875" style="16" customWidth="1"/>
    <col min="9980" max="9980" width="5.54296875" style="16" customWidth="1"/>
    <col min="9981" max="9981" width="9" style="16" customWidth="1"/>
    <col min="9982" max="9983" width="9.81640625" style="16" customWidth="1"/>
    <col min="9984" max="9984" width="11.1796875" style="16" customWidth="1"/>
    <col min="9985" max="9985" width="2.81640625" style="16" customWidth="1"/>
    <col min="9986" max="9986" width="3.54296875" style="16" customWidth="1"/>
    <col min="9987" max="10231" width="9.1796875" style="16"/>
    <col min="10232" max="10232" width="8.81640625" style="16" customWidth="1"/>
    <col min="10233" max="10233" width="9.81640625" style="16" customWidth="1"/>
    <col min="10234" max="10234" width="14.453125" style="16" customWidth="1"/>
    <col min="10235" max="10235" width="7.1796875" style="16" customWidth="1"/>
    <col min="10236" max="10236" width="5.54296875" style="16" customWidth="1"/>
    <col min="10237" max="10237" width="9" style="16" customWidth="1"/>
    <col min="10238" max="10239" width="9.81640625" style="16" customWidth="1"/>
    <col min="10240" max="10240" width="11.1796875" style="16" customWidth="1"/>
    <col min="10241" max="10241" width="2.81640625" style="16" customWidth="1"/>
    <col min="10242" max="10242" width="3.54296875" style="16" customWidth="1"/>
    <col min="10243" max="10487" width="9.1796875" style="16"/>
    <col min="10488" max="10488" width="8.81640625" style="16" customWidth="1"/>
    <col min="10489" max="10489" width="9.81640625" style="16" customWidth="1"/>
    <col min="10490" max="10490" width="14.453125" style="16" customWidth="1"/>
    <col min="10491" max="10491" width="7.1796875" style="16" customWidth="1"/>
    <col min="10492" max="10492" width="5.54296875" style="16" customWidth="1"/>
    <col min="10493" max="10493" width="9" style="16" customWidth="1"/>
    <col min="10494" max="10495" width="9.81640625" style="16" customWidth="1"/>
    <col min="10496" max="10496" width="11.1796875" style="16" customWidth="1"/>
    <col min="10497" max="10497" width="2.81640625" style="16" customWidth="1"/>
    <col min="10498" max="10498" width="3.54296875" style="16" customWidth="1"/>
    <col min="10499" max="10743" width="9.1796875" style="16"/>
    <col min="10744" max="10744" width="8.81640625" style="16" customWidth="1"/>
    <col min="10745" max="10745" width="9.81640625" style="16" customWidth="1"/>
    <col min="10746" max="10746" width="14.453125" style="16" customWidth="1"/>
    <col min="10747" max="10747" width="7.1796875" style="16" customWidth="1"/>
    <col min="10748" max="10748" width="5.54296875" style="16" customWidth="1"/>
    <col min="10749" max="10749" width="9" style="16" customWidth="1"/>
    <col min="10750" max="10751" width="9.81640625" style="16" customWidth="1"/>
    <col min="10752" max="10752" width="11.1796875" style="16" customWidth="1"/>
    <col min="10753" max="10753" width="2.81640625" style="16" customWidth="1"/>
    <col min="10754" max="10754" width="3.54296875" style="16" customWidth="1"/>
    <col min="10755" max="10999" width="9.1796875" style="16"/>
    <col min="11000" max="11000" width="8.81640625" style="16" customWidth="1"/>
    <col min="11001" max="11001" width="9.81640625" style="16" customWidth="1"/>
    <col min="11002" max="11002" width="14.453125" style="16" customWidth="1"/>
    <col min="11003" max="11003" width="7.1796875" style="16" customWidth="1"/>
    <col min="11004" max="11004" width="5.54296875" style="16" customWidth="1"/>
    <col min="11005" max="11005" width="9" style="16" customWidth="1"/>
    <col min="11006" max="11007" width="9.81640625" style="16" customWidth="1"/>
    <col min="11008" max="11008" width="11.1796875" style="16" customWidth="1"/>
    <col min="11009" max="11009" width="2.81640625" style="16" customWidth="1"/>
    <col min="11010" max="11010" width="3.54296875" style="16" customWidth="1"/>
    <col min="11011" max="11255" width="9.1796875" style="16"/>
    <col min="11256" max="11256" width="8.81640625" style="16" customWidth="1"/>
    <col min="11257" max="11257" width="9.81640625" style="16" customWidth="1"/>
    <col min="11258" max="11258" width="14.453125" style="16" customWidth="1"/>
    <col min="11259" max="11259" width="7.1796875" style="16" customWidth="1"/>
    <col min="11260" max="11260" width="5.54296875" style="16" customWidth="1"/>
    <col min="11261" max="11261" width="9" style="16" customWidth="1"/>
    <col min="11262" max="11263" width="9.81640625" style="16" customWidth="1"/>
    <col min="11264" max="11264" width="11.1796875" style="16" customWidth="1"/>
    <col min="11265" max="11265" width="2.81640625" style="16" customWidth="1"/>
    <col min="11266" max="11266" width="3.54296875" style="16" customWidth="1"/>
    <col min="11267" max="11511" width="9.1796875" style="16"/>
    <col min="11512" max="11512" width="8.81640625" style="16" customWidth="1"/>
    <col min="11513" max="11513" width="9.81640625" style="16" customWidth="1"/>
    <col min="11514" max="11514" width="14.453125" style="16" customWidth="1"/>
    <col min="11515" max="11515" width="7.1796875" style="16" customWidth="1"/>
    <col min="11516" max="11516" width="5.54296875" style="16" customWidth="1"/>
    <col min="11517" max="11517" width="9" style="16" customWidth="1"/>
    <col min="11518" max="11519" width="9.81640625" style="16" customWidth="1"/>
    <col min="11520" max="11520" width="11.1796875" style="16" customWidth="1"/>
    <col min="11521" max="11521" width="2.81640625" style="16" customWidth="1"/>
    <col min="11522" max="11522" width="3.54296875" style="16" customWidth="1"/>
    <col min="11523" max="11767" width="9.1796875" style="16"/>
    <col min="11768" max="11768" width="8.81640625" style="16" customWidth="1"/>
    <col min="11769" max="11769" width="9.81640625" style="16" customWidth="1"/>
    <col min="11770" max="11770" width="14.453125" style="16" customWidth="1"/>
    <col min="11771" max="11771" width="7.1796875" style="16" customWidth="1"/>
    <col min="11772" max="11772" width="5.54296875" style="16" customWidth="1"/>
    <col min="11773" max="11773" width="9" style="16" customWidth="1"/>
    <col min="11774" max="11775" width="9.81640625" style="16" customWidth="1"/>
    <col min="11776" max="11776" width="11.1796875" style="16" customWidth="1"/>
    <col min="11777" max="11777" width="2.81640625" style="16" customWidth="1"/>
    <col min="11778" max="11778" width="3.54296875" style="16" customWidth="1"/>
    <col min="11779" max="12023" width="9.1796875" style="16"/>
    <col min="12024" max="12024" width="8.81640625" style="16" customWidth="1"/>
    <col min="12025" max="12025" width="9.81640625" style="16" customWidth="1"/>
    <col min="12026" max="12026" width="14.453125" style="16" customWidth="1"/>
    <col min="12027" max="12027" width="7.1796875" style="16" customWidth="1"/>
    <col min="12028" max="12028" width="5.54296875" style="16" customWidth="1"/>
    <col min="12029" max="12029" width="9" style="16" customWidth="1"/>
    <col min="12030" max="12031" width="9.81640625" style="16" customWidth="1"/>
    <col min="12032" max="12032" width="11.1796875" style="16" customWidth="1"/>
    <col min="12033" max="12033" width="2.81640625" style="16" customWidth="1"/>
    <col min="12034" max="12034" width="3.54296875" style="16" customWidth="1"/>
    <col min="12035" max="12279" width="9.1796875" style="16"/>
    <col min="12280" max="12280" width="8.81640625" style="16" customWidth="1"/>
    <col min="12281" max="12281" width="9.81640625" style="16" customWidth="1"/>
    <col min="12282" max="12282" width="14.453125" style="16" customWidth="1"/>
    <col min="12283" max="12283" width="7.1796875" style="16" customWidth="1"/>
    <col min="12284" max="12284" width="5.54296875" style="16" customWidth="1"/>
    <col min="12285" max="12285" width="9" style="16" customWidth="1"/>
    <col min="12286" max="12287" width="9.81640625" style="16" customWidth="1"/>
    <col min="12288" max="12288" width="11.1796875" style="16" customWidth="1"/>
    <col min="12289" max="12289" width="2.81640625" style="16" customWidth="1"/>
    <col min="12290" max="12290" width="3.54296875" style="16" customWidth="1"/>
    <col min="12291" max="12535" width="9.1796875" style="16"/>
    <col min="12536" max="12536" width="8.81640625" style="16" customWidth="1"/>
    <col min="12537" max="12537" width="9.81640625" style="16" customWidth="1"/>
    <col min="12538" max="12538" width="14.453125" style="16" customWidth="1"/>
    <col min="12539" max="12539" width="7.1796875" style="16" customWidth="1"/>
    <col min="12540" max="12540" width="5.54296875" style="16" customWidth="1"/>
    <col min="12541" max="12541" width="9" style="16" customWidth="1"/>
    <col min="12542" max="12543" width="9.81640625" style="16" customWidth="1"/>
    <col min="12544" max="12544" width="11.1796875" style="16" customWidth="1"/>
    <col min="12545" max="12545" width="2.81640625" style="16" customWidth="1"/>
    <col min="12546" max="12546" width="3.54296875" style="16" customWidth="1"/>
    <col min="12547" max="12791" width="9.1796875" style="16"/>
    <col min="12792" max="12792" width="8.81640625" style="16" customWidth="1"/>
    <col min="12793" max="12793" width="9.81640625" style="16" customWidth="1"/>
    <col min="12794" max="12794" width="14.453125" style="16" customWidth="1"/>
    <col min="12795" max="12795" width="7.1796875" style="16" customWidth="1"/>
    <col min="12796" max="12796" width="5.54296875" style="16" customWidth="1"/>
    <col min="12797" max="12797" width="9" style="16" customWidth="1"/>
    <col min="12798" max="12799" width="9.81640625" style="16" customWidth="1"/>
    <col min="12800" max="12800" width="11.1796875" style="16" customWidth="1"/>
    <col min="12801" max="12801" width="2.81640625" style="16" customWidth="1"/>
    <col min="12802" max="12802" width="3.54296875" style="16" customWidth="1"/>
    <col min="12803" max="13047" width="9.1796875" style="16"/>
    <col min="13048" max="13048" width="8.81640625" style="16" customWidth="1"/>
    <col min="13049" max="13049" width="9.81640625" style="16" customWidth="1"/>
    <col min="13050" max="13050" width="14.453125" style="16" customWidth="1"/>
    <col min="13051" max="13051" width="7.1796875" style="16" customWidth="1"/>
    <col min="13052" max="13052" width="5.54296875" style="16" customWidth="1"/>
    <col min="13053" max="13053" width="9" style="16" customWidth="1"/>
    <col min="13054" max="13055" width="9.81640625" style="16" customWidth="1"/>
    <col min="13056" max="13056" width="11.1796875" style="16" customWidth="1"/>
    <col min="13057" max="13057" width="2.81640625" style="16" customWidth="1"/>
    <col min="13058" max="13058" width="3.54296875" style="16" customWidth="1"/>
    <col min="13059" max="13303" width="9.1796875" style="16"/>
    <col min="13304" max="13304" width="8.81640625" style="16" customWidth="1"/>
    <col min="13305" max="13305" width="9.81640625" style="16" customWidth="1"/>
    <col min="13306" max="13306" width="14.453125" style="16" customWidth="1"/>
    <col min="13307" max="13307" width="7.1796875" style="16" customWidth="1"/>
    <col min="13308" max="13308" width="5.54296875" style="16" customWidth="1"/>
    <col min="13309" max="13309" width="9" style="16" customWidth="1"/>
    <col min="13310" max="13311" width="9.81640625" style="16" customWidth="1"/>
    <col min="13312" max="13312" width="11.1796875" style="16" customWidth="1"/>
    <col min="13313" max="13313" width="2.81640625" style="16" customWidth="1"/>
    <col min="13314" max="13314" width="3.54296875" style="16" customWidth="1"/>
    <col min="13315" max="13559" width="9.1796875" style="16"/>
    <col min="13560" max="13560" width="8.81640625" style="16" customWidth="1"/>
    <col min="13561" max="13561" width="9.81640625" style="16" customWidth="1"/>
    <col min="13562" max="13562" width="14.453125" style="16" customWidth="1"/>
    <col min="13563" max="13563" width="7.1796875" style="16" customWidth="1"/>
    <col min="13564" max="13564" width="5.54296875" style="16" customWidth="1"/>
    <col min="13565" max="13565" width="9" style="16" customWidth="1"/>
    <col min="13566" max="13567" width="9.81640625" style="16" customWidth="1"/>
    <col min="13568" max="13568" width="11.1796875" style="16" customWidth="1"/>
    <col min="13569" max="13569" width="2.81640625" style="16" customWidth="1"/>
    <col min="13570" max="13570" width="3.54296875" style="16" customWidth="1"/>
    <col min="13571" max="13815" width="9.1796875" style="16"/>
    <col min="13816" max="13816" width="8.81640625" style="16" customWidth="1"/>
    <col min="13817" max="13817" width="9.81640625" style="16" customWidth="1"/>
    <col min="13818" max="13818" width="14.453125" style="16" customWidth="1"/>
    <col min="13819" max="13819" width="7.1796875" style="16" customWidth="1"/>
    <col min="13820" max="13820" width="5.54296875" style="16" customWidth="1"/>
    <col min="13821" max="13821" width="9" style="16" customWidth="1"/>
    <col min="13822" max="13823" width="9.81640625" style="16" customWidth="1"/>
    <col min="13824" max="13824" width="11.1796875" style="16" customWidth="1"/>
    <col min="13825" max="13825" width="2.81640625" style="16" customWidth="1"/>
    <col min="13826" max="13826" width="3.54296875" style="16" customWidth="1"/>
    <col min="13827" max="14071" width="9.1796875" style="16"/>
    <col min="14072" max="14072" width="8.81640625" style="16" customWidth="1"/>
    <col min="14073" max="14073" width="9.81640625" style="16" customWidth="1"/>
    <col min="14074" max="14074" width="14.453125" style="16" customWidth="1"/>
    <col min="14075" max="14075" width="7.1796875" style="16" customWidth="1"/>
    <col min="14076" max="14076" width="5.54296875" style="16" customWidth="1"/>
    <col min="14077" max="14077" width="9" style="16" customWidth="1"/>
    <col min="14078" max="14079" width="9.81640625" style="16" customWidth="1"/>
    <col min="14080" max="14080" width="11.1796875" style="16" customWidth="1"/>
    <col min="14081" max="14081" width="2.81640625" style="16" customWidth="1"/>
    <col min="14082" max="14082" width="3.54296875" style="16" customWidth="1"/>
    <col min="14083" max="14327" width="9.1796875" style="16"/>
    <col min="14328" max="14328" width="8.81640625" style="16" customWidth="1"/>
    <col min="14329" max="14329" width="9.81640625" style="16" customWidth="1"/>
    <col min="14330" max="14330" width="14.453125" style="16" customWidth="1"/>
    <col min="14331" max="14331" width="7.1796875" style="16" customWidth="1"/>
    <col min="14332" max="14332" width="5.54296875" style="16" customWidth="1"/>
    <col min="14333" max="14333" width="9" style="16" customWidth="1"/>
    <col min="14334" max="14335" width="9.81640625" style="16" customWidth="1"/>
    <col min="14336" max="14336" width="11.1796875" style="16" customWidth="1"/>
    <col min="14337" max="14337" width="2.81640625" style="16" customWidth="1"/>
    <col min="14338" max="14338" width="3.54296875" style="16" customWidth="1"/>
    <col min="14339" max="14583" width="9.1796875" style="16"/>
    <col min="14584" max="14584" width="8.81640625" style="16" customWidth="1"/>
    <col min="14585" max="14585" width="9.81640625" style="16" customWidth="1"/>
    <col min="14586" max="14586" width="14.453125" style="16" customWidth="1"/>
    <col min="14587" max="14587" width="7.1796875" style="16" customWidth="1"/>
    <col min="14588" max="14588" width="5.54296875" style="16" customWidth="1"/>
    <col min="14589" max="14589" width="9" style="16" customWidth="1"/>
    <col min="14590" max="14591" width="9.81640625" style="16" customWidth="1"/>
    <col min="14592" max="14592" width="11.1796875" style="16" customWidth="1"/>
    <col min="14593" max="14593" width="2.81640625" style="16" customWidth="1"/>
    <col min="14594" max="14594" width="3.54296875" style="16" customWidth="1"/>
    <col min="14595" max="14839" width="9.1796875" style="16"/>
    <col min="14840" max="14840" width="8.81640625" style="16" customWidth="1"/>
    <col min="14841" max="14841" width="9.81640625" style="16" customWidth="1"/>
    <col min="14842" max="14842" width="14.453125" style="16" customWidth="1"/>
    <col min="14843" max="14843" width="7.1796875" style="16" customWidth="1"/>
    <col min="14844" max="14844" width="5.54296875" style="16" customWidth="1"/>
    <col min="14845" max="14845" width="9" style="16" customWidth="1"/>
    <col min="14846" max="14847" width="9.81640625" style="16" customWidth="1"/>
    <col min="14848" max="14848" width="11.1796875" style="16" customWidth="1"/>
    <col min="14849" max="14849" width="2.81640625" style="16" customWidth="1"/>
    <col min="14850" max="14850" width="3.54296875" style="16" customWidth="1"/>
    <col min="14851" max="15095" width="9.1796875" style="16"/>
    <col min="15096" max="15096" width="8.81640625" style="16" customWidth="1"/>
    <col min="15097" max="15097" width="9.81640625" style="16" customWidth="1"/>
    <col min="15098" max="15098" width="14.453125" style="16" customWidth="1"/>
    <col min="15099" max="15099" width="7.1796875" style="16" customWidth="1"/>
    <col min="15100" max="15100" width="5.54296875" style="16" customWidth="1"/>
    <col min="15101" max="15101" width="9" style="16" customWidth="1"/>
    <col min="15102" max="15103" width="9.81640625" style="16" customWidth="1"/>
    <col min="15104" max="15104" width="11.1796875" style="16" customWidth="1"/>
    <col min="15105" max="15105" width="2.81640625" style="16" customWidth="1"/>
    <col min="15106" max="15106" width="3.54296875" style="16" customWidth="1"/>
    <col min="15107" max="15351" width="9.1796875" style="16"/>
    <col min="15352" max="15352" width="8.81640625" style="16" customWidth="1"/>
    <col min="15353" max="15353" width="9.81640625" style="16" customWidth="1"/>
    <col min="15354" max="15354" width="14.453125" style="16" customWidth="1"/>
    <col min="15355" max="15355" width="7.1796875" style="16" customWidth="1"/>
    <col min="15356" max="15356" width="5.54296875" style="16" customWidth="1"/>
    <col min="15357" max="15357" width="9" style="16" customWidth="1"/>
    <col min="15358" max="15359" width="9.81640625" style="16" customWidth="1"/>
    <col min="15360" max="15360" width="11.1796875" style="16" customWidth="1"/>
    <col min="15361" max="15361" width="2.81640625" style="16" customWidth="1"/>
    <col min="15362" max="15362" width="3.54296875" style="16" customWidth="1"/>
    <col min="15363" max="15607" width="9.1796875" style="16"/>
    <col min="15608" max="15608" width="8.81640625" style="16" customWidth="1"/>
    <col min="15609" max="15609" width="9.81640625" style="16" customWidth="1"/>
    <col min="15610" max="15610" width="14.453125" style="16" customWidth="1"/>
    <col min="15611" max="15611" width="7.1796875" style="16" customWidth="1"/>
    <col min="15612" max="15612" width="5.54296875" style="16" customWidth="1"/>
    <col min="15613" max="15613" width="9" style="16" customWidth="1"/>
    <col min="15614" max="15615" width="9.81640625" style="16" customWidth="1"/>
    <col min="15616" max="15616" width="11.1796875" style="16" customWidth="1"/>
    <col min="15617" max="15617" width="2.81640625" style="16" customWidth="1"/>
    <col min="15618" max="15618" width="3.54296875" style="16" customWidth="1"/>
    <col min="15619" max="15863" width="9.1796875" style="16"/>
    <col min="15864" max="15864" width="8.81640625" style="16" customWidth="1"/>
    <col min="15865" max="15865" width="9.81640625" style="16" customWidth="1"/>
    <col min="15866" max="15866" width="14.453125" style="16" customWidth="1"/>
    <col min="15867" max="15867" width="7.1796875" style="16" customWidth="1"/>
    <col min="15868" max="15868" width="5.54296875" style="16" customWidth="1"/>
    <col min="15869" max="15869" width="9" style="16" customWidth="1"/>
    <col min="15870" max="15871" width="9.81640625" style="16" customWidth="1"/>
    <col min="15872" max="15872" width="11.1796875" style="16" customWidth="1"/>
    <col min="15873" max="15873" width="2.81640625" style="16" customWidth="1"/>
    <col min="15874" max="15874" width="3.54296875" style="16" customWidth="1"/>
    <col min="15875" max="16119" width="9.1796875" style="16"/>
    <col min="16120" max="16120" width="8.81640625" style="16" customWidth="1"/>
    <col min="16121" max="16121" width="9.81640625" style="16" customWidth="1"/>
    <col min="16122" max="16122" width="14.453125" style="16" customWidth="1"/>
    <col min="16123" max="16123" width="7.1796875" style="16" customWidth="1"/>
    <col min="16124" max="16124" width="5.54296875" style="16" customWidth="1"/>
    <col min="16125" max="16125" width="9" style="16" customWidth="1"/>
    <col min="16126" max="16127" width="9.81640625" style="16" customWidth="1"/>
    <col min="16128" max="16128" width="11.1796875" style="16" customWidth="1"/>
    <col min="16129" max="16129" width="2.81640625" style="16" customWidth="1"/>
    <col min="16130" max="16130" width="3.54296875" style="16" customWidth="1"/>
    <col min="16131" max="16384" width="9.1796875" style="16"/>
  </cols>
  <sheetData>
    <row r="1" spans="1:8" ht="46.5" customHeight="1" x14ac:dyDescent="0.35">
      <c r="A1" s="150" t="s">
        <v>194</v>
      </c>
      <c r="B1" s="150"/>
      <c r="C1" s="150"/>
      <c r="D1" s="150"/>
      <c r="E1" s="150"/>
      <c r="F1" s="150"/>
      <c r="G1" s="150"/>
      <c r="H1" s="150"/>
    </row>
    <row r="2" spans="1:8" ht="16.5" customHeight="1" x14ac:dyDescent="0.35">
      <c r="A2" s="124" t="s">
        <v>0</v>
      </c>
      <c r="B2" s="124"/>
      <c r="C2" s="124"/>
      <c r="D2" s="124"/>
      <c r="E2" s="124"/>
      <c r="F2" s="124"/>
      <c r="G2" s="124"/>
      <c r="H2" s="124"/>
    </row>
    <row r="3" spans="1:8" x14ac:dyDescent="0.35">
      <c r="A3" s="109" t="s">
        <v>1</v>
      </c>
      <c r="B3" s="109"/>
      <c r="C3" s="109"/>
      <c r="D3" s="109"/>
      <c r="E3" s="109" t="str">
        <f ca="1">TEXT(TODAY(),"DD/MM/YYYY")</f>
        <v>13/09/2025</v>
      </c>
      <c r="F3" s="109"/>
      <c r="G3" s="109"/>
      <c r="H3" s="109"/>
    </row>
    <row r="4" spans="1:8" ht="15" customHeight="1" x14ac:dyDescent="0.35">
      <c r="A4" s="109" t="s">
        <v>2</v>
      </c>
      <c r="B4" s="109"/>
      <c r="C4" s="109"/>
      <c r="D4" s="109"/>
      <c r="E4" s="109" t="s">
        <v>160</v>
      </c>
      <c r="F4" s="109"/>
      <c r="G4" s="109"/>
      <c r="H4" s="109"/>
    </row>
    <row r="5" spans="1:8" x14ac:dyDescent="0.35">
      <c r="A5" s="109" t="s">
        <v>3</v>
      </c>
      <c r="B5" s="109"/>
      <c r="C5" s="109"/>
      <c r="D5" s="109"/>
      <c r="E5" s="151">
        <v>45906</v>
      </c>
      <c r="F5" s="152"/>
      <c r="G5" s="152"/>
      <c r="H5" s="153"/>
    </row>
    <row r="6" spans="1:8" ht="16.5" customHeight="1" x14ac:dyDescent="0.35">
      <c r="A6" s="109" t="s">
        <v>4</v>
      </c>
      <c r="B6" s="109"/>
      <c r="C6" s="109"/>
      <c r="D6" s="109"/>
      <c r="E6" s="109" t="s">
        <v>182</v>
      </c>
      <c r="F6" s="109"/>
      <c r="G6" s="109"/>
      <c r="H6" s="109"/>
    </row>
    <row r="7" spans="1:8" ht="15" customHeight="1" x14ac:dyDescent="0.35">
      <c r="A7" s="109" t="s">
        <v>161</v>
      </c>
      <c r="B7" s="109"/>
      <c r="C7" s="109"/>
      <c r="D7" s="109"/>
      <c r="E7" s="109" t="s">
        <v>207</v>
      </c>
      <c r="F7" s="109"/>
      <c r="G7" s="109"/>
      <c r="H7" s="109"/>
    </row>
    <row r="8" spans="1:8" x14ac:dyDescent="0.35">
      <c r="A8" s="109" t="s">
        <v>5</v>
      </c>
      <c r="B8" s="109"/>
      <c r="C8" s="109"/>
      <c r="D8" s="109"/>
      <c r="E8" s="125" t="s">
        <v>162</v>
      </c>
      <c r="F8" s="125"/>
      <c r="G8" s="125"/>
      <c r="H8" s="125"/>
    </row>
    <row r="9" spans="1:8" x14ac:dyDescent="0.35">
      <c r="A9" s="109" t="s">
        <v>115</v>
      </c>
      <c r="B9" s="109"/>
      <c r="C9" s="109"/>
      <c r="D9" s="109"/>
      <c r="E9" s="109">
        <v>8097450121</v>
      </c>
      <c r="F9" s="109"/>
      <c r="G9" s="109"/>
      <c r="H9" s="109"/>
    </row>
    <row r="10" spans="1:8" x14ac:dyDescent="0.35">
      <c r="A10" s="109" t="s">
        <v>199</v>
      </c>
      <c r="B10" s="109"/>
      <c r="C10" s="109"/>
      <c r="D10" s="109"/>
      <c r="E10" s="109" t="s">
        <v>226</v>
      </c>
      <c r="F10" s="109"/>
      <c r="G10" s="109"/>
      <c r="H10" s="109"/>
    </row>
    <row r="11" spans="1:8" x14ac:dyDescent="0.35">
      <c r="A11" s="109" t="s">
        <v>6</v>
      </c>
      <c r="B11" s="109"/>
      <c r="C11" s="109"/>
      <c r="D11" s="109"/>
      <c r="E11" s="109" t="s">
        <v>163</v>
      </c>
      <c r="F11" s="109"/>
      <c r="G11" s="109"/>
      <c r="H11" s="109"/>
    </row>
    <row r="12" spans="1:8" x14ac:dyDescent="0.35">
      <c r="A12" s="120" t="s">
        <v>7</v>
      </c>
      <c r="B12" s="120"/>
      <c r="C12" s="120"/>
      <c r="D12" s="120"/>
      <c r="E12" s="108" t="s">
        <v>227</v>
      </c>
      <c r="F12" s="108"/>
      <c r="G12" s="108"/>
      <c r="H12" s="108"/>
    </row>
    <row r="13" spans="1:8" x14ac:dyDescent="0.35">
      <c r="A13" s="120" t="s">
        <v>8</v>
      </c>
      <c r="B13" s="120"/>
      <c r="C13" s="120"/>
      <c r="D13" s="120"/>
      <c r="E13" s="108" t="s">
        <v>164</v>
      </c>
      <c r="F13" s="109"/>
      <c r="G13" s="109"/>
      <c r="H13" s="109"/>
    </row>
    <row r="14" spans="1:8" ht="33" customHeight="1" x14ac:dyDescent="0.35">
      <c r="A14" s="121" t="s">
        <v>9</v>
      </c>
      <c r="B14" s="121"/>
      <c r="C14" s="121" t="str">
        <f>CONCATENATE((IF(OR(E8="",E8="NA"),"",E8)),", ",(IF(OR(A15="",A15="NA"),"",A15)),".",(IF(OR(C15="",C15="NA"),"",C15)),", near ",(IF(OR(C20="",C20="NA"),"",C20)),", ",(IF(OR(C17="",C17="NA"),"",C17)),", ",(IF(OR(C16="",C16="NA"),"",C16)),", ",(IF(OR(G17="",G17="NA"),"",G17)),", ",(IF(OR(C18="",C18="NA"),"",C18)),", ",(IF(OR(C19="",C19="NA"),"",C19)),", ",(IF(OR(G18="",G18="NA"),"",G18))," - ",(IF(OR(G19="",G19="NA"),"",G19)),".")</f>
        <v>Shivdooti Residency, Survey No.64 Hissa No.5/2, near Nirmal Lifestyle City, Nirmal Lifestyle City Road, , Vadavali, Kalyan West, Kalyan, Thane - 421301.</v>
      </c>
      <c r="D14" s="121"/>
      <c r="E14" s="121"/>
      <c r="F14" s="121"/>
      <c r="G14" s="121"/>
      <c r="H14" s="121"/>
    </row>
    <row r="15" spans="1:8" x14ac:dyDescent="0.35">
      <c r="A15" s="108" t="s">
        <v>165</v>
      </c>
      <c r="B15" s="108"/>
      <c r="C15" s="108" t="s">
        <v>198</v>
      </c>
      <c r="D15" s="108"/>
      <c r="E15" s="108"/>
      <c r="F15" s="108"/>
      <c r="G15" s="108"/>
      <c r="H15" s="108"/>
    </row>
    <row r="16" spans="1:8" ht="15.75" hidden="1" customHeight="1" x14ac:dyDescent="0.35">
      <c r="A16" s="154" t="s">
        <v>157</v>
      </c>
      <c r="B16" s="155"/>
      <c r="C16" s="154"/>
      <c r="D16" s="156"/>
      <c r="E16" s="156"/>
      <c r="F16" s="156"/>
      <c r="G16" s="156"/>
      <c r="H16" s="155"/>
    </row>
    <row r="17" spans="1:8" ht="15.75" customHeight="1" x14ac:dyDescent="0.35">
      <c r="A17" s="121" t="s">
        <v>10</v>
      </c>
      <c r="B17" s="121"/>
      <c r="C17" s="109" t="s">
        <v>171</v>
      </c>
      <c r="D17" s="109"/>
      <c r="E17" s="121" t="s">
        <v>158</v>
      </c>
      <c r="F17" s="121"/>
      <c r="G17" s="108" t="s">
        <v>166</v>
      </c>
      <c r="H17" s="108"/>
    </row>
    <row r="18" spans="1:8" x14ac:dyDescent="0.35">
      <c r="A18" s="120" t="s">
        <v>12</v>
      </c>
      <c r="B18" s="120"/>
      <c r="C18" s="108" t="s">
        <v>170</v>
      </c>
      <c r="D18" s="108"/>
      <c r="E18" s="121" t="s">
        <v>11</v>
      </c>
      <c r="F18" s="121"/>
      <c r="G18" s="157" t="s">
        <v>168</v>
      </c>
      <c r="H18" s="157"/>
    </row>
    <row r="19" spans="1:8" x14ac:dyDescent="0.35">
      <c r="A19" s="120" t="s">
        <v>70</v>
      </c>
      <c r="B19" s="120"/>
      <c r="C19" s="108" t="s">
        <v>167</v>
      </c>
      <c r="D19" s="108"/>
      <c r="E19" s="121" t="s">
        <v>13</v>
      </c>
      <c r="F19" s="121"/>
      <c r="G19" s="108">
        <v>421301</v>
      </c>
      <c r="H19" s="108"/>
    </row>
    <row r="20" spans="1:8" ht="32.25" customHeight="1" x14ac:dyDescent="0.35">
      <c r="A20" s="120" t="s">
        <v>116</v>
      </c>
      <c r="B20" s="120"/>
      <c r="C20" s="108" t="s">
        <v>169</v>
      </c>
      <c r="D20" s="108"/>
      <c r="E20" s="121" t="s">
        <v>14</v>
      </c>
      <c r="F20" s="121"/>
      <c r="G20" s="108" t="s">
        <v>172</v>
      </c>
      <c r="H20" s="108"/>
    </row>
    <row r="21" spans="1:8" ht="15" customHeight="1" x14ac:dyDescent="0.35">
      <c r="A21" s="121" t="s">
        <v>73</v>
      </c>
      <c r="B21" s="121"/>
      <c r="C21" s="121"/>
      <c r="D21" s="121"/>
      <c r="E21" s="109" t="s">
        <v>15</v>
      </c>
      <c r="F21" s="109"/>
      <c r="G21" s="109"/>
      <c r="H21" s="109"/>
    </row>
    <row r="22" spans="1:8" ht="18.75" customHeight="1" x14ac:dyDescent="0.35">
      <c r="A22" s="121"/>
      <c r="B22" s="121"/>
      <c r="C22" s="121"/>
      <c r="D22" s="121"/>
      <c r="E22" s="109"/>
      <c r="F22" s="109"/>
      <c r="G22" s="109"/>
      <c r="H22" s="109"/>
    </row>
    <row r="23" spans="1:8" ht="15" customHeight="1" x14ac:dyDescent="0.35">
      <c r="A23" s="121" t="s">
        <v>16</v>
      </c>
      <c r="B23" s="121"/>
      <c r="C23" s="121"/>
      <c r="D23" s="121"/>
      <c r="E23" s="108" t="s">
        <v>17</v>
      </c>
      <c r="F23" s="108"/>
      <c r="G23" s="108"/>
      <c r="H23" s="108"/>
    </row>
    <row r="24" spans="1:8" ht="15" customHeight="1" x14ac:dyDescent="0.35">
      <c r="A24" s="120" t="s">
        <v>18</v>
      </c>
      <c r="B24" s="120"/>
      <c r="C24" s="120"/>
      <c r="D24" s="120"/>
      <c r="E24" s="108" t="str">
        <f>IF(AND(G18="Mumbai"),"Upper Class","Middle Class")</f>
        <v>Middle Class</v>
      </c>
      <c r="F24" s="108"/>
      <c r="G24" s="108"/>
      <c r="H24" s="108"/>
    </row>
    <row r="25" spans="1:8" x14ac:dyDescent="0.35">
      <c r="A25" s="120" t="s">
        <v>19</v>
      </c>
      <c r="B25" s="120"/>
      <c r="C25" s="120"/>
      <c r="D25" s="120"/>
      <c r="E25" s="108" t="s">
        <v>20</v>
      </c>
      <c r="F25" s="108"/>
      <c r="G25" s="108"/>
      <c r="H25" s="108"/>
    </row>
    <row r="26" spans="1:8" ht="15.75" customHeight="1" x14ac:dyDescent="0.35">
      <c r="A26" s="120" t="s">
        <v>21</v>
      </c>
      <c r="B26" s="120"/>
      <c r="C26" s="120"/>
      <c r="D26" s="120"/>
      <c r="E26" s="108" t="str">
        <f>IF(AND(G18="Mumbai"),"Developed","Developing")</f>
        <v>Developing</v>
      </c>
      <c r="F26" s="108"/>
      <c r="G26" s="108"/>
      <c r="H26" s="108"/>
    </row>
    <row r="27" spans="1:8" x14ac:dyDescent="0.35">
      <c r="A27" s="120" t="s">
        <v>22</v>
      </c>
      <c r="B27" s="120"/>
      <c r="C27" s="120"/>
      <c r="D27" s="120"/>
      <c r="E27" s="108" t="s">
        <v>23</v>
      </c>
      <c r="F27" s="108"/>
      <c r="G27" s="108"/>
      <c r="H27" s="108"/>
    </row>
    <row r="28" spans="1:8" ht="15.75" customHeight="1" x14ac:dyDescent="0.35">
      <c r="A28" s="120" t="s">
        <v>78</v>
      </c>
      <c r="B28" s="120"/>
      <c r="C28" s="120"/>
      <c r="D28" s="120"/>
      <c r="E28" s="108" t="s">
        <v>79</v>
      </c>
      <c r="F28" s="108"/>
      <c r="G28" s="108"/>
      <c r="H28" s="108"/>
    </row>
    <row r="29" spans="1:8" ht="15" customHeight="1" x14ac:dyDescent="0.35">
      <c r="A29" s="120" t="s">
        <v>31</v>
      </c>
      <c r="B29" s="120"/>
      <c r="C29" s="120"/>
      <c r="D29" s="120"/>
      <c r="E29" s="108" t="str">
        <f>IF(AND(ISNUMBER(SEARCH("Flat",D56)),ISNUMBER(SEARCH("Shop",D56)),ISNUMBER(SEARCH("Office",D56))),"Residential + Commercial",IF(AND(ISNUMBER(SEARCH("Flat",D56)),ISNUMBER(SEARCH("Shop",D56))),"Residential + Commercial",IF(AND(ISNUMBER(SEARCH("Flat",D56)),ISNUMBER(SEARCH("Office",D56))),"Residential + Commercial",IF(AND(ISNUMBER(SEARCH("Shop",D56)),ISNUMBER(SEARCH("Office",D56))),"Commercial",IF(ISNUMBER(SEARCH("Shop",D56)),"Commercial",IF(ISNUMBER(SEARCH("Office",D56)),"Commercial",IF(ISNUMBER(SEARCH("Flat",D56)),"Residential")))))))</f>
        <v>Residential + Commercial</v>
      </c>
      <c r="F29" s="108"/>
      <c r="G29" s="108"/>
      <c r="H29" s="108"/>
    </row>
    <row r="30" spans="1:8" ht="15.75" customHeight="1" x14ac:dyDescent="0.35">
      <c r="A30" s="120" t="s">
        <v>90</v>
      </c>
      <c r="B30" s="120"/>
      <c r="C30" s="120"/>
      <c r="D30" s="120"/>
      <c r="E30" s="108" t="s">
        <v>32</v>
      </c>
      <c r="F30" s="108"/>
      <c r="G30" s="108"/>
      <c r="H30" s="108"/>
    </row>
    <row r="31" spans="1:8" s="17" customFormat="1" x14ac:dyDescent="0.35">
      <c r="A31" s="161" t="s">
        <v>91</v>
      </c>
      <c r="B31" s="161"/>
      <c r="C31" s="160" t="s">
        <v>209</v>
      </c>
      <c r="D31" s="160"/>
      <c r="E31" s="160"/>
      <c r="F31" s="160" t="s">
        <v>29</v>
      </c>
      <c r="G31" s="160"/>
      <c r="H31" s="160"/>
    </row>
    <row r="32" spans="1:8" s="17" customFormat="1" x14ac:dyDescent="0.35">
      <c r="A32" s="158" t="s">
        <v>24</v>
      </c>
      <c r="B32" s="158" t="s">
        <v>28</v>
      </c>
      <c r="C32" s="159" t="s">
        <v>202</v>
      </c>
      <c r="D32" s="159"/>
      <c r="E32" s="159"/>
      <c r="F32" s="159" t="s">
        <v>173</v>
      </c>
      <c r="G32" s="159"/>
      <c r="H32" s="159"/>
    </row>
    <row r="33" spans="1:12" x14ac:dyDescent="0.35">
      <c r="A33" s="158" t="s">
        <v>25</v>
      </c>
      <c r="B33" s="158" t="s">
        <v>28</v>
      </c>
      <c r="C33" s="159" t="s">
        <v>202</v>
      </c>
      <c r="D33" s="159"/>
      <c r="E33" s="159"/>
      <c r="F33" s="159" t="s">
        <v>173</v>
      </c>
      <c r="G33" s="159"/>
      <c r="H33" s="159"/>
    </row>
    <row r="34" spans="1:12" s="17" customFormat="1" x14ac:dyDescent="0.35">
      <c r="A34" s="158" t="s">
        <v>27</v>
      </c>
      <c r="B34" s="158" t="s">
        <v>28</v>
      </c>
      <c r="C34" s="159" t="s">
        <v>201</v>
      </c>
      <c r="D34" s="159"/>
      <c r="E34" s="159"/>
      <c r="F34" s="159" t="s">
        <v>171</v>
      </c>
      <c r="G34" s="159"/>
      <c r="H34" s="159"/>
    </row>
    <row r="35" spans="1:12" x14ac:dyDescent="0.35">
      <c r="A35" s="158" t="s">
        <v>26</v>
      </c>
      <c r="B35" s="158" t="s">
        <v>28</v>
      </c>
      <c r="C35" s="159" t="s">
        <v>202</v>
      </c>
      <c r="D35" s="159"/>
      <c r="E35" s="159"/>
      <c r="F35" s="159" t="s">
        <v>173</v>
      </c>
      <c r="G35" s="159"/>
      <c r="H35" s="159"/>
    </row>
    <row r="36" spans="1:12" x14ac:dyDescent="0.35">
      <c r="A36" s="120" t="s">
        <v>30</v>
      </c>
      <c r="B36" s="120"/>
      <c r="C36" s="120"/>
      <c r="D36" s="120"/>
      <c r="E36" s="120"/>
      <c r="F36" s="120"/>
      <c r="G36" s="120"/>
      <c r="H36" s="120"/>
    </row>
    <row r="37" spans="1:12" ht="15.75" customHeight="1" x14ac:dyDescent="0.35">
      <c r="A37" s="120" t="s">
        <v>195</v>
      </c>
      <c r="B37" s="120"/>
      <c r="C37" s="88" t="s">
        <v>210</v>
      </c>
      <c r="D37" s="89"/>
      <c r="E37" s="89"/>
      <c r="F37" s="89"/>
      <c r="G37" s="89"/>
      <c r="H37" s="90"/>
    </row>
    <row r="38" spans="1:12" x14ac:dyDescent="0.35">
      <c r="A38" s="120" t="s">
        <v>156</v>
      </c>
      <c r="B38" s="120"/>
      <c r="C38" s="191" t="s">
        <v>174</v>
      </c>
      <c r="D38" s="108"/>
      <c r="E38" s="108"/>
      <c r="F38" s="108"/>
      <c r="G38" s="108"/>
      <c r="H38" s="108"/>
      <c r="I38" s="16" t="s">
        <v>206</v>
      </c>
    </row>
    <row r="39" spans="1:12" x14ac:dyDescent="0.35">
      <c r="A39" s="163" t="s">
        <v>33</v>
      </c>
      <c r="B39" s="163"/>
      <c r="C39" s="163"/>
      <c r="D39" s="163"/>
      <c r="E39" s="163"/>
      <c r="F39" s="163"/>
      <c r="G39" s="163"/>
      <c r="H39" s="163"/>
      <c r="I39" s="87">
        <v>5251.58</v>
      </c>
      <c r="J39" s="87"/>
      <c r="K39" s="87"/>
      <c r="L39" s="87"/>
    </row>
    <row r="40" spans="1:12" x14ac:dyDescent="0.35">
      <c r="A40" s="120" t="s">
        <v>34</v>
      </c>
      <c r="B40" s="120"/>
      <c r="C40" s="120"/>
      <c r="D40" s="120"/>
      <c r="E40" s="162">
        <v>3090</v>
      </c>
      <c r="F40" s="162"/>
      <c r="G40" s="162"/>
      <c r="H40" s="162"/>
    </row>
    <row r="41" spans="1:12" x14ac:dyDescent="0.35">
      <c r="A41" s="120" t="s">
        <v>35</v>
      </c>
      <c r="B41" s="120"/>
      <c r="C41" s="120"/>
      <c r="D41" s="120"/>
      <c r="E41" s="126">
        <f>3399/E40</f>
        <v>1.1000000000000001</v>
      </c>
      <c r="F41" s="126"/>
      <c r="G41" s="126"/>
      <c r="H41" s="126"/>
    </row>
    <row r="42" spans="1:12" x14ac:dyDescent="0.35">
      <c r="A42" s="120" t="s">
        <v>36</v>
      </c>
      <c r="B42" s="120"/>
      <c r="C42" s="120"/>
      <c r="D42" s="120"/>
      <c r="E42" s="126">
        <f>E44/E40-E41</f>
        <v>2.0611618122977347</v>
      </c>
      <c r="F42" s="126"/>
      <c r="G42" s="126"/>
      <c r="H42" s="126"/>
    </row>
    <row r="43" spans="1:12" x14ac:dyDescent="0.35">
      <c r="A43" s="120" t="s">
        <v>37</v>
      </c>
      <c r="B43" s="120"/>
      <c r="C43" s="120"/>
      <c r="D43" s="120"/>
      <c r="E43" s="126">
        <f>E41+E42</f>
        <v>3.1611618122977347</v>
      </c>
      <c r="F43" s="126"/>
      <c r="G43" s="126"/>
      <c r="H43" s="126"/>
    </row>
    <row r="44" spans="1:12" x14ac:dyDescent="0.35">
      <c r="A44" s="120" t="s">
        <v>89</v>
      </c>
      <c r="B44" s="120"/>
      <c r="C44" s="120"/>
      <c r="D44" s="120"/>
      <c r="E44" s="87">
        <f>9767.99</f>
        <v>9767.99</v>
      </c>
      <c r="F44" s="87"/>
      <c r="G44" s="87"/>
      <c r="H44" s="87"/>
    </row>
    <row r="45" spans="1:12" x14ac:dyDescent="0.35">
      <c r="A45" s="109" t="s">
        <v>38</v>
      </c>
      <c r="B45" s="109"/>
      <c r="C45" s="109"/>
      <c r="D45" s="109"/>
      <c r="E45" s="109" t="s">
        <v>183</v>
      </c>
      <c r="F45" s="109"/>
      <c r="G45" s="109"/>
      <c r="H45" s="109"/>
    </row>
    <row r="46" spans="1:12" x14ac:dyDescent="0.35">
      <c r="A46" s="163" t="s">
        <v>39</v>
      </c>
      <c r="B46" s="163"/>
      <c r="C46" s="163"/>
      <c r="D46" s="163"/>
      <c r="E46" s="163"/>
      <c r="F46" s="163"/>
      <c r="G46" s="163"/>
      <c r="H46" s="163"/>
    </row>
    <row r="47" spans="1:12" ht="33.75" customHeight="1" x14ac:dyDescent="0.35">
      <c r="A47" s="121" t="s">
        <v>145</v>
      </c>
      <c r="B47" s="121"/>
      <c r="C47" s="125" t="s">
        <v>184</v>
      </c>
      <c r="D47" s="125"/>
      <c r="E47" s="125"/>
      <c r="F47" s="125"/>
      <c r="G47" s="125"/>
      <c r="H47" s="125"/>
    </row>
    <row r="48" spans="1:12" ht="15.75" customHeight="1" x14ac:dyDescent="0.35">
      <c r="A48" s="121" t="s">
        <v>40</v>
      </c>
      <c r="B48" s="121"/>
      <c r="C48" s="195" t="s">
        <v>196</v>
      </c>
      <c r="D48" s="195"/>
      <c r="E48" s="195"/>
      <c r="F48" s="15" t="s">
        <v>41</v>
      </c>
      <c r="G48" s="196">
        <v>45303</v>
      </c>
      <c r="H48" s="195"/>
    </row>
    <row r="49" spans="1:14" x14ac:dyDescent="0.35">
      <c r="A49" s="121" t="s">
        <v>42</v>
      </c>
      <c r="B49" s="121"/>
      <c r="C49" s="195" t="str">
        <f>C48</f>
        <v>KDMC/TPD/BP/KD/2021-22/87/316</v>
      </c>
      <c r="D49" s="195"/>
      <c r="E49" s="195"/>
      <c r="F49" s="15" t="s">
        <v>41</v>
      </c>
      <c r="G49" s="196">
        <f>G48</f>
        <v>45303</v>
      </c>
      <c r="H49" s="196"/>
    </row>
    <row r="50" spans="1:14" s="18" customFormat="1" ht="15.75" customHeight="1" x14ac:dyDescent="0.35">
      <c r="A50" s="168" t="s">
        <v>149</v>
      </c>
      <c r="B50" s="169"/>
      <c r="C50" s="116" t="s">
        <v>196</v>
      </c>
      <c r="D50" s="117"/>
      <c r="E50" s="118"/>
      <c r="F50" s="15" t="s">
        <v>41</v>
      </c>
      <c r="G50" s="180">
        <v>45303</v>
      </c>
      <c r="H50" s="181"/>
    </row>
    <row r="51" spans="1:14" s="18" customFormat="1" ht="33.75" customHeight="1" x14ac:dyDescent="0.35">
      <c r="A51" s="170"/>
      <c r="B51" s="171"/>
      <c r="C51" s="116" t="s">
        <v>208</v>
      </c>
      <c r="D51" s="117"/>
      <c r="E51" s="117"/>
      <c r="F51" s="117"/>
      <c r="G51" s="117"/>
      <c r="H51" s="118"/>
    </row>
    <row r="52" spans="1:14" x14ac:dyDescent="0.35">
      <c r="A52" s="112" t="s">
        <v>159</v>
      </c>
      <c r="B52" s="113"/>
      <c r="C52" s="105" t="s">
        <v>28</v>
      </c>
      <c r="D52" s="106"/>
      <c r="E52" s="107"/>
      <c r="F52" s="42" t="s">
        <v>41</v>
      </c>
      <c r="G52" s="110" t="s">
        <v>28</v>
      </c>
      <c r="H52" s="111"/>
    </row>
    <row r="53" spans="1:14" x14ac:dyDescent="0.35">
      <c r="A53" s="114"/>
      <c r="B53" s="115"/>
      <c r="C53" s="105" t="s">
        <v>28</v>
      </c>
      <c r="D53" s="106"/>
      <c r="E53" s="106"/>
      <c r="F53" s="106"/>
      <c r="G53" s="106"/>
      <c r="H53" s="107"/>
    </row>
    <row r="54" spans="1:14" x14ac:dyDescent="0.35">
      <c r="A54" s="147" t="s">
        <v>44</v>
      </c>
      <c r="B54" s="147"/>
      <c r="C54" s="147"/>
      <c r="D54" s="147"/>
      <c r="E54" s="147"/>
      <c r="F54" s="147"/>
      <c r="G54" s="147"/>
      <c r="H54" s="147"/>
    </row>
    <row r="55" spans="1:14" x14ac:dyDescent="0.35">
      <c r="A55" s="121" t="s">
        <v>88</v>
      </c>
      <c r="B55" s="121"/>
      <c r="C55" s="121"/>
      <c r="D55" s="109">
        <f>E44</f>
        <v>9767.99</v>
      </c>
      <c r="E55" s="109"/>
      <c r="F55" s="109"/>
      <c r="G55" s="109"/>
      <c r="H55" s="109"/>
      <c r="I55" s="16">
        <f>96+76</f>
        <v>172</v>
      </c>
    </row>
    <row r="56" spans="1:14" x14ac:dyDescent="0.35">
      <c r="A56" s="108" t="s">
        <v>45</v>
      </c>
      <c r="B56" s="109"/>
      <c r="C56" s="109"/>
      <c r="D56" s="109" t="s">
        <v>228</v>
      </c>
      <c r="E56" s="109"/>
      <c r="F56" s="109"/>
      <c r="G56" s="109"/>
      <c r="H56" s="109"/>
      <c r="I56" s="19"/>
    </row>
    <row r="57" spans="1:14" ht="32.25" customHeight="1" x14ac:dyDescent="0.35">
      <c r="A57" s="165" t="s">
        <v>46</v>
      </c>
      <c r="B57" s="166"/>
      <c r="C57" s="167"/>
      <c r="D57" s="122" t="s">
        <v>197</v>
      </c>
      <c r="E57" s="164"/>
      <c r="F57" s="164"/>
      <c r="G57" s="164"/>
      <c r="H57" s="164"/>
    </row>
    <row r="58" spans="1:14" ht="15.75" customHeight="1" x14ac:dyDescent="0.35">
      <c r="A58" s="165" t="s">
        <v>86</v>
      </c>
      <c r="B58" s="166"/>
      <c r="C58" s="166"/>
      <c r="D58" s="174" t="s">
        <v>175</v>
      </c>
      <c r="E58" s="175"/>
      <c r="F58" s="175"/>
      <c r="G58" s="175"/>
      <c r="H58" s="176"/>
    </row>
    <row r="59" spans="1:14" ht="15.75" customHeight="1" x14ac:dyDescent="0.35">
      <c r="A59" s="172"/>
      <c r="B59" s="173"/>
      <c r="C59" s="173"/>
      <c r="D59" s="177" t="s">
        <v>213</v>
      </c>
      <c r="E59" s="178"/>
      <c r="F59" s="178"/>
      <c r="G59" s="178"/>
      <c r="H59" s="179"/>
    </row>
    <row r="60" spans="1:14" ht="15.75" customHeight="1" x14ac:dyDescent="0.35">
      <c r="A60" s="120" t="s">
        <v>43</v>
      </c>
      <c r="B60" s="120"/>
      <c r="C60" s="120"/>
      <c r="D60" s="182" t="s">
        <v>176</v>
      </c>
      <c r="E60" s="182"/>
      <c r="F60" s="182"/>
      <c r="G60" s="182"/>
      <c r="H60" s="182"/>
      <c r="J60" s="20"/>
      <c r="K60" s="19"/>
      <c r="N60" s="19"/>
    </row>
    <row r="61" spans="1:14" ht="15.75" customHeight="1" x14ac:dyDescent="0.35">
      <c r="A61" s="120" t="s">
        <v>84</v>
      </c>
      <c r="B61" s="120"/>
      <c r="C61" s="120"/>
      <c r="D61" s="184" t="str">
        <f>(IF(G52="NA","60 Years After Completion",IF(G52&lt;&gt;"NA",""&amp;60-ROUNDDOWN((E3-G52)/360,0)&amp;" Years"," ")))</f>
        <v>60 Years After Completion</v>
      </c>
      <c r="E61" s="184"/>
      <c r="F61" s="184"/>
      <c r="G61" s="184"/>
      <c r="H61" s="184"/>
      <c r="N61" s="19"/>
    </row>
    <row r="62" spans="1:14" ht="15.75" customHeight="1" x14ac:dyDescent="0.35">
      <c r="A62" s="120" t="s">
        <v>85</v>
      </c>
      <c r="B62" s="120"/>
      <c r="C62" s="120"/>
      <c r="D62" s="121" t="s">
        <v>23</v>
      </c>
      <c r="E62" s="121"/>
      <c r="F62" s="121"/>
      <c r="G62" s="121"/>
      <c r="H62" s="121"/>
      <c r="J62" s="21"/>
      <c r="K62" s="21"/>
    </row>
    <row r="63" spans="1:14" ht="15" hidden="1" customHeight="1" x14ac:dyDescent="0.35">
      <c r="A63" s="120" t="s">
        <v>71</v>
      </c>
      <c r="B63" s="120"/>
      <c r="C63" s="120"/>
      <c r="D63" s="108" t="s">
        <v>142</v>
      </c>
      <c r="E63" s="121"/>
      <c r="F63" s="121"/>
      <c r="G63" s="121"/>
      <c r="H63" s="121"/>
    </row>
    <row r="64" spans="1:14" x14ac:dyDescent="0.35">
      <c r="A64" s="121" t="s">
        <v>143</v>
      </c>
      <c r="B64" s="121"/>
      <c r="C64" s="121"/>
      <c r="D64" s="121" t="s">
        <v>28</v>
      </c>
      <c r="E64" s="121"/>
      <c r="F64" s="121"/>
      <c r="G64" s="121"/>
      <c r="H64" s="121"/>
      <c r="I64" s="22"/>
      <c r="J64" s="22"/>
      <c r="K64" s="22"/>
      <c r="L64" s="22"/>
      <c r="M64" s="22"/>
      <c r="N64" s="22"/>
    </row>
    <row r="65" spans="1:10" ht="15.75" customHeight="1" x14ac:dyDescent="0.35">
      <c r="A65" s="123" t="s">
        <v>83</v>
      </c>
      <c r="B65" s="123"/>
      <c r="C65" s="123"/>
      <c r="D65" s="122" t="str">
        <f ca="1">(IF(G86&gt;95%,"Nothing",IF(G86&gt;0%,"Cement, Aggregate, Steel, etc",IF(G86=0%,"Work not yet Started"))))</f>
        <v>Cement, Aggregate, Steel, etc</v>
      </c>
      <c r="E65" s="122"/>
      <c r="F65" s="122"/>
      <c r="G65" s="122"/>
      <c r="H65" s="122"/>
      <c r="J65" s="21"/>
    </row>
    <row r="66" spans="1:10" ht="33.75" customHeight="1" thickBot="1" x14ac:dyDescent="0.4">
      <c r="A66" s="121" t="s">
        <v>110</v>
      </c>
      <c r="B66" s="121"/>
      <c r="C66" s="121"/>
      <c r="D66" s="108" t="str">
        <f ca="1">(IF(D65="Nothing","Yes",IF(D65="Cement, Aggregate, Steel, etc","Under Construction",IF(D65="Work not yet Started","Work not yet Started"))))</f>
        <v>Under Construction</v>
      </c>
      <c r="E66" s="108"/>
      <c r="F66" s="108" t="str">
        <f ca="1">(IF(D65="Nothing","Yes",IF(D65="Cement, Aggregate, Steel, etc","Under Construction",IF(D65="Work not yet Started","Work not yet Started"))))</f>
        <v>Under Construction</v>
      </c>
      <c r="G66" s="108"/>
      <c r="H66" s="108"/>
    </row>
    <row r="67" spans="1:10" ht="15.75" customHeight="1" x14ac:dyDescent="0.35">
      <c r="A67" s="131" t="s">
        <v>134</v>
      </c>
      <c r="B67" s="131"/>
      <c r="C67" s="131" t="str">
        <f>D58</f>
        <v>Building No 1 = G + 1st to 7th Floor</v>
      </c>
      <c r="D67" s="131"/>
      <c r="E67" s="131"/>
      <c r="F67" s="131"/>
      <c r="G67" s="131"/>
      <c r="H67" s="131"/>
      <c r="I67" s="55" t="str">
        <f ca="1">IF(D81=100%,"All work Completed. Possession granted to the Building.",IF(D80=100%,"All work Completed, Waiting for OC",I68&amp;""&amp;I70&amp;""&amp;J68&amp;""&amp;J67&amp;" "&amp;J70))</f>
        <v>All work Completed. Possession granted to the Building.</v>
      </c>
      <c r="J67" s="40" t="str">
        <f ca="1">(IF(C74=(D68+F68+H68),"",IF(C74&gt;0,", RCC upto "&amp;C74&amp;" Slab","")))&amp;(IF(C75=H68,"",IF(C75&gt;0,", Brickwork upto "&amp;C75&amp;" Floor","")))&amp;(IF(C76=H68,"",IF(C76&gt;0,", Internal Plaster upto "&amp;C76&amp;" Floor","")))&amp;(IF(C77=H68,"",IF(C77&gt;0,", External Plaster upto "&amp;C77&amp;" Floor","")))&amp;(IF(C78=H68,"",IF(C78&gt;0,", Flooring upto "&amp;C78&amp;" Floor","")))&amp;(IF(C79=H68,"",IF(C79&gt;0,", Painting upto "&amp;C79&amp;" Floor","")))&amp;(IF(C80=H68,"",IF(C80&gt;0,", Finishing upto "&amp;C80&amp;" Floor","")))&amp;(IF(C81=H68,"",IF(C81&gt;0,", Possession upto "&amp;C81&amp;" Floor","")))</f>
        <v/>
      </c>
    </row>
    <row r="68" spans="1:10" x14ac:dyDescent="0.35">
      <c r="A68" s="65" t="s">
        <v>136</v>
      </c>
      <c r="B68" s="65">
        <v>0</v>
      </c>
      <c r="C68" s="65" t="s">
        <v>69</v>
      </c>
      <c r="D68" s="65">
        <v>1</v>
      </c>
      <c r="E68" s="65" t="s">
        <v>68</v>
      </c>
      <c r="F68" s="65">
        <v>0</v>
      </c>
      <c r="G68" s="65" t="s">
        <v>77</v>
      </c>
      <c r="H68" s="65">
        <f ca="1">--TRIM(RIGHT(SUBSTITUTE(LEFT(C67,_xlfn.AGGREGATE(16,6,FIND({0,1,2,3,4,5,6,7,8,9},C67,ROW(INDIRECT("1:"&amp;LEN(C67)))),1))," ",REPT(" ",LEN(C67))),LEN(C67)))</f>
        <v>7</v>
      </c>
      <c r="I68" s="56" t="str">
        <f ca="1">IF(D72=100%,"Excavation","")&amp;IF(D73=100%,", Plinth","")&amp;IF(D74=100%,", RCC Slab","")&amp;IF(D75=100%,", Brickwork","")&amp;IF(D76=100%,", Internal Plaster","")&amp;IF(D77=100%,", External Plaster","")&amp;IF(D78=100%,", Flooring","")&amp;IF(D79=100%,", Painting","")&amp;IF(D80=100%,", Building common Amenities","")</f>
        <v>Excavation, Plinth, RCC Slab, Brickwork, Internal Plaster, External Plaster, Flooring, Painting, Building common Amenities</v>
      </c>
      <c r="J68" s="41" t="str">
        <f ca="1">(IF(C72=0,"Work not yet Started.",IF(D72=25%,"Piling work in process",IF(D72=50%,"Excavation work in process",IF(D72=100%,"","0")))))&amp;(IF(C73=0%,"",IF(C73=J74,", Footing work is process",IF(C73=J75,", Footing work Completed",IF(C73=J76,", 1st Basement Completed",IF(C73=J77,", 1st &amp; 2nd Basement Completed",IF(C73=J78,", 1st to 3rd Basement Completed",IF(C73=J79,", 1st to 4th Basement Completed",IF(C73=J80,", Plinth work is process",IF(C73=J81,"","0"))))))))))</f>
        <v/>
      </c>
    </row>
    <row r="69" spans="1:10" x14ac:dyDescent="0.35">
      <c r="A69" s="142" t="s">
        <v>82</v>
      </c>
      <c r="B69" s="142"/>
      <c r="C69" s="197">
        <v>1</v>
      </c>
      <c r="D69" s="160"/>
      <c r="E69" s="142" t="s">
        <v>81</v>
      </c>
      <c r="F69" s="142"/>
      <c r="G69" s="197">
        <v>1</v>
      </c>
      <c r="H69" s="160"/>
      <c r="I69" s="56"/>
      <c r="J69" s="41"/>
    </row>
    <row r="70" spans="1:10" ht="20.5" customHeight="1" thickBot="1" x14ac:dyDescent="0.4">
      <c r="A70" s="125" t="s">
        <v>87</v>
      </c>
      <c r="B70" s="125"/>
      <c r="C70" s="131" t="s">
        <v>212</v>
      </c>
      <c r="D70" s="131"/>
      <c r="E70" s="131"/>
      <c r="F70" s="131"/>
      <c r="G70" s="131"/>
      <c r="H70" s="131"/>
      <c r="I70" s="56" t="str">
        <f ca="1">IF(I68&lt;&gt;""," Completed","")</f>
        <v xml:space="preserve"> Completed</v>
      </c>
      <c r="J70" s="41" t="str">
        <f ca="1">IF(J67&lt;&gt;"","Completed","")</f>
        <v/>
      </c>
    </row>
    <row r="71" spans="1:10" ht="15.75" hidden="1" customHeight="1" x14ac:dyDescent="0.4">
      <c r="A71" s="119" t="s">
        <v>47</v>
      </c>
      <c r="B71" s="119"/>
      <c r="C71" s="63" t="s">
        <v>133</v>
      </c>
      <c r="D71" s="63" t="s">
        <v>80</v>
      </c>
      <c r="E71" s="119" t="s">
        <v>82</v>
      </c>
      <c r="F71" s="119"/>
      <c r="G71" s="119" t="s">
        <v>81</v>
      </c>
      <c r="H71" s="119"/>
      <c r="I71" s="13" t="s">
        <v>135</v>
      </c>
      <c r="J71" s="23">
        <f ca="1">H68*25%</f>
        <v>1.75</v>
      </c>
    </row>
    <row r="72" spans="1:10" ht="16" hidden="1" thickBot="1" x14ac:dyDescent="0.4">
      <c r="A72" s="119" t="s">
        <v>122</v>
      </c>
      <c r="B72" s="119"/>
      <c r="C72" s="63">
        <f ca="1">J73</f>
        <v>7</v>
      </c>
      <c r="D72" s="45">
        <f ca="1">((100/H68)*C72)/100</f>
        <v>1</v>
      </c>
      <c r="E72" s="183">
        <f ca="1">(((C73/H68*10)+(40/(D68+F68+H68)*C74)+(7.5/(H68)*C75)+(7.5/(H68)*C76)+(10/H68*C77)+(10/H68*C78)+(5/H68*C79)+(5/H68*C80)+(5/H68*C81))/100)</f>
        <v>1</v>
      </c>
      <c r="F72" s="183"/>
      <c r="G72" s="183">
        <f ca="1">((((C72/H68)*20)+((C73/H68)*25)+(30/(H68+F68+D68)*C74)+(5/H68*C75)+(5/H68*C76)+(5/H68*C77)+(5/H68*C78)+(0/H68*C79)+(0/H68*C80)+(5/H68*C81))/100)</f>
        <v>1</v>
      </c>
      <c r="H72" s="183"/>
      <c r="I72" s="13" t="s">
        <v>93</v>
      </c>
      <c r="J72" s="24">
        <f ca="1">H68*50%</f>
        <v>3.5</v>
      </c>
    </row>
    <row r="73" spans="1:10" ht="16" hidden="1" thickBot="1" x14ac:dyDescent="0.4">
      <c r="A73" s="119" t="s">
        <v>48</v>
      </c>
      <c r="B73" s="119"/>
      <c r="C73" s="46">
        <v>7</v>
      </c>
      <c r="D73" s="45">
        <f ca="1">((100/H68)*C73)/100</f>
        <v>1</v>
      </c>
      <c r="E73" s="183"/>
      <c r="F73" s="183"/>
      <c r="G73" s="183"/>
      <c r="H73" s="183"/>
      <c r="I73" s="13" t="s">
        <v>94</v>
      </c>
      <c r="J73" s="24">
        <f ca="1">H68</f>
        <v>7</v>
      </c>
    </row>
    <row r="74" spans="1:10" ht="15.75" hidden="1" customHeight="1" x14ac:dyDescent="0.4">
      <c r="A74" s="119" t="s">
        <v>123</v>
      </c>
      <c r="B74" s="119"/>
      <c r="C74" s="63">
        <v>8</v>
      </c>
      <c r="D74" s="45">
        <f ca="1">((100/(D68+F68+H68))*C74)/100</f>
        <v>1</v>
      </c>
      <c r="E74" s="183"/>
      <c r="F74" s="183"/>
      <c r="G74" s="183"/>
      <c r="H74" s="183"/>
      <c r="I74" s="13" t="s">
        <v>95</v>
      </c>
      <c r="J74" s="25">
        <f ca="1">(IF(B68&gt;1,(H68/(B68+2)),H68/4))</f>
        <v>1.75</v>
      </c>
    </row>
    <row r="75" spans="1:10" ht="15.75" hidden="1" customHeight="1" x14ac:dyDescent="0.4">
      <c r="A75" s="119" t="s">
        <v>130</v>
      </c>
      <c r="B75" s="119" t="s">
        <v>124</v>
      </c>
      <c r="C75" s="63">
        <v>7</v>
      </c>
      <c r="D75" s="45">
        <f ca="1">((100/H68)*C75)/100</f>
        <v>1</v>
      </c>
      <c r="E75" s="183"/>
      <c r="F75" s="183"/>
      <c r="G75" s="183"/>
      <c r="H75" s="183"/>
      <c r="I75" s="13" t="s">
        <v>96</v>
      </c>
      <c r="J75" s="25">
        <f ca="1">(IF(B68&gt;1,(H68/(B68+2)+J74),H68/4+J74))</f>
        <v>3.5</v>
      </c>
    </row>
    <row r="76" spans="1:10" ht="15.75" hidden="1" customHeight="1" x14ac:dyDescent="0.4">
      <c r="A76" s="119" t="s">
        <v>131</v>
      </c>
      <c r="B76" s="119" t="s">
        <v>124</v>
      </c>
      <c r="C76" s="63">
        <v>7</v>
      </c>
      <c r="D76" s="45">
        <f ca="1">((100/H68)*C76)/100</f>
        <v>1</v>
      </c>
      <c r="E76" s="183"/>
      <c r="F76" s="183"/>
      <c r="G76" s="183"/>
      <c r="H76" s="183"/>
      <c r="I76" s="13" t="s">
        <v>140</v>
      </c>
      <c r="J76" s="25">
        <f>(IF(B68&gt;1,(H68/(B68+2)+J75),0))</f>
        <v>0</v>
      </c>
    </row>
    <row r="77" spans="1:10" ht="15" hidden="1" customHeight="1" x14ac:dyDescent="0.4">
      <c r="A77" s="119" t="s">
        <v>129</v>
      </c>
      <c r="B77" s="119" t="s">
        <v>126</v>
      </c>
      <c r="C77" s="63">
        <v>7</v>
      </c>
      <c r="D77" s="45">
        <f ca="1">((100/(H68))*C77)/100</f>
        <v>1</v>
      </c>
      <c r="E77" s="183"/>
      <c r="F77" s="183"/>
      <c r="G77" s="183"/>
      <c r="H77" s="183"/>
      <c r="I77" s="13" t="s">
        <v>137</v>
      </c>
      <c r="J77" s="25">
        <f>(IF(B68&gt;2,(H68/(B68+2)+J76),0))</f>
        <v>0</v>
      </c>
    </row>
    <row r="78" spans="1:10" ht="15.75" hidden="1" customHeight="1" x14ac:dyDescent="0.4">
      <c r="A78" s="119" t="s">
        <v>125</v>
      </c>
      <c r="B78" s="119" t="s">
        <v>125</v>
      </c>
      <c r="C78" s="63">
        <v>7</v>
      </c>
      <c r="D78" s="45">
        <f ca="1">((100/H68)*C78)/100</f>
        <v>1</v>
      </c>
      <c r="E78" s="183"/>
      <c r="F78" s="183"/>
      <c r="G78" s="183"/>
      <c r="H78" s="183"/>
      <c r="I78" s="13" t="s">
        <v>138</v>
      </c>
      <c r="J78" s="26">
        <f>(IF(B68&gt;3,(H68/(B68+2)+J77),0))</f>
        <v>0</v>
      </c>
    </row>
    <row r="79" spans="1:10" ht="15.75" hidden="1" customHeight="1" x14ac:dyDescent="0.4">
      <c r="A79" s="119" t="s">
        <v>132</v>
      </c>
      <c r="B79" s="119"/>
      <c r="C79" s="63">
        <v>7</v>
      </c>
      <c r="D79" s="45">
        <f ca="1">((100/H68)*C79)/100</f>
        <v>1</v>
      </c>
      <c r="E79" s="183"/>
      <c r="F79" s="183"/>
      <c r="G79" s="183"/>
      <c r="H79" s="183"/>
      <c r="I79" s="13" t="s">
        <v>139</v>
      </c>
      <c r="J79" s="25">
        <f>(IF(B68&gt;4,(H68/(B68+2)+J78),0))</f>
        <v>0</v>
      </c>
    </row>
    <row r="80" spans="1:10" ht="15.75" hidden="1" customHeight="1" x14ac:dyDescent="0.4">
      <c r="A80" s="119" t="s">
        <v>127</v>
      </c>
      <c r="B80" s="119" t="s">
        <v>127</v>
      </c>
      <c r="C80" s="63">
        <v>7</v>
      </c>
      <c r="D80" s="45">
        <f ca="1">((100/(H68))*C80)/100</f>
        <v>1</v>
      </c>
      <c r="E80" s="183"/>
      <c r="F80" s="183"/>
      <c r="G80" s="183"/>
      <c r="H80" s="183"/>
      <c r="I80" s="13" t="s">
        <v>141</v>
      </c>
      <c r="J80" s="25">
        <f ca="1">(IF(B68=1,(H68/(B68+3)+J75),IF(B68=0,(H68/4+J75),IF(B68&gt;1,0))))</f>
        <v>5.25</v>
      </c>
    </row>
    <row r="81" spans="1:10" ht="16" hidden="1" thickBot="1" x14ac:dyDescent="0.4">
      <c r="A81" s="119" t="s">
        <v>128</v>
      </c>
      <c r="B81" s="119"/>
      <c r="C81" s="63">
        <v>7</v>
      </c>
      <c r="D81" s="45">
        <f ca="1">((100/(H68))*C81)/100</f>
        <v>1</v>
      </c>
      <c r="E81" s="183"/>
      <c r="F81" s="183"/>
      <c r="G81" s="183"/>
      <c r="H81" s="183"/>
      <c r="I81" s="14" t="s">
        <v>97</v>
      </c>
      <c r="J81" s="27">
        <f ca="1">(IF(B68&gt;1.5,(H68/(B68+2)+J75+MAX(0,J76-J75)+MAX(0,J77-J76)+MAX(0,J78-J77)+MAX(0,J79-J78)+MAX(0,J80-J79)),IF(B68=1,(H68/(B68+3)+J80),IF(B68=0,H68/4+J80))))</f>
        <v>7</v>
      </c>
    </row>
    <row r="82" spans="1:10" ht="15.75" customHeight="1" x14ac:dyDescent="0.35">
      <c r="A82" s="131" t="s">
        <v>134</v>
      </c>
      <c r="B82" s="131"/>
      <c r="C82" s="131" t="str">
        <f>D59</f>
        <v>Building No 2 = LG + UG + 1st to 7th Floor</v>
      </c>
      <c r="D82" s="131"/>
      <c r="E82" s="131"/>
      <c r="F82" s="131"/>
      <c r="G82" s="131"/>
      <c r="H82" s="131"/>
      <c r="I82" s="55" t="str">
        <f ca="1">IF(D95=100%,"All work Completed. Possession granted to the Building.",IF(D94=100%,"All work Completed, Waiting for OC",I83&amp;""&amp;I84&amp;""&amp;J83&amp;""&amp;J82&amp;" "&amp;J84))</f>
        <v>Excavation, Plinth Completed, RCC upto 7 Slab, Brickwork upto 2 Floor Completed</v>
      </c>
      <c r="J82" s="40" t="str">
        <f ca="1">(IF(C88=(D83+F83+H83),"",IF(C88&gt;0,", RCC upto "&amp;C88&amp;" Slab","")))&amp;(IF(C89=H83,"",IF(C89&gt;0,", Brickwork upto "&amp;C89&amp;" Floor","")))&amp;(IF(C90=H83,"",IF(C90&gt;0,", Internal Plaster upto "&amp;C90&amp;" Floor","")))&amp;(IF(C91=H83,"",IF(C91&gt;0,", External Plaster upto "&amp;C91&amp;" Floor","")))&amp;(IF(C92=H83,"",IF(C92&gt;0,", Flooring upto "&amp;C92&amp;" Floor","")))&amp;(IF(C93=H83,"",IF(C93&gt;0,", Painting upto "&amp;C93&amp;" Floor","")))&amp;(IF(C94=H83,"",IF(C94&gt;0,", Finishing upto "&amp;C94&amp;" Floor","")))&amp;(IF(C95=H83,"",IF(C95&gt;0,", Possession upto "&amp;C95&amp;" Floor","")))</f>
        <v>, RCC upto 7 Slab, Brickwork upto 2 Floor</v>
      </c>
    </row>
    <row r="83" spans="1:10" x14ac:dyDescent="0.35">
      <c r="A83" s="65" t="s">
        <v>136</v>
      </c>
      <c r="B83" s="65">
        <v>0</v>
      </c>
      <c r="C83" s="65" t="s">
        <v>69</v>
      </c>
      <c r="D83" s="65">
        <v>2</v>
      </c>
      <c r="E83" s="65" t="s">
        <v>68</v>
      </c>
      <c r="F83" s="65">
        <v>0</v>
      </c>
      <c r="G83" s="65" t="s">
        <v>77</v>
      </c>
      <c r="H83" s="65">
        <f ca="1">--TRIM(RIGHT(SUBSTITUTE(LEFT(C82,_xlfn.AGGREGATE(16,6,FIND({0,1,2,3,4,5,6,7,8,9},C82,ROW(INDIRECT("1:"&amp;LEN(C82)))),1))," ",REPT(" ",LEN(C82))),LEN(C82)))</f>
        <v>7</v>
      </c>
      <c r="I83" s="56" t="str">
        <f ca="1">IF(D86=100%,"Excavation","")&amp;IF(D87=100%,", Plinth","")&amp;IF(D88=100%,", RCC Slab","")&amp;IF(D89=100%,", Brickwork","")&amp;IF(D90=100%,", Internal Plaster","")&amp;IF(D91=100%,", External Plaster","")&amp;IF(D92=100%,", Flooring","")&amp;IF(D93=100%,", Painting","")&amp;IF(D94=100%,", Building common Amenities","")</f>
        <v>Excavation, Plinth</v>
      </c>
      <c r="J83" s="41" t="str">
        <f ca="1">(IF(C86=0,"Work not yet Started.",IF(D86=25%,"Piling work in process",IF(D86=50%,"Excavation work in process",IF(D86=100%,"","0")))))&amp;(IF(C87=0%,"",IF(C87=J88,", Footing work is process",IF(C87=J89,", Footing work Completed",IF(C87=J90,", 1st Basement Completed",IF(C87=J91,", 1st &amp; 2nd Basement Completed",IF(C87=J92,", 1st to 3rd Basement Completed",IF(C87=J93,", 1st to 4th Basement Completed",IF(C87=J94,", Plinth work is process",IF(C87=J95,"","0"))))))))))</f>
        <v/>
      </c>
    </row>
    <row r="84" spans="1:10" x14ac:dyDescent="0.35">
      <c r="A84" s="125" t="s">
        <v>87</v>
      </c>
      <c r="B84" s="125"/>
      <c r="C84" s="131" t="str">
        <f ca="1">(IF($C$53=C82,"All work Completed. OC Received.",I82))</f>
        <v>Excavation, Plinth Completed, RCC upto 7 Slab, Brickwork upto 2 Floor Completed</v>
      </c>
      <c r="D84" s="131"/>
      <c r="E84" s="131"/>
      <c r="F84" s="131"/>
      <c r="G84" s="131"/>
      <c r="H84" s="131"/>
      <c r="I84" s="56" t="str">
        <f ca="1">IF(I83&lt;&gt;""," Completed","")</f>
        <v xml:space="preserve"> Completed</v>
      </c>
      <c r="J84" s="41" t="str">
        <f ca="1">IF(J82&lt;&gt;"","Completed","")</f>
        <v>Completed</v>
      </c>
    </row>
    <row r="85" spans="1:10" ht="15.75" customHeight="1" x14ac:dyDescent="0.35">
      <c r="A85" s="119" t="s">
        <v>47</v>
      </c>
      <c r="B85" s="119"/>
      <c r="C85" s="63" t="s">
        <v>133</v>
      </c>
      <c r="D85" s="63" t="s">
        <v>80</v>
      </c>
      <c r="E85" s="119" t="s">
        <v>82</v>
      </c>
      <c r="F85" s="119"/>
      <c r="G85" s="119" t="s">
        <v>81</v>
      </c>
      <c r="H85" s="119"/>
      <c r="I85" s="13" t="s">
        <v>135</v>
      </c>
      <c r="J85" s="23">
        <f ca="1">H83*25%</f>
        <v>1.75</v>
      </c>
    </row>
    <row r="86" spans="1:10" x14ac:dyDescent="0.35">
      <c r="A86" s="119" t="s">
        <v>122</v>
      </c>
      <c r="B86" s="119"/>
      <c r="C86" s="63">
        <f ca="1">J87</f>
        <v>7</v>
      </c>
      <c r="D86" s="45">
        <f ca="1">((100/H83)*C86)/100</f>
        <v>1</v>
      </c>
      <c r="E86" s="183">
        <f ca="1">(((C87/H83*10)+(40/(D83+F83+H83)*C88)+(7.5/(H83)*C89)+(7.5/(H83)*C90)+(10/H83*C91)+(10/H83*C92)+(5/H83*C93)+(5/H83*C94)+(5/H83*C95))/100)</f>
        <v>0.43253968253968261</v>
      </c>
      <c r="F86" s="183"/>
      <c r="G86" s="183">
        <f ca="1">((((C86/H83)*20)+((C87/H83)*25)+(30/(H83+F83+D83)*C88)+(5/H83*C89)+(5/H83*C90)+(5/H83*C91)+(5/H83*C92)+(0/H83*C93)+(0/H83*C94)+(5/H83*C95))/100)</f>
        <v>0.69761904761904769</v>
      </c>
      <c r="H86" s="183"/>
      <c r="I86" s="13" t="s">
        <v>93</v>
      </c>
      <c r="J86" s="24">
        <f ca="1">H83*50%</f>
        <v>3.5</v>
      </c>
    </row>
    <row r="87" spans="1:10" x14ac:dyDescent="0.35">
      <c r="A87" s="119" t="s">
        <v>48</v>
      </c>
      <c r="B87" s="119"/>
      <c r="C87" s="46">
        <f ca="1">J95</f>
        <v>7</v>
      </c>
      <c r="D87" s="45">
        <f ca="1">((100/H83)*C87)/100</f>
        <v>1</v>
      </c>
      <c r="E87" s="183"/>
      <c r="F87" s="183"/>
      <c r="G87" s="183"/>
      <c r="H87" s="183"/>
      <c r="I87" s="13" t="s">
        <v>94</v>
      </c>
      <c r="J87" s="24">
        <f ca="1">H83</f>
        <v>7</v>
      </c>
    </row>
    <row r="88" spans="1:10" ht="15.75" customHeight="1" x14ac:dyDescent="0.35">
      <c r="A88" s="119" t="s">
        <v>123</v>
      </c>
      <c r="B88" s="119"/>
      <c r="C88" s="63">
        <v>7</v>
      </c>
      <c r="D88" s="45">
        <f ca="1">((100/(D83+F83+H83))*C88)/100</f>
        <v>0.77777777777777768</v>
      </c>
      <c r="E88" s="183"/>
      <c r="F88" s="183"/>
      <c r="G88" s="183"/>
      <c r="H88" s="183"/>
      <c r="I88" s="13" t="s">
        <v>95</v>
      </c>
      <c r="J88" s="25">
        <f ca="1">(IF(B83&gt;1,(H83/(B83+2)),H83/4))</f>
        <v>1.75</v>
      </c>
    </row>
    <row r="89" spans="1:10" ht="15.75" customHeight="1" x14ac:dyDescent="0.35">
      <c r="A89" s="119" t="s">
        <v>130</v>
      </c>
      <c r="B89" s="119" t="s">
        <v>124</v>
      </c>
      <c r="C89" s="63">
        <v>2</v>
      </c>
      <c r="D89" s="45">
        <f ca="1">((100/H83)*C89)/100</f>
        <v>0.28571428571428575</v>
      </c>
      <c r="E89" s="183"/>
      <c r="F89" s="183"/>
      <c r="G89" s="183"/>
      <c r="H89" s="183"/>
      <c r="I89" s="13" t="s">
        <v>96</v>
      </c>
      <c r="J89" s="25">
        <f ca="1">(IF(B83&gt;1,(H83/(B83+2)+J88),H83/4+J88))</f>
        <v>3.5</v>
      </c>
    </row>
    <row r="90" spans="1:10" ht="15.75" customHeight="1" x14ac:dyDescent="0.35">
      <c r="A90" s="119" t="s">
        <v>131</v>
      </c>
      <c r="B90" s="119" t="s">
        <v>124</v>
      </c>
      <c r="C90" s="63">
        <v>0</v>
      </c>
      <c r="D90" s="45">
        <f ca="1">((100/H83)*C90)/100</f>
        <v>0</v>
      </c>
      <c r="E90" s="183"/>
      <c r="F90" s="183"/>
      <c r="G90" s="183"/>
      <c r="H90" s="183"/>
      <c r="I90" s="13" t="s">
        <v>140</v>
      </c>
      <c r="J90" s="25">
        <f>(IF(B83&gt;1,(H83/(B83+2)+J89),0))</f>
        <v>0</v>
      </c>
    </row>
    <row r="91" spans="1:10" ht="15" customHeight="1" x14ac:dyDescent="0.35">
      <c r="A91" s="119" t="s">
        <v>129</v>
      </c>
      <c r="B91" s="119" t="s">
        <v>126</v>
      </c>
      <c r="C91" s="63">
        <v>0</v>
      </c>
      <c r="D91" s="45">
        <f ca="1">((100/(H83))*C91)/100</f>
        <v>0</v>
      </c>
      <c r="E91" s="183"/>
      <c r="F91" s="183"/>
      <c r="G91" s="183"/>
      <c r="H91" s="183"/>
      <c r="I91" s="13" t="s">
        <v>137</v>
      </c>
      <c r="J91" s="25">
        <f>(IF(B83&gt;2,(H83/(B83+2)+J90),0))</f>
        <v>0</v>
      </c>
    </row>
    <row r="92" spans="1:10" ht="15.75" customHeight="1" x14ac:dyDescent="0.35">
      <c r="A92" s="119" t="s">
        <v>125</v>
      </c>
      <c r="B92" s="119" t="s">
        <v>125</v>
      </c>
      <c r="C92" s="63">
        <v>0</v>
      </c>
      <c r="D92" s="45">
        <f ca="1">((100/H83)*C92)/100</f>
        <v>0</v>
      </c>
      <c r="E92" s="183"/>
      <c r="F92" s="183"/>
      <c r="G92" s="183"/>
      <c r="H92" s="183"/>
      <c r="I92" s="13" t="s">
        <v>138</v>
      </c>
      <c r="J92" s="26">
        <f>(IF(B83&gt;3,(H83/(B83+2)+J91),0))</f>
        <v>0</v>
      </c>
    </row>
    <row r="93" spans="1:10" ht="15.75" customHeight="1" x14ac:dyDescent="0.35">
      <c r="A93" s="119" t="s">
        <v>132</v>
      </c>
      <c r="B93" s="119"/>
      <c r="C93" s="63">
        <v>0</v>
      </c>
      <c r="D93" s="45">
        <f ca="1">((100/H83)*C93)/100</f>
        <v>0</v>
      </c>
      <c r="E93" s="183"/>
      <c r="F93" s="183"/>
      <c r="G93" s="183"/>
      <c r="H93" s="183"/>
      <c r="I93" s="13" t="s">
        <v>139</v>
      </c>
      <c r="J93" s="25">
        <f>(IF(B83&gt;4,(H83/(B83+2)+J92),0))</f>
        <v>0</v>
      </c>
    </row>
    <row r="94" spans="1:10" ht="15.75" customHeight="1" x14ac:dyDescent="0.35">
      <c r="A94" s="119" t="s">
        <v>127</v>
      </c>
      <c r="B94" s="119" t="s">
        <v>127</v>
      </c>
      <c r="C94" s="63">
        <v>0</v>
      </c>
      <c r="D94" s="45">
        <f ca="1">((100/(H83))*C94)/100</f>
        <v>0</v>
      </c>
      <c r="E94" s="183"/>
      <c r="F94" s="183"/>
      <c r="G94" s="183"/>
      <c r="H94" s="183"/>
      <c r="I94" s="13" t="s">
        <v>141</v>
      </c>
      <c r="J94" s="25">
        <f ca="1">(IF(B83=1,(H83/(B83+3)+J89),IF(B83=0,(H83/4+J89),IF(B83&gt;1,0))))</f>
        <v>5.25</v>
      </c>
    </row>
    <row r="95" spans="1:10" ht="16" thickBot="1" x14ac:dyDescent="0.4">
      <c r="A95" s="119" t="s">
        <v>128</v>
      </c>
      <c r="B95" s="119"/>
      <c r="C95" s="63">
        <v>0</v>
      </c>
      <c r="D95" s="45">
        <f ca="1">((100/(H83))*C95)/100</f>
        <v>0</v>
      </c>
      <c r="E95" s="183"/>
      <c r="F95" s="183"/>
      <c r="G95" s="183"/>
      <c r="H95" s="183"/>
      <c r="I95" s="14" t="s">
        <v>97</v>
      </c>
      <c r="J95" s="27">
        <f ca="1">(IF(B83&gt;1.5,(H83/(B83+2)+J89+MAX(0,J90-J89)+MAX(0,J91-J90)+MAX(0,J92-J91)+MAX(0,J93-J92)+MAX(0,J94-J93)),IF(B83=1,(H83/(B83+3)+J94),IF(B83=0,H83/4+J94))))</f>
        <v>7</v>
      </c>
    </row>
    <row r="96" spans="1:10" x14ac:dyDescent="0.35">
      <c r="A96" s="125" t="s">
        <v>151</v>
      </c>
      <c r="B96" s="125"/>
      <c r="C96" s="125"/>
      <c r="D96" s="125"/>
      <c r="E96" s="125"/>
      <c r="F96" s="160" t="s">
        <v>154</v>
      </c>
      <c r="G96" s="160"/>
      <c r="H96" s="160"/>
    </row>
    <row r="97" spans="1:12" x14ac:dyDescent="0.35">
      <c r="A97" s="109" t="s">
        <v>152</v>
      </c>
      <c r="B97" s="109"/>
      <c r="C97" s="109"/>
      <c r="D97" s="109"/>
      <c r="E97" s="109"/>
      <c r="F97" s="132">
        <v>5000</v>
      </c>
      <c r="G97" s="132"/>
      <c r="H97" s="132"/>
    </row>
    <row r="98" spans="1:12" x14ac:dyDescent="0.35">
      <c r="A98" s="109" t="s">
        <v>153</v>
      </c>
      <c r="B98" s="109"/>
      <c r="C98" s="109"/>
      <c r="D98" s="109"/>
      <c r="E98" s="109"/>
      <c r="F98" s="132">
        <v>12000</v>
      </c>
      <c r="G98" s="132"/>
      <c r="H98" s="132"/>
      <c r="K98" s="16">
        <f>940*4600</f>
        <v>4324000</v>
      </c>
    </row>
    <row r="99" spans="1:12" s="28" customFormat="1" x14ac:dyDescent="0.3">
      <c r="A99" s="109" t="s">
        <v>92</v>
      </c>
      <c r="B99" s="109"/>
      <c r="C99" s="109"/>
      <c r="D99" s="109"/>
      <c r="E99" s="109"/>
      <c r="F99" s="132">
        <v>275000</v>
      </c>
      <c r="G99" s="132"/>
      <c r="H99" s="132"/>
    </row>
    <row r="100" spans="1:12" s="28" customFormat="1" hidden="1" x14ac:dyDescent="0.3">
      <c r="A100" s="109" t="s">
        <v>155</v>
      </c>
      <c r="B100" s="109"/>
      <c r="C100" s="109"/>
      <c r="D100" s="109"/>
      <c r="E100" s="109"/>
      <c r="F100" s="132">
        <v>10000</v>
      </c>
      <c r="G100" s="132"/>
      <c r="H100" s="132"/>
      <c r="I100" s="51">
        <v>44879</v>
      </c>
      <c r="J100" s="52" t="s">
        <v>191</v>
      </c>
      <c r="K100" s="52" t="s">
        <v>192</v>
      </c>
      <c r="L100" s="52" t="s">
        <v>193</v>
      </c>
    </row>
    <row r="101" spans="1:12" x14ac:dyDescent="0.35">
      <c r="A101" s="109" t="s">
        <v>49</v>
      </c>
      <c r="B101" s="109"/>
      <c r="C101" s="109"/>
      <c r="D101" s="109"/>
      <c r="E101" s="109"/>
      <c r="F101" s="132">
        <v>200000</v>
      </c>
      <c r="G101" s="132"/>
      <c r="H101" s="132"/>
    </row>
    <row r="102" spans="1:12" s="29" customFormat="1" x14ac:dyDescent="0.35">
      <c r="A102" s="125" t="s">
        <v>50</v>
      </c>
      <c r="B102" s="125"/>
      <c r="C102" s="125"/>
      <c r="D102" s="125"/>
      <c r="E102" s="125"/>
      <c r="F102" s="132">
        <f>F97*0.8</f>
        <v>4000</v>
      </c>
      <c r="G102" s="132"/>
      <c r="H102" s="132"/>
    </row>
    <row r="103" spans="1:12" s="30" customFormat="1" ht="15.75" customHeight="1" x14ac:dyDescent="0.35">
      <c r="A103" s="144" t="s">
        <v>72</v>
      </c>
      <c r="B103" s="144"/>
      <c r="C103" s="144"/>
      <c r="D103" s="144"/>
      <c r="E103" s="144"/>
      <c r="F103" s="144"/>
      <c r="G103" s="144"/>
      <c r="H103" s="144"/>
    </row>
    <row r="104" spans="1:12" s="30" customFormat="1" ht="15.75" customHeight="1" x14ac:dyDescent="0.35">
      <c r="A104" s="128" t="s">
        <v>51</v>
      </c>
      <c r="B104" s="128"/>
      <c r="C104" s="188" t="s">
        <v>75</v>
      </c>
      <c r="D104" s="188"/>
      <c r="E104" s="148" t="s">
        <v>52</v>
      </c>
      <c r="F104" s="148"/>
      <c r="G104" s="128" t="s">
        <v>53</v>
      </c>
      <c r="H104" s="128"/>
      <c r="J104" s="30" t="s">
        <v>186</v>
      </c>
    </row>
    <row r="105" spans="1:12" s="30" customFormat="1" ht="31.5" customHeight="1" x14ac:dyDescent="0.35">
      <c r="A105" s="64" t="s">
        <v>179</v>
      </c>
      <c r="B105" s="64" t="s">
        <v>178</v>
      </c>
      <c r="C105" s="185">
        <f>COUNT(D118:D124)</f>
        <v>7</v>
      </c>
      <c r="D105" s="186"/>
      <c r="E105" s="133">
        <f>SUM(D118:D124)</f>
        <v>1357.1305019999998</v>
      </c>
      <c r="F105" s="134"/>
      <c r="G105" s="133">
        <f>SUM(F118:F124)</f>
        <v>2720</v>
      </c>
      <c r="H105" s="134"/>
    </row>
    <row r="106" spans="1:12" s="30" customFormat="1" x14ac:dyDescent="0.3">
      <c r="A106" s="97" t="s">
        <v>144</v>
      </c>
      <c r="B106" s="97"/>
      <c r="C106" s="98">
        <f t="shared" ref="C106:G106" si="0">SUM(C105)</f>
        <v>7</v>
      </c>
      <c r="D106" s="98"/>
      <c r="E106" s="187">
        <f t="shared" si="0"/>
        <v>1357.1305019999998</v>
      </c>
      <c r="F106" s="187"/>
      <c r="G106" s="98">
        <f t="shared" si="0"/>
        <v>2720</v>
      </c>
      <c r="H106" s="98"/>
      <c r="J106" s="30" t="s">
        <v>187</v>
      </c>
      <c r="K106" s="30" t="s">
        <v>190</v>
      </c>
    </row>
    <row r="107" spans="1:12" s="30" customFormat="1" ht="15.75" customHeight="1" x14ac:dyDescent="0.35">
      <c r="A107" s="146" t="s">
        <v>67</v>
      </c>
      <c r="B107" s="146"/>
      <c r="C107" s="146"/>
      <c r="D107" s="146"/>
      <c r="E107" s="146"/>
      <c r="F107" s="146"/>
      <c r="G107" s="146"/>
      <c r="H107" s="146"/>
      <c r="I107" s="30" t="s">
        <v>188</v>
      </c>
      <c r="J107" s="30">
        <v>12000</v>
      </c>
    </row>
    <row r="108" spans="1:12" s="30" customFormat="1" x14ac:dyDescent="0.35">
      <c r="A108" s="128" t="s">
        <v>51</v>
      </c>
      <c r="B108" s="128"/>
      <c r="C108" s="188" t="s">
        <v>75</v>
      </c>
      <c r="D108" s="188"/>
      <c r="E108" s="148" t="s">
        <v>52</v>
      </c>
      <c r="F108" s="148"/>
      <c r="G108" s="128" t="s">
        <v>53</v>
      </c>
      <c r="H108" s="128"/>
      <c r="I108" s="30" t="s">
        <v>189</v>
      </c>
      <c r="J108" s="30">
        <v>4600</v>
      </c>
      <c r="K108" s="30">
        <v>4600</v>
      </c>
    </row>
    <row r="109" spans="1:12" s="30" customFormat="1" x14ac:dyDescent="0.35">
      <c r="A109" s="145" t="s">
        <v>179</v>
      </c>
      <c r="B109" s="145"/>
      <c r="C109" s="186">
        <f>COUNT(D130:D140)+COUNT(D142:D152)*6</f>
        <v>76</v>
      </c>
      <c r="D109" s="186"/>
      <c r="E109" s="189">
        <f>SUM(D130:D140)+SUM(D142:D152)*6</f>
        <v>35102.265120000004</v>
      </c>
      <c r="F109" s="189"/>
      <c r="G109" s="189">
        <f>SUM(F130:F140)+SUM(F142:F152)*6</f>
        <v>52335</v>
      </c>
      <c r="H109" s="189"/>
    </row>
    <row r="110" spans="1:12" s="30" customFormat="1" x14ac:dyDescent="0.35">
      <c r="A110" s="145" t="s">
        <v>216</v>
      </c>
      <c r="B110" s="145"/>
      <c r="C110" s="185">
        <f>COUNT(D156:D167)*8</f>
        <v>96</v>
      </c>
      <c r="D110" s="186"/>
      <c r="E110" s="192">
        <f>SUM(D156:D167)*8</f>
        <v>41371.649280000005</v>
      </c>
      <c r="F110" s="193"/>
      <c r="G110" s="192">
        <f>SUM(F156:F167)*8</f>
        <v>61240</v>
      </c>
      <c r="H110" s="193"/>
    </row>
    <row r="111" spans="1:12" s="30" customFormat="1" ht="16" thickBot="1" x14ac:dyDescent="0.35">
      <c r="A111" s="97" t="s">
        <v>144</v>
      </c>
      <c r="B111" s="97"/>
      <c r="C111" s="98">
        <f>SUM(C109:D110)</f>
        <v>172</v>
      </c>
      <c r="D111" s="98"/>
      <c r="E111" s="187">
        <f>SUM(E109:F110)</f>
        <v>76473.914400000009</v>
      </c>
      <c r="F111" s="187"/>
      <c r="G111" s="98">
        <f>SUM(G109:H110)</f>
        <v>113575</v>
      </c>
      <c r="H111" s="98"/>
    </row>
    <row r="112" spans="1:12" s="29" customFormat="1" ht="16" thickBot="1" x14ac:dyDescent="0.4">
      <c r="A112" s="84" t="s">
        <v>204</v>
      </c>
      <c r="B112" s="85"/>
      <c r="C112" s="86">
        <f>C106+C111</f>
        <v>179</v>
      </c>
      <c r="D112" s="86"/>
      <c r="E112" s="86">
        <f>E106+E111</f>
        <v>77831.044902000009</v>
      </c>
      <c r="F112" s="86"/>
      <c r="G112" s="86">
        <f>G106+G111</f>
        <v>116295</v>
      </c>
      <c r="H112" s="86"/>
      <c r="J112" s="53">
        <f>SUM(E105,E111)</f>
        <v>77831.044902000009</v>
      </c>
    </row>
    <row r="113" spans="1:15" x14ac:dyDescent="0.35">
      <c r="A113" s="149" t="s">
        <v>214</v>
      </c>
      <c r="B113" s="149"/>
      <c r="C113" s="149"/>
      <c r="D113" s="149"/>
      <c r="E113" s="149"/>
      <c r="F113" s="149"/>
      <c r="G113" s="149"/>
      <c r="H113" s="149"/>
    </row>
    <row r="114" spans="1:15" x14ac:dyDescent="0.35">
      <c r="A114" s="124" t="s">
        <v>215</v>
      </c>
      <c r="B114" s="124"/>
      <c r="C114" s="124"/>
      <c r="D114" s="124"/>
      <c r="E114" s="124"/>
      <c r="F114" s="124"/>
      <c r="G114" s="124"/>
      <c r="H114" s="124"/>
    </row>
    <row r="115" spans="1:15" s="32" customFormat="1" ht="45" x14ac:dyDescent="0.35">
      <c r="A115" s="57" t="s">
        <v>112</v>
      </c>
      <c r="B115" s="57" t="s">
        <v>111</v>
      </c>
      <c r="C115" s="57" t="s">
        <v>54</v>
      </c>
      <c r="D115" s="57" t="s">
        <v>55</v>
      </c>
      <c r="E115" s="62" t="s">
        <v>150</v>
      </c>
      <c r="F115" s="57" t="s">
        <v>185</v>
      </c>
      <c r="G115" s="190" t="s">
        <v>57</v>
      </c>
      <c r="H115" s="190"/>
      <c r="J115" s="31"/>
    </row>
    <row r="116" spans="1:15" s="32" customFormat="1" x14ac:dyDescent="0.35">
      <c r="A116" s="99" t="s">
        <v>177</v>
      </c>
      <c r="B116" s="99"/>
      <c r="C116" s="99"/>
      <c r="D116" s="99"/>
      <c r="E116" s="99"/>
      <c r="F116" s="99"/>
      <c r="G116" s="99"/>
      <c r="H116" s="99"/>
      <c r="J116" s="31"/>
    </row>
    <row r="117" spans="1:15" s="32" customFormat="1" ht="15.75" customHeight="1" x14ac:dyDescent="0.35">
      <c r="A117" s="100" t="s">
        <v>220</v>
      </c>
      <c r="B117" s="101"/>
      <c r="C117" s="101"/>
      <c r="D117" s="101"/>
      <c r="E117" s="101"/>
      <c r="F117" s="101"/>
      <c r="G117" s="101"/>
      <c r="H117" s="102"/>
      <c r="I117" s="31"/>
      <c r="J117" s="32">
        <f>F118/D118</f>
        <v>2.0294317628361727</v>
      </c>
      <c r="L117" s="94"/>
      <c r="M117" s="94"/>
      <c r="N117" s="31"/>
    </row>
    <row r="118" spans="1:15" s="32" customFormat="1" ht="15.75" customHeight="1" x14ac:dyDescent="0.35">
      <c r="A118" s="69">
        <v>1</v>
      </c>
      <c r="B118" s="70"/>
      <c r="C118" s="37" t="s">
        <v>178</v>
      </c>
      <c r="D118" s="37">
        <f>(4.27*5.95)*10.764</f>
        <v>273.47556599999996</v>
      </c>
      <c r="E118" s="37">
        <f>(4.27*1.98)*10.764</f>
        <v>91.005314399999989</v>
      </c>
      <c r="F118" s="50">
        <v>555</v>
      </c>
      <c r="G118" s="71" t="str">
        <f>A117</f>
        <v>Ground Floor For Commercial, Parking &amp; Part Amenity Area Hand over to KDMC</v>
      </c>
      <c r="H118" s="72"/>
      <c r="I118" s="31"/>
      <c r="J118" s="32">
        <f t="shared" ref="J118:J123" si="1">F119/D119</f>
        <v>2.0156030386209416</v>
      </c>
      <c r="L118" s="94"/>
      <c r="M118" s="94"/>
      <c r="N118" s="31"/>
    </row>
    <row r="119" spans="1:15" s="32" customFormat="1" ht="15.75" customHeight="1" x14ac:dyDescent="0.35">
      <c r="A119" s="69">
        <f t="shared" ref="A119:A124" si="2">A118+1</f>
        <v>2</v>
      </c>
      <c r="B119" s="70"/>
      <c r="C119" s="37" t="s">
        <v>178</v>
      </c>
      <c r="D119" s="37">
        <f>(2.75*5.95)*10.764</f>
        <v>176.12594999999999</v>
      </c>
      <c r="E119" s="37">
        <f>(2.75*1.98)*10.764</f>
        <v>58.60998</v>
      </c>
      <c r="F119" s="50">
        <v>355</v>
      </c>
      <c r="G119" s="73"/>
      <c r="H119" s="74"/>
      <c r="I119" s="31"/>
      <c r="J119" s="32">
        <f t="shared" si="1"/>
        <v>1.9020479378535646</v>
      </c>
      <c r="L119" s="94"/>
      <c r="M119" s="94"/>
      <c r="N119" s="31"/>
    </row>
    <row r="120" spans="1:15" s="32" customFormat="1" ht="15.75" customHeight="1" x14ac:dyDescent="0.35">
      <c r="A120" s="69">
        <f t="shared" si="2"/>
        <v>3</v>
      </c>
      <c r="B120" s="70"/>
      <c r="C120" s="37" t="s">
        <v>178</v>
      </c>
      <c r="D120" s="37">
        <f>(2.75*5.95)*10.764</f>
        <v>176.12594999999999</v>
      </c>
      <c r="E120" s="37">
        <f>(2.75*1.98)*10.764</f>
        <v>58.60998</v>
      </c>
      <c r="F120" s="50">
        <v>335</v>
      </c>
      <c r="G120" s="73"/>
      <c r="H120" s="74"/>
      <c r="I120" s="31"/>
      <c r="J120" s="32">
        <f t="shared" si="1"/>
        <v>2.0124487302662923</v>
      </c>
      <c r="L120" s="94"/>
      <c r="M120" s="94"/>
      <c r="N120" s="31"/>
    </row>
    <row r="121" spans="1:15" s="32" customFormat="1" ht="15.75" customHeight="1" x14ac:dyDescent="0.35">
      <c r="A121" s="69">
        <f t="shared" si="2"/>
        <v>4</v>
      </c>
      <c r="B121" s="70"/>
      <c r="C121" s="37" t="s">
        <v>178</v>
      </c>
      <c r="D121" s="37">
        <f>(2.25*5.95)*10.764</f>
        <v>144.10305</v>
      </c>
      <c r="E121" s="37">
        <f>(2.25*1.98)*10.764</f>
        <v>47.953620000000001</v>
      </c>
      <c r="F121" s="50">
        <v>290</v>
      </c>
      <c r="G121" s="73"/>
      <c r="H121" s="74"/>
      <c r="I121" s="31"/>
      <c r="J121" s="32">
        <f t="shared" si="1"/>
        <v>2.0196989315590685</v>
      </c>
      <c r="L121" s="94"/>
      <c r="M121" s="94"/>
      <c r="N121" s="31"/>
    </row>
    <row r="122" spans="1:15" s="32" customFormat="1" ht="15.75" customHeight="1" x14ac:dyDescent="0.35">
      <c r="A122" s="69">
        <f t="shared" si="2"/>
        <v>5</v>
      </c>
      <c r="B122" s="70"/>
      <c r="C122" s="37" t="s">
        <v>178</v>
      </c>
      <c r="D122" s="37">
        <f>(4.02*5.95)*10.764</f>
        <v>257.46411599999993</v>
      </c>
      <c r="E122" s="37">
        <f>(4.02*1.98)*10.764</f>
        <v>85.677134399999986</v>
      </c>
      <c r="F122" s="50">
        <v>520</v>
      </c>
      <c r="G122" s="73"/>
      <c r="H122" s="74"/>
      <c r="I122" s="31"/>
      <c r="J122" s="32">
        <f t="shared" si="1"/>
        <v>2.0124487302662923</v>
      </c>
      <c r="L122" s="94"/>
      <c r="M122" s="94"/>
      <c r="N122" s="31"/>
    </row>
    <row r="123" spans="1:15" s="32" customFormat="1" ht="15.75" customHeight="1" x14ac:dyDescent="0.35">
      <c r="A123" s="69">
        <f t="shared" si="2"/>
        <v>6</v>
      </c>
      <c r="B123" s="70"/>
      <c r="C123" s="37" t="s">
        <v>178</v>
      </c>
      <c r="D123" s="37">
        <f>(2.25*5.95)*10.764</f>
        <v>144.10305</v>
      </c>
      <c r="E123" s="37">
        <f>(2.25*1.98)*10.764</f>
        <v>47.953620000000001</v>
      </c>
      <c r="F123" s="50">
        <v>290</v>
      </c>
      <c r="G123" s="73"/>
      <c r="H123" s="74"/>
      <c r="I123" s="31"/>
      <c r="J123" s="32">
        <f t="shared" si="1"/>
        <v>2.0190292701096126</v>
      </c>
      <c r="L123" s="94"/>
      <c r="M123" s="94"/>
      <c r="N123" s="31"/>
    </row>
    <row r="124" spans="1:15" s="32" customFormat="1" x14ac:dyDescent="0.35">
      <c r="A124" s="69">
        <f t="shared" si="2"/>
        <v>7</v>
      </c>
      <c r="B124" s="70"/>
      <c r="C124" s="37" t="s">
        <v>178</v>
      </c>
      <c r="D124" s="37">
        <f>(2.9*5.95)*10.764</f>
        <v>185.73281999999998</v>
      </c>
      <c r="E124" s="37">
        <f>(2.9*1.98)*10.764</f>
        <v>61.806887999999994</v>
      </c>
      <c r="F124" s="50">
        <v>375</v>
      </c>
      <c r="G124" s="73"/>
      <c r="H124" s="74"/>
      <c r="I124" s="31"/>
      <c r="N124" s="31"/>
    </row>
    <row r="125" spans="1:15" s="59" customFormat="1" x14ac:dyDescent="0.35">
      <c r="A125" s="69" t="s">
        <v>218</v>
      </c>
      <c r="B125" s="70"/>
      <c r="C125" s="69" t="s">
        <v>219</v>
      </c>
      <c r="D125" s="77"/>
      <c r="E125" s="77"/>
      <c r="F125" s="70"/>
      <c r="G125" s="75"/>
      <c r="H125" s="76"/>
      <c r="I125" s="31"/>
      <c r="N125" s="31"/>
    </row>
    <row r="126" spans="1:15" ht="16" x14ac:dyDescent="0.35">
      <c r="A126" s="69"/>
      <c r="B126" s="77"/>
      <c r="C126" s="77"/>
      <c r="D126" s="77"/>
      <c r="E126" s="77"/>
      <c r="F126" s="77"/>
      <c r="G126" s="77"/>
      <c r="H126" s="70"/>
      <c r="I126" s="31"/>
      <c r="J126" s="104" t="s">
        <v>203</v>
      </c>
      <c r="K126" s="104"/>
      <c r="L126" s="104"/>
      <c r="M126" s="104"/>
      <c r="N126" s="104"/>
      <c r="O126" s="104"/>
    </row>
    <row r="127" spans="1:15" s="32" customFormat="1" ht="45" x14ac:dyDescent="0.35">
      <c r="A127" s="44" t="s">
        <v>113</v>
      </c>
      <c r="B127" s="44" t="s">
        <v>114</v>
      </c>
      <c r="C127" s="38" t="s">
        <v>54</v>
      </c>
      <c r="D127" s="38" t="s">
        <v>55</v>
      </c>
      <c r="E127" s="38" t="s">
        <v>56</v>
      </c>
      <c r="F127" s="38" t="s">
        <v>185</v>
      </c>
      <c r="G127" s="129" t="s">
        <v>57</v>
      </c>
      <c r="H127" s="130"/>
      <c r="I127" s="31"/>
      <c r="L127" s="94"/>
      <c r="M127" s="94"/>
    </row>
    <row r="128" spans="1:15" s="32" customFormat="1" x14ac:dyDescent="0.35">
      <c r="A128" s="99" t="s">
        <v>179</v>
      </c>
      <c r="B128" s="99"/>
      <c r="C128" s="99"/>
      <c r="D128" s="99"/>
      <c r="E128" s="99"/>
      <c r="F128" s="99"/>
      <c r="G128" s="99"/>
      <c r="H128" s="99"/>
      <c r="I128" s="31"/>
      <c r="L128" s="94"/>
      <c r="M128" s="94"/>
    </row>
    <row r="129" spans="1:14" s="32" customFormat="1" ht="15.75" customHeight="1" x14ac:dyDescent="0.35">
      <c r="A129" s="103" t="s">
        <v>217</v>
      </c>
      <c r="B129" s="103"/>
      <c r="C129" s="103"/>
      <c r="D129" s="103"/>
      <c r="E129" s="103"/>
      <c r="F129" s="103"/>
      <c r="G129" s="103"/>
      <c r="H129" s="103"/>
      <c r="I129" s="31"/>
      <c r="J129" s="32">
        <f>F130/D130</f>
        <v>1.4652608859194196</v>
      </c>
      <c r="K129" s="32">
        <f>4500*F130</f>
        <v>2790000</v>
      </c>
      <c r="N129" s="31"/>
    </row>
    <row r="130" spans="1:14" s="32" customFormat="1" ht="15.75" customHeight="1" x14ac:dyDescent="0.35">
      <c r="A130" s="96">
        <v>1</v>
      </c>
      <c r="B130" s="96"/>
      <c r="C130" s="43">
        <v>1</v>
      </c>
      <c r="D130" s="37">
        <f>(36.61+(1.8*1.5))*10.764</f>
        <v>423.13283999999999</v>
      </c>
      <c r="E130" s="37">
        <v>0</v>
      </c>
      <c r="F130" s="50">
        <v>620</v>
      </c>
      <c r="G130" s="71" t="str">
        <f>A129</f>
        <v>1st Floor For Residential &amp; (Part Amenity Area Hand over to KDMC)</v>
      </c>
      <c r="H130" s="72"/>
      <c r="I130" s="31"/>
      <c r="J130" s="32">
        <f t="shared" ref="J130:J151" si="3">F131/D131</f>
        <v>1.4652608859194196</v>
      </c>
      <c r="K130" s="32">
        <f t="shared" ref="K130:K139" si="4">4500*F131</f>
        <v>2790000</v>
      </c>
      <c r="N130" s="31"/>
    </row>
    <row r="131" spans="1:14" s="32" customFormat="1" ht="15.75" customHeight="1" x14ac:dyDescent="0.35">
      <c r="A131" s="96">
        <f t="shared" ref="A131:A140" si="5">A130+1</f>
        <v>2</v>
      </c>
      <c r="B131" s="96"/>
      <c r="C131" s="43">
        <v>1</v>
      </c>
      <c r="D131" s="37">
        <f>(36.61+(1.8*1.5))*10.764</f>
        <v>423.13283999999999</v>
      </c>
      <c r="E131" s="37">
        <v>0</v>
      </c>
      <c r="F131" s="50">
        <v>620</v>
      </c>
      <c r="G131" s="73"/>
      <c r="H131" s="74"/>
      <c r="I131" s="31"/>
      <c r="J131" s="32">
        <f t="shared" si="3"/>
        <v>1.5439909972841528</v>
      </c>
      <c r="K131" s="32">
        <f t="shared" si="4"/>
        <v>4230000</v>
      </c>
      <c r="N131" s="31"/>
    </row>
    <row r="132" spans="1:14" s="32" customFormat="1" ht="15.75" customHeight="1" x14ac:dyDescent="0.35">
      <c r="A132" s="96">
        <f t="shared" si="5"/>
        <v>3</v>
      </c>
      <c r="B132" s="96"/>
      <c r="C132" s="43">
        <v>2</v>
      </c>
      <c r="D132" s="37">
        <f>(50.23+(3.33+2*1.5))*10.764</f>
        <v>608.81183999999996</v>
      </c>
      <c r="E132" s="37">
        <v>0</v>
      </c>
      <c r="F132" s="50">
        <v>940</v>
      </c>
      <c r="G132" s="73"/>
      <c r="H132" s="74"/>
      <c r="I132" s="31"/>
      <c r="J132" s="32">
        <f t="shared" si="3"/>
        <v>1.4740392212355984</v>
      </c>
      <c r="K132" s="32">
        <f t="shared" si="4"/>
        <v>2632500</v>
      </c>
      <c r="N132" s="31"/>
    </row>
    <row r="133" spans="1:14" s="32" customFormat="1" ht="15.75" customHeight="1" x14ac:dyDescent="0.35">
      <c r="A133" s="96">
        <f t="shared" si="5"/>
        <v>4</v>
      </c>
      <c r="B133" s="96"/>
      <c r="C133" s="43">
        <v>1</v>
      </c>
      <c r="D133" s="37">
        <f>(34.02+(1.5*1.9))*10.764</f>
        <v>396.86868000000004</v>
      </c>
      <c r="E133" s="37">
        <v>0</v>
      </c>
      <c r="F133" s="50">
        <v>585</v>
      </c>
      <c r="G133" s="73"/>
      <c r="H133" s="74"/>
      <c r="I133" s="31"/>
      <c r="J133" s="32">
        <f t="shared" si="3"/>
        <v>1.4740392212355984</v>
      </c>
      <c r="K133" s="32">
        <f t="shared" si="4"/>
        <v>2632500</v>
      </c>
      <c r="N133" s="31"/>
    </row>
    <row r="134" spans="1:14" s="32" customFormat="1" ht="15.75" customHeight="1" x14ac:dyDescent="0.35">
      <c r="A134" s="96">
        <f t="shared" si="5"/>
        <v>5</v>
      </c>
      <c r="B134" s="96"/>
      <c r="C134" s="43">
        <v>1</v>
      </c>
      <c r="D134" s="37">
        <f>(34.02+(1.5*1.9))*10.764</f>
        <v>396.86868000000004</v>
      </c>
      <c r="E134" s="37">
        <v>0</v>
      </c>
      <c r="F134" s="50">
        <v>585</v>
      </c>
      <c r="G134" s="73"/>
      <c r="H134" s="74"/>
      <c r="I134" s="31"/>
      <c r="J134" s="32">
        <f>F136/D136</f>
        <v>1.5893875669285977</v>
      </c>
      <c r="K134" s="32">
        <f>4500*F136</f>
        <v>2790000</v>
      </c>
      <c r="N134" s="31"/>
    </row>
    <row r="135" spans="1:14" s="59" customFormat="1" ht="15.75" customHeight="1" x14ac:dyDescent="0.35">
      <c r="A135" s="96" t="s">
        <v>218</v>
      </c>
      <c r="B135" s="96"/>
      <c r="C135" s="139" t="s">
        <v>219</v>
      </c>
      <c r="D135" s="140"/>
      <c r="E135" s="140"/>
      <c r="F135" s="141"/>
      <c r="G135" s="73"/>
      <c r="H135" s="74"/>
      <c r="I135" s="31"/>
      <c r="N135" s="31"/>
    </row>
    <row r="136" spans="1:14" s="32" customFormat="1" ht="15.75" customHeight="1" x14ac:dyDescent="0.35">
      <c r="A136" s="96">
        <f>A134+1</f>
        <v>6</v>
      </c>
      <c r="B136" s="96"/>
      <c r="C136" s="43">
        <v>1</v>
      </c>
      <c r="D136" s="37">
        <f>(33.54+(1.8*1.5))*10.764</f>
        <v>390.08735999999999</v>
      </c>
      <c r="E136" s="37">
        <v>0</v>
      </c>
      <c r="F136" s="50">
        <v>620</v>
      </c>
      <c r="G136" s="73"/>
      <c r="H136" s="74"/>
      <c r="I136" s="31"/>
      <c r="J136" s="32">
        <f t="shared" si="3"/>
        <v>1.4652608859194196</v>
      </c>
      <c r="K136" s="32">
        <f t="shared" si="4"/>
        <v>2790000</v>
      </c>
      <c r="N136" s="31"/>
    </row>
    <row r="137" spans="1:14" s="32" customFormat="1" ht="15.75" customHeight="1" x14ac:dyDescent="0.35">
      <c r="A137" s="96">
        <f t="shared" si="5"/>
        <v>7</v>
      </c>
      <c r="B137" s="96"/>
      <c r="C137" s="43">
        <v>1</v>
      </c>
      <c r="D137" s="37">
        <f>(36.61+(1.8*1.5))*10.764</f>
        <v>423.13283999999999</v>
      </c>
      <c r="E137" s="37">
        <v>0</v>
      </c>
      <c r="F137" s="50">
        <v>620</v>
      </c>
      <c r="G137" s="73"/>
      <c r="H137" s="74"/>
      <c r="I137" s="31"/>
      <c r="J137" s="32">
        <f t="shared" si="3"/>
        <v>1.5118962680786878</v>
      </c>
      <c r="K137" s="32">
        <f t="shared" si="4"/>
        <v>4072500</v>
      </c>
      <c r="N137" s="31"/>
    </row>
    <row r="138" spans="1:14" s="32" customFormat="1" ht="15.75" customHeight="1" x14ac:dyDescent="0.35">
      <c r="A138" s="96">
        <f t="shared" si="5"/>
        <v>8</v>
      </c>
      <c r="B138" s="96"/>
      <c r="C138" s="43">
        <v>2</v>
      </c>
      <c r="D138" s="37">
        <f>(50.16+(2.75*1+1.8*1.5))*10.764</f>
        <v>598.58603999999991</v>
      </c>
      <c r="E138" s="37">
        <v>0</v>
      </c>
      <c r="F138" s="50">
        <v>905</v>
      </c>
      <c r="G138" s="73"/>
      <c r="H138" s="74"/>
      <c r="I138" s="31"/>
      <c r="J138" s="32">
        <f t="shared" si="3"/>
        <v>1.4652608859194196</v>
      </c>
      <c r="K138" s="32">
        <f t="shared" si="4"/>
        <v>2790000</v>
      </c>
      <c r="N138" s="31"/>
    </row>
    <row r="139" spans="1:14" s="32" customFormat="1" ht="15.75" customHeight="1" x14ac:dyDescent="0.35">
      <c r="A139" s="96">
        <f t="shared" si="5"/>
        <v>9</v>
      </c>
      <c r="B139" s="96"/>
      <c r="C139" s="43">
        <v>1</v>
      </c>
      <c r="D139" s="37">
        <f>(36.61+(1.8*1.5))*10.764</f>
        <v>423.13283999999999</v>
      </c>
      <c r="E139" s="37">
        <v>0</v>
      </c>
      <c r="F139" s="50">
        <v>620</v>
      </c>
      <c r="G139" s="73"/>
      <c r="H139" s="74"/>
      <c r="I139" s="31"/>
      <c r="J139" s="32">
        <f t="shared" si="3"/>
        <v>1.4652608859194196</v>
      </c>
      <c r="K139" s="32">
        <f t="shared" si="4"/>
        <v>2790000</v>
      </c>
      <c r="N139" s="31"/>
    </row>
    <row r="140" spans="1:14" s="32" customFormat="1" x14ac:dyDescent="0.35">
      <c r="A140" s="96">
        <f t="shared" si="5"/>
        <v>10</v>
      </c>
      <c r="B140" s="96"/>
      <c r="C140" s="43">
        <v>1</v>
      </c>
      <c r="D140" s="37">
        <f>(36.61+(1.8*1.5))*10.764</f>
        <v>423.13283999999999</v>
      </c>
      <c r="E140" s="37">
        <v>0</v>
      </c>
      <c r="F140" s="50">
        <v>620</v>
      </c>
      <c r="G140" s="75"/>
      <c r="H140" s="76"/>
      <c r="I140" s="31"/>
      <c r="K140" s="68">
        <v>5000</v>
      </c>
    </row>
    <row r="141" spans="1:14" s="32" customFormat="1" ht="15.75" customHeight="1" x14ac:dyDescent="0.35">
      <c r="A141" s="100" t="s">
        <v>221</v>
      </c>
      <c r="B141" s="101"/>
      <c r="C141" s="101"/>
      <c r="D141" s="101"/>
      <c r="E141" s="101"/>
      <c r="F141" s="101"/>
      <c r="G141" s="101"/>
      <c r="H141" s="102"/>
      <c r="I141" s="31"/>
      <c r="J141" s="32">
        <f t="shared" si="3"/>
        <v>1.4652608859194196</v>
      </c>
      <c r="K141" s="32">
        <f>$K$140*F142</f>
        <v>3100000</v>
      </c>
      <c r="L141" s="32">
        <v>275000</v>
      </c>
      <c r="M141" s="32">
        <f>K141+L141</f>
        <v>3375000</v>
      </c>
    </row>
    <row r="142" spans="1:14" s="32" customFormat="1" ht="15.75" customHeight="1" x14ac:dyDescent="0.35">
      <c r="A142" s="96">
        <v>1</v>
      </c>
      <c r="B142" s="96"/>
      <c r="C142" s="43">
        <v>1</v>
      </c>
      <c r="D142" s="37">
        <f>(36.61+(1.8*1.5))*10.764</f>
        <v>423.13283999999999</v>
      </c>
      <c r="E142" s="37">
        <v>0</v>
      </c>
      <c r="F142" s="50">
        <v>620</v>
      </c>
      <c r="G142" s="71" t="str">
        <f>A141</f>
        <v xml:space="preserve">2nd to 7th Floor For Residential </v>
      </c>
      <c r="H142" s="72"/>
      <c r="I142" s="31">
        <f>2900000/F142</f>
        <v>4677.4193548387093</v>
      </c>
      <c r="J142" s="32">
        <f t="shared" si="3"/>
        <v>1.4652608859194196</v>
      </c>
      <c r="K142" s="59">
        <f t="shared" ref="K142:K151" si="6">$K$140*F143</f>
        <v>3100000</v>
      </c>
      <c r="L142" s="59">
        <v>275000</v>
      </c>
      <c r="M142" s="59">
        <f t="shared" ref="M142:M151" si="7">K142+L142</f>
        <v>3375000</v>
      </c>
    </row>
    <row r="143" spans="1:14" s="32" customFormat="1" ht="15.75" customHeight="1" x14ac:dyDescent="0.35">
      <c r="A143" s="96">
        <f t="shared" ref="A143:A152" si="8">A142+1</f>
        <v>2</v>
      </c>
      <c r="B143" s="96"/>
      <c r="C143" s="43">
        <v>1</v>
      </c>
      <c r="D143" s="37">
        <f>(36.61+(1.8*1.5))*10.764</f>
        <v>423.13283999999999</v>
      </c>
      <c r="E143" s="37">
        <v>0</v>
      </c>
      <c r="F143" s="50">
        <v>620</v>
      </c>
      <c r="G143" s="73"/>
      <c r="H143" s="74"/>
      <c r="I143" s="31"/>
      <c r="J143" s="66">
        <f t="shared" si="3"/>
        <v>1.5111401250015113</v>
      </c>
      <c r="K143" s="59">
        <f t="shared" si="6"/>
        <v>4600000</v>
      </c>
      <c r="L143" s="59">
        <v>275000</v>
      </c>
      <c r="M143" s="59">
        <f t="shared" si="7"/>
        <v>4875000</v>
      </c>
    </row>
    <row r="144" spans="1:14" s="32" customFormat="1" ht="15.75" customHeight="1" x14ac:dyDescent="0.35">
      <c r="A144" s="96">
        <f t="shared" si="8"/>
        <v>3</v>
      </c>
      <c r="B144" s="96"/>
      <c r="C144" s="43">
        <v>2</v>
      </c>
      <c r="D144" s="37">
        <f>(50.23+(3.33*1+2*1.5))*10.764</f>
        <v>608.81183999999996</v>
      </c>
      <c r="E144" s="37">
        <v>0</v>
      </c>
      <c r="F144" s="50">
        <v>920</v>
      </c>
      <c r="G144" s="73"/>
      <c r="H144" s="74"/>
      <c r="I144" s="31"/>
      <c r="J144" s="66">
        <f t="shared" si="3"/>
        <v>1.461440595413072</v>
      </c>
      <c r="K144" s="59">
        <f t="shared" si="6"/>
        <v>2900000</v>
      </c>
      <c r="L144" s="59">
        <v>275000</v>
      </c>
      <c r="M144" s="68">
        <f t="shared" si="7"/>
        <v>3175000</v>
      </c>
    </row>
    <row r="145" spans="1:14" s="32" customFormat="1" ht="15.75" customHeight="1" x14ac:dyDescent="0.35">
      <c r="A145" s="96">
        <f t="shared" si="8"/>
        <v>4</v>
      </c>
      <c r="B145" s="96"/>
      <c r="C145" s="43">
        <v>1</v>
      </c>
      <c r="D145" s="37">
        <f>(34.02+(1.5*1.9))*10.764</f>
        <v>396.86868000000004</v>
      </c>
      <c r="E145" s="37">
        <v>0</v>
      </c>
      <c r="F145" s="50">
        <v>580</v>
      </c>
      <c r="G145" s="73"/>
      <c r="H145" s="74"/>
      <c r="I145" s="31">
        <f>2900000/F145</f>
        <v>5000</v>
      </c>
      <c r="J145" s="66">
        <f t="shared" si="3"/>
        <v>1.461440595413072</v>
      </c>
      <c r="K145" s="59">
        <f t="shared" si="6"/>
        <v>2900000</v>
      </c>
      <c r="L145" s="59">
        <v>275000</v>
      </c>
      <c r="M145" s="68">
        <f t="shared" si="7"/>
        <v>3175000</v>
      </c>
    </row>
    <row r="146" spans="1:14" s="32" customFormat="1" ht="15.75" customHeight="1" x14ac:dyDescent="0.35">
      <c r="A146" s="96">
        <f t="shared" si="8"/>
        <v>5</v>
      </c>
      <c r="B146" s="96"/>
      <c r="C146" s="43">
        <v>1</v>
      </c>
      <c r="D146" s="37">
        <f>(34.02+(1.5*1.9))*10.764</f>
        <v>396.86868000000004</v>
      </c>
      <c r="E146" s="37">
        <v>0</v>
      </c>
      <c r="F146" s="50">
        <v>580</v>
      </c>
      <c r="G146" s="73"/>
      <c r="H146" s="74"/>
      <c r="I146" s="31">
        <f>3241000/F146</f>
        <v>5587.9310344827591</v>
      </c>
      <c r="J146" s="66">
        <f t="shared" si="3"/>
        <v>1.5109490968508581</v>
      </c>
      <c r="K146" s="59">
        <f t="shared" si="6"/>
        <v>4475000</v>
      </c>
      <c r="L146" s="59">
        <v>275000</v>
      </c>
      <c r="M146" s="59">
        <f t="shared" si="7"/>
        <v>4750000</v>
      </c>
    </row>
    <row r="147" spans="1:14" s="32" customFormat="1" ht="15.75" customHeight="1" x14ac:dyDescent="0.35">
      <c r="A147" s="96">
        <f t="shared" si="8"/>
        <v>6</v>
      </c>
      <c r="B147" s="96"/>
      <c r="C147" s="43">
        <v>2</v>
      </c>
      <c r="D147" s="37">
        <f>(48.95+(2*1.5+3.08*1))*10.764</f>
        <v>592.34291999999994</v>
      </c>
      <c r="E147" s="37">
        <v>0</v>
      </c>
      <c r="F147" s="50">
        <v>895</v>
      </c>
      <c r="G147" s="73"/>
      <c r="H147" s="74"/>
      <c r="I147" s="31"/>
      <c r="J147" s="66">
        <f t="shared" si="3"/>
        <v>1.5893875669285977</v>
      </c>
      <c r="K147" s="59">
        <f t="shared" si="6"/>
        <v>3100000</v>
      </c>
      <c r="L147" s="59">
        <v>275000</v>
      </c>
      <c r="M147" s="59">
        <f t="shared" si="7"/>
        <v>3375000</v>
      </c>
    </row>
    <row r="148" spans="1:14" s="32" customFormat="1" ht="15.75" customHeight="1" x14ac:dyDescent="0.35">
      <c r="A148" s="96">
        <f t="shared" si="8"/>
        <v>7</v>
      </c>
      <c r="B148" s="96"/>
      <c r="C148" s="43">
        <v>1</v>
      </c>
      <c r="D148" s="37">
        <f>(33.54+(1.8*1.5))*10.764</f>
        <v>390.08735999999999</v>
      </c>
      <c r="E148" s="37">
        <v>0</v>
      </c>
      <c r="F148" s="50">
        <v>620</v>
      </c>
      <c r="G148" s="73"/>
      <c r="H148" s="74"/>
      <c r="I148" s="31"/>
      <c r="J148" s="66">
        <f t="shared" si="3"/>
        <v>1.4652608859194196</v>
      </c>
      <c r="K148" s="59">
        <f t="shared" si="6"/>
        <v>3100000</v>
      </c>
      <c r="L148" s="59">
        <v>275000</v>
      </c>
      <c r="M148" s="59">
        <f t="shared" si="7"/>
        <v>3375000</v>
      </c>
    </row>
    <row r="149" spans="1:14" s="32" customFormat="1" ht="15.75" customHeight="1" x14ac:dyDescent="0.35">
      <c r="A149" s="96">
        <f t="shared" si="8"/>
        <v>8</v>
      </c>
      <c r="B149" s="96"/>
      <c r="C149" s="43">
        <v>1</v>
      </c>
      <c r="D149" s="37">
        <f>(36.61+(1.8*1.5))*10.764</f>
        <v>423.13283999999999</v>
      </c>
      <c r="E149" s="37">
        <v>0</v>
      </c>
      <c r="F149" s="50">
        <v>620</v>
      </c>
      <c r="G149" s="73"/>
      <c r="H149" s="74"/>
      <c r="I149" s="31"/>
      <c r="J149" s="66">
        <f t="shared" si="3"/>
        <v>1.5118962680786878</v>
      </c>
      <c r="K149" s="59">
        <f t="shared" si="6"/>
        <v>4525000</v>
      </c>
      <c r="L149" s="59">
        <v>275000</v>
      </c>
      <c r="M149" s="59">
        <f t="shared" si="7"/>
        <v>4800000</v>
      </c>
    </row>
    <row r="150" spans="1:14" s="32" customFormat="1" ht="15.75" customHeight="1" x14ac:dyDescent="0.35">
      <c r="A150" s="96">
        <f t="shared" si="8"/>
        <v>9</v>
      </c>
      <c r="B150" s="96"/>
      <c r="C150" s="43">
        <v>2</v>
      </c>
      <c r="D150" s="37">
        <f>(50.16+(2.75*1+1.8*1.5))*10.764</f>
        <v>598.58603999999991</v>
      </c>
      <c r="E150" s="37">
        <v>0</v>
      </c>
      <c r="F150" s="50">
        <v>905</v>
      </c>
      <c r="G150" s="73"/>
      <c r="H150" s="74"/>
      <c r="I150" s="31"/>
      <c r="J150" s="66">
        <f t="shared" si="3"/>
        <v>1.4652608859194196</v>
      </c>
      <c r="K150" s="59">
        <f t="shared" si="6"/>
        <v>3100000</v>
      </c>
      <c r="L150" s="59">
        <v>275000</v>
      </c>
      <c r="M150" s="59">
        <f t="shared" si="7"/>
        <v>3375000</v>
      </c>
    </row>
    <row r="151" spans="1:14" s="32" customFormat="1" ht="15.75" customHeight="1" x14ac:dyDescent="0.35">
      <c r="A151" s="96">
        <f t="shared" si="8"/>
        <v>10</v>
      </c>
      <c r="B151" s="96"/>
      <c r="C151" s="43">
        <v>1</v>
      </c>
      <c r="D151" s="37">
        <f>(36.61+(1.8*1.5))*10.764</f>
        <v>423.13283999999999</v>
      </c>
      <c r="E151" s="37">
        <v>0</v>
      </c>
      <c r="F151" s="50">
        <v>620</v>
      </c>
      <c r="G151" s="73"/>
      <c r="H151" s="74"/>
      <c r="I151" s="31"/>
      <c r="J151" s="66">
        <f t="shared" si="3"/>
        <v>1.4652608859194196</v>
      </c>
      <c r="K151" s="59">
        <f t="shared" si="6"/>
        <v>3100000</v>
      </c>
      <c r="L151" s="59">
        <v>275000</v>
      </c>
      <c r="M151" s="59">
        <f t="shared" si="7"/>
        <v>3375000</v>
      </c>
    </row>
    <row r="152" spans="1:14" s="32" customFormat="1" x14ac:dyDescent="0.35">
      <c r="A152" s="96">
        <f t="shared" si="8"/>
        <v>11</v>
      </c>
      <c r="B152" s="96"/>
      <c r="C152" s="43">
        <v>1</v>
      </c>
      <c r="D152" s="37">
        <f>(36.61+(1.8*1.5))*10.764</f>
        <v>423.13283999999999</v>
      </c>
      <c r="E152" s="37">
        <v>0</v>
      </c>
      <c r="F152" s="50">
        <v>620</v>
      </c>
      <c r="G152" s="75"/>
      <c r="H152" s="76"/>
      <c r="J152" s="66"/>
    </row>
    <row r="153" spans="1:14" s="32" customFormat="1" x14ac:dyDescent="0.35">
      <c r="A153" s="136" t="s">
        <v>180</v>
      </c>
      <c r="B153" s="137"/>
      <c r="C153" s="137"/>
      <c r="D153" s="137"/>
      <c r="E153" s="137"/>
      <c r="F153" s="137"/>
      <c r="G153" s="137"/>
      <c r="H153" s="138"/>
      <c r="J153" s="66"/>
    </row>
    <row r="154" spans="1:14" s="32" customFormat="1" x14ac:dyDescent="0.35">
      <c r="A154" s="100" t="s">
        <v>181</v>
      </c>
      <c r="B154" s="101"/>
      <c r="C154" s="101"/>
      <c r="D154" s="101"/>
      <c r="E154" s="101"/>
      <c r="F154" s="101"/>
      <c r="G154" s="101"/>
      <c r="H154" s="102"/>
      <c r="J154" s="31"/>
      <c r="K154" s="68">
        <v>5000</v>
      </c>
    </row>
    <row r="155" spans="1:14" s="32" customFormat="1" ht="15.75" customHeight="1" x14ac:dyDescent="0.35">
      <c r="A155" s="103" t="s">
        <v>231</v>
      </c>
      <c r="B155" s="103"/>
      <c r="C155" s="103"/>
      <c r="D155" s="103"/>
      <c r="E155" s="103"/>
      <c r="F155" s="103"/>
      <c r="G155" s="103"/>
      <c r="H155" s="103"/>
      <c r="I155" s="31" t="s">
        <v>229</v>
      </c>
      <c r="J155" s="66">
        <f>F156/D156</f>
        <v>1.4800606232831295</v>
      </c>
      <c r="K155" s="32">
        <f>$K$154*F156</f>
        <v>2925000</v>
      </c>
      <c r="L155" s="94"/>
      <c r="M155" s="94"/>
      <c r="N155" s="31"/>
    </row>
    <row r="156" spans="1:14" s="32" customFormat="1" ht="15.75" customHeight="1" x14ac:dyDescent="0.35">
      <c r="A156" s="95">
        <v>1</v>
      </c>
      <c r="B156" s="95"/>
      <c r="C156" s="47">
        <v>1</v>
      </c>
      <c r="D156" s="60">
        <f t="shared" ref="D156:D158" si="9">(34.02+1.5*1.8)*10.764</f>
        <v>395.25408000000004</v>
      </c>
      <c r="E156" s="48">
        <v>0</v>
      </c>
      <c r="F156" s="48">
        <v>585</v>
      </c>
      <c r="G156" s="95" t="str">
        <f>A155</f>
        <v>Upper Ground &amp; 1st to 7th Floor For Residential</v>
      </c>
      <c r="H156" s="95"/>
      <c r="I156" s="66">
        <f>3000000/F156</f>
        <v>5128.2051282051279</v>
      </c>
      <c r="J156" s="66">
        <f t="shared" ref="J156:J166" si="10">F157/D157</f>
        <v>1.4800606232831295</v>
      </c>
      <c r="K156" s="59">
        <f t="shared" ref="K156:K166" si="11">$K$154*F157</f>
        <v>2925000</v>
      </c>
      <c r="L156" s="94">
        <f>(3200000-(3200000*0.08))/F156</f>
        <v>5032.4786324786328</v>
      </c>
      <c r="M156" s="94"/>
      <c r="N156" s="31"/>
    </row>
    <row r="157" spans="1:14" s="32" customFormat="1" ht="15.75" customHeight="1" x14ac:dyDescent="0.35">
      <c r="A157" s="95">
        <f t="shared" ref="A157:A167" si="12">A156+1</f>
        <v>2</v>
      </c>
      <c r="B157" s="95"/>
      <c r="C157" s="47">
        <v>1</v>
      </c>
      <c r="D157" s="60">
        <f t="shared" si="9"/>
        <v>395.25408000000004</v>
      </c>
      <c r="E157" s="48">
        <v>0</v>
      </c>
      <c r="F157" s="48">
        <v>585</v>
      </c>
      <c r="G157" s="95"/>
      <c r="H157" s="95"/>
      <c r="I157" s="31">
        <f>3200000/F158</f>
        <v>5470.0854700854698</v>
      </c>
      <c r="J157" s="66">
        <f t="shared" si="10"/>
        <v>1.4800606232831295</v>
      </c>
      <c r="K157" s="59">
        <f t="shared" si="11"/>
        <v>2925000</v>
      </c>
      <c r="L157" s="94">
        <f>(3241000-(3241000*0.08))</f>
        <v>2981720</v>
      </c>
      <c r="M157" s="94"/>
      <c r="N157" s="31"/>
    </row>
    <row r="158" spans="1:14" s="32" customFormat="1" ht="15.75" customHeight="1" x14ac:dyDescent="0.35">
      <c r="A158" s="95">
        <f t="shared" si="12"/>
        <v>3</v>
      </c>
      <c r="B158" s="95"/>
      <c r="C158" s="47">
        <v>1</v>
      </c>
      <c r="D158" s="60">
        <f t="shared" si="9"/>
        <v>395.25408000000004</v>
      </c>
      <c r="E158" s="48">
        <v>0</v>
      </c>
      <c r="F158" s="48">
        <v>585</v>
      </c>
      <c r="G158" s="95"/>
      <c r="H158" s="95"/>
      <c r="I158" s="31">
        <f>2700000/F158</f>
        <v>4615.3846153846152</v>
      </c>
      <c r="J158" s="66">
        <f t="shared" si="10"/>
        <v>1.4652608859194196</v>
      </c>
      <c r="K158" s="59">
        <f t="shared" si="11"/>
        <v>3100000</v>
      </c>
      <c r="L158" s="94"/>
      <c r="M158" s="94"/>
      <c r="N158" s="31"/>
    </row>
    <row r="159" spans="1:14" s="32" customFormat="1" ht="15.75" customHeight="1" x14ac:dyDescent="0.35">
      <c r="A159" s="95">
        <f t="shared" si="12"/>
        <v>4</v>
      </c>
      <c r="B159" s="95"/>
      <c r="C159" s="47">
        <v>1</v>
      </c>
      <c r="D159" s="48">
        <f>(36.61+1.8*1.5)*10.764</f>
        <v>423.13283999999999</v>
      </c>
      <c r="E159" s="48">
        <v>0</v>
      </c>
      <c r="F159" s="48">
        <v>620</v>
      </c>
      <c r="G159" s="95"/>
      <c r="H159" s="95"/>
      <c r="I159" s="31"/>
      <c r="J159" s="66">
        <f t="shared" si="10"/>
        <v>1.4652608859194196</v>
      </c>
      <c r="K159" s="59">
        <f t="shared" si="11"/>
        <v>3100000</v>
      </c>
      <c r="L159" s="94"/>
      <c r="M159" s="94"/>
      <c r="N159" s="31"/>
    </row>
    <row r="160" spans="1:14" s="32" customFormat="1" ht="15.75" customHeight="1" x14ac:dyDescent="0.35">
      <c r="A160" s="95">
        <f t="shared" si="12"/>
        <v>5</v>
      </c>
      <c r="B160" s="95"/>
      <c r="C160" s="47">
        <v>1</v>
      </c>
      <c r="D160" s="60">
        <f t="shared" ref="D160:D165" si="13">(36.61+1.8*1.5)*10.764</f>
        <v>423.13283999999999</v>
      </c>
      <c r="E160" s="48">
        <v>0</v>
      </c>
      <c r="F160" s="48">
        <v>620</v>
      </c>
      <c r="G160" s="95"/>
      <c r="H160" s="95"/>
      <c r="I160" s="31"/>
      <c r="J160" s="66">
        <f t="shared" si="10"/>
        <v>1.4652608859194196</v>
      </c>
      <c r="K160" s="59">
        <f t="shared" si="11"/>
        <v>3100000</v>
      </c>
      <c r="L160" s="94"/>
      <c r="M160" s="94"/>
      <c r="N160" s="31"/>
    </row>
    <row r="161" spans="1:14" s="32" customFormat="1" ht="15.75" customHeight="1" x14ac:dyDescent="0.35">
      <c r="A161" s="95">
        <f t="shared" si="12"/>
        <v>6</v>
      </c>
      <c r="B161" s="95"/>
      <c r="C161" s="47">
        <v>1</v>
      </c>
      <c r="D161" s="60">
        <f t="shared" si="13"/>
        <v>423.13283999999999</v>
      </c>
      <c r="E161" s="48">
        <v>0</v>
      </c>
      <c r="F161" s="48">
        <v>620</v>
      </c>
      <c r="G161" s="95"/>
      <c r="H161" s="95"/>
      <c r="I161" s="31"/>
      <c r="J161" s="66">
        <f t="shared" si="10"/>
        <v>1.4652608859194196</v>
      </c>
      <c r="K161" s="59">
        <f t="shared" si="11"/>
        <v>3100000</v>
      </c>
      <c r="L161" s="94"/>
      <c r="M161" s="94"/>
      <c r="N161" s="31"/>
    </row>
    <row r="162" spans="1:14" s="32" customFormat="1" ht="15.75" customHeight="1" x14ac:dyDescent="0.35">
      <c r="A162" s="95">
        <f t="shared" si="12"/>
        <v>7</v>
      </c>
      <c r="B162" s="95"/>
      <c r="C162" s="47">
        <v>1</v>
      </c>
      <c r="D162" s="60">
        <f t="shared" si="13"/>
        <v>423.13283999999999</v>
      </c>
      <c r="E162" s="48">
        <v>0</v>
      </c>
      <c r="F162" s="48">
        <v>620</v>
      </c>
      <c r="G162" s="95"/>
      <c r="H162" s="95"/>
      <c r="I162" s="31"/>
      <c r="J162" s="66">
        <f t="shared" si="10"/>
        <v>1.4652608859194196</v>
      </c>
      <c r="K162" s="59">
        <f t="shared" si="11"/>
        <v>3100000</v>
      </c>
      <c r="L162" s="94"/>
      <c r="M162" s="94"/>
      <c r="N162" s="31"/>
    </row>
    <row r="163" spans="1:14" s="32" customFormat="1" ht="15.75" customHeight="1" x14ac:dyDescent="0.35">
      <c r="A163" s="95">
        <f t="shared" si="12"/>
        <v>8</v>
      </c>
      <c r="B163" s="95"/>
      <c r="C163" s="47">
        <v>1</v>
      </c>
      <c r="D163" s="60">
        <f t="shared" si="13"/>
        <v>423.13283999999999</v>
      </c>
      <c r="E163" s="48">
        <v>0</v>
      </c>
      <c r="F163" s="48">
        <v>620</v>
      </c>
      <c r="G163" s="95"/>
      <c r="H163" s="95"/>
      <c r="I163" s="31"/>
      <c r="J163" s="66">
        <f t="shared" si="10"/>
        <v>1.4341687844559052</v>
      </c>
      <c r="K163" s="59">
        <f t="shared" si="11"/>
        <v>4500000</v>
      </c>
      <c r="L163" s="94"/>
      <c r="M163" s="94"/>
      <c r="N163" s="31"/>
    </row>
    <row r="164" spans="1:14" s="32" customFormat="1" ht="15.75" customHeight="1" x14ac:dyDescent="0.35">
      <c r="A164" s="95">
        <f t="shared" si="12"/>
        <v>9</v>
      </c>
      <c r="B164" s="95"/>
      <c r="C164" s="47">
        <v>2</v>
      </c>
      <c r="D164" s="48">
        <f>(51.55+(2*1.5+3.75))*10.764</f>
        <v>627.54119999999989</v>
      </c>
      <c r="E164" s="48">
        <v>0</v>
      </c>
      <c r="F164" s="48">
        <v>900</v>
      </c>
      <c r="G164" s="95"/>
      <c r="H164" s="95"/>
      <c r="I164" s="31"/>
      <c r="J164" s="66">
        <f t="shared" si="10"/>
        <v>1.4652608859194196</v>
      </c>
      <c r="K164" s="59">
        <f t="shared" si="11"/>
        <v>3100000</v>
      </c>
      <c r="L164" s="94"/>
      <c r="M164" s="94"/>
      <c r="N164" s="31"/>
    </row>
    <row r="165" spans="1:14" s="32" customFormat="1" ht="15.75" customHeight="1" x14ac:dyDescent="0.35">
      <c r="A165" s="95">
        <f t="shared" si="12"/>
        <v>10</v>
      </c>
      <c r="B165" s="95"/>
      <c r="C165" s="47">
        <v>1</v>
      </c>
      <c r="D165" s="60">
        <f t="shared" si="13"/>
        <v>423.13283999999999</v>
      </c>
      <c r="E165" s="48">
        <v>0</v>
      </c>
      <c r="F165" s="48">
        <v>620</v>
      </c>
      <c r="G165" s="95"/>
      <c r="H165" s="95"/>
      <c r="I165" s="31"/>
      <c r="J165" s="66">
        <f t="shared" si="10"/>
        <v>1.4725143155164457</v>
      </c>
      <c r="K165" s="59">
        <f t="shared" si="11"/>
        <v>3025000</v>
      </c>
      <c r="L165" s="94"/>
      <c r="M165" s="94"/>
      <c r="N165" s="31"/>
    </row>
    <row r="166" spans="1:14" s="32" customFormat="1" ht="15.75" customHeight="1" x14ac:dyDescent="0.35">
      <c r="A166" s="95">
        <f t="shared" si="12"/>
        <v>11</v>
      </c>
      <c r="B166" s="95"/>
      <c r="C166" s="47">
        <v>1</v>
      </c>
      <c r="D166" s="48">
        <f>(35.47+1.8*1.5)*10.764</f>
        <v>410.86187999999999</v>
      </c>
      <c r="E166" s="48">
        <v>0</v>
      </c>
      <c r="F166" s="48">
        <v>605</v>
      </c>
      <c r="G166" s="95"/>
      <c r="H166" s="95"/>
      <c r="I166" s="32">
        <f>4.2*2.9+1.8*1.22+3*2.25+3.35*2.9+1.8*1.22+1.8*1.1+1.2*1.8</f>
        <v>37.176999999999992</v>
      </c>
      <c r="J166" s="66">
        <f t="shared" si="10"/>
        <v>1.6524118603513693</v>
      </c>
      <c r="K166" s="59">
        <f t="shared" si="11"/>
        <v>3375000</v>
      </c>
      <c r="L166" s="94"/>
      <c r="M166" s="94"/>
      <c r="N166" s="31"/>
    </row>
    <row r="167" spans="1:14" s="30" customFormat="1" x14ac:dyDescent="0.35">
      <c r="A167" s="95">
        <f t="shared" si="12"/>
        <v>12</v>
      </c>
      <c r="B167" s="95"/>
      <c r="C167" s="47">
        <v>1</v>
      </c>
      <c r="D167" s="48">
        <f>(32.15+(2.9*1+2.9*1))*10.764</f>
        <v>408.49379999999991</v>
      </c>
      <c r="E167" s="48">
        <v>0</v>
      </c>
      <c r="F167" s="48">
        <v>675</v>
      </c>
      <c r="G167" s="95"/>
      <c r="H167" s="95"/>
      <c r="J167" s="67"/>
    </row>
    <row r="168" spans="1:14" s="30" customFormat="1" x14ac:dyDescent="0.35">
      <c r="A168" s="135" t="s">
        <v>65</v>
      </c>
      <c r="B168" s="135"/>
      <c r="C168" s="135"/>
      <c r="D168" s="135"/>
      <c r="E168" s="135"/>
      <c r="F168" s="135"/>
      <c r="G168" s="135"/>
      <c r="H168" s="135"/>
      <c r="I168" s="30">
        <f>2.9*4.2+2.25*2.6+2.75*3.65+1.22*(1.8+1.8)+0.95*1.35</f>
        <v>33.742000000000004</v>
      </c>
      <c r="J168" s="30">
        <f>1.5*1.8</f>
        <v>2.7</v>
      </c>
      <c r="K168" s="58">
        <f>(I168+J168)*10.764</f>
        <v>392.26168800000005</v>
      </c>
    </row>
    <row r="169" spans="1:14" s="30" customFormat="1" ht="34.5" customHeight="1" x14ac:dyDescent="0.35">
      <c r="A169" s="49" t="s">
        <v>147</v>
      </c>
      <c r="B169" s="78" t="s">
        <v>211</v>
      </c>
      <c r="C169" s="79"/>
      <c r="D169" s="79"/>
      <c r="E169" s="79"/>
      <c r="F169" s="79"/>
      <c r="G169" s="79"/>
      <c r="H169" s="80"/>
      <c r="I169" s="58">
        <f>3.05*4.45+2.25*2.75+2.9*3.75+3.35*3.08+1.22*2+1.22*1.8+1.22*2.2+1.35</f>
        <v>49.622999999999998</v>
      </c>
      <c r="J169" s="58">
        <f>1.5*2+3.75</f>
        <v>6.75</v>
      </c>
      <c r="K169" s="58">
        <f>(I169+J169)*10.764</f>
        <v>606.79897199999994</v>
      </c>
      <c r="L169" s="58"/>
    </row>
    <row r="170" spans="1:14" s="30" customFormat="1" x14ac:dyDescent="0.35">
      <c r="A170" s="49" t="s">
        <v>147</v>
      </c>
      <c r="B170" s="78" t="str">
        <f>(IF(F127="Saleable area Loading :","We have considered Saleable area of Flats as per our Calculation.","We considered Saleable area of Flat as per Builder area Sheet."))</f>
        <v>We considered Saleable area of Flat as per Builder area Sheet.</v>
      </c>
      <c r="C170" s="79"/>
      <c r="D170" s="79"/>
      <c r="E170" s="79"/>
      <c r="F170" s="79"/>
      <c r="G170" s="79"/>
      <c r="H170" s="80"/>
    </row>
    <row r="171" spans="1:14" s="30" customFormat="1" x14ac:dyDescent="0.35">
      <c r="A171" s="39" t="s">
        <v>147</v>
      </c>
      <c r="B171" s="78" t="str">
        <f>(IF(F115="Saleable area Loading :","We have considered Saleable area of Commercial as per our Calculation.","We considered Saleable area of Commercial as per Builder area Sheet."))</f>
        <v>We considered Saleable area of Commercial as per Builder area Sheet.</v>
      </c>
      <c r="C171" s="79"/>
      <c r="D171" s="79"/>
      <c r="E171" s="79"/>
      <c r="F171" s="79"/>
      <c r="G171" s="79"/>
      <c r="H171" s="80"/>
      <c r="I171" s="58">
        <f>(4.2*2.9+3*2.25+3.35*2.9++(1.22*1.8)*2+1.2*1.8+1.4*1.15)</f>
        <v>36.807000000000002</v>
      </c>
      <c r="J171" s="30">
        <f>2.9+2.9</f>
        <v>5.8</v>
      </c>
      <c r="K171" s="58">
        <f>(I171+J171)*10.764</f>
        <v>458.62174799999997</v>
      </c>
    </row>
    <row r="172" spans="1:14" s="30" customFormat="1" x14ac:dyDescent="0.35">
      <c r="A172" s="39" t="s">
        <v>147</v>
      </c>
      <c r="B172" s="91" t="s">
        <v>117</v>
      </c>
      <c r="C172" s="92"/>
      <c r="D172" s="92"/>
      <c r="E172" s="92"/>
      <c r="F172" s="92"/>
      <c r="G172" s="92"/>
      <c r="H172" s="93"/>
    </row>
    <row r="173" spans="1:14" s="30" customFormat="1" x14ac:dyDescent="0.35">
      <c r="A173" s="39" t="s">
        <v>147</v>
      </c>
      <c r="B173" s="91" t="s">
        <v>230</v>
      </c>
      <c r="C173" s="92"/>
      <c r="D173" s="92"/>
      <c r="E173" s="92"/>
      <c r="F173" s="92"/>
      <c r="G173" s="92"/>
      <c r="H173" s="93"/>
    </row>
    <row r="174" spans="1:14" s="30" customFormat="1" x14ac:dyDescent="0.35">
      <c r="A174" s="39" t="s">
        <v>147</v>
      </c>
      <c r="B174" s="91" t="s">
        <v>146</v>
      </c>
      <c r="C174" s="92"/>
      <c r="D174" s="92"/>
      <c r="E174" s="92"/>
      <c r="F174" s="92"/>
      <c r="G174" s="92"/>
      <c r="H174" s="93"/>
    </row>
    <row r="175" spans="1:14" s="30" customFormat="1" x14ac:dyDescent="0.35">
      <c r="A175" s="39" t="s">
        <v>147</v>
      </c>
      <c r="B175" s="91" t="s">
        <v>118</v>
      </c>
      <c r="C175" s="92"/>
      <c r="D175" s="92"/>
      <c r="E175" s="92"/>
      <c r="F175" s="92"/>
      <c r="G175" s="92"/>
      <c r="H175" s="93"/>
    </row>
    <row r="176" spans="1:14" s="30" customFormat="1" ht="34.5" customHeight="1" x14ac:dyDescent="0.35">
      <c r="A176" s="39" t="s">
        <v>147</v>
      </c>
      <c r="B176" s="91" t="s">
        <v>148</v>
      </c>
      <c r="C176" s="92"/>
      <c r="D176" s="92"/>
      <c r="E176" s="92"/>
      <c r="F176" s="92"/>
      <c r="G176" s="92"/>
      <c r="H176" s="93"/>
    </row>
    <row r="177" spans="1:15" s="30" customFormat="1" x14ac:dyDescent="0.35">
      <c r="A177" s="39" t="s">
        <v>147</v>
      </c>
      <c r="B177" s="91" t="s">
        <v>119</v>
      </c>
      <c r="C177" s="92"/>
      <c r="D177" s="92"/>
      <c r="E177" s="92"/>
      <c r="F177" s="92"/>
      <c r="G177" s="92"/>
      <c r="H177" s="93"/>
    </row>
    <row r="178" spans="1:15" s="30" customFormat="1" x14ac:dyDescent="0.35">
      <c r="A178" s="39" t="s">
        <v>147</v>
      </c>
      <c r="B178" s="91" t="s">
        <v>223</v>
      </c>
      <c r="C178" s="92"/>
      <c r="D178" s="92"/>
      <c r="E178" s="92"/>
      <c r="F178" s="92"/>
      <c r="G178" s="92"/>
      <c r="H178" s="93"/>
      <c r="I178" s="78" t="s">
        <v>222</v>
      </c>
      <c r="J178" s="79"/>
      <c r="K178" s="79"/>
      <c r="L178" s="79"/>
      <c r="M178" s="79"/>
      <c r="N178" s="79"/>
      <c r="O178" s="80"/>
    </row>
    <row r="179" spans="1:15" s="30" customFormat="1" x14ac:dyDescent="0.35">
      <c r="A179" s="54" t="s">
        <v>147</v>
      </c>
      <c r="B179" s="91" t="s">
        <v>224</v>
      </c>
      <c r="C179" s="92"/>
      <c r="D179" s="92"/>
      <c r="E179" s="92"/>
      <c r="F179" s="92"/>
      <c r="G179" s="92"/>
      <c r="H179" s="93"/>
    </row>
    <row r="180" spans="1:15" x14ac:dyDescent="0.35">
      <c r="A180" s="39" t="s">
        <v>147</v>
      </c>
      <c r="B180" s="91" t="s">
        <v>225</v>
      </c>
      <c r="C180" s="92"/>
      <c r="D180" s="92"/>
      <c r="E180" s="92"/>
      <c r="F180" s="92"/>
      <c r="G180" s="92"/>
      <c r="H180" s="93"/>
    </row>
    <row r="181" spans="1:15" x14ac:dyDescent="0.35">
      <c r="A181" s="61" t="s">
        <v>147</v>
      </c>
      <c r="B181" s="81" t="s">
        <v>232</v>
      </c>
      <c r="C181" s="82"/>
      <c r="D181" s="82"/>
      <c r="E181" s="82"/>
      <c r="F181" s="82"/>
      <c r="G181" s="82"/>
      <c r="H181" s="83"/>
    </row>
    <row r="182" spans="1:15" x14ac:dyDescent="0.35">
      <c r="A182" s="147" t="s">
        <v>58</v>
      </c>
      <c r="B182" s="147"/>
      <c r="C182" s="147"/>
      <c r="D182" s="147"/>
      <c r="E182" s="147"/>
      <c r="F182" s="147"/>
      <c r="G182" s="147"/>
      <c r="H182" s="147"/>
    </row>
    <row r="183" spans="1:15" ht="15.75" customHeight="1" x14ac:dyDescent="0.35">
      <c r="A183" s="120" t="s">
        <v>59</v>
      </c>
      <c r="B183" s="120"/>
      <c r="C183" s="120"/>
      <c r="D183" s="120"/>
      <c r="E183" s="120"/>
      <c r="F183" s="120"/>
      <c r="G183" s="120"/>
      <c r="H183" s="120"/>
    </row>
    <row r="184" spans="1:15" x14ac:dyDescent="0.35">
      <c r="A184" s="127" t="s">
        <v>60</v>
      </c>
      <c r="B184" s="127"/>
      <c r="C184" s="127"/>
      <c r="D184" s="127"/>
      <c r="E184" s="127"/>
      <c r="F184" s="127"/>
      <c r="G184" s="127"/>
      <c r="H184" s="127"/>
    </row>
    <row r="185" spans="1:15" x14ac:dyDescent="0.35">
      <c r="A185" s="120" t="s">
        <v>61</v>
      </c>
      <c r="B185" s="120"/>
      <c r="C185" s="120"/>
      <c r="D185" s="120"/>
      <c r="E185" s="120"/>
      <c r="F185" s="120"/>
      <c r="G185" s="120"/>
      <c r="H185" s="120"/>
    </row>
    <row r="186" spans="1:15" x14ac:dyDescent="0.35">
      <c r="A186" s="120" t="s">
        <v>62</v>
      </c>
      <c r="B186" s="120"/>
      <c r="C186" s="120"/>
      <c r="D186" s="120"/>
      <c r="E186" s="120"/>
      <c r="F186" s="120"/>
      <c r="G186" s="120"/>
      <c r="H186" s="120"/>
    </row>
    <row r="187" spans="1:15" x14ac:dyDescent="0.35">
      <c r="A187" s="120" t="s">
        <v>120</v>
      </c>
      <c r="B187" s="120"/>
      <c r="C187" s="120"/>
      <c r="D187" s="120"/>
      <c r="E187" s="120"/>
      <c r="F187" s="120"/>
      <c r="G187" s="120"/>
      <c r="H187" s="120"/>
    </row>
    <row r="188" spans="1:15" x14ac:dyDescent="0.35">
      <c r="A188" s="121" t="s">
        <v>121</v>
      </c>
      <c r="B188" s="121"/>
      <c r="C188" s="121"/>
      <c r="D188" s="121"/>
      <c r="E188" s="121"/>
      <c r="F188" s="121"/>
      <c r="G188" s="121"/>
      <c r="H188" s="121"/>
    </row>
    <row r="189" spans="1:15" x14ac:dyDescent="0.35">
      <c r="A189" s="143" t="s">
        <v>74</v>
      </c>
      <c r="B189" s="143"/>
      <c r="C189" s="143" t="s">
        <v>200</v>
      </c>
      <c r="D189" s="143"/>
      <c r="E189" s="143" t="s">
        <v>98</v>
      </c>
      <c r="F189" s="143"/>
      <c r="G189" s="143" t="s">
        <v>233</v>
      </c>
      <c r="H189" s="143"/>
    </row>
    <row r="190" spans="1:15" x14ac:dyDescent="0.35">
      <c r="A190" s="142" t="s">
        <v>76</v>
      </c>
      <c r="B190" s="142"/>
      <c r="C190" s="142"/>
      <c r="D190" s="142"/>
      <c r="E190" s="142"/>
      <c r="F190" s="142"/>
      <c r="G190" s="142"/>
      <c r="H190" s="142"/>
    </row>
    <row r="191" spans="1:15" x14ac:dyDescent="0.35">
      <c r="A191" s="142"/>
      <c r="B191" s="142"/>
      <c r="C191" s="142"/>
      <c r="D191" s="142"/>
      <c r="E191" s="142"/>
      <c r="F191" s="142"/>
      <c r="G191" s="142"/>
      <c r="H191" s="142"/>
    </row>
    <row r="192" spans="1:15" x14ac:dyDescent="0.35">
      <c r="A192" s="142"/>
      <c r="B192" s="142"/>
      <c r="C192" s="142"/>
      <c r="D192" s="142"/>
      <c r="E192" s="142"/>
      <c r="F192" s="142"/>
      <c r="G192" s="142"/>
      <c r="H192" s="142"/>
    </row>
    <row r="193" spans="1:8" x14ac:dyDescent="0.35">
      <c r="A193" s="142"/>
      <c r="B193" s="142"/>
      <c r="C193" s="142"/>
      <c r="D193" s="142"/>
      <c r="E193" s="142"/>
      <c r="F193" s="142"/>
      <c r="G193" s="142"/>
      <c r="H193" s="142"/>
    </row>
    <row r="194" spans="1:8" x14ac:dyDescent="0.35">
      <c r="A194" s="33" t="s">
        <v>63</v>
      </c>
      <c r="B194" s="34"/>
      <c r="C194" s="34"/>
      <c r="D194" s="33" t="str">
        <f>E8</f>
        <v>Shivdooti Residency</v>
      </c>
      <c r="F194" s="34"/>
      <c r="G194" s="34"/>
      <c r="H194" s="34"/>
    </row>
    <row r="195" spans="1:8" x14ac:dyDescent="0.35">
      <c r="A195" s="34"/>
      <c r="B195" s="34"/>
      <c r="C195" s="34"/>
      <c r="D195" s="34"/>
      <c r="E195" s="34"/>
      <c r="F195" s="34"/>
      <c r="G195" s="34"/>
      <c r="H195" s="34"/>
    </row>
    <row r="196" spans="1:8" ht="15" customHeight="1" x14ac:dyDescent="0.35">
      <c r="A196" s="34"/>
      <c r="B196" s="34"/>
      <c r="C196" s="34"/>
      <c r="D196" s="34"/>
      <c r="E196" s="34"/>
      <c r="F196" s="34"/>
      <c r="G196" s="34"/>
      <c r="H196" s="34"/>
    </row>
    <row r="238" spans="1:1" x14ac:dyDescent="0.35">
      <c r="A238" s="36" t="s">
        <v>205</v>
      </c>
    </row>
    <row r="277" spans="1:1" x14ac:dyDescent="0.35">
      <c r="A277" s="36" t="s">
        <v>64</v>
      </c>
    </row>
    <row r="315" hidden="1" x14ac:dyDescent="0.35"/>
    <row r="316" hidden="1" x14ac:dyDescent="0.35"/>
    <row r="317" hidden="1" x14ac:dyDescent="0.35"/>
    <row r="318" hidden="1" x14ac:dyDescent="0.35"/>
    <row r="319" hidden="1" x14ac:dyDescent="0.35"/>
  </sheetData>
  <mergeCells count="338">
    <mergeCell ref="A38:B38"/>
    <mergeCell ref="C38:H38"/>
    <mergeCell ref="B176:H176"/>
    <mergeCell ref="A47:B47"/>
    <mergeCell ref="C47:H47"/>
    <mergeCell ref="B174:H174"/>
    <mergeCell ref="G86:H95"/>
    <mergeCell ref="A87:B87"/>
    <mergeCell ref="A88:B88"/>
    <mergeCell ref="A89:B89"/>
    <mergeCell ref="F98:H98"/>
    <mergeCell ref="A98:E98"/>
    <mergeCell ref="A118:B118"/>
    <mergeCell ref="A119:B119"/>
    <mergeCell ref="A120:B120"/>
    <mergeCell ref="G156:H167"/>
    <mergeCell ref="A121:B121"/>
    <mergeCell ref="C110:D110"/>
    <mergeCell ref="E110:F110"/>
    <mergeCell ref="G110:H110"/>
    <mergeCell ref="C108:D108"/>
    <mergeCell ref="A69:B69"/>
    <mergeCell ref="C69:D69"/>
    <mergeCell ref="E69:F69"/>
    <mergeCell ref="L117:M117"/>
    <mergeCell ref="A79:B79"/>
    <mergeCell ref="C109:D109"/>
    <mergeCell ref="E109:F109"/>
    <mergeCell ref="G109:H109"/>
    <mergeCell ref="F100:H100"/>
    <mergeCell ref="A97:E97"/>
    <mergeCell ref="A117:H117"/>
    <mergeCell ref="G115:H115"/>
    <mergeCell ref="A86:B86"/>
    <mergeCell ref="E86:F95"/>
    <mergeCell ref="A93:B93"/>
    <mergeCell ref="A94:B94"/>
    <mergeCell ref="A95:B95"/>
    <mergeCell ref="F96:H96"/>
    <mergeCell ref="F99:H99"/>
    <mergeCell ref="E104:F104"/>
    <mergeCell ref="G108:H108"/>
    <mergeCell ref="C84:H84"/>
    <mergeCell ref="A85:B85"/>
    <mergeCell ref="C105:D105"/>
    <mergeCell ref="E105:F105"/>
    <mergeCell ref="A99:E99"/>
    <mergeCell ref="A104:B104"/>
    <mergeCell ref="G69:H69"/>
    <mergeCell ref="E106:F106"/>
    <mergeCell ref="G106:H106"/>
    <mergeCell ref="A132:B132"/>
    <mergeCell ref="C111:D111"/>
    <mergeCell ref="E111:F111"/>
    <mergeCell ref="C104:D104"/>
    <mergeCell ref="G104:H104"/>
    <mergeCell ref="A61:C61"/>
    <mergeCell ref="D60:H60"/>
    <mergeCell ref="E72:F81"/>
    <mergeCell ref="G72:H81"/>
    <mergeCell ref="A80:B80"/>
    <mergeCell ref="A81:B81"/>
    <mergeCell ref="D61:H61"/>
    <mergeCell ref="E85:F85"/>
    <mergeCell ref="G85:H85"/>
    <mergeCell ref="A100:E100"/>
    <mergeCell ref="A96:E96"/>
    <mergeCell ref="A42:D42"/>
    <mergeCell ref="E42:H42"/>
    <mergeCell ref="E43:H43"/>
    <mergeCell ref="E44:H44"/>
    <mergeCell ref="E45:H45"/>
    <mergeCell ref="A43:D43"/>
    <mergeCell ref="A78:B78"/>
    <mergeCell ref="A71:B71"/>
    <mergeCell ref="A74:B74"/>
    <mergeCell ref="A70:B70"/>
    <mergeCell ref="A67:B67"/>
    <mergeCell ref="C67:H67"/>
    <mergeCell ref="A76:B76"/>
    <mergeCell ref="A62:C62"/>
    <mergeCell ref="D62:H62"/>
    <mergeCell ref="C70:H70"/>
    <mergeCell ref="A73:B73"/>
    <mergeCell ref="D65:H65"/>
    <mergeCell ref="A72:B72"/>
    <mergeCell ref="G71:H71"/>
    <mergeCell ref="G48:H48"/>
    <mergeCell ref="G50:H50"/>
    <mergeCell ref="D55:H55"/>
    <mergeCell ref="C50:E50"/>
    <mergeCell ref="A36:H36"/>
    <mergeCell ref="A35:B35"/>
    <mergeCell ref="C35:E35"/>
    <mergeCell ref="A40:D40"/>
    <mergeCell ref="E40:H40"/>
    <mergeCell ref="F32:H32"/>
    <mergeCell ref="F33:H33"/>
    <mergeCell ref="A39:H39"/>
    <mergeCell ref="A60:C60"/>
    <mergeCell ref="F35:H35"/>
    <mergeCell ref="A37:B37"/>
    <mergeCell ref="A44:D44"/>
    <mergeCell ref="A45:D45"/>
    <mergeCell ref="A46:H46"/>
    <mergeCell ref="D57:H57"/>
    <mergeCell ref="A57:C57"/>
    <mergeCell ref="G49:H49"/>
    <mergeCell ref="A50:B51"/>
    <mergeCell ref="A58:C59"/>
    <mergeCell ref="D58:H58"/>
    <mergeCell ref="D59:H59"/>
    <mergeCell ref="A49:B49"/>
    <mergeCell ref="A54:H54"/>
    <mergeCell ref="A55:C55"/>
    <mergeCell ref="E25:H25"/>
    <mergeCell ref="A27:D27"/>
    <mergeCell ref="E27:H27"/>
    <mergeCell ref="A24:D24"/>
    <mergeCell ref="E24:H24"/>
    <mergeCell ref="A28:D28"/>
    <mergeCell ref="E28:H28"/>
    <mergeCell ref="A25:D25"/>
    <mergeCell ref="A34:B34"/>
    <mergeCell ref="C34:E34"/>
    <mergeCell ref="A29:D29"/>
    <mergeCell ref="E29:H29"/>
    <mergeCell ref="A30:D30"/>
    <mergeCell ref="E30:H30"/>
    <mergeCell ref="A26:D26"/>
    <mergeCell ref="E26:H26"/>
    <mergeCell ref="C31:E31"/>
    <mergeCell ref="F34:H34"/>
    <mergeCell ref="F31:H31"/>
    <mergeCell ref="A32:B32"/>
    <mergeCell ref="A31:B31"/>
    <mergeCell ref="C32:E32"/>
    <mergeCell ref="A33:B33"/>
    <mergeCell ref="C33:E33"/>
    <mergeCell ref="A23:D23"/>
    <mergeCell ref="E23:H23"/>
    <mergeCell ref="A17:B17"/>
    <mergeCell ref="C17:D17"/>
    <mergeCell ref="E17:F17"/>
    <mergeCell ref="G17:H17"/>
    <mergeCell ref="A18:B18"/>
    <mergeCell ref="C18:D18"/>
    <mergeCell ref="E18:F18"/>
    <mergeCell ref="G18:H18"/>
    <mergeCell ref="A19:B19"/>
    <mergeCell ref="C19:D19"/>
    <mergeCell ref="E19:F19"/>
    <mergeCell ref="G19:H19"/>
    <mergeCell ref="A20:B20"/>
    <mergeCell ref="C20:D20"/>
    <mergeCell ref="E20:F20"/>
    <mergeCell ref="G20:H20"/>
    <mergeCell ref="A13:D13"/>
    <mergeCell ref="A10:D10"/>
    <mergeCell ref="E10:H10"/>
    <mergeCell ref="A21:D22"/>
    <mergeCell ref="E21:H22"/>
    <mergeCell ref="E13:H13"/>
    <mergeCell ref="A14:B14"/>
    <mergeCell ref="C14:H14"/>
    <mergeCell ref="C15:H15"/>
    <mergeCell ref="A11:D11"/>
    <mergeCell ref="E11:H11"/>
    <mergeCell ref="A15:B15"/>
    <mergeCell ref="A12:D12"/>
    <mergeCell ref="E12:H12"/>
    <mergeCell ref="A16:B16"/>
    <mergeCell ref="C16:H16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A190:H193"/>
    <mergeCell ref="A189:B189"/>
    <mergeCell ref="E189:F189"/>
    <mergeCell ref="C189:D189"/>
    <mergeCell ref="G189:H189"/>
    <mergeCell ref="A103:H103"/>
    <mergeCell ref="A101:E101"/>
    <mergeCell ref="F101:H101"/>
    <mergeCell ref="A102:E102"/>
    <mergeCell ref="F102:H102"/>
    <mergeCell ref="A109:B109"/>
    <mergeCell ref="A185:H185"/>
    <mergeCell ref="A107:H107"/>
    <mergeCell ref="A188:H188"/>
    <mergeCell ref="A186:H186"/>
    <mergeCell ref="A126:H126"/>
    <mergeCell ref="A182:H182"/>
    <mergeCell ref="A183:H183"/>
    <mergeCell ref="E108:F108"/>
    <mergeCell ref="B175:H175"/>
    <mergeCell ref="B171:H171"/>
    <mergeCell ref="A113:H113"/>
    <mergeCell ref="A159:B159"/>
    <mergeCell ref="A110:B110"/>
    <mergeCell ref="B170:H170"/>
    <mergeCell ref="B172:H172"/>
    <mergeCell ref="B173:H173"/>
    <mergeCell ref="A168:H168"/>
    <mergeCell ref="A133:B133"/>
    <mergeCell ref="A153:H153"/>
    <mergeCell ref="A154:H154"/>
    <mergeCell ref="A160:B160"/>
    <mergeCell ref="A166:B166"/>
    <mergeCell ref="A157:B157"/>
    <mergeCell ref="A158:B158"/>
    <mergeCell ref="A155:H155"/>
    <mergeCell ref="A138:B138"/>
    <mergeCell ref="A139:B139"/>
    <mergeCell ref="A140:B140"/>
    <mergeCell ref="G130:H140"/>
    <mergeCell ref="A135:B135"/>
    <mergeCell ref="C135:F135"/>
    <mergeCell ref="A65:C65"/>
    <mergeCell ref="A114:H114"/>
    <mergeCell ref="A111:B111"/>
    <mergeCell ref="A84:B84"/>
    <mergeCell ref="G111:H111"/>
    <mergeCell ref="E41:H41"/>
    <mergeCell ref="A41:D41"/>
    <mergeCell ref="A187:H187"/>
    <mergeCell ref="A184:H184"/>
    <mergeCell ref="A108:B108"/>
    <mergeCell ref="G127:H127"/>
    <mergeCell ref="A90:B90"/>
    <mergeCell ref="A91:B91"/>
    <mergeCell ref="A92:B92"/>
    <mergeCell ref="A82:B82"/>
    <mergeCell ref="C82:H82"/>
    <mergeCell ref="A77:B77"/>
    <mergeCell ref="F97:H97"/>
    <mergeCell ref="G105:H105"/>
    <mergeCell ref="A48:B48"/>
    <mergeCell ref="C48:E48"/>
    <mergeCell ref="A116:H116"/>
    <mergeCell ref="A122:B122"/>
    <mergeCell ref="B169:H169"/>
    <mergeCell ref="L118:M118"/>
    <mergeCell ref="A129:H129"/>
    <mergeCell ref="A131:B131"/>
    <mergeCell ref="A130:B130"/>
    <mergeCell ref="J126:O126"/>
    <mergeCell ref="C49:E49"/>
    <mergeCell ref="C52:E52"/>
    <mergeCell ref="L122:M122"/>
    <mergeCell ref="A124:B124"/>
    <mergeCell ref="L123:M123"/>
    <mergeCell ref="A56:C56"/>
    <mergeCell ref="D56:H56"/>
    <mergeCell ref="G52:H52"/>
    <mergeCell ref="A52:B53"/>
    <mergeCell ref="C53:H53"/>
    <mergeCell ref="C51:H51"/>
    <mergeCell ref="A75:B75"/>
    <mergeCell ref="E71:F71"/>
    <mergeCell ref="A63:C63"/>
    <mergeCell ref="D63:H63"/>
    <mergeCell ref="A66:C66"/>
    <mergeCell ref="D66:H66"/>
    <mergeCell ref="A64:C64"/>
    <mergeCell ref="D64:H64"/>
    <mergeCell ref="A150:B150"/>
    <mergeCell ref="A141:H141"/>
    <mergeCell ref="A142:B142"/>
    <mergeCell ref="A143:B143"/>
    <mergeCell ref="A144:B144"/>
    <mergeCell ref="A145:B145"/>
    <mergeCell ref="L120:M120"/>
    <mergeCell ref="L119:M119"/>
    <mergeCell ref="A134:B134"/>
    <mergeCell ref="A136:B136"/>
    <mergeCell ref="A137:B137"/>
    <mergeCell ref="I39:L39"/>
    <mergeCell ref="C37:H37"/>
    <mergeCell ref="B178:H178"/>
    <mergeCell ref="L159:M159"/>
    <mergeCell ref="A161:B161"/>
    <mergeCell ref="L160:M160"/>
    <mergeCell ref="A162:B162"/>
    <mergeCell ref="L161:M161"/>
    <mergeCell ref="L158:M158"/>
    <mergeCell ref="L155:M155"/>
    <mergeCell ref="L156:M156"/>
    <mergeCell ref="L157:M157"/>
    <mergeCell ref="A156:B156"/>
    <mergeCell ref="L121:M121"/>
    <mergeCell ref="A123:B123"/>
    <mergeCell ref="L128:M128"/>
    <mergeCell ref="A151:B151"/>
    <mergeCell ref="A152:B152"/>
    <mergeCell ref="A106:B106"/>
    <mergeCell ref="C106:D106"/>
    <mergeCell ref="L165:M165"/>
    <mergeCell ref="A167:B167"/>
    <mergeCell ref="L166:M166"/>
    <mergeCell ref="A163:B163"/>
    <mergeCell ref="A125:B125"/>
    <mergeCell ref="G118:H125"/>
    <mergeCell ref="C125:F125"/>
    <mergeCell ref="I178:O178"/>
    <mergeCell ref="B181:H181"/>
    <mergeCell ref="A112:B112"/>
    <mergeCell ref="C112:D112"/>
    <mergeCell ref="E112:F112"/>
    <mergeCell ref="G112:H112"/>
    <mergeCell ref="B180:H180"/>
    <mergeCell ref="L162:M162"/>
    <mergeCell ref="A164:B164"/>
    <mergeCell ref="L163:M163"/>
    <mergeCell ref="A165:B165"/>
    <mergeCell ref="L164:M164"/>
    <mergeCell ref="B177:H177"/>
    <mergeCell ref="B179:H179"/>
    <mergeCell ref="G142:H152"/>
    <mergeCell ref="A128:H128"/>
    <mergeCell ref="L127:M127"/>
    <mergeCell ref="A146:B146"/>
    <mergeCell ref="A147:B147"/>
    <mergeCell ref="A148:B148"/>
    <mergeCell ref="A149:B149"/>
  </mergeCells>
  <hyperlinks>
    <hyperlink ref="C38" r:id="rId1"/>
  </hyperlinks>
  <printOptions horizontalCentered="1"/>
  <pageMargins left="0.39370078740157483" right="0.39370078740157483" top="0.82677165354330717" bottom="0.78740157480314965" header="0.15748031496062992" footer="0.19685039370078741"/>
  <pageSetup paperSize="9" scale="96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4" manualBreakCount="4">
    <brk id="81" max="16383" man="1"/>
    <brk id="193" max="7" man="1"/>
    <brk id="236" max="16383" man="1"/>
    <brk id="275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4"/>
  <dimension ref="A1:I16"/>
  <sheetViews>
    <sheetView topLeftCell="A37" zoomScale="85" zoomScaleNormal="85" workbookViewId="0">
      <selection activeCell="C53" sqref="C53"/>
    </sheetView>
  </sheetViews>
  <sheetFormatPr defaultColWidth="8.81640625" defaultRowHeight="14.5" x14ac:dyDescent="0.35"/>
  <cols>
    <col min="1" max="1" width="8.81640625" style="1"/>
    <col min="2" max="2" width="22.1796875" style="1" customWidth="1"/>
    <col min="3" max="3" width="37" style="1" customWidth="1"/>
    <col min="4" max="5" width="11.453125" style="1" customWidth="1"/>
    <col min="6" max="6" width="14" style="1" customWidth="1"/>
    <col min="7" max="7" width="20" style="1" customWidth="1"/>
    <col min="8" max="8" width="16.453125" style="1" customWidth="1"/>
    <col min="9" max="16384" width="8.81640625" style="1"/>
  </cols>
  <sheetData>
    <row r="1" spans="1:9" ht="15" customHeight="1" x14ac:dyDescent="0.35"/>
    <row r="2" spans="1:9" ht="15" customHeight="1" x14ac:dyDescent="0.35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5">
      <c r="A3" s="2"/>
      <c r="B3" s="194" t="s">
        <v>99</v>
      </c>
      <c r="C3" s="194"/>
      <c r="D3" s="194"/>
      <c r="E3" s="194"/>
      <c r="F3" s="194"/>
      <c r="G3" s="194"/>
      <c r="H3" s="194"/>
    </row>
    <row r="4" spans="1:9" x14ac:dyDescent="0.35">
      <c r="A4" s="2"/>
      <c r="B4" s="3" t="s">
        <v>100</v>
      </c>
      <c r="C4" s="3" t="s">
        <v>101</v>
      </c>
      <c r="D4" s="3" t="s">
        <v>66</v>
      </c>
      <c r="E4" s="3" t="s">
        <v>102</v>
      </c>
      <c r="F4" s="3" t="s">
        <v>108</v>
      </c>
      <c r="G4" s="3" t="s">
        <v>109</v>
      </c>
      <c r="H4" s="3" t="s">
        <v>103</v>
      </c>
    </row>
    <row r="5" spans="1:9" ht="15" customHeight="1" x14ac:dyDescent="0.35">
      <c r="A5" s="2"/>
      <c r="B5" s="5" t="s">
        <v>104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5">
      <c r="A6" s="2"/>
      <c r="B6" s="5" t="s">
        <v>104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5">
      <c r="A7" s="2"/>
      <c r="B7" s="5" t="s">
        <v>104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5">
      <c r="A8" s="2"/>
      <c r="B8" s="5" t="s">
        <v>104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5">
      <c r="A9" s="2"/>
      <c r="B9" s="5" t="s">
        <v>104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5">
      <c r="A10" s="2"/>
      <c r="B10" s="5" t="s">
        <v>105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5">
      <c r="A11" s="2"/>
      <c r="B11" s="5" t="s">
        <v>105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5">
      <c r="A12" s="2"/>
      <c r="B12" s="10" t="s">
        <v>106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5">
      <c r="B13" s="10" t="s">
        <v>107</v>
      </c>
      <c r="C13" s="5"/>
      <c r="D13" s="5"/>
      <c r="E13" s="5"/>
      <c r="F13" s="12"/>
      <c r="G13" s="10"/>
      <c r="H13" s="10"/>
      <c r="I13" s="4"/>
    </row>
    <row r="14" spans="1:9" ht="15" customHeight="1" x14ac:dyDescent="0.35"/>
    <row r="15" spans="1:9" ht="15" customHeight="1" x14ac:dyDescent="0.35"/>
    <row r="16" spans="1:9" ht="15" customHeight="1" x14ac:dyDescent="0.35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 codeName="Sheet3"/>
  <dimension ref="A1"/>
  <sheetViews>
    <sheetView zoomScale="70" zoomScaleNormal="70" workbookViewId="0">
      <selection activeCell="E24" sqref="E24"/>
    </sheetView>
  </sheetViews>
  <sheetFormatPr defaultRowHeight="14.5" x14ac:dyDescent="0.35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2025-09-13T10:49:29Z</cp:lastPrinted>
  <dcterms:created xsi:type="dcterms:W3CDTF">2019-07-16T09:29:46Z</dcterms:created>
  <dcterms:modified xsi:type="dcterms:W3CDTF">2025-09-13T10:49:54Z</dcterms:modified>
</cp:coreProperties>
</file>