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D148" i="1"/>
  <c r="D147" i="1"/>
  <c r="D146" i="1"/>
  <c r="D145" i="1"/>
  <c r="D144" i="1"/>
  <c r="D143" i="1"/>
  <c r="D142" i="1"/>
  <c r="D141" i="1"/>
  <c r="D140" i="1"/>
  <c r="D139" i="1"/>
  <c r="G138" i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D138" i="1"/>
  <c r="A138" i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D136" i="1"/>
  <c r="D135" i="1"/>
  <c r="D134" i="1"/>
  <c r="D133" i="1"/>
  <c r="D132" i="1"/>
  <c r="D131" i="1"/>
  <c r="D130" i="1"/>
  <c r="D129" i="1"/>
  <c r="D128" i="1"/>
  <c r="D127" i="1"/>
  <c r="G126" i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D126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D123" i="1"/>
  <c r="D122" i="1"/>
  <c r="D121" i="1"/>
  <c r="D120" i="1"/>
  <c r="D119" i="1"/>
  <c r="D118" i="1"/>
  <c r="D117" i="1"/>
  <c r="D116" i="1"/>
  <c r="D115" i="1"/>
  <c r="D114" i="1"/>
  <c r="G113" i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D113" i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D111" i="1"/>
  <c r="D110" i="1"/>
  <c r="D109" i="1"/>
  <c r="D108" i="1"/>
  <c r="D107" i="1"/>
  <c r="D106" i="1"/>
  <c r="D105" i="1"/>
  <c r="D104" i="1"/>
  <c r="D103" i="1"/>
  <c r="D102" i="1"/>
  <c r="D101" i="1"/>
  <c r="D100" i="1"/>
  <c r="C93" i="1" l="1"/>
  <c r="E93" i="1"/>
  <c r="C14" i="1" l="1"/>
  <c r="E29" i="1" l="1"/>
  <c r="F90" i="1" l="1"/>
  <c r="B151" i="1" l="1"/>
  <c r="A10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0" i="1"/>
  <c r="G100" i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J76" i="1"/>
  <c r="J75" i="1"/>
  <c r="J74" i="1"/>
  <c r="J73" i="1"/>
  <c r="C65" i="1"/>
  <c r="D54" i="1"/>
  <c r="G49" i="1"/>
  <c r="G50" i="1" s="1"/>
  <c r="C49" i="1"/>
  <c r="E42" i="1"/>
  <c r="E43" i="1" s="1"/>
  <c r="E26" i="1"/>
  <c r="E24" i="1"/>
  <c r="E7" i="1"/>
  <c r="E3" i="1"/>
  <c r="H66" i="1"/>
  <c r="A101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A102" i="1"/>
  <c r="D71" i="1" l="1"/>
  <c r="J67" i="1"/>
  <c r="E69" i="1"/>
  <c r="D70" i="1"/>
  <c r="G69" i="1"/>
  <c r="D63" i="1" s="1"/>
  <c r="D64" i="1" s="1"/>
  <c r="D69" i="1"/>
  <c r="A103" i="1"/>
  <c r="I66" i="1" l="1"/>
  <c r="J66" i="1"/>
  <c r="F64" i="1"/>
  <c r="A104" i="1"/>
  <c r="I67" i="1" l="1"/>
  <c r="I65" i="1" s="1"/>
  <c r="C67" i="1" s="1"/>
  <c r="A105" i="1"/>
  <c r="A106" i="1" l="1"/>
  <c r="A107" i="1"/>
  <c r="A108" i="1"/>
  <c r="A109" i="1"/>
  <c r="A110" i="1"/>
  <c r="A111" i="1"/>
</calcChain>
</file>

<file path=xl/sharedStrings.xml><?xml version="1.0" encoding="utf-8"?>
<sst xmlns="http://schemas.openxmlformats.org/spreadsheetml/2006/main" count="288" uniqueCount="209">
  <si>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</si>
  <si>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</si>
  <si>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</si>
  <si>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</si>
  <si>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</si>
  <si>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</si>
  <si>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</si>
  <si>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</si>
  <si>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</si>
  <si>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</si>
  <si>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</si>
  <si>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</si>
  <si>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</si>
  <si>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</si>
  <si>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</si>
  <si>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</si>
  <si>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</si>
  <si>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</si>
  <si>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</si>
  <si>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</si>
  <si>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</si>
  <si>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</si>
  <si>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</si>
  <si>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</si>
  <si>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</si>
  <si>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</si>
  <si>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</si>
  <si>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</si>
  <si>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</si>
  <si>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</si>
  <si>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</si>
  <si>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</si>
  <si>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</si>
  <si>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</si>
  <si>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</si>
  <si>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</si>
  <si>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</si>
  <si>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</si>
  <si>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</si>
  <si>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</si>
  <si>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</si>
  <si>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</si>
  <si>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</si>
  <si>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</si>
  <si>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</si>
  <si>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</si>
  <si>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</si>
  <si>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</si>
  <si>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</si>
  <si>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</si>
  <si>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</si>
  <si>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</si>
  <si>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</si>
  <si>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</si>
  <si>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</si>
  <si>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</si>
  <si>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</si>
  <si>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</si>
  <si>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</si>
  <si>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</si>
  <si>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</si>
  <si>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</si>
  <si>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</si>
  <si>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</si>
  <si>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</si>
  <si>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</si>
  <si>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</si>
  <si>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</si>
  <si>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</si>
  <si>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</si>
  <si>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</si>
  <si>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</si>
  <si>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</si>
  <si>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</si>
  <si>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</si>
  <si>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</si>
  <si>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</si>
  <si>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</si>
  <si>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</si>
  <si>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</si>
  <si>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</si>
  <si>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</si>
  <si>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</si>
  <si>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</si>
  <si>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</si>
  <si>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</si>
  <si>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</si>
  <si>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</si>
  <si>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</si>
  <si>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</si>
  <si>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</si>
  <si>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</si>
  <si>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</si>
  <si>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</si>
  <si>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</si>
  <si>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</si>
  <si>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</si>
  <si>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</si>
  <si>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</si>
  <si>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</si>
  <si>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</si>
  <si>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</si>
  <si>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</si>
  <si>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</si>
  <si>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</si>
  <si>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</si>
  <si>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</si>
  <si>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</si>
  <si>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</si>
  <si>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</si>
  <si>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</si>
  <si>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</si>
  <si>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</si>
  <si>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</si>
  <si>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</si>
  <si>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</si>
  <si>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</si>
  <si>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</si>
  <si>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</si>
  <si>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</si>
  <si>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</si>
  <si>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</si>
  <si>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</si>
  <si>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</si>
  <si>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</si>
  <si>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</si>
  <si>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</si>
  <si>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</si>
  <si>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</si>
  <si>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</si>
  <si>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</si>
  <si>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</si>
  <si>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</si>
  <si>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</si>
  <si>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</si>
  <si>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</si>
  <si>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</si>
  <si>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</si>
  <si>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</si>
  <si>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</si>
  <si>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</si>
  <si>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</si>
  <si>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</si>
  <si>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</si>
  <si>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</si>
  <si>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</si>
  <si>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</si>
  <si>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</si>
  <si>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</si>
  <si>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</si>
  <si>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</si>
  <si>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</si>
  <si>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</si>
  <si>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</si>
  <si>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</si>
  <si>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</si>
  <si>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</si>
  <si>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</si>
  <si>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</si>
  <si>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</si>
  <si>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</si>
  <si>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</si>
  <si>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</si>
  <si>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</si>
  <si>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</si>
  <si>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</si>
  <si>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Badlapur</t>
  </si>
  <si>
    <t>Shreeji Developers</t>
  </si>
  <si>
    <t>P51700046976</t>
  </si>
  <si>
    <t>Satyam Sheela (Wing F)</t>
  </si>
  <si>
    <t>Wing F</t>
  </si>
  <si>
    <t>Deepali - 9168285329</t>
  </si>
  <si>
    <t>Shirgaon</t>
  </si>
  <si>
    <t>Ambernath</t>
  </si>
  <si>
    <t>Thane</t>
  </si>
  <si>
    <t>Badlapur (East)</t>
  </si>
  <si>
    <t>Satyam Sheela (Wing A to E)</t>
  </si>
  <si>
    <t>Open Plot</t>
  </si>
  <si>
    <t>Proposed Panvel Highway</t>
  </si>
  <si>
    <t>Dev Luxuria</t>
  </si>
  <si>
    <t>Survey No</t>
  </si>
  <si>
    <t>3.7 km from Badlapur Railway Station</t>
  </si>
  <si>
    <t>We considered Gross carpet area = Net carpet + Enclose balcony + E.P Area.</t>
  </si>
  <si>
    <t>F Wing = G + 1st to 12th Floor</t>
  </si>
  <si>
    <t>KBNP/NRV/BP/2417-224</t>
  </si>
  <si>
    <t>KBNP/NRV/BP/2417/2021-2022/Unique No.224</t>
  </si>
  <si>
    <t xml:space="preserve">Commencement-CC No
Valid Up to: </t>
  </si>
  <si>
    <t>KBNP</t>
  </si>
  <si>
    <t xml:space="preserve">As per RERA - 31/07/2026
</t>
  </si>
  <si>
    <t>Ground Floor for Parking</t>
  </si>
  <si>
    <t>72, H.No.4, S.No.73, H.No.1B</t>
  </si>
  <si>
    <t>Flats - 141</t>
  </si>
  <si>
    <t>1st to 7th, 9th, 10th Floor for Residential</t>
  </si>
  <si>
    <t xml:space="preserve"> 2BHK</t>
  </si>
  <si>
    <t>1BHK</t>
  </si>
  <si>
    <t>8th Floor (Part Refuge Area)</t>
  </si>
  <si>
    <t>Refuge Area</t>
  </si>
  <si>
    <t>11th Floor (Part Terrace Area)</t>
  </si>
  <si>
    <t>12th Floor</t>
  </si>
  <si>
    <t xml:space="preserve">Builder Saleable area </t>
  </si>
  <si>
    <t>Development Charges + Infra Charges</t>
  </si>
  <si>
    <t>Approved Plans, CC, Builder Saleable Area, Cost Sheet</t>
  </si>
  <si>
    <t>Latitude, Longitude</t>
  </si>
  <si>
    <t>19.147773, 73.234980</t>
  </si>
  <si>
    <t>https://goo.gl/maps/U9kZMYkZgDGHVVXP8</t>
  </si>
  <si>
    <t>Office No. 1031, Wing J, Akshar Business Park, Plot No. 03 Sector 25, Near APMC Market,
Vashi, Navi Mumbai, Maharashtra 400703 TEL: 022-46090378/79/8
E mail : vsjcapf@gmail.com. Web site : www.vsjadon.com</t>
  </si>
  <si>
    <t>Sudhir Bhosale</t>
  </si>
  <si>
    <t>Finishing work is in process. Window work is pending. Few tenants have occupied flats in the building.</t>
  </si>
  <si>
    <t xml:space="preserve">Pooja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</si>
</sst>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0" fontId="9" fillId="0" borderId="1" xfId="5" applyFont="1" applyBorder="1" applyAlignment="1">
      <alignment horizontal="left"/>
    </xf>
    <xf numFmtId="0" fontId="7" fillId="0" borderId="1" xfId="1" applyFont="1" applyBorder="1" applyAlignment="1" applyProtection="1">
      <alignment horizontal="left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249</xdr:row>
      <xdr:rowOff>95250</xdr:rowOff>
    </xdr:from>
    <xdr:to>
      <xdr:col>6</xdr:col>
      <xdr:colOff>495299</xdr:colOff>
      <xdr:row>266</xdr:row>
      <xdr:rowOff>114825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850" y="62217300"/>
          <a:ext cx="4686299" cy="34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276225</xdr:colOff>
      <xdr:row>267</xdr:row>
      <xdr:rowOff>54445</xdr:rowOff>
    </xdr:from>
    <xdr:to>
      <xdr:col>6</xdr:col>
      <xdr:colOff>499676</xdr:colOff>
      <xdr:row>284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65776945"/>
          <a:ext cx="4681151" cy="33936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818986</xdr:colOff>
      <xdr:row>270</xdr:row>
      <xdr:rowOff>113148</xdr:rowOff>
    </xdr:from>
    <xdr:to>
      <xdr:col>3</xdr:col>
      <xdr:colOff>707359</xdr:colOff>
      <xdr:row>275</xdr:row>
      <xdr:rowOff>27423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110374">
          <a:off x="2495386" y="66435723"/>
          <a:ext cx="802773" cy="914400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>
    <xdr:from>
      <xdr:col>3</xdr:col>
      <xdr:colOff>759216</xdr:colOff>
      <xdr:row>270</xdr:row>
      <xdr:rowOff>146355</xdr:rowOff>
    </xdr:from>
    <xdr:to>
      <xdr:col>5</xdr:col>
      <xdr:colOff>269756</xdr:colOff>
      <xdr:row>274</xdr:row>
      <xdr:rowOff>186640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9358">
          <a:off x="3350016" y="66468930"/>
          <a:ext cx="1358390" cy="840385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oneCellAnchor>
    <xdr:from>
      <xdr:col>4</xdr:col>
      <xdr:colOff>819150</xdr:colOff>
      <xdr:row>268</xdr:row>
      <xdr:rowOff>57150</xdr:rowOff>
    </xdr:from>
    <xdr:ext cx="1023550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0" y="65979675"/>
          <a:ext cx="1023550" cy="280205"/>
        </a:xfrm>
        <a:prstGeom prst="rect">
          <a:avLst/>
        </a:prstGeom>
        <a:solidFill>
          <a:schemeClr val="bg2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tx1"/>
              </a:solidFill>
            </a:rPr>
            <a:t>Wing C,D</a:t>
          </a:r>
          <a:r>
            <a:rPr lang="en-US" sz="1200" b="1" baseline="0">
              <a:solidFill>
                <a:schemeClr val="tx1"/>
              </a:solidFill>
            </a:rPr>
            <a:t> &amp; E</a:t>
          </a:r>
          <a:endParaRPr lang="x-none" sz="1200" b="1">
            <a:solidFill>
              <a:schemeClr val="tx1"/>
            </a:solidFill>
          </a:endParaRPr>
        </a:p>
      </xdr:txBody>
    </xdr:sp>
    <xdr:clientData/>
  </xdr:oneCellAnchor>
  <xdr:twoCellAnchor>
    <xdr:from>
      <xdr:col>5</xdr:col>
      <xdr:colOff>95250</xdr:colOff>
      <xdr:row>269</xdr:row>
      <xdr:rowOff>152400</xdr:rowOff>
    </xdr:from>
    <xdr:to>
      <xdr:col>5</xdr:col>
      <xdr:colOff>352425</xdr:colOff>
      <xdr:row>271</xdr:row>
      <xdr:rowOff>66675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4533900" y="66274950"/>
          <a:ext cx="257175" cy="3143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847725</xdr:colOff>
      <xdr:row>267</xdr:row>
      <xdr:rowOff>149695</xdr:rowOff>
    </xdr:from>
    <xdr:ext cx="909801" cy="280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66875" y="65872195"/>
          <a:ext cx="909801" cy="280205"/>
        </a:xfrm>
        <a:prstGeom prst="rect">
          <a:avLst/>
        </a:prstGeom>
        <a:solidFill>
          <a:schemeClr val="bg2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tx1"/>
              </a:solidFill>
            </a:rPr>
            <a:t>Wing A &amp; B</a:t>
          </a:r>
          <a:endParaRPr lang="x-none" sz="1200" b="1">
            <a:solidFill>
              <a:schemeClr val="tx1"/>
            </a:solidFill>
          </a:endParaRPr>
        </a:p>
      </xdr:txBody>
    </xdr:sp>
    <xdr:clientData/>
  </xdr:oneCellAnchor>
  <xdr:twoCellAnchor>
    <xdr:from>
      <xdr:col>2</xdr:col>
      <xdr:colOff>742950</xdr:colOff>
      <xdr:row>269</xdr:row>
      <xdr:rowOff>85725</xdr:rowOff>
    </xdr:from>
    <xdr:to>
      <xdr:col>2</xdr:col>
      <xdr:colOff>904875</xdr:colOff>
      <xdr:row>271</xdr:row>
      <xdr:rowOff>95250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419350" y="66208275"/>
          <a:ext cx="161925" cy="4095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346208</xdr:colOff>
      <xdr:row>275</xdr:row>
      <xdr:rowOff>157891</xdr:rowOff>
    </xdr:from>
    <xdr:to>
      <xdr:col>4</xdr:col>
      <xdr:colOff>296154</xdr:colOff>
      <xdr:row>281</xdr:row>
      <xdr:rowOff>130792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2015069">
          <a:off x="2937008" y="67480591"/>
          <a:ext cx="959596" cy="1173051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oneCellAnchor>
    <xdr:from>
      <xdr:col>5</xdr:col>
      <xdr:colOff>19050</xdr:colOff>
      <xdr:row>279</xdr:row>
      <xdr:rowOff>168745</xdr:rowOff>
    </xdr:from>
    <xdr:ext cx="1133475" cy="65594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457700" y="68291545"/>
          <a:ext cx="1133475" cy="655949"/>
        </a:xfrm>
        <a:prstGeom prst="rect">
          <a:avLst/>
        </a:prstGeom>
        <a:solidFill>
          <a:schemeClr val="bg2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200" b="1">
              <a:solidFill>
                <a:schemeClr val="tx1"/>
              </a:solidFill>
            </a:rPr>
            <a:t>Proposed building 'Wing</a:t>
          </a:r>
          <a:r>
            <a:rPr lang="en-US" sz="1200" b="1" baseline="0">
              <a:solidFill>
                <a:schemeClr val="tx1"/>
              </a:solidFill>
            </a:rPr>
            <a:t> F'</a:t>
          </a:r>
          <a:endParaRPr lang="x-none" sz="1200" b="1">
            <a:solidFill>
              <a:schemeClr val="tx1"/>
            </a:solidFill>
          </a:endParaRPr>
        </a:p>
      </xdr:txBody>
    </xdr:sp>
    <xdr:clientData/>
  </xdr:oneCellAnchor>
  <xdr:twoCellAnchor>
    <xdr:from>
      <xdr:col>4</xdr:col>
      <xdr:colOff>381000</xdr:colOff>
      <xdr:row>279</xdr:row>
      <xdr:rowOff>38100</xdr:rowOff>
    </xdr:from>
    <xdr:to>
      <xdr:col>5</xdr:col>
      <xdr:colOff>19050</xdr:colOff>
      <xdr:row>281</xdr:row>
      <xdr:rowOff>96670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stCxn id="11" idx="1"/>
        </xdr:cNvCxnSpPr>
      </xdr:nvCxnSpPr>
      <xdr:spPr>
        <a:xfrm flipH="1" flipV="1">
          <a:off x="3981450" y="68160900"/>
          <a:ext cx="476250" cy="45862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238125</xdr:colOff>
      <xdr:row>213</xdr:row>
      <xdr:rowOff>66675</xdr:rowOff>
    </xdr:from>
    <xdr:to>
      <xdr:col>7</xdr:col>
      <xdr:colOff>4098</xdr:colOff>
      <xdr:row>238</xdr:row>
      <xdr:rowOff>106050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53387625"/>
          <a:ext cx="5881023" cy="5040000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3</xdr:col>
      <xdr:colOff>388794</xdr:colOff>
      <xdr:row>217</xdr:row>
      <xdr:rowOff>168856</xdr:rowOff>
    </xdr:from>
    <xdr:to>
      <xdr:col>5</xdr:col>
      <xdr:colOff>466725</xdr:colOff>
      <xdr:row>223</xdr:row>
      <xdr:rowOff>146342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979594" y="54289906"/>
          <a:ext cx="1925781" cy="117763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>
    <xdr:from>
      <xdr:col>4</xdr:col>
      <xdr:colOff>283105</xdr:colOff>
      <xdr:row>224</xdr:row>
      <xdr:rowOff>112624</xdr:rowOff>
    </xdr:from>
    <xdr:to>
      <xdr:col>5</xdr:col>
      <xdr:colOff>813128</xdr:colOff>
      <xdr:row>236</xdr:row>
      <xdr:rowOff>19024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20947098">
          <a:off x="3883555" y="55633849"/>
          <a:ext cx="1368223" cy="2306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twoCellAnchor>
    <xdr:from>
      <xdr:col>1</xdr:col>
      <xdr:colOff>419100</xdr:colOff>
      <xdr:row>222</xdr:row>
      <xdr:rowOff>26847</xdr:rowOff>
    </xdr:from>
    <xdr:to>
      <xdr:col>3</xdr:col>
      <xdr:colOff>866776</xdr:colOff>
      <xdr:row>228</xdr:row>
      <xdr:rowOff>76201</xdr:rowOff>
    </xdr:to>
    <xdr:sp macro="" textlink="">
      <xdr:nvSpPr>
        <xdr:cNvPr id="16" name="Rectangle 2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38250" y="55148022"/>
          <a:ext cx="2219326" cy="1249504"/>
        </a:xfrm>
        <a:custGeom>
          <a:avLst/>
          <a:gdLst>
            <a:gd name="connsiteX0" fmla="*/ 0 w 2069525"/>
            <a:gd name="connsiteY0" fmla="*/ 0 h 1238250"/>
            <a:gd name="connsiteX1" fmla="*/ 2069525 w 2069525"/>
            <a:gd name="connsiteY1" fmla="*/ 0 h 1238250"/>
            <a:gd name="connsiteX2" fmla="*/ 2069525 w 2069525"/>
            <a:gd name="connsiteY2" fmla="*/ 1238250 h 1238250"/>
            <a:gd name="connsiteX3" fmla="*/ 0 w 2069525"/>
            <a:gd name="connsiteY3" fmla="*/ 1238250 h 1238250"/>
            <a:gd name="connsiteX4" fmla="*/ 0 w 2069525"/>
            <a:gd name="connsiteY4" fmla="*/ 0 h 1238250"/>
            <a:gd name="connsiteX0" fmla="*/ 0 w 2078184"/>
            <a:gd name="connsiteY0" fmla="*/ 0 h 1238250"/>
            <a:gd name="connsiteX1" fmla="*/ 2078184 w 2078184"/>
            <a:gd name="connsiteY1" fmla="*/ 8659 h 1238250"/>
            <a:gd name="connsiteX2" fmla="*/ 2069525 w 2078184"/>
            <a:gd name="connsiteY2" fmla="*/ 1238250 h 1238250"/>
            <a:gd name="connsiteX3" fmla="*/ 0 w 2078184"/>
            <a:gd name="connsiteY3" fmla="*/ 1238250 h 1238250"/>
            <a:gd name="connsiteX4" fmla="*/ 0 w 2078184"/>
            <a:gd name="connsiteY4" fmla="*/ 0 h 1238250"/>
            <a:gd name="connsiteX0" fmla="*/ 0 w 2112821"/>
            <a:gd name="connsiteY0" fmla="*/ 0 h 1238250"/>
            <a:gd name="connsiteX1" fmla="*/ 2112821 w 2112821"/>
            <a:gd name="connsiteY1" fmla="*/ 406978 h 1238250"/>
            <a:gd name="connsiteX2" fmla="*/ 2069525 w 2112821"/>
            <a:gd name="connsiteY2" fmla="*/ 1238250 h 1238250"/>
            <a:gd name="connsiteX3" fmla="*/ 0 w 2112821"/>
            <a:gd name="connsiteY3" fmla="*/ 1238250 h 1238250"/>
            <a:gd name="connsiteX4" fmla="*/ 0 w 2112821"/>
            <a:gd name="connsiteY4" fmla="*/ 0 h 1238250"/>
            <a:gd name="connsiteX0" fmla="*/ 0 w 2156238"/>
            <a:gd name="connsiteY0" fmla="*/ 0 h 1272886"/>
            <a:gd name="connsiteX1" fmla="*/ 2112821 w 2156238"/>
            <a:gd name="connsiteY1" fmla="*/ 406978 h 1272886"/>
            <a:gd name="connsiteX2" fmla="*/ 2156116 w 2156238"/>
            <a:gd name="connsiteY2" fmla="*/ 1272886 h 1272886"/>
            <a:gd name="connsiteX3" fmla="*/ 0 w 2156238"/>
            <a:gd name="connsiteY3" fmla="*/ 1238250 h 1272886"/>
            <a:gd name="connsiteX4" fmla="*/ 0 w 2156238"/>
            <a:gd name="connsiteY4" fmla="*/ 0 h 1272886"/>
            <a:gd name="connsiteX0" fmla="*/ 0 w 2156499"/>
            <a:gd name="connsiteY0" fmla="*/ 0 h 1272886"/>
            <a:gd name="connsiteX1" fmla="*/ 2147457 w 2156499"/>
            <a:gd name="connsiteY1" fmla="*/ 381000 h 1272886"/>
            <a:gd name="connsiteX2" fmla="*/ 2156116 w 2156499"/>
            <a:gd name="connsiteY2" fmla="*/ 1272886 h 1272886"/>
            <a:gd name="connsiteX3" fmla="*/ 0 w 2156499"/>
            <a:gd name="connsiteY3" fmla="*/ 1238250 h 1272886"/>
            <a:gd name="connsiteX4" fmla="*/ 0 w 2156499"/>
            <a:gd name="connsiteY4" fmla="*/ 0 h 1272886"/>
            <a:gd name="connsiteX0" fmla="*/ 0 w 2156499"/>
            <a:gd name="connsiteY0" fmla="*/ 0 h 1272886"/>
            <a:gd name="connsiteX1" fmla="*/ 2147457 w 2156499"/>
            <a:gd name="connsiteY1" fmla="*/ 381000 h 1272886"/>
            <a:gd name="connsiteX2" fmla="*/ 2156116 w 2156499"/>
            <a:gd name="connsiteY2" fmla="*/ 1272886 h 1272886"/>
            <a:gd name="connsiteX3" fmla="*/ 0 w 2156499"/>
            <a:gd name="connsiteY3" fmla="*/ 1238250 h 1272886"/>
            <a:gd name="connsiteX4" fmla="*/ 0 w 2156499"/>
            <a:gd name="connsiteY4" fmla="*/ 0 h 12728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156499" h="1272886">
              <a:moveTo>
                <a:pt x="0" y="0"/>
              </a:moveTo>
              <a:lnTo>
                <a:pt x="2147457" y="381000"/>
              </a:lnTo>
              <a:cubicBezTo>
                <a:pt x="2144571" y="782205"/>
                <a:pt x="2159002" y="863022"/>
                <a:pt x="2156116" y="1272886"/>
              </a:cubicBezTo>
              <a:lnTo>
                <a:pt x="0" y="1238250"/>
              </a:lnTo>
              <a:lnTo>
                <a:pt x="0" y="0"/>
              </a:lnTo>
              <a:close/>
            </a:path>
          </a:pathLst>
        </a:cu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x-none" sz="1100"/>
        </a:p>
      </xdr:txBody>
    </xdr:sp>
    <xdr:clientData/>
  </xdr:twoCellAnchor>
  <xdr:oneCellAnchor>
    <xdr:from>
      <xdr:col>6</xdr:col>
      <xdr:colOff>103044</xdr:colOff>
      <xdr:row>230</xdr:row>
      <xdr:rowOff>39831</xdr:rowOff>
    </xdr:from>
    <xdr:ext cx="1023550" cy="280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379894" y="56761206"/>
          <a:ext cx="1023550" cy="28020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tx1"/>
              </a:solidFill>
            </a:rPr>
            <a:t>Wing C,D</a:t>
          </a:r>
          <a:r>
            <a:rPr lang="en-US" sz="1200" b="1" baseline="0">
              <a:solidFill>
                <a:schemeClr val="tx1"/>
              </a:solidFill>
            </a:rPr>
            <a:t> &amp; E</a:t>
          </a:r>
          <a:endParaRPr lang="x-none" sz="1200" b="1">
            <a:solidFill>
              <a:schemeClr val="tx1"/>
            </a:solidFill>
          </a:endParaRPr>
        </a:p>
      </xdr:txBody>
    </xdr:sp>
    <xdr:clientData/>
  </xdr:oneCellAnchor>
  <xdr:twoCellAnchor>
    <xdr:from>
      <xdr:col>5</xdr:col>
      <xdr:colOff>759403</xdr:colOff>
      <xdr:row>228</xdr:row>
      <xdr:rowOff>24248</xdr:rowOff>
    </xdr:from>
    <xdr:to>
      <xdr:col>6</xdr:col>
      <xdr:colOff>449408</xdr:colOff>
      <xdr:row>230</xdr:row>
      <xdr:rowOff>22516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 flipV="1">
          <a:off x="5198053" y="56345573"/>
          <a:ext cx="528205" cy="398318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79664</xdr:colOff>
      <xdr:row>215</xdr:row>
      <xdr:rowOff>134216</xdr:rowOff>
    </xdr:from>
    <xdr:ext cx="909801" cy="28020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356514" y="53855216"/>
          <a:ext cx="909801" cy="28020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tx1"/>
              </a:solidFill>
            </a:rPr>
            <a:t>Wing A &amp; B</a:t>
          </a:r>
          <a:endParaRPr lang="x-none" sz="1200" b="1">
            <a:solidFill>
              <a:schemeClr val="tx1"/>
            </a:solidFill>
          </a:endParaRPr>
        </a:p>
      </xdr:txBody>
    </xdr:sp>
    <xdr:clientData/>
  </xdr:oneCellAnchor>
  <xdr:twoCellAnchor>
    <xdr:from>
      <xdr:col>5</xdr:col>
      <xdr:colOff>527050</xdr:colOff>
      <xdr:row>216</xdr:row>
      <xdr:rowOff>193966</xdr:rowOff>
    </xdr:from>
    <xdr:to>
      <xdr:col>6</xdr:col>
      <xdr:colOff>322120</xdr:colOff>
      <xdr:row>220</xdr:row>
      <xdr:rowOff>12700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4864100" y="44301066"/>
          <a:ext cx="614220" cy="606134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737755</xdr:colOff>
      <xdr:row>219</xdr:row>
      <xdr:rowOff>104771</xdr:rowOff>
    </xdr:from>
    <xdr:ext cx="622927" cy="28020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556905" y="54625871"/>
          <a:ext cx="622927" cy="280205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tx1"/>
              </a:solidFill>
            </a:rPr>
            <a:t>Wing F</a:t>
          </a:r>
          <a:endParaRPr lang="x-none" sz="1200" b="1">
            <a:solidFill>
              <a:schemeClr val="tx1"/>
            </a:solidFill>
          </a:endParaRPr>
        </a:p>
      </xdr:txBody>
    </xdr:sp>
    <xdr:clientData/>
  </xdr:oneCellAnchor>
  <xdr:twoCellAnchor>
    <xdr:from>
      <xdr:col>2</xdr:col>
      <xdr:colOff>326449</xdr:colOff>
      <xdr:row>220</xdr:row>
      <xdr:rowOff>199162</xdr:rowOff>
    </xdr:from>
    <xdr:to>
      <xdr:col>2</xdr:col>
      <xdr:colOff>482313</xdr:colOff>
      <xdr:row>224</xdr:row>
      <xdr:rowOff>109107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2002849" y="54920287"/>
          <a:ext cx="155864" cy="710045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256310</xdr:colOff>
      <xdr:row>233</xdr:row>
      <xdr:rowOff>15586</xdr:rowOff>
    </xdr:from>
    <xdr:to>
      <xdr:col>1</xdr:col>
      <xdr:colOff>798285</xdr:colOff>
      <xdr:row>238</xdr:row>
      <xdr:rowOff>95461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310" y="57337036"/>
          <a:ext cx="1405575" cy="1080000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8</xdr:col>
      <xdr:colOff>171450</xdr:colOff>
      <xdr:row>170</xdr:row>
      <xdr:rowOff>85725</xdr:rowOff>
    </xdr:from>
    <xdr:to>
      <xdr:col>15</xdr:col>
      <xdr:colOff>499378</xdr:colOff>
      <xdr:row>210</xdr:row>
      <xdr:rowOff>181594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F6256274-0380-43B9-8971-0CB2B3C6FA6D}"/>
            </a:ext>
          </a:extLst>
        </xdr:cNvPr>
        <xdr:cNvGrpSpPr/>
      </xdr:nvGrpSpPr>
      <xdr:grpSpPr>
        <a:xfrm>
          <a:off x="6965950" y="34680525"/>
          <a:ext cx="6208028" cy="7963519"/>
          <a:chOff x="142875" y="35356800"/>
          <a:chExt cx="5947678" cy="8087344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A33DC779-BD66-431F-AD51-9F30809045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740" y="38016089"/>
            <a:ext cx="262660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63A7C31B-401C-46E9-977A-27F0032B2A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60118" y="35356800"/>
            <a:ext cx="189527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C1011E2-E8F6-4F36-9596-8F8E0BCB8A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59756" y="35356800"/>
            <a:ext cx="189527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D17A42AB-4B3D-4EDA-847D-407440DD34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50592" y="38016089"/>
            <a:ext cx="2626605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DC218A3E-590D-4724-A49F-C850213E59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2875" y="40086089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8A3057C7-BCEF-4A77-AA98-0A7FDF64CE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74179" y="40086089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D0A2F580-A5FF-4A03-9DC2-6A986D3D9D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05483" y="40086089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C5DF10B9-5ECC-42CD-B4DE-F47839C36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36787" y="40086089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4DB5C83F-ADE1-4F9C-9743-0A6ED0ABC2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5068" y="42004144"/>
            <a:ext cx="1910258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9CA16139-6845-42DB-B85A-4505F3C028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4242" y="41998690"/>
            <a:ext cx="10785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66B4D864-586A-4D9B-8818-3ED150F3B2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81658" y="41998690"/>
            <a:ext cx="1910258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120650</xdr:colOff>
      <xdr:row>171</xdr:row>
      <xdr:rowOff>57150</xdr:rowOff>
    </xdr:from>
    <xdr:to>
      <xdr:col>7</xdr:col>
      <xdr:colOff>737359</xdr:colOff>
      <xdr:row>202</xdr:row>
      <xdr:rowOff>73357</xdr:rowOff>
    </xdr:to>
    <xdr:grpSp>
      <xdr:nvGrpSpPr>
        <xdr:cNvPr id="25" name="Group 24"/>
        <xdr:cNvGrpSpPr/>
      </xdr:nvGrpSpPr>
      <xdr:grpSpPr>
        <a:xfrm>
          <a:off x="120650" y="34848800"/>
          <a:ext cx="6541259" cy="6112207"/>
          <a:chOff x="120650" y="34690050"/>
          <a:chExt cx="6541259" cy="6112207"/>
        </a:xfrm>
      </xdr:grpSpPr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5877" y="346900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8782" y="3875025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6317" y="346900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6914" y="3875025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38750257"/>
            <a:ext cx="1543294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5046" y="38750257"/>
            <a:ext cx="1536863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9kZMYkZgDGHVVXP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48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54296875" style="36" customWidth="1"/>
    <col min="4" max="4" width="14.1796875" style="36" customWidth="1"/>
    <col min="5" max="7" width="11.54296875" style="36" customWidth="1"/>
    <col min="8" max="8" width="12.453125" style="36" customWidth="1"/>
    <col min="9" max="9" width="17.453125" style="17" customWidth="1"/>
    <col min="10" max="10" width="11.453125" style="17" customWidth="1"/>
    <col min="11" max="11" width="10.54296875" style="17" bestFit="1" customWidth="1"/>
    <col min="12" max="12" width="10.5429687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54296875" style="17" customWidth="1"/>
    <col min="17" max="247" width="9.1796875" style="17"/>
    <col min="248" max="248" width="8.54296875" style="17" customWidth="1"/>
    <col min="249" max="249" width="9.81640625" style="17" customWidth="1"/>
    <col min="250" max="250" width="14.453125" style="17" customWidth="1"/>
    <col min="251" max="251" width="7.45312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54296875" style="17" customWidth="1"/>
    <col min="505" max="505" width="9.81640625" style="17" customWidth="1"/>
    <col min="506" max="506" width="14.453125" style="17" customWidth="1"/>
    <col min="507" max="507" width="7.45312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54296875" style="17" customWidth="1"/>
    <col min="761" max="761" width="9.81640625" style="17" customWidth="1"/>
    <col min="762" max="762" width="14.453125" style="17" customWidth="1"/>
    <col min="763" max="763" width="7.45312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54296875" style="17" customWidth="1"/>
    <col min="1017" max="1017" width="9.81640625" style="17" customWidth="1"/>
    <col min="1018" max="1018" width="14.453125" style="17" customWidth="1"/>
    <col min="1019" max="1019" width="7.45312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54296875" style="17" customWidth="1"/>
    <col min="1273" max="1273" width="9.81640625" style="17" customWidth="1"/>
    <col min="1274" max="1274" width="14.453125" style="17" customWidth="1"/>
    <col min="1275" max="1275" width="7.45312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54296875" style="17" customWidth="1"/>
    <col min="1529" max="1529" width="9.81640625" style="17" customWidth="1"/>
    <col min="1530" max="1530" width="14.453125" style="17" customWidth="1"/>
    <col min="1531" max="1531" width="7.45312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54296875" style="17" customWidth="1"/>
    <col min="1785" max="1785" width="9.81640625" style="17" customWidth="1"/>
    <col min="1786" max="1786" width="14.453125" style="17" customWidth="1"/>
    <col min="1787" max="1787" width="7.45312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54296875" style="17" customWidth="1"/>
    <col min="2041" max="2041" width="9.81640625" style="17" customWidth="1"/>
    <col min="2042" max="2042" width="14.453125" style="17" customWidth="1"/>
    <col min="2043" max="2043" width="7.45312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54296875" style="17" customWidth="1"/>
    <col min="2297" max="2297" width="9.81640625" style="17" customWidth="1"/>
    <col min="2298" max="2298" width="14.453125" style="17" customWidth="1"/>
    <col min="2299" max="2299" width="7.45312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54296875" style="17" customWidth="1"/>
    <col min="2553" max="2553" width="9.81640625" style="17" customWidth="1"/>
    <col min="2554" max="2554" width="14.453125" style="17" customWidth="1"/>
    <col min="2555" max="2555" width="7.45312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54296875" style="17" customWidth="1"/>
    <col min="2809" max="2809" width="9.81640625" style="17" customWidth="1"/>
    <col min="2810" max="2810" width="14.453125" style="17" customWidth="1"/>
    <col min="2811" max="2811" width="7.45312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54296875" style="17" customWidth="1"/>
    <col min="3065" max="3065" width="9.81640625" style="17" customWidth="1"/>
    <col min="3066" max="3066" width="14.453125" style="17" customWidth="1"/>
    <col min="3067" max="3067" width="7.45312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54296875" style="17" customWidth="1"/>
    <col min="3321" max="3321" width="9.81640625" style="17" customWidth="1"/>
    <col min="3322" max="3322" width="14.453125" style="17" customWidth="1"/>
    <col min="3323" max="3323" width="7.45312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54296875" style="17" customWidth="1"/>
    <col min="3577" max="3577" width="9.81640625" style="17" customWidth="1"/>
    <col min="3578" max="3578" width="14.453125" style="17" customWidth="1"/>
    <col min="3579" max="3579" width="7.45312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54296875" style="17" customWidth="1"/>
    <col min="3833" max="3833" width="9.81640625" style="17" customWidth="1"/>
    <col min="3834" max="3834" width="14.453125" style="17" customWidth="1"/>
    <col min="3835" max="3835" width="7.45312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54296875" style="17" customWidth="1"/>
    <col min="4089" max="4089" width="9.81640625" style="17" customWidth="1"/>
    <col min="4090" max="4090" width="14.453125" style="17" customWidth="1"/>
    <col min="4091" max="4091" width="7.45312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54296875" style="17" customWidth="1"/>
    <col min="4345" max="4345" width="9.81640625" style="17" customWidth="1"/>
    <col min="4346" max="4346" width="14.453125" style="17" customWidth="1"/>
    <col min="4347" max="4347" width="7.45312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54296875" style="17" customWidth="1"/>
    <col min="4601" max="4601" width="9.81640625" style="17" customWidth="1"/>
    <col min="4602" max="4602" width="14.453125" style="17" customWidth="1"/>
    <col min="4603" max="4603" width="7.45312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54296875" style="17" customWidth="1"/>
    <col min="4857" max="4857" width="9.81640625" style="17" customWidth="1"/>
    <col min="4858" max="4858" width="14.453125" style="17" customWidth="1"/>
    <col min="4859" max="4859" width="7.45312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54296875" style="17" customWidth="1"/>
    <col min="5113" max="5113" width="9.81640625" style="17" customWidth="1"/>
    <col min="5114" max="5114" width="14.453125" style="17" customWidth="1"/>
    <col min="5115" max="5115" width="7.45312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54296875" style="17" customWidth="1"/>
    <col min="5369" max="5369" width="9.81640625" style="17" customWidth="1"/>
    <col min="5370" max="5370" width="14.453125" style="17" customWidth="1"/>
    <col min="5371" max="5371" width="7.45312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54296875" style="17" customWidth="1"/>
    <col min="5625" max="5625" width="9.81640625" style="17" customWidth="1"/>
    <col min="5626" max="5626" width="14.453125" style="17" customWidth="1"/>
    <col min="5627" max="5627" width="7.45312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54296875" style="17" customWidth="1"/>
    <col min="5881" max="5881" width="9.81640625" style="17" customWidth="1"/>
    <col min="5882" max="5882" width="14.453125" style="17" customWidth="1"/>
    <col min="5883" max="5883" width="7.45312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54296875" style="17" customWidth="1"/>
    <col min="6137" max="6137" width="9.81640625" style="17" customWidth="1"/>
    <col min="6138" max="6138" width="14.453125" style="17" customWidth="1"/>
    <col min="6139" max="6139" width="7.45312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54296875" style="17" customWidth="1"/>
    <col min="6393" max="6393" width="9.81640625" style="17" customWidth="1"/>
    <col min="6394" max="6394" width="14.453125" style="17" customWidth="1"/>
    <col min="6395" max="6395" width="7.45312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54296875" style="17" customWidth="1"/>
    <col min="6649" max="6649" width="9.81640625" style="17" customWidth="1"/>
    <col min="6650" max="6650" width="14.453125" style="17" customWidth="1"/>
    <col min="6651" max="6651" width="7.45312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54296875" style="17" customWidth="1"/>
    <col min="6905" max="6905" width="9.81640625" style="17" customWidth="1"/>
    <col min="6906" max="6906" width="14.453125" style="17" customWidth="1"/>
    <col min="6907" max="6907" width="7.45312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54296875" style="17" customWidth="1"/>
    <col min="7161" max="7161" width="9.81640625" style="17" customWidth="1"/>
    <col min="7162" max="7162" width="14.453125" style="17" customWidth="1"/>
    <col min="7163" max="7163" width="7.45312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54296875" style="17" customWidth="1"/>
    <col min="7417" max="7417" width="9.81640625" style="17" customWidth="1"/>
    <col min="7418" max="7418" width="14.453125" style="17" customWidth="1"/>
    <col min="7419" max="7419" width="7.45312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54296875" style="17" customWidth="1"/>
    <col min="7673" max="7673" width="9.81640625" style="17" customWidth="1"/>
    <col min="7674" max="7674" width="14.453125" style="17" customWidth="1"/>
    <col min="7675" max="7675" width="7.45312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54296875" style="17" customWidth="1"/>
    <col min="7929" max="7929" width="9.81640625" style="17" customWidth="1"/>
    <col min="7930" max="7930" width="14.453125" style="17" customWidth="1"/>
    <col min="7931" max="7931" width="7.45312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54296875" style="17" customWidth="1"/>
    <col min="8185" max="8185" width="9.81640625" style="17" customWidth="1"/>
    <col min="8186" max="8186" width="14.453125" style="17" customWidth="1"/>
    <col min="8187" max="8187" width="7.45312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54296875" style="17" customWidth="1"/>
    <col min="8441" max="8441" width="9.81640625" style="17" customWidth="1"/>
    <col min="8442" max="8442" width="14.453125" style="17" customWidth="1"/>
    <col min="8443" max="8443" width="7.45312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54296875" style="17" customWidth="1"/>
    <col min="8697" max="8697" width="9.81640625" style="17" customWidth="1"/>
    <col min="8698" max="8698" width="14.453125" style="17" customWidth="1"/>
    <col min="8699" max="8699" width="7.45312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54296875" style="17" customWidth="1"/>
    <col min="8953" max="8953" width="9.81640625" style="17" customWidth="1"/>
    <col min="8954" max="8954" width="14.453125" style="17" customWidth="1"/>
    <col min="8955" max="8955" width="7.45312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54296875" style="17" customWidth="1"/>
    <col min="9209" max="9209" width="9.81640625" style="17" customWidth="1"/>
    <col min="9210" max="9210" width="14.453125" style="17" customWidth="1"/>
    <col min="9211" max="9211" width="7.45312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54296875" style="17" customWidth="1"/>
    <col min="9465" max="9465" width="9.81640625" style="17" customWidth="1"/>
    <col min="9466" max="9466" width="14.453125" style="17" customWidth="1"/>
    <col min="9467" max="9467" width="7.45312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54296875" style="17" customWidth="1"/>
    <col min="9721" max="9721" width="9.81640625" style="17" customWidth="1"/>
    <col min="9722" max="9722" width="14.453125" style="17" customWidth="1"/>
    <col min="9723" max="9723" width="7.45312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54296875" style="17" customWidth="1"/>
    <col min="9977" max="9977" width="9.81640625" style="17" customWidth="1"/>
    <col min="9978" max="9978" width="14.453125" style="17" customWidth="1"/>
    <col min="9979" max="9979" width="7.45312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54296875" style="17" customWidth="1"/>
    <col min="10233" max="10233" width="9.81640625" style="17" customWidth="1"/>
    <col min="10234" max="10234" width="14.453125" style="17" customWidth="1"/>
    <col min="10235" max="10235" width="7.45312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54296875" style="17" customWidth="1"/>
    <col min="10489" max="10489" width="9.81640625" style="17" customWidth="1"/>
    <col min="10490" max="10490" width="14.453125" style="17" customWidth="1"/>
    <col min="10491" max="10491" width="7.45312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54296875" style="17" customWidth="1"/>
    <col min="10745" max="10745" width="9.81640625" style="17" customWidth="1"/>
    <col min="10746" max="10746" width="14.453125" style="17" customWidth="1"/>
    <col min="10747" max="10747" width="7.45312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54296875" style="17" customWidth="1"/>
    <col min="11001" max="11001" width="9.81640625" style="17" customWidth="1"/>
    <col min="11002" max="11002" width="14.453125" style="17" customWidth="1"/>
    <col min="11003" max="11003" width="7.45312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54296875" style="17" customWidth="1"/>
    <col min="11257" max="11257" width="9.81640625" style="17" customWidth="1"/>
    <col min="11258" max="11258" width="14.453125" style="17" customWidth="1"/>
    <col min="11259" max="11259" width="7.45312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54296875" style="17" customWidth="1"/>
    <col min="11513" max="11513" width="9.81640625" style="17" customWidth="1"/>
    <col min="11514" max="11514" width="14.453125" style="17" customWidth="1"/>
    <col min="11515" max="11515" width="7.45312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54296875" style="17" customWidth="1"/>
    <col min="11769" max="11769" width="9.81640625" style="17" customWidth="1"/>
    <col min="11770" max="11770" width="14.453125" style="17" customWidth="1"/>
    <col min="11771" max="11771" width="7.45312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54296875" style="17" customWidth="1"/>
    <col min="12025" max="12025" width="9.81640625" style="17" customWidth="1"/>
    <col min="12026" max="12026" width="14.453125" style="17" customWidth="1"/>
    <col min="12027" max="12027" width="7.45312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54296875" style="17" customWidth="1"/>
    <col min="12281" max="12281" width="9.81640625" style="17" customWidth="1"/>
    <col min="12282" max="12282" width="14.453125" style="17" customWidth="1"/>
    <col min="12283" max="12283" width="7.45312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54296875" style="17" customWidth="1"/>
    <col min="12537" max="12537" width="9.81640625" style="17" customWidth="1"/>
    <col min="12538" max="12538" width="14.453125" style="17" customWidth="1"/>
    <col min="12539" max="12539" width="7.45312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54296875" style="17" customWidth="1"/>
    <col min="12793" max="12793" width="9.81640625" style="17" customWidth="1"/>
    <col min="12794" max="12794" width="14.453125" style="17" customWidth="1"/>
    <col min="12795" max="12795" width="7.45312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54296875" style="17" customWidth="1"/>
    <col min="13049" max="13049" width="9.81640625" style="17" customWidth="1"/>
    <col min="13050" max="13050" width="14.453125" style="17" customWidth="1"/>
    <col min="13051" max="13051" width="7.45312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54296875" style="17" customWidth="1"/>
    <col min="13305" max="13305" width="9.81640625" style="17" customWidth="1"/>
    <col min="13306" max="13306" width="14.453125" style="17" customWidth="1"/>
    <col min="13307" max="13307" width="7.45312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54296875" style="17" customWidth="1"/>
    <col min="13561" max="13561" width="9.81640625" style="17" customWidth="1"/>
    <col min="13562" max="13562" width="14.453125" style="17" customWidth="1"/>
    <col min="13563" max="13563" width="7.45312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54296875" style="17" customWidth="1"/>
    <col min="13817" max="13817" width="9.81640625" style="17" customWidth="1"/>
    <col min="13818" max="13818" width="14.453125" style="17" customWidth="1"/>
    <col min="13819" max="13819" width="7.45312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54296875" style="17" customWidth="1"/>
    <col min="14073" max="14073" width="9.81640625" style="17" customWidth="1"/>
    <col min="14074" max="14074" width="14.453125" style="17" customWidth="1"/>
    <col min="14075" max="14075" width="7.45312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54296875" style="17" customWidth="1"/>
    <col min="14329" max="14329" width="9.81640625" style="17" customWidth="1"/>
    <col min="14330" max="14330" width="14.453125" style="17" customWidth="1"/>
    <col min="14331" max="14331" width="7.45312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54296875" style="17" customWidth="1"/>
    <col min="14585" max="14585" width="9.81640625" style="17" customWidth="1"/>
    <col min="14586" max="14586" width="14.453125" style="17" customWidth="1"/>
    <col min="14587" max="14587" width="7.45312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54296875" style="17" customWidth="1"/>
    <col min="14841" max="14841" width="9.81640625" style="17" customWidth="1"/>
    <col min="14842" max="14842" width="14.453125" style="17" customWidth="1"/>
    <col min="14843" max="14843" width="7.45312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54296875" style="17" customWidth="1"/>
    <col min="15097" max="15097" width="9.81640625" style="17" customWidth="1"/>
    <col min="15098" max="15098" width="14.453125" style="17" customWidth="1"/>
    <col min="15099" max="15099" width="7.45312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54296875" style="17" customWidth="1"/>
    <col min="15353" max="15353" width="9.81640625" style="17" customWidth="1"/>
    <col min="15354" max="15354" width="14.453125" style="17" customWidth="1"/>
    <col min="15355" max="15355" width="7.45312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54296875" style="17" customWidth="1"/>
    <col min="15609" max="15609" width="9.81640625" style="17" customWidth="1"/>
    <col min="15610" max="15610" width="14.453125" style="17" customWidth="1"/>
    <col min="15611" max="15611" width="7.45312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54296875" style="17" customWidth="1"/>
    <col min="15865" max="15865" width="9.81640625" style="17" customWidth="1"/>
    <col min="15866" max="15866" width="14.453125" style="17" customWidth="1"/>
    <col min="15867" max="15867" width="7.45312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54296875" style="17" customWidth="1"/>
    <col min="16121" max="16121" width="9.81640625" style="17" customWidth="1"/>
    <col min="16122" max="16122" width="14.453125" style="17" customWidth="1"/>
    <col min="16123" max="16123" width="7.45312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8" ht="46.5" customHeight="1" x14ac:dyDescent="0.35">
      <c r="A1" s="103" t="s">
        <v>205</v>
      </c>
      <c r="B1" s="103"/>
      <c r="C1" s="103"/>
      <c r="D1" s="103"/>
      <c r="E1" s="103"/>
      <c r="F1" s="103"/>
      <c r="G1" s="103"/>
      <c r="H1" s="103"/>
    </row>
    <row r="2" spans="1:8" ht="16.5" customHeight="1" x14ac:dyDescent="0.35">
      <c r="A2" s="59" t="s">
        <v>0</v>
      </c>
      <c r="B2" s="59"/>
      <c r="C2" s="59"/>
      <c r="D2" s="59"/>
      <c r="E2" s="59"/>
      <c r="F2" s="59"/>
      <c r="G2" s="59"/>
      <c r="H2" s="59"/>
    </row>
    <row r="3" spans="1:8" x14ac:dyDescent="0.35">
      <c r="A3" s="77" t="s">
        <v>1</v>
      </c>
      <c r="B3" s="77"/>
      <c r="C3" s="77"/>
      <c r="D3" s="77"/>
      <c r="E3" s="100" t="str">
        <f ca="1">TEXT(TODAY(),"DD/MM/YYYY")</f>
        <v>13/09/2025</v>
      </c>
      <c r="F3" s="100"/>
      <c r="G3" s="100"/>
      <c r="H3" s="100"/>
    </row>
    <row r="4" spans="1:8" ht="15" customHeight="1" x14ac:dyDescent="0.35">
      <c r="A4" s="77" t="s">
        <v>2</v>
      </c>
      <c r="B4" s="77"/>
      <c r="C4" s="77"/>
      <c r="D4" s="77"/>
      <c r="E4" s="100" t="s">
        <v>166</v>
      </c>
      <c r="F4" s="100"/>
      <c r="G4" s="100"/>
      <c r="H4" s="100"/>
    </row>
    <row r="5" spans="1:8" x14ac:dyDescent="0.35">
      <c r="A5" s="77" t="s">
        <v>3</v>
      </c>
      <c r="B5" s="77"/>
      <c r="C5" s="77"/>
      <c r="D5" s="77"/>
      <c r="E5" s="102">
        <v>45906</v>
      </c>
      <c r="F5" s="100"/>
      <c r="G5" s="100"/>
      <c r="H5" s="100"/>
    </row>
    <row r="6" spans="1:8" ht="16.5" customHeight="1" x14ac:dyDescent="0.35">
      <c r="A6" s="77" t="s">
        <v>4</v>
      </c>
      <c r="B6" s="77"/>
      <c r="C6" s="77"/>
      <c r="D6" s="77"/>
      <c r="E6" s="77" t="s">
        <v>167</v>
      </c>
      <c r="F6" s="77"/>
      <c r="G6" s="77"/>
      <c r="H6" s="77"/>
    </row>
    <row r="7" spans="1:8" ht="15" customHeight="1" x14ac:dyDescent="0.35">
      <c r="A7" s="77" t="s">
        <v>5</v>
      </c>
      <c r="B7" s="77"/>
      <c r="C7" s="77"/>
      <c r="D7" s="77"/>
      <c r="E7" s="77" t="str">
        <f>E6</f>
        <v>Shreeji Developers</v>
      </c>
      <c r="F7" s="77"/>
      <c r="G7" s="77"/>
      <c r="H7" s="77"/>
    </row>
    <row r="8" spans="1:8" x14ac:dyDescent="0.35">
      <c r="A8" s="77" t="s">
        <v>6</v>
      </c>
      <c r="B8" s="77"/>
      <c r="C8" s="77"/>
      <c r="D8" s="77"/>
      <c r="E8" s="104" t="s">
        <v>169</v>
      </c>
      <c r="F8" s="104"/>
      <c r="G8" s="104"/>
      <c r="H8" s="104"/>
    </row>
    <row r="9" spans="1:8" x14ac:dyDescent="0.35">
      <c r="A9" s="77" t="s">
        <v>162</v>
      </c>
      <c r="B9" s="77"/>
      <c r="C9" s="77"/>
      <c r="D9" s="77"/>
      <c r="E9" s="77" t="s">
        <v>171</v>
      </c>
      <c r="F9" s="77"/>
      <c r="G9" s="77"/>
      <c r="H9" s="77"/>
    </row>
    <row r="10" spans="1:8" x14ac:dyDescent="0.35">
      <c r="A10" s="77" t="s">
        <v>163</v>
      </c>
      <c r="B10" s="77"/>
      <c r="C10" s="77"/>
      <c r="D10" s="77"/>
      <c r="E10" s="77" t="s">
        <v>30</v>
      </c>
      <c r="F10" s="77"/>
      <c r="G10" s="77"/>
      <c r="H10" s="77"/>
    </row>
    <row r="11" spans="1:8" x14ac:dyDescent="0.35">
      <c r="A11" s="77" t="s">
        <v>7</v>
      </c>
      <c r="B11" s="77"/>
      <c r="C11" s="77"/>
      <c r="D11" s="77"/>
      <c r="E11" s="77" t="s">
        <v>170</v>
      </c>
      <c r="F11" s="77"/>
      <c r="G11" s="77"/>
      <c r="H11" s="77"/>
    </row>
    <row r="12" spans="1:8" x14ac:dyDescent="0.35">
      <c r="A12" s="56" t="s">
        <v>8</v>
      </c>
      <c r="B12" s="56"/>
      <c r="C12" s="56"/>
      <c r="D12" s="56"/>
      <c r="E12" s="61" t="s">
        <v>201</v>
      </c>
      <c r="F12" s="61"/>
      <c r="G12" s="61"/>
      <c r="H12" s="61"/>
    </row>
    <row r="13" spans="1:8" x14ac:dyDescent="0.35">
      <c r="A13" s="56" t="s">
        <v>9</v>
      </c>
      <c r="B13" s="56"/>
      <c r="C13" s="56"/>
      <c r="D13" s="56"/>
      <c r="E13" s="99" t="s">
        <v>168</v>
      </c>
      <c r="F13" s="100"/>
      <c r="G13" s="100"/>
      <c r="H13" s="100"/>
    </row>
    <row r="14" spans="1:8" ht="48.75" customHeight="1" x14ac:dyDescent="0.35">
      <c r="A14" s="61" t="s">
        <v>10</v>
      </c>
      <c r="B14" s="61"/>
      <c r="C14" s="6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Satyam Sheela (Wing F), Survey No.72, H.No.4, S.No.73, H.No.1B, near Dev Luxuria, Proposed Panvel Highway, Shirgaon, Shirgaon, Badlapur (East), Ambernath, Thane - 421503.</v>
      </c>
      <c r="D14" s="61"/>
      <c r="E14" s="61"/>
      <c r="F14" s="61"/>
      <c r="G14" s="61"/>
      <c r="H14" s="61"/>
    </row>
    <row r="15" spans="1:8" x14ac:dyDescent="0.35">
      <c r="A15" s="61" t="s">
        <v>180</v>
      </c>
      <c r="B15" s="61"/>
      <c r="C15" s="61" t="s">
        <v>190</v>
      </c>
      <c r="D15" s="61"/>
      <c r="E15" s="61"/>
      <c r="F15" s="61"/>
      <c r="G15" s="61"/>
      <c r="H15" s="61"/>
    </row>
    <row r="16" spans="1:8" ht="15.75" customHeight="1" x14ac:dyDescent="0.35">
      <c r="A16" s="61" t="s">
        <v>161</v>
      </c>
      <c r="B16" s="61"/>
      <c r="C16" s="61" t="s">
        <v>172</v>
      </c>
      <c r="D16" s="61"/>
      <c r="E16" s="61"/>
      <c r="F16" s="61"/>
      <c r="G16" s="61"/>
      <c r="H16" s="61"/>
    </row>
    <row r="17" spans="1:8" ht="15.75" customHeight="1" x14ac:dyDescent="0.35">
      <c r="A17" s="61" t="s">
        <v>11</v>
      </c>
      <c r="B17" s="61"/>
      <c r="C17" s="77" t="s">
        <v>178</v>
      </c>
      <c r="D17" s="77"/>
      <c r="E17" s="61" t="s">
        <v>75</v>
      </c>
      <c r="F17" s="61"/>
      <c r="G17" s="61" t="s">
        <v>172</v>
      </c>
      <c r="H17" s="61"/>
    </row>
    <row r="18" spans="1:8" x14ac:dyDescent="0.35">
      <c r="A18" s="77" t="s">
        <v>13</v>
      </c>
      <c r="B18" s="77"/>
      <c r="C18" s="61" t="s">
        <v>175</v>
      </c>
      <c r="D18" s="61"/>
      <c r="E18" s="61" t="s">
        <v>12</v>
      </c>
      <c r="F18" s="61"/>
      <c r="G18" s="101" t="s">
        <v>174</v>
      </c>
      <c r="H18" s="101"/>
    </row>
    <row r="19" spans="1:8" x14ac:dyDescent="0.35">
      <c r="A19" s="77" t="s">
        <v>76</v>
      </c>
      <c r="B19" s="77"/>
      <c r="C19" s="61" t="s">
        <v>173</v>
      </c>
      <c r="D19" s="61"/>
      <c r="E19" s="61" t="s">
        <v>14</v>
      </c>
      <c r="F19" s="61"/>
      <c r="G19" s="61">
        <v>421503</v>
      </c>
      <c r="H19" s="61"/>
    </row>
    <row r="20" spans="1:8" ht="32.25" customHeight="1" x14ac:dyDescent="0.35">
      <c r="A20" s="77" t="s">
        <v>124</v>
      </c>
      <c r="B20" s="77"/>
      <c r="C20" s="61" t="s">
        <v>179</v>
      </c>
      <c r="D20" s="61"/>
      <c r="E20" s="61" t="s">
        <v>15</v>
      </c>
      <c r="F20" s="61"/>
      <c r="G20" s="61" t="s">
        <v>181</v>
      </c>
      <c r="H20" s="61"/>
    </row>
    <row r="21" spans="1:8" ht="15" customHeight="1" x14ac:dyDescent="0.35">
      <c r="A21" s="98" t="s">
        <v>78</v>
      </c>
      <c r="B21" s="98"/>
      <c r="C21" s="98"/>
      <c r="D21" s="98"/>
      <c r="E21" s="77" t="s">
        <v>16</v>
      </c>
      <c r="F21" s="77"/>
      <c r="G21" s="77"/>
      <c r="H21" s="77"/>
    </row>
    <row r="22" spans="1:8" ht="18.75" customHeight="1" x14ac:dyDescent="0.35">
      <c r="A22" s="98"/>
      <c r="B22" s="98"/>
      <c r="C22" s="98"/>
      <c r="D22" s="98"/>
      <c r="E22" s="77"/>
      <c r="F22" s="77"/>
      <c r="G22" s="77"/>
      <c r="H22" s="77"/>
    </row>
    <row r="23" spans="1:8" ht="15" customHeight="1" x14ac:dyDescent="0.35">
      <c r="A23" s="98" t="s">
        <v>17</v>
      </c>
      <c r="B23" s="98"/>
      <c r="C23" s="98"/>
      <c r="D23" s="98"/>
      <c r="E23" s="61" t="s">
        <v>18</v>
      </c>
      <c r="F23" s="61"/>
      <c r="G23" s="61"/>
      <c r="H23" s="61"/>
    </row>
    <row r="24" spans="1:8" ht="15" customHeight="1" x14ac:dyDescent="0.35">
      <c r="A24" s="56" t="s">
        <v>19</v>
      </c>
      <c r="B24" s="56"/>
      <c r="C24" s="56"/>
      <c r="D24" s="56"/>
      <c r="E24" s="61" t="str">
        <f>IF(AND(G18="Mumbai"),"Upper Class","Middle Class")</f>
        <v>Middle Class</v>
      </c>
      <c r="F24" s="61"/>
      <c r="G24" s="61"/>
      <c r="H24" s="61"/>
    </row>
    <row r="25" spans="1:8" x14ac:dyDescent="0.35">
      <c r="A25" s="56" t="s">
        <v>20</v>
      </c>
      <c r="B25" s="56"/>
      <c r="C25" s="56"/>
      <c r="D25" s="56"/>
      <c r="E25" s="61" t="s">
        <v>21</v>
      </c>
      <c r="F25" s="61"/>
      <c r="G25" s="61"/>
      <c r="H25" s="61"/>
    </row>
    <row r="26" spans="1:8" ht="15.75" customHeight="1" x14ac:dyDescent="0.35">
      <c r="A26" s="56" t="s">
        <v>22</v>
      </c>
      <c r="B26" s="56"/>
      <c r="C26" s="56"/>
      <c r="D26" s="56"/>
      <c r="E26" s="61" t="str">
        <f>IF(AND(G18="Mumbai"),"Developed","Developing")</f>
        <v>Developing</v>
      </c>
      <c r="F26" s="61"/>
      <c r="G26" s="61"/>
      <c r="H26" s="61"/>
    </row>
    <row r="27" spans="1:8" x14ac:dyDescent="0.35">
      <c r="A27" s="56" t="s">
        <v>23</v>
      </c>
      <c r="B27" s="56"/>
      <c r="C27" s="56"/>
      <c r="D27" s="56"/>
      <c r="E27" s="61" t="s">
        <v>24</v>
      </c>
      <c r="F27" s="61"/>
      <c r="G27" s="61"/>
      <c r="H27" s="61"/>
    </row>
    <row r="28" spans="1:8" ht="15.75" customHeight="1" x14ac:dyDescent="0.35">
      <c r="A28" s="56" t="s">
        <v>83</v>
      </c>
      <c r="B28" s="56"/>
      <c r="C28" s="56"/>
      <c r="D28" s="56"/>
      <c r="E28" s="61" t="s">
        <v>84</v>
      </c>
      <c r="F28" s="61"/>
      <c r="G28" s="61"/>
      <c r="H28" s="61"/>
    </row>
    <row r="29" spans="1:8" ht="15" customHeight="1" x14ac:dyDescent="0.35">
      <c r="A29" s="56" t="s">
        <v>33</v>
      </c>
      <c r="B29" s="56"/>
      <c r="C29" s="56"/>
      <c r="D29" s="56"/>
      <c r="E29" s="61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61"/>
      <c r="G29" s="61"/>
      <c r="H29" s="61"/>
    </row>
    <row r="30" spans="1:8" ht="15.75" customHeight="1" x14ac:dyDescent="0.35">
      <c r="A30" s="56" t="s">
        <v>95</v>
      </c>
      <c r="B30" s="56"/>
      <c r="C30" s="56"/>
      <c r="D30" s="56"/>
      <c r="E30" s="61" t="s">
        <v>34</v>
      </c>
      <c r="F30" s="61"/>
      <c r="G30" s="61"/>
      <c r="H30" s="61"/>
    </row>
    <row r="31" spans="1:8" s="18" customFormat="1" x14ac:dyDescent="0.35">
      <c r="A31" s="97" t="s">
        <v>96</v>
      </c>
      <c r="B31" s="97"/>
      <c r="C31" s="96" t="s">
        <v>29</v>
      </c>
      <c r="D31" s="96"/>
      <c r="E31" s="96"/>
      <c r="F31" s="96" t="s">
        <v>31</v>
      </c>
      <c r="G31" s="96"/>
      <c r="H31" s="96"/>
    </row>
    <row r="32" spans="1:8" s="18" customFormat="1" x14ac:dyDescent="0.35">
      <c r="A32" s="83" t="s">
        <v>25</v>
      </c>
      <c r="B32" s="83" t="s">
        <v>30</v>
      </c>
      <c r="C32" s="78" t="s">
        <v>30</v>
      </c>
      <c r="D32" s="78"/>
      <c r="E32" s="78"/>
      <c r="F32" s="78" t="s">
        <v>177</v>
      </c>
      <c r="G32" s="78"/>
      <c r="H32" s="78"/>
    </row>
    <row r="33" spans="1:8" x14ac:dyDescent="0.35">
      <c r="A33" s="83" t="s">
        <v>26</v>
      </c>
      <c r="B33" s="83" t="s">
        <v>30</v>
      </c>
      <c r="C33" s="78" t="s">
        <v>30</v>
      </c>
      <c r="D33" s="78"/>
      <c r="E33" s="78"/>
      <c r="F33" s="78" t="s">
        <v>177</v>
      </c>
      <c r="G33" s="78"/>
      <c r="H33" s="78"/>
    </row>
    <row r="34" spans="1:8" s="18" customFormat="1" x14ac:dyDescent="0.35">
      <c r="A34" s="83" t="s">
        <v>28</v>
      </c>
      <c r="B34" s="83" t="s">
        <v>30</v>
      </c>
      <c r="C34" s="78" t="s">
        <v>30</v>
      </c>
      <c r="D34" s="78"/>
      <c r="E34" s="78"/>
      <c r="F34" s="78" t="s">
        <v>176</v>
      </c>
      <c r="G34" s="78"/>
      <c r="H34" s="78"/>
    </row>
    <row r="35" spans="1:8" x14ac:dyDescent="0.35">
      <c r="A35" s="83" t="s">
        <v>27</v>
      </c>
      <c r="B35" s="83" t="s">
        <v>30</v>
      </c>
      <c r="C35" s="78" t="s">
        <v>30</v>
      </c>
      <c r="D35" s="78"/>
      <c r="E35" s="78"/>
      <c r="F35" s="78" t="s">
        <v>178</v>
      </c>
      <c r="G35" s="78"/>
      <c r="H35" s="78"/>
    </row>
    <row r="36" spans="1:8" x14ac:dyDescent="0.35">
      <c r="A36" s="56" t="s">
        <v>32</v>
      </c>
      <c r="B36" s="56"/>
      <c r="C36" s="56"/>
      <c r="D36" s="56"/>
      <c r="E36" s="56"/>
      <c r="F36" s="56"/>
      <c r="G36" s="56"/>
      <c r="H36" s="56"/>
    </row>
    <row r="37" spans="1:8" ht="15.75" customHeight="1" x14ac:dyDescent="0.35">
      <c r="A37" s="59" t="s">
        <v>202</v>
      </c>
      <c r="B37" s="59"/>
      <c r="C37" s="162" t="s">
        <v>203</v>
      </c>
      <c r="D37" s="162"/>
      <c r="E37" s="162"/>
      <c r="F37" s="162"/>
      <c r="G37" s="162"/>
      <c r="H37" s="162"/>
    </row>
    <row r="38" spans="1:8" x14ac:dyDescent="0.35">
      <c r="A38" s="59" t="s">
        <v>160</v>
      </c>
      <c r="B38" s="59"/>
      <c r="C38" s="60" t="s">
        <v>204</v>
      </c>
      <c r="D38" s="61"/>
      <c r="E38" s="61"/>
      <c r="F38" s="61"/>
      <c r="G38" s="61"/>
      <c r="H38" s="61"/>
    </row>
    <row r="39" spans="1:8" x14ac:dyDescent="0.35">
      <c r="A39" s="94" t="s">
        <v>35</v>
      </c>
      <c r="B39" s="94"/>
      <c r="C39" s="94"/>
      <c r="D39" s="94"/>
      <c r="E39" s="94"/>
      <c r="F39" s="94"/>
      <c r="G39" s="94"/>
      <c r="H39" s="94"/>
    </row>
    <row r="40" spans="1:8" x14ac:dyDescent="0.35">
      <c r="A40" s="56" t="s">
        <v>36</v>
      </c>
      <c r="B40" s="56"/>
      <c r="C40" s="56"/>
      <c r="D40" s="56"/>
      <c r="E40" s="84">
        <v>6701.27</v>
      </c>
      <c r="F40" s="84"/>
      <c r="G40" s="84"/>
      <c r="H40" s="84"/>
    </row>
    <row r="41" spans="1:8" x14ac:dyDescent="0.35">
      <c r="A41" s="56" t="s">
        <v>37</v>
      </c>
      <c r="B41" s="56"/>
      <c r="C41" s="56"/>
      <c r="D41" s="56"/>
      <c r="E41" s="75">
        <v>1.1000000000000001</v>
      </c>
      <c r="F41" s="75"/>
      <c r="G41" s="75"/>
      <c r="H41" s="75"/>
    </row>
    <row r="42" spans="1:8" x14ac:dyDescent="0.35">
      <c r="A42" s="56" t="s">
        <v>38</v>
      </c>
      <c r="B42" s="56"/>
      <c r="C42" s="56"/>
      <c r="D42" s="56"/>
      <c r="E42" s="75">
        <f>E44/E40-E41</f>
        <v>-1.8995951513668397E-2</v>
      </c>
      <c r="F42" s="75"/>
      <c r="G42" s="75"/>
      <c r="H42" s="75"/>
    </row>
    <row r="43" spans="1:8" x14ac:dyDescent="0.35">
      <c r="A43" s="56" t="s">
        <v>39</v>
      </c>
      <c r="B43" s="56"/>
      <c r="C43" s="56"/>
      <c r="D43" s="56"/>
      <c r="E43" s="75">
        <f>E41+E42</f>
        <v>1.0810040484863317</v>
      </c>
      <c r="F43" s="75"/>
      <c r="G43" s="75"/>
      <c r="H43" s="75"/>
    </row>
    <row r="44" spans="1:8" x14ac:dyDescent="0.35">
      <c r="A44" s="56" t="s">
        <v>94</v>
      </c>
      <c r="B44" s="56"/>
      <c r="C44" s="56"/>
      <c r="D44" s="56"/>
      <c r="E44" s="76">
        <v>7244.1</v>
      </c>
      <c r="F44" s="76"/>
      <c r="G44" s="76"/>
      <c r="H44" s="76"/>
    </row>
    <row r="45" spans="1:8" x14ac:dyDescent="0.35">
      <c r="A45" s="77" t="s">
        <v>40</v>
      </c>
      <c r="B45" s="77"/>
      <c r="C45" s="77"/>
      <c r="D45" s="77"/>
      <c r="E45" s="77" t="s">
        <v>123</v>
      </c>
      <c r="F45" s="77"/>
      <c r="G45" s="77"/>
      <c r="H45" s="77"/>
    </row>
    <row r="46" spans="1:8" x14ac:dyDescent="0.35">
      <c r="A46" s="94" t="s">
        <v>41</v>
      </c>
      <c r="B46" s="94"/>
      <c r="C46" s="94"/>
      <c r="D46" s="94"/>
      <c r="E46" s="94"/>
      <c r="F46" s="94"/>
      <c r="G46" s="94"/>
      <c r="H46" s="94"/>
    </row>
    <row r="47" spans="1:8" ht="33.75" customHeight="1" x14ac:dyDescent="0.35">
      <c r="A47" s="65" t="s">
        <v>151</v>
      </c>
      <c r="B47" s="66"/>
      <c r="C47" s="67" t="s">
        <v>187</v>
      </c>
      <c r="D47" s="68"/>
      <c r="E47" s="68"/>
      <c r="F47" s="68"/>
      <c r="G47" s="68"/>
      <c r="H47" s="69"/>
    </row>
    <row r="48" spans="1:8" ht="15.75" customHeight="1" x14ac:dyDescent="0.35">
      <c r="A48" s="65" t="s">
        <v>42</v>
      </c>
      <c r="B48" s="66"/>
      <c r="C48" s="65" t="s">
        <v>184</v>
      </c>
      <c r="D48" s="139"/>
      <c r="E48" s="66"/>
      <c r="F48" s="50" t="s">
        <v>43</v>
      </c>
      <c r="G48" s="88">
        <v>44643</v>
      </c>
      <c r="H48" s="89"/>
    </row>
    <row r="49" spans="1:14" x14ac:dyDescent="0.35">
      <c r="A49" s="65" t="s">
        <v>44</v>
      </c>
      <c r="B49" s="66"/>
      <c r="C49" s="65" t="str">
        <f>C48</f>
        <v>KBNP/NRV/BP/2417-224</v>
      </c>
      <c r="D49" s="139"/>
      <c r="E49" s="66"/>
      <c r="F49" s="50" t="s">
        <v>43</v>
      </c>
      <c r="G49" s="88">
        <f>G48</f>
        <v>44643</v>
      </c>
      <c r="H49" s="89"/>
    </row>
    <row r="50" spans="1:14" s="19" customFormat="1" ht="31.5" customHeight="1" x14ac:dyDescent="0.35">
      <c r="A50" s="90" t="s">
        <v>186</v>
      </c>
      <c r="B50" s="91"/>
      <c r="C50" s="65" t="s">
        <v>185</v>
      </c>
      <c r="D50" s="139"/>
      <c r="E50" s="66"/>
      <c r="F50" s="50" t="s">
        <v>43</v>
      </c>
      <c r="G50" s="88">
        <f>G49</f>
        <v>44643</v>
      </c>
      <c r="H50" s="89"/>
    </row>
    <row r="51" spans="1:14" s="19" customFormat="1" x14ac:dyDescent="0.35">
      <c r="A51" s="92"/>
      <c r="B51" s="93"/>
      <c r="C51" s="65" t="s">
        <v>183</v>
      </c>
      <c r="D51" s="139"/>
      <c r="E51" s="139"/>
      <c r="F51" s="139"/>
      <c r="G51" s="139"/>
      <c r="H51" s="66"/>
    </row>
    <row r="52" spans="1:14" x14ac:dyDescent="0.35">
      <c r="A52" s="143" t="s">
        <v>45</v>
      </c>
      <c r="B52" s="144"/>
      <c r="C52" s="143" t="s">
        <v>107</v>
      </c>
      <c r="D52" s="145"/>
      <c r="E52" s="144"/>
      <c r="F52" s="40" t="s">
        <v>43</v>
      </c>
      <c r="G52" s="146" t="s">
        <v>30</v>
      </c>
      <c r="H52" s="147"/>
    </row>
    <row r="53" spans="1:14" x14ac:dyDescent="0.35">
      <c r="A53" s="121" t="s">
        <v>47</v>
      </c>
      <c r="B53" s="121"/>
      <c r="C53" s="121"/>
      <c r="D53" s="121"/>
      <c r="E53" s="121"/>
      <c r="F53" s="121"/>
      <c r="G53" s="121"/>
      <c r="H53" s="121"/>
    </row>
    <row r="54" spans="1:14" x14ac:dyDescent="0.35">
      <c r="A54" s="98" t="s">
        <v>93</v>
      </c>
      <c r="B54" s="98"/>
      <c r="C54" s="98"/>
      <c r="D54" s="56">
        <f>E44</f>
        <v>7244.1</v>
      </c>
      <c r="E54" s="56"/>
      <c r="F54" s="56"/>
      <c r="G54" s="56"/>
      <c r="H54" s="56"/>
    </row>
    <row r="55" spans="1:14" x14ac:dyDescent="0.35">
      <c r="A55" s="61" t="s">
        <v>48</v>
      </c>
      <c r="B55" s="77"/>
      <c r="C55" s="77"/>
      <c r="D55" s="77" t="s">
        <v>191</v>
      </c>
      <c r="E55" s="77"/>
      <c r="F55" s="77"/>
      <c r="G55" s="77"/>
      <c r="H55" s="77"/>
      <c r="I55" s="20"/>
    </row>
    <row r="56" spans="1:14" x14ac:dyDescent="0.35">
      <c r="A56" s="85" t="s">
        <v>49</v>
      </c>
      <c r="B56" s="86"/>
      <c r="C56" s="87"/>
      <c r="D56" s="81" t="s">
        <v>183</v>
      </c>
      <c r="E56" s="82"/>
      <c r="F56" s="82"/>
      <c r="G56" s="82"/>
      <c r="H56" s="82"/>
    </row>
    <row r="57" spans="1:14" ht="15.75" customHeight="1" x14ac:dyDescent="0.35">
      <c r="A57" s="85" t="s">
        <v>91</v>
      </c>
      <c r="B57" s="86"/>
      <c r="C57" s="86"/>
      <c r="D57" s="140" t="s">
        <v>183</v>
      </c>
      <c r="E57" s="141"/>
      <c r="F57" s="141"/>
      <c r="G57" s="141"/>
      <c r="H57" s="142"/>
    </row>
    <row r="58" spans="1:14" ht="15.75" customHeight="1" x14ac:dyDescent="0.35">
      <c r="A58" s="56" t="s">
        <v>46</v>
      </c>
      <c r="B58" s="56"/>
      <c r="C58" s="56"/>
      <c r="D58" s="95" t="s">
        <v>188</v>
      </c>
      <c r="E58" s="95"/>
      <c r="F58" s="95"/>
      <c r="G58" s="95"/>
      <c r="H58" s="95"/>
      <c r="J58" s="21"/>
      <c r="K58" s="20"/>
      <c r="N58" s="20"/>
    </row>
    <row r="59" spans="1:14" ht="15.75" customHeight="1" x14ac:dyDescent="0.35">
      <c r="A59" s="56" t="s">
        <v>89</v>
      </c>
      <c r="B59" s="56"/>
      <c r="C59" s="56"/>
      <c r="D59" s="74" t="str">
        <f>(IF(G52="NA","60 Years After Completion",IF(G52&lt;&gt;"NA",""&amp;60-ROUNDDOWN((E3-G52)/360,0)&amp;" Years"," ")))</f>
        <v>60 Years After Completion</v>
      </c>
      <c r="E59" s="74"/>
      <c r="F59" s="74"/>
      <c r="G59" s="74"/>
      <c r="H59" s="74"/>
      <c r="N59" s="20"/>
    </row>
    <row r="60" spans="1:14" ht="15.75" customHeight="1" x14ac:dyDescent="0.35">
      <c r="A60" s="56" t="s">
        <v>90</v>
      </c>
      <c r="B60" s="56"/>
      <c r="C60" s="56"/>
      <c r="D60" s="98" t="s">
        <v>24</v>
      </c>
      <c r="E60" s="98"/>
      <c r="F60" s="98"/>
      <c r="G60" s="98"/>
      <c r="H60" s="98"/>
      <c r="J60" s="22"/>
      <c r="K60" s="22"/>
    </row>
    <row r="61" spans="1:14" ht="30" customHeight="1" x14ac:dyDescent="0.35">
      <c r="A61" s="56" t="s">
        <v>77</v>
      </c>
      <c r="B61" s="56"/>
      <c r="C61" s="56"/>
      <c r="D61" s="61" t="s">
        <v>165</v>
      </c>
      <c r="E61" s="98"/>
      <c r="F61" s="98"/>
      <c r="G61" s="98"/>
      <c r="H61" s="98"/>
    </row>
    <row r="62" spans="1:14" x14ac:dyDescent="0.35">
      <c r="A62" s="98" t="s">
        <v>150</v>
      </c>
      <c r="B62" s="98"/>
      <c r="C62" s="98"/>
      <c r="D62" s="98" t="s">
        <v>30</v>
      </c>
      <c r="E62" s="98"/>
      <c r="F62" s="98"/>
      <c r="G62" s="98"/>
      <c r="H62" s="98"/>
      <c r="I62" s="23"/>
      <c r="J62" s="23"/>
      <c r="K62" s="23"/>
      <c r="L62" s="23"/>
      <c r="M62" s="23"/>
      <c r="N62" s="23"/>
    </row>
    <row r="63" spans="1:14" ht="15.75" customHeight="1" x14ac:dyDescent="0.35">
      <c r="A63" s="113" t="s">
        <v>88</v>
      </c>
      <c r="B63" s="113"/>
      <c r="C63" s="113"/>
      <c r="D63" s="81" t="str">
        <f ca="1">(IF(G69&gt;95%,"Nothing",IF(G69&gt;0%,"Cement, Aggregate, Steel, etc",IF(G69=0%,"Work not yet Started"))))</f>
        <v>Cement, Aggregate, Steel, etc</v>
      </c>
      <c r="E63" s="81"/>
      <c r="F63" s="81"/>
      <c r="G63" s="81"/>
      <c r="H63" s="81"/>
      <c r="J63" s="22"/>
    </row>
    <row r="64" spans="1:14" ht="33.75" customHeight="1" thickBot="1" x14ac:dyDescent="0.4">
      <c r="A64" s="112" t="s">
        <v>120</v>
      </c>
      <c r="B64" s="112"/>
      <c r="C64" s="112"/>
      <c r="D64" s="81" t="str">
        <f ca="1">(IF(D63="Nothing","Yes",IF(D63="Cement, Aggregate, Steel, etc","Under Construction",IF(D63="Work not yet Started","Work not yet Started"))))</f>
        <v>Under Construction</v>
      </c>
      <c r="E64" s="81"/>
      <c r="F64" s="81" t="str">
        <f ca="1">(IF(D63="Nothing","Yes",IF(D63="Cement, Aggregate, Steel, etc","Under Construction",IF(D63="Work not yet Started","Work not yet Started"))))</f>
        <v>Under Construction</v>
      </c>
      <c r="G64" s="81"/>
      <c r="H64" s="81"/>
    </row>
    <row r="65" spans="1:10" ht="15.75" customHeight="1" x14ac:dyDescent="0.35">
      <c r="A65" s="105" t="s">
        <v>142</v>
      </c>
      <c r="B65" s="106"/>
      <c r="C65" s="107" t="str">
        <f>D57</f>
        <v>F Wing = G + 1st to 12th Floor</v>
      </c>
      <c r="D65" s="108"/>
      <c r="E65" s="108"/>
      <c r="F65" s="108"/>
      <c r="G65" s="108"/>
      <c r="H65" s="109"/>
      <c r="I65" s="42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 Completed, Painting upto 11 Floor, Finishing upto 5 Floor Completed</v>
      </c>
      <c r="J65" s="43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Painting upto 11 Floor, Finishing upto 5 Floor</v>
      </c>
    </row>
    <row r="66" spans="1:10" x14ac:dyDescent="0.35">
      <c r="A66" s="51" t="s">
        <v>144</v>
      </c>
      <c r="B66" s="52">
        <v>0</v>
      </c>
      <c r="C66" s="52" t="s">
        <v>74</v>
      </c>
      <c r="D66" s="52">
        <v>1</v>
      </c>
      <c r="E66" s="52" t="s">
        <v>73</v>
      </c>
      <c r="F66" s="52">
        <v>0</v>
      </c>
      <c r="G66" s="52" t="s">
        <v>82</v>
      </c>
      <c r="H66" s="53">
        <f ca="1">--TRIM(RIGHT(SUBSTITUTE(LEFT(C65,_xlfn.AGGREGATE(16,6,FIND({0,1,2,3,4,5,6,7,8,9},C65,ROW(INDIRECT("1:"&amp;LEN(C65)))),1))," ",REPT(" ",LEN(C65))),LEN(C65)))</f>
        <v>12</v>
      </c>
      <c r="I66" s="44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</v>
      </c>
      <c r="J66" s="45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" customHeight="1" x14ac:dyDescent="0.35">
      <c r="A67" s="158" t="s">
        <v>92</v>
      </c>
      <c r="B67" s="159"/>
      <c r="C67" s="110" t="str">
        <f ca="1">I65</f>
        <v>Excavation, Plinth, RCC Slab, Brickwork, Internal Plaster, External Plaster, Flooring Completed, Painting upto 11 Floor, Finishing upto 5 Floor Completed</v>
      </c>
      <c r="D67" s="110"/>
      <c r="E67" s="110"/>
      <c r="F67" s="110"/>
      <c r="G67" s="110"/>
      <c r="H67" s="111"/>
      <c r="I67" s="44" t="str">
        <f ca="1">IF(I66&lt;&gt;""," Completed","")</f>
        <v xml:space="preserve"> Completed</v>
      </c>
      <c r="J67" s="45" t="str">
        <f ca="1">IF(J65&lt;&gt;"","Completed","")</f>
        <v>Completed</v>
      </c>
    </row>
    <row r="68" spans="1:10" ht="15.75" customHeight="1" x14ac:dyDescent="0.35">
      <c r="A68" s="79" t="s">
        <v>50</v>
      </c>
      <c r="B68" s="80"/>
      <c r="C68" s="46" t="s">
        <v>141</v>
      </c>
      <c r="D68" s="46" t="s">
        <v>85</v>
      </c>
      <c r="E68" s="80" t="s">
        <v>87</v>
      </c>
      <c r="F68" s="80"/>
      <c r="G68" s="80" t="s">
        <v>86</v>
      </c>
      <c r="H68" s="114"/>
      <c r="I68" s="13" t="s">
        <v>143</v>
      </c>
      <c r="J68" s="24">
        <f ca="1">H66*25%</f>
        <v>3</v>
      </c>
    </row>
    <row r="69" spans="1:10" x14ac:dyDescent="0.35">
      <c r="A69" s="79" t="s">
        <v>130</v>
      </c>
      <c r="B69" s="80"/>
      <c r="C69" s="46">
        <f ca="1">J70</f>
        <v>12</v>
      </c>
      <c r="D69" s="15">
        <f ca="1">((100/H66)*C69)/100</f>
        <v>1</v>
      </c>
      <c r="E69" s="149">
        <f ca="1">(((C70/H66*10)+(40/(D66+F66+H66)*C71)+(7.5/(H66)*C72)+(7.5/(H66)*C73)+(10/H66*C74)+(10/H66*C75)+(5/H66*C76)+(5/H66*C77)+(5/H66*C78))/100)</f>
        <v>0.91666666666666652</v>
      </c>
      <c r="F69" s="150"/>
      <c r="G69" s="149">
        <f ca="1">((((C69/H66)*20)+((C70/H66)*25)+(30/(H66+F66+D66)*C71)+(5/H66*C72)+(5/H66*C73)+(5/H66*C74)+(5/H66*C75)+(0/H66*C76)+(0/H66*C77)+(5/H66*C78))/100)</f>
        <v>0.95</v>
      </c>
      <c r="H69" s="155"/>
      <c r="I69" s="13" t="s">
        <v>102</v>
      </c>
      <c r="J69" s="25">
        <f ca="1">H66*50%</f>
        <v>6</v>
      </c>
    </row>
    <row r="70" spans="1:10" x14ac:dyDescent="0.35">
      <c r="A70" s="79" t="s">
        <v>51</v>
      </c>
      <c r="B70" s="80"/>
      <c r="C70" s="46">
        <f ca="1">J78</f>
        <v>12</v>
      </c>
      <c r="D70" s="15">
        <f ca="1">((100/H66)*C70)/100</f>
        <v>1</v>
      </c>
      <c r="E70" s="151"/>
      <c r="F70" s="152"/>
      <c r="G70" s="151"/>
      <c r="H70" s="156"/>
      <c r="I70" s="13" t="s">
        <v>103</v>
      </c>
      <c r="J70" s="25">
        <f ca="1">H66</f>
        <v>12</v>
      </c>
    </row>
    <row r="71" spans="1:10" ht="15.75" customHeight="1" x14ac:dyDescent="0.35">
      <c r="A71" s="79" t="s">
        <v>131</v>
      </c>
      <c r="B71" s="80"/>
      <c r="C71" s="46">
        <v>13</v>
      </c>
      <c r="D71" s="15">
        <f ca="1">((100/(D66+F66+H66))*C71)/100</f>
        <v>1</v>
      </c>
      <c r="E71" s="151"/>
      <c r="F71" s="152"/>
      <c r="G71" s="151"/>
      <c r="H71" s="156"/>
      <c r="I71" s="13" t="s">
        <v>104</v>
      </c>
      <c r="J71" s="26">
        <f ca="1">(IF(B66&gt;1,(H66/(B66+2)),H66/4))</f>
        <v>3</v>
      </c>
    </row>
    <row r="72" spans="1:10" ht="15.75" customHeight="1" x14ac:dyDescent="0.35">
      <c r="A72" s="79" t="s">
        <v>138</v>
      </c>
      <c r="B72" s="80" t="s">
        <v>132</v>
      </c>
      <c r="C72" s="46">
        <v>12</v>
      </c>
      <c r="D72" s="15">
        <f ca="1">((100/H66)*C72)/100</f>
        <v>1</v>
      </c>
      <c r="E72" s="151"/>
      <c r="F72" s="152"/>
      <c r="G72" s="151"/>
      <c r="H72" s="156"/>
      <c r="I72" s="13" t="s">
        <v>105</v>
      </c>
      <c r="J72" s="26">
        <f ca="1">(IF(B66&gt;1,(H66/(B66+2)+J71),H66/4+J71))</f>
        <v>6</v>
      </c>
    </row>
    <row r="73" spans="1:10" ht="15.75" customHeight="1" x14ac:dyDescent="0.35">
      <c r="A73" s="79" t="s">
        <v>139</v>
      </c>
      <c r="B73" s="80" t="s">
        <v>132</v>
      </c>
      <c r="C73" s="46">
        <v>12</v>
      </c>
      <c r="D73" s="15">
        <f ca="1">((100/H66)*C73)/100</f>
        <v>1</v>
      </c>
      <c r="E73" s="151"/>
      <c r="F73" s="152"/>
      <c r="G73" s="151"/>
      <c r="H73" s="156"/>
      <c r="I73" s="13" t="s">
        <v>148</v>
      </c>
      <c r="J73" s="26">
        <f>(IF(B66&gt;1,(H66/(B66+2)+J72),0))</f>
        <v>0</v>
      </c>
    </row>
    <row r="74" spans="1:10" ht="15" customHeight="1" x14ac:dyDescent="0.35">
      <c r="A74" s="79" t="s">
        <v>137</v>
      </c>
      <c r="B74" s="80" t="s">
        <v>134</v>
      </c>
      <c r="C74" s="46">
        <v>12</v>
      </c>
      <c r="D74" s="15">
        <f ca="1">((100/(H66))*C74)/100</f>
        <v>1</v>
      </c>
      <c r="E74" s="151"/>
      <c r="F74" s="152"/>
      <c r="G74" s="151"/>
      <c r="H74" s="156"/>
      <c r="I74" s="13" t="s">
        <v>145</v>
      </c>
      <c r="J74" s="26">
        <f>(IF(B66&gt;2,(H66/(B66+2)+J73),0))</f>
        <v>0</v>
      </c>
    </row>
    <row r="75" spans="1:10" ht="15.75" customHeight="1" x14ac:dyDescent="0.35">
      <c r="A75" s="79" t="s">
        <v>133</v>
      </c>
      <c r="B75" s="80" t="s">
        <v>133</v>
      </c>
      <c r="C75" s="46">
        <v>12</v>
      </c>
      <c r="D75" s="15">
        <f ca="1">((100/H66)*C75)/100</f>
        <v>1</v>
      </c>
      <c r="E75" s="151"/>
      <c r="F75" s="152"/>
      <c r="G75" s="151"/>
      <c r="H75" s="156"/>
      <c r="I75" s="13" t="s">
        <v>146</v>
      </c>
      <c r="J75" s="27">
        <f>(IF(B66&gt;3,(H66/(B66+2)+J74),0))</f>
        <v>0</v>
      </c>
    </row>
    <row r="76" spans="1:10" ht="15.75" customHeight="1" x14ac:dyDescent="0.35">
      <c r="A76" s="79" t="s">
        <v>140</v>
      </c>
      <c r="B76" s="80"/>
      <c r="C76" s="46">
        <v>11</v>
      </c>
      <c r="D76" s="15">
        <f ca="1">((100/H66)*C76)/100</f>
        <v>0.91666666666666674</v>
      </c>
      <c r="E76" s="151"/>
      <c r="F76" s="152"/>
      <c r="G76" s="151"/>
      <c r="H76" s="156"/>
      <c r="I76" s="13" t="s">
        <v>147</v>
      </c>
      <c r="J76" s="26">
        <f>(IF(B66&gt;4,(H66/(B66+2)+J75),0))</f>
        <v>0</v>
      </c>
    </row>
    <row r="77" spans="1:10" ht="15.75" customHeight="1" x14ac:dyDescent="0.35">
      <c r="A77" s="79" t="s">
        <v>135</v>
      </c>
      <c r="B77" s="80" t="s">
        <v>135</v>
      </c>
      <c r="C77" s="46">
        <v>5</v>
      </c>
      <c r="D77" s="15">
        <f ca="1">((100/(H66))*C77)/100</f>
        <v>0.41666666666666674</v>
      </c>
      <c r="E77" s="151"/>
      <c r="F77" s="152"/>
      <c r="G77" s="151"/>
      <c r="H77" s="156"/>
      <c r="I77" s="13" t="s">
        <v>149</v>
      </c>
      <c r="J77" s="26">
        <f ca="1">(IF(B66=1,(H66/(B66+3)+J72),IF(B66=0,(H66/4+J72),IF(B66&gt;1,0))))</f>
        <v>9</v>
      </c>
    </row>
    <row r="78" spans="1:10" ht="16" thickBot="1" x14ac:dyDescent="0.4">
      <c r="A78" s="72" t="s">
        <v>136</v>
      </c>
      <c r="B78" s="73"/>
      <c r="C78" s="47">
        <v>0</v>
      </c>
      <c r="D78" s="16">
        <f ca="1">((100/(H66))*C78)/100</f>
        <v>0</v>
      </c>
      <c r="E78" s="153"/>
      <c r="F78" s="154"/>
      <c r="G78" s="153"/>
      <c r="H78" s="157"/>
      <c r="I78" s="14" t="s">
        <v>106</v>
      </c>
      <c r="J78" s="28">
        <f ca="1">(IF(B66&gt;1.5,(H66/(B66+2)+J72+MAX(0,J73-J72)+MAX(0,J74-J73)+MAX(0,J75-J74)+MAX(0,J76-J75)+MAX(0,J77-J76)),IF(B66=1,(H66/(B66+3)+J77),IF(B66=0,H66/4+J77))))</f>
        <v>12</v>
      </c>
    </row>
    <row r="79" spans="1:10" x14ac:dyDescent="0.35">
      <c r="A79" s="54" t="s">
        <v>155</v>
      </c>
      <c r="B79" s="54"/>
      <c r="C79" s="54"/>
      <c r="D79" s="54"/>
      <c r="E79" s="54"/>
      <c r="F79" s="148" t="s">
        <v>158</v>
      </c>
      <c r="G79" s="148"/>
      <c r="H79" s="148"/>
    </row>
    <row r="80" spans="1:10" x14ac:dyDescent="0.35">
      <c r="A80" s="56" t="s">
        <v>157</v>
      </c>
      <c r="B80" s="56"/>
      <c r="C80" s="56"/>
      <c r="D80" s="56"/>
      <c r="E80" s="56"/>
      <c r="F80" s="55">
        <v>3600</v>
      </c>
      <c r="G80" s="55"/>
      <c r="H80" s="55"/>
    </row>
    <row r="81" spans="1:9" s="29" customFormat="1" hidden="1" x14ac:dyDescent="0.3">
      <c r="A81" s="56" t="s">
        <v>156</v>
      </c>
      <c r="B81" s="56"/>
      <c r="C81" s="56"/>
      <c r="D81" s="56"/>
      <c r="E81" s="56"/>
      <c r="F81" s="55"/>
      <c r="G81" s="55"/>
      <c r="H81" s="55"/>
    </row>
    <row r="82" spans="1:9" s="29" customFormat="1" x14ac:dyDescent="0.3">
      <c r="A82" s="56" t="s">
        <v>200</v>
      </c>
      <c r="B82" s="56"/>
      <c r="C82" s="56"/>
      <c r="D82" s="56"/>
      <c r="E82" s="56"/>
      <c r="F82" s="55">
        <v>250000</v>
      </c>
      <c r="G82" s="55"/>
      <c r="H82" s="55"/>
    </row>
    <row r="83" spans="1:9" s="29" customFormat="1" hidden="1" x14ac:dyDescent="0.3">
      <c r="A83" s="56" t="s">
        <v>97</v>
      </c>
      <c r="B83" s="56"/>
      <c r="C83" s="56"/>
      <c r="D83" s="56"/>
      <c r="E83" s="56"/>
      <c r="F83" s="55"/>
      <c r="G83" s="55"/>
      <c r="H83" s="55"/>
    </row>
    <row r="84" spans="1:9" s="29" customFormat="1" hidden="1" x14ac:dyDescent="0.3">
      <c r="A84" s="56" t="s">
        <v>159</v>
      </c>
      <c r="B84" s="56"/>
      <c r="C84" s="56"/>
      <c r="D84" s="56"/>
      <c r="E84" s="56"/>
      <c r="F84" s="55"/>
      <c r="G84" s="55"/>
      <c r="H84" s="55"/>
    </row>
    <row r="85" spans="1:9" s="29" customFormat="1" hidden="1" x14ac:dyDescent="0.3">
      <c r="A85" s="56" t="s">
        <v>98</v>
      </c>
      <c r="B85" s="56"/>
      <c r="C85" s="56"/>
      <c r="D85" s="56"/>
      <c r="E85" s="56"/>
      <c r="F85" s="55"/>
      <c r="G85" s="55"/>
      <c r="H85" s="55"/>
    </row>
    <row r="86" spans="1:9" s="29" customFormat="1" hidden="1" x14ac:dyDescent="0.3">
      <c r="A86" s="56" t="s">
        <v>99</v>
      </c>
      <c r="B86" s="56"/>
      <c r="C86" s="56"/>
      <c r="D86" s="56"/>
      <c r="E86" s="56"/>
      <c r="F86" s="55"/>
      <c r="G86" s="55"/>
      <c r="H86" s="55"/>
    </row>
    <row r="87" spans="1:9" s="29" customFormat="1" hidden="1" x14ac:dyDescent="0.3">
      <c r="A87" s="56" t="s">
        <v>100</v>
      </c>
      <c r="B87" s="56"/>
      <c r="C87" s="56"/>
      <c r="D87" s="56"/>
      <c r="E87" s="56"/>
      <c r="F87" s="55"/>
      <c r="G87" s="55"/>
      <c r="H87" s="55"/>
    </row>
    <row r="88" spans="1:9" s="29" customFormat="1" hidden="1" x14ac:dyDescent="0.3">
      <c r="A88" s="56" t="s">
        <v>101</v>
      </c>
      <c r="B88" s="56"/>
      <c r="C88" s="56"/>
      <c r="D88" s="56"/>
      <c r="E88" s="56"/>
      <c r="F88" s="55"/>
      <c r="G88" s="55"/>
      <c r="H88" s="55"/>
    </row>
    <row r="89" spans="1:9" x14ac:dyDescent="0.35">
      <c r="A89" s="56" t="s">
        <v>52</v>
      </c>
      <c r="B89" s="56"/>
      <c r="C89" s="56"/>
      <c r="D89" s="56"/>
      <c r="E89" s="56"/>
      <c r="F89" s="55">
        <v>150000</v>
      </c>
      <c r="G89" s="55"/>
      <c r="H89" s="55"/>
    </row>
    <row r="90" spans="1:9" s="30" customFormat="1" x14ac:dyDescent="0.35">
      <c r="A90" s="94" t="s">
        <v>53</v>
      </c>
      <c r="B90" s="94"/>
      <c r="C90" s="94"/>
      <c r="D90" s="94"/>
      <c r="E90" s="94"/>
      <c r="F90" s="55">
        <f>F80*0.8</f>
        <v>2880</v>
      </c>
      <c r="G90" s="55"/>
      <c r="H90" s="55"/>
    </row>
    <row r="91" spans="1:9" s="31" customFormat="1" x14ac:dyDescent="0.35">
      <c r="A91" s="118" t="s">
        <v>72</v>
      </c>
      <c r="B91" s="118"/>
      <c r="C91" s="118"/>
      <c r="D91" s="118"/>
      <c r="E91" s="118"/>
      <c r="F91" s="118"/>
      <c r="G91" s="118"/>
      <c r="H91" s="118"/>
    </row>
    <row r="92" spans="1:9" s="31" customFormat="1" ht="15.75" customHeight="1" x14ac:dyDescent="0.35">
      <c r="A92" s="58" t="s">
        <v>54</v>
      </c>
      <c r="B92" s="58"/>
      <c r="C92" s="57" t="s">
        <v>80</v>
      </c>
      <c r="D92" s="57"/>
      <c r="E92" s="122" t="s">
        <v>55</v>
      </c>
      <c r="F92" s="122"/>
      <c r="G92" s="58" t="s">
        <v>56</v>
      </c>
      <c r="H92" s="58"/>
    </row>
    <row r="93" spans="1:9" s="31" customFormat="1" x14ac:dyDescent="0.35">
      <c r="A93" s="117" t="s">
        <v>170</v>
      </c>
      <c r="B93" s="117"/>
      <c r="C93" s="119">
        <f>COUNT(D100:D111)*9+COUNT(D113:D123)+COUNT(D126:D136)+COUNT(D138:D148)</f>
        <v>141</v>
      </c>
      <c r="D93" s="119"/>
      <c r="E93" s="120">
        <f>SUM(D100:D111)*9+SUM(D113:D123)+SUM(D126:D136)+SUM(D138:D148)</f>
        <v>62033.093460000004</v>
      </c>
      <c r="F93" s="120"/>
      <c r="G93" s="120">
        <f>SUM(F100:F111)*9+SUM(F113:F123)+SUM(F126:F136)+SUM(F138:F148)</f>
        <v>93220</v>
      </c>
      <c r="H93" s="120"/>
    </row>
    <row r="94" spans="1:9" s="30" customFormat="1" x14ac:dyDescent="0.35">
      <c r="A94" s="59" t="s">
        <v>57</v>
      </c>
      <c r="B94" s="59"/>
      <c r="C94" s="59"/>
      <c r="D94" s="59"/>
      <c r="E94" s="59"/>
      <c r="F94" s="59"/>
      <c r="G94" s="59"/>
      <c r="H94" s="59"/>
    </row>
    <row r="95" spans="1:9" x14ac:dyDescent="0.35">
      <c r="A95" s="59" t="s">
        <v>58</v>
      </c>
      <c r="B95" s="59"/>
      <c r="C95" s="59"/>
      <c r="D95" s="59"/>
      <c r="E95" s="59"/>
      <c r="F95" s="59"/>
      <c r="G95" s="59"/>
      <c r="H95" s="59"/>
    </row>
    <row r="96" spans="1:9" ht="47.25" customHeight="1" x14ac:dyDescent="0.35">
      <c r="A96" s="49" t="s">
        <v>121</v>
      </c>
      <c r="B96" s="49" t="s">
        <v>122</v>
      </c>
      <c r="C96" s="39" t="s">
        <v>59</v>
      </c>
      <c r="D96" s="39" t="s">
        <v>60</v>
      </c>
      <c r="E96" s="48" t="s">
        <v>61</v>
      </c>
      <c r="F96" s="39" t="s">
        <v>199</v>
      </c>
      <c r="G96" s="136" t="s">
        <v>62</v>
      </c>
      <c r="H96" s="137"/>
      <c r="I96" s="32"/>
    </row>
    <row r="97" spans="1:13" s="33" customFormat="1" x14ac:dyDescent="0.35">
      <c r="A97" s="131" t="s">
        <v>170</v>
      </c>
      <c r="B97" s="132"/>
      <c r="C97" s="132"/>
      <c r="D97" s="132"/>
      <c r="E97" s="132"/>
      <c r="F97" s="132"/>
      <c r="G97" s="132"/>
      <c r="H97" s="133"/>
      <c r="J97" s="32"/>
    </row>
    <row r="98" spans="1:13" s="33" customFormat="1" x14ac:dyDescent="0.35">
      <c r="A98" s="131" t="s">
        <v>189</v>
      </c>
      <c r="B98" s="132"/>
      <c r="C98" s="132"/>
      <c r="D98" s="132"/>
      <c r="E98" s="132"/>
      <c r="F98" s="132"/>
      <c r="G98" s="132"/>
      <c r="H98" s="133"/>
      <c r="J98" s="32"/>
    </row>
    <row r="99" spans="1:13" s="33" customFormat="1" x14ac:dyDescent="0.35">
      <c r="A99" s="131" t="s">
        <v>192</v>
      </c>
      <c r="B99" s="132"/>
      <c r="C99" s="132"/>
      <c r="D99" s="132"/>
      <c r="E99" s="132"/>
      <c r="F99" s="132"/>
      <c r="G99" s="132"/>
      <c r="H99" s="133"/>
      <c r="I99" s="32"/>
    </row>
    <row r="100" spans="1:13" s="33" customFormat="1" x14ac:dyDescent="0.35">
      <c r="A100" s="70" t="str">
        <f ca="1">(SUMPRODUCT(MID(0&amp;(LEFT(A99,SUM(LEN(A99)-LEN(SUBSTITUTE(A99,{"0","1","2"},""))))), LARGE(INDEX(ISNUMBER(--MID((LEFT(A99,SUM(LEN(A99)-LEN(SUBSTITUTE(A99,{"0","1","2"},""))))), ROW(INDIRECT("1:"&amp;LEN((LEFT(A99,SUM(LEN(A99)-LEN(SUBSTITUTE(A99,{"0","1","2"},"")))))))), 1)) * ROW(INDIRECT("1:"&amp;LEN((LEFT(A99,SUM(LEN(A99)-LEN(SUBSTITUTE(A99,{"0","1","2"},"")))))))), 0), ROW(INDIRECT("1:"&amp;LEN((LEFT(A99,SUM(LEN(A99)-LEN(SUBSTITUTE(A99,{"0","1","2"},"")))))))))+1, 1) * 10^ROW(INDIRECT("1:"&amp;LEN((LEFT(A99,SUM(LEN(A99)-LEN(SUBSTITUTE(A99,{"0","1","2"},""))))))))/10))*100+1&amp;""&amp;" to "&amp;""&amp;(SUMPRODUCT(MID(0&amp;(--TRIM(RIGHT(SUBSTITUTE(LEFT(A99,_xlfn.AGGREGATE(16,6,FIND({0,1,2,3,4,5,6,7,8,9},A99,ROW(INDIRECT("1:"&amp;LEN(A99)))),1))," ",REPT(" ",LEN(A99))),LEN(A99)))), LARGE(INDEX(ISNUMBER(--MID((--TRIM(RIGHT(SUBSTITUTE(LEFT(A99,_xlfn.AGGREGATE(16,6,FIND({0,1,2,3,4,5,6,7,8,9},A99,ROW(INDIRECT("1:"&amp;LEN(A99)))),1))," ",REPT(" ",LEN(A99))),LEN(A99)))), ROW(INDIRECT("1:"&amp;LEN((--TRIM(RIGHT(SUBSTITUTE(LEFT(A99,_xlfn.AGGREGATE(16,6,FIND({0,1,2,3,4,5,6,7,8,9},A99,ROW(INDIRECT("1:"&amp;LEN(A99)))),1))," ",REPT(" ",LEN(A99))),LEN(A99))))))), 1)) * ROW(INDIRECT("1:"&amp;LEN((--TRIM(RIGHT(SUBSTITUTE(LEFT(A99,_xlfn.AGGREGATE(16,6,FIND({0,1,2,3,4,5,6,7,8,9},A99,ROW(INDIRECT("1:"&amp;LEN(A99)))),1))," ",REPT(" ",LEN(A99))),LEN(A99))))))), 0), ROW(INDIRECT("1:"&amp;LEN((--TRIM(RIGHT(SUBSTITUTE(LEFT(A99,_xlfn.AGGREGATE(16,6,FIND({0,1,2,3,4,5,6,7,8,9},A99,ROW(INDIRECT("1:"&amp;LEN(A99)))),1))," ",REPT(" ",LEN(A99))),LEN(A99))))))))+1, 1) * 10^ROW(INDIRECT("1:"&amp;LEN((--TRIM(RIGHT(SUBSTITUTE(LEFT(A99,_xlfn.AGGREGATE(16,6,FIND({0,1,2,3,4,5,6,7,8,9},A99,ROW(INDIRECT("1:"&amp;LEN(A99)))),1))," ",REPT(" ",LEN(A99))),LEN(A99)))))))/10))*100+1</f>
        <v>101 to 1001</v>
      </c>
      <c r="B100" s="71"/>
      <c r="C100" s="38" t="s">
        <v>194</v>
      </c>
      <c r="D100" s="38">
        <f>(34.62+0.75*(2.75+2.3+2.75))*10.764</f>
        <v>435.61907999999994</v>
      </c>
      <c r="E100" s="38">
        <v>0</v>
      </c>
      <c r="F100" s="38">
        <v>650</v>
      </c>
      <c r="G100" s="70" t="str">
        <f>A99</f>
        <v>1st to 7th, 9th, 10th Floor for Residential</v>
      </c>
      <c r="H100" s="71"/>
      <c r="I100" s="32"/>
    </row>
    <row r="101" spans="1:13" s="33" customFormat="1" x14ac:dyDescent="0.35">
      <c r="A101" s="70" t="str">
        <f ca="1">(SUMPRODUCT(MID(0&amp;(LEFT(A100,SUM(LEN(A100)-LEN(SUBSTITUTE(A100,{"0","1","2"},""))))), LARGE(INDEX(ISNUMBER(--MID((LEFT(A100,SUM(LEN(A100)-LEN(SUBSTITUTE(A100,{"0","1","2"},""))))), ROW(INDIRECT("1:"&amp;LEN((LEFT(A100,SUM(LEN(A100)-LEN(SUBSTITUTE(A100,{"0","1","2"},"")))))))), 1)) * ROW(INDIRECT("1:"&amp;LEN((LEFT(A100,SUM(LEN(A100)-LEN(SUBSTITUTE(A100,{"0","1","2"},"")))))))), 0), ROW(INDIRECT("1:"&amp;LEN((LEFT(A100,SUM(LEN(A100)-LEN(SUBSTITUTE(A100,{"0","1","2"},"")))))))))+1, 1) * 10^ROW(INDIRECT("1:"&amp;LEN((LEFT(A100,SUM(LEN(A100)-LEN(SUBSTITUTE(A100,{"0","1","2"},""))))))))/10))*1+1&amp;""&amp;" to "&amp;""&amp;(SUMPRODUCT(MID(0&amp;(--TRIM(RIGHT(SUBSTITUTE(LEFT(A100,_xlfn.AGGREGATE(16,6,FIND({0,1,2,3,4,5,6,7,8,9},A100,ROW(INDIRECT("1:"&amp;LEN(A100)))),1))," ",REPT(" ",LEN(A100))),LEN(A100)))), LARGE(INDEX(ISNUMBER(--MID((--TRIM(RIGHT(SUBSTITUTE(LEFT(A100,_xlfn.AGGREGATE(16,6,FIND({0,1,2,3,4,5,6,7,8,9},A100,ROW(INDIRECT("1:"&amp;LEN(A100)))),1))," ",REPT(" ",LEN(A100))),LEN(A100)))), ROW(INDIRECT("1:"&amp;LEN((--TRIM(RIGHT(SUBSTITUTE(LEFT(A100,_xlfn.AGGREGATE(16,6,FIND({0,1,2,3,4,5,6,7,8,9},A100,ROW(INDIRECT("1:"&amp;LEN(A100)))),1))," ",REPT(" ",LEN(A100))),LEN(A100))))))), 1)) * ROW(INDIRECT("1:"&amp;LEN((--TRIM(RIGHT(SUBSTITUTE(LEFT(A100,_xlfn.AGGREGATE(16,6,FIND({0,1,2,3,4,5,6,7,8,9},A100,ROW(INDIRECT("1:"&amp;LEN(A100)))),1))," ",REPT(" ",LEN(A100))),LEN(A100))))))), 0), ROW(INDIRECT("1:"&amp;LEN((--TRIM(RIGHT(SUBSTITUTE(LEFT(A100,_xlfn.AGGREGATE(16,6,FIND({0,1,2,3,4,5,6,7,8,9},A100,ROW(INDIRECT("1:"&amp;LEN(A100)))),1))," ",REPT(" ",LEN(A100))),LEN(A100))))))))+1, 1) * 10^ROW(INDIRECT("1:"&amp;LEN((--TRIM(RIGHT(SUBSTITUTE(LEFT(A100,_xlfn.AGGREGATE(16,6,FIND({0,1,2,3,4,5,6,7,8,9},A100,ROW(INDIRECT("1:"&amp;LEN(A100)))),1))," ",REPT(" ",LEN(A100))),LEN(A100)))))))/10))*1+1</f>
        <v>102 to 1002</v>
      </c>
      <c r="B101" s="71"/>
      <c r="C101" s="38" t="s">
        <v>193</v>
      </c>
      <c r="D101" s="38">
        <f>(43.83+0.75*(2.75+3.2+1.9+2.75))*10.764</f>
        <v>557.35991999999999</v>
      </c>
      <c r="E101" s="38">
        <v>0</v>
      </c>
      <c r="F101" s="38">
        <v>835</v>
      </c>
      <c r="G101" s="70" t="str">
        <f t="shared" ref="G101:G111" si="0">G100</f>
        <v>1st to 7th, 9th, 10th Floor for Residential</v>
      </c>
      <c r="H101" s="71"/>
      <c r="I101" s="32"/>
    </row>
    <row r="102" spans="1:13" s="33" customFormat="1" x14ac:dyDescent="0.35">
      <c r="A102" s="70" t="str">
        <f ca="1">(SUMPRODUCT(MID(0&amp;(LEFT(A101,SUM(LEN(A101)-LEN(SUBSTITUTE(A101,{"0","1","2"},""))))), LARGE(INDEX(ISNUMBER(--MID((LEFT(A101,SUM(LEN(A101)-LEN(SUBSTITUTE(A101,{"0","1","2"},""))))), ROW(INDIRECT("1:"&amp;LEN((LEFT(A101,SUM(LEN(A101)-LEN(SUBSTITUTE(A101,{"0","1","2"},"")))))))), 1)) * ROW(INDIRECT("1:"&amp;LEN((LEFT(A101,SUM(LEN(A101)-LEN(SUBSTITUTE(A101,{"0","1","2"},"")))))))), 0), ROW(INDIRECT("1:"&amp;LEN((LEFT(A101,SUM(LEN(A101)-LEN(SUBSTITUTE(A101,{"0","1","2"},"")))))))))+1, 1) * 10^ROW(INDIRECT("1:"&amp;LEN((LEFT(A101,SUM(LEN(A101)-LEN(SUBSTITUTE(A101,{"0","1","2"},""))))))))/10))*1+1&amp;""&amp;" to "&amp;""&amp;(SUMPRODUCT(MID(0&amp;(--TRIM(RIGHT(SUBSTITUTE(LEFT(A101,_xlfn.AGGREGATE(16,6,FIND({0,1,2,3,4,5,6,7,8,9},A101,ROW(INDIRECT("1:"&amp;LEN(A101)))),1))," ",REPT(" ",LEN(A101))),LEN(A101)))), LARGE(INDEX(ISNUMBER(--MID((--TRIM(RIGHT(SUBSTITUTE(LEFT(A101,_xlfn.AGGREGATE(16,6,FIND({0,1,2,3,4,5,6,7,8,9},A101,ROW(INDIRECT("1:"&amp;LEN(A101)))),1))," ",REPT(" ",LEN(A101))),LEN(A101)))), ROW(INDIRECT("1:"&amp;LEN((--TRIM(RIGHT(SUBSTITUTE(LEFT(A101,_xlfn.AGGREGATE(16,6,FIND({0,1,2,3,4,5,6,7,8,9},A101,ROW(INDIRECT("1:"&amp;LEN(A101)))),1))," ",REPT(" ",LEN(A101))),LEN(A101))))))), 1)) * ROW(INDIRECT("1:"&amp;LEN((--TRIM(RIGHT(SUBSTITUTE(LEFT(A101,_xlfn.AGGREGATE(16,6,FIND({0,1,2,3,4,5,6,7,8,9},A101,ROW(INDIRECT("1:"&amp;LEN(A101)))),1))," ",REPT(" ",LEN(A101))),LEN(A101))))))), 0), ROW(INDIRECT("1:"&amp;LEN((--TRIM(RIGHT(SUBSTITUTE(LEFT(A101,_xlfn.AGGREGATE(16,6,FIND({0,1,2,3,4,5,6,7,8,9},A101,ROW(INDIRECT("1:"&amp;LEN(A101)))),1))," ",REPT(" ",LEN(A101))),LEN(A101))))))))+1, 1) * 10^ROW(INDIRECT("1:"&amp;LEN((--TRIM(RIGHT(SUBSTITUTE(LEFT(A101,_xlfn.AGGREGATE(16,6,FIND({0,1,2,3,4,5,6,7,8,9},A101,ROW(INDIRECT("1:"&amp;LEN(A101)))),1))," ",REPT(" ",LEN(A101))),LEN(A101)))))))/10))*1+1</f>
        <v>103 to 1003</v>
      </c>
      <c r="B102" s="71"/>
      <c r="C102" s="38" t="s">
        <v>194</v>
      </c>
      <c r="D102" s="38">
        <f>(31.77+3.35+0.75*(2.25+2.75))*10.764</f>
        <v>418.39667999999995</v>
      </c>
      <c r="E102" s="38">
        <v>0</v>
      </c>
      <c r="F102" s="38">
        <v>630</v>
      </c>
      <c r="G102" s="70" t="str">
        <f t="shared" si="0"/>
        <v>1st to 7th, 9th, 10th Floor for Residential</v>
      </c>
      <c r="H102" s="71"/>
      <c r="I102" s="32"/>
    </row>
    <row r="103" spans="1:13" s="33" customFormat="1" x14ac:dyDescent="0.35">
      <c r="A103" s="70" t="str">
        <f ca="1">(SUMPRODUCT(MID(0&amp;(LEFT(A102,SUM(LEN(A102)-LEN(SUBSTITUTE(A102,{"0","1","2"},""))))), LARGE(INDEX(ISNUMBER(--MID((LEFT(A102,SUM(LEN(A102)-LEN(SUBSTITUTE(A102,{"0","1","2"},""))))), ROW(INDIRECT("1:"&amp;LEN((LEFT(A102,SUM(LEN(A102)-LEN(SUBSTITUTE(A102,{"0","1","2"},"")))))))), 1)) * ROW(INDIRECT("1:"&amp;LEN((LEFT(A102,SUM(LEN(A102)-LEN(SUBSTITUTE(A102,{"0","1","2"},"")))))))), 0), ROW(INDIRECT("1:"&amp;LEN((LEFT(A102,SUM(LEN(A102)-LEN(SUBSTITUTE(A102,{"0","1","2"},"")))))))))+1, 1) * 10^ROW(INDIRECT("1:"&amp;LEN((LEFT(A102,SUM(LEN(A102)-LEN(SUBSTITUTE(A102,{"0","1","2"},""))))))))/10))*1+1&amp;""&amp;" to "&amp;""&amp;(SUMPRODUCT(MID(0&amp;(--TRIM(RIGHT(SUBSTITUTE(LEFT(A102,_xlfn.AGGREGATE(16,6,FIND({0,1,2,3,4,5,6,7,8,9},A102,ROW(INDIRECT("1:"&amp;LEN(A102)))),1))," ",REPT(" ",LEN(A102))),LEN(A102)))), LARGE(INDEX(ISNUMBER(--MID((--TRIM(RIGHT(SUBSTITUTE(LEFT(A102,_xlfn.AGGREGATE(16,6,FIND({0,1,2,3,4,5,6,7,8,9},A102,ROW(INDIRECT("1:"&amp;LEN(A102)))),1))," ",REPT(" ",LEN(A102))),LEN(A102)))), ROW(INDIRECT("1:"&amp;LEN((--TRIM(RIGHT(SUBSTITUTE(LEFT(A102,_xlfn.AGGREGATE(16,6,FIND({0,1,2,3,4,5,6,7,8,9},A102,ROW(INDIRECT("1:"&amp;LEN(A102)))),1))," ",REPT(" ",LEN(A102))),LEN(A102))))))), 1)) * ROW(INDIRECT("1:"&amp;LEN((--TRIM(RIGHT(SUBSTITUTE(LEFT(A102,_xlfn.AGGREGATE(16,6,FIND({0,1,2,3,4,5,6,7,8,9},A102,ROW(INDIRECT("1:"&amp;LEN(A102)))),1))," ",REPT(" ",LEN(A102))),LEN(A102))))))), 0), ROW(INDIRECT("1:"&amp;LEN((--TRIM(RIGHT(SUBSTITUTE(LEFT(A102,_xlfn.AGGREGATE(16,6,FIND({0,1,2,3,4,5,6,7,8,9},A102,ROW(INDIRECT("1:"&amp;LEN(A102)))),1))," ",REPT(" ",LEN(A102))),LEN(A102))))))))+1, 1) * 10^ROW(INDIRECT("1:"&amp;LEN((--TRIM(RIGHT(SUBSTITUTE(LEFT(A102,_xlfn.AGGREGATE(16,6,FIND({0,1,2,3,4,5,6,7,8,9},A102,ROW(INDIRECT("1:"&amp;LEN(A102)))),1))," ",REPT(" ",LEN(A102))),LEN(A102)))))))/10))*1+1</f>
        <v>104 to 1004</v>
      </c>
      <c r="B103" s="71"/>
      <c r="C103" s="38" t="s">
        <v>194</v>
      </c>
      <c r="D103" s="38">
        <f>(29.14+5.15+0.75*2.75)*10.764</f>
        <v>391.29830999999996</v>
      </c>
      <c r="E103" s="38">
        <v>0</v>
      </c>
      <c r="F103" s="38">
        <v>590</v>
      </c>
      <c r="G103" s="70" t="str">
        <f t="shared" si="0"/>
        <v>1st to 7th, 9th, 10th Floor for Residential</v>
      </c>
      <c r="H103" s="71"/>
      <c r="I103" s="32"/>
    </row>
    <row r="104" spans="1:13" s="33" customFormat="1" x14ac:dyDescent="0.35">
      <c r="A104" s="70" t="str">
        <f ca="1">(SUMPRODUCT(MID(0&amp;(LEFT(A103,SUM(LEN(A103)-LEN(SUBSTITUTE(A103,{"0","1","2"},""))))), LARGE(INDEX(ISNUMBER(--MID((LEFT(A103,SUM(LEN(A103)-LEN(SUBSTITUTE(A103,{"0","1","2"},""))))), ROW(INDIRECT("1:"&amp;LEN((LEFT(A103,SUM(LEN(A103)-LEN(SUBSTITUTE(A103,{"0","1","2"},"")))))))), 1)) * ROW(INDIRECT("1:"&amp;LEN((LEFT(A103,SUM(LEN(A103)-LEN(SUBSTITUTE(A103,{"0","1","2"},"")))))))), 0), ROW(INDIRECT("1:"&amp;LEN((LEFT(A103,SUM(LEN(A103)-LEN(SUBSTITUTE(A103,{"0","1","2"},"")))))))))+1, 1) * 10^ROW(INDIRECT("1:"&amp;LEN((LEFT(A103,SUM(LEN(A103)-LEN(SUBSTITUTE(A103,{"0","1","2"},""))))))))/10))*1+1&amp;""&amp;" to "&amp;""&amp;(SUMPRODUCT(MID(0&amp;(--TRIM(RIGHT(SUBSTITUTE(LEFT(A103,_xlfn.AGGREGATE(16,6,FIND({0,1,2,3,4,5,6,7,8,9},A103,ROW(INDIRECT("1:"&amp;LEN(A103)))),1))," ",REPT(" ",LEN(A103))),LEN(A103)))), LARGE(INDEX(ISNUMBER(--MID((--TRIM(RIGHT(SUBSTITUTE(LEFT(A103,_xlfn.AGGREGATE(16,6,FIND({0,1,2,3,4,5,6,7,8,9},A103,ROW(INDIRECT("1:"&amp;LEN(A103)))),1))," ",REPT(" ",LEN(A103))),LEN(A103)))), ROW(INDIRECT("1:"&amp;LEN((--TRIM(RIGHT(SUBSTITUTE(LEFT(A103,_xlfn.AGGREGATE(16,6,FIND({0,1,2,3,4,5,6,7,8,9},A103,ROW(INDIRECT("1:"&amp;LEN(A103)))),1))," ",REPT(" ",LEN(A103))),LEN(A103))))))), 1)) * ROW(INDIRECT("1:"&amp;LEN((--TRIM(RIGHT(SUBSTITUTE(LEFT(A103,_xlfn.AGGREGATE(16,6,FIND({0,1,2,3,4,5,6,7,8,9},A103,ROW(INDIRECT("1:"&amp;LEN(A103)))),1))," ",REPT(" ",LEN(A103))),LEN(A103))))))), 0), ROW(INDIRECT("1:"&amp;LEN((--TRIM(RIGHT(SUBSTITUTE(LEFT(A103,_xlfn.AGGREGATE(16,6,FIND({0,1,2,3,4,5,6,7,8,9},A103,ROW(INDIRECT("1:"&amp;LEN(A103)))),1))," ",REPT(" ",LEN(A103))),LEN(A103))))))))+1, 1) * 10^ROW(INDIRECT("1:"&amp;LEN((--TRIM(RIGHT(SUBSTITUTE(LEFT(A103,_xlfn.AGGREGATE(16,6,FIND({0,1,2,3,4,5,6,7,8,9},A103,ROW(INDIRECT("1:"&amp;LEN(A103)))),1))," ",REPT(" ",LEN(A103))),LEN(A103)))))))/10))*1+1</f>
        <v>105 to 1005</v>
      </c>
      <c r="B104" s="71"/>
      <c r="C104" s="38" t="s">
        <v>194</v>
      </c>
      <c r="D104" s="38">
        <f>(29.53+5+0.75*2.75)*10.764</f>
        <v>393.88166999999999</v>
      </c>
      <c r="E104" s="38">
        <v>0</v>
      </c>
      <c r="F104" s="38">
        <v>595</v>
      </c>
      <c r="G104" s="70" t="str">
        <f t="shared" si="0"/>
        <v>1st to 7th, 9th, 10th Floor for Residential</v>
      </c>
      <c r="H104" s="71"/>
      <c r="I104" s="32"/>
    </row>
    <row r="105" spans="1:13" s="33" customFormat="1" x14ac:dyDescent="0.35">
      <c r="A105" s="70" t="str">
        <f ca="1">(SUMPRODUCT(MID(0&amp;(LEFT(A104,SUM(LEN(A104)-LEN(SUBSTITUTE(A104,{"0","1","2"},""))))), LARGE(INDEX(ISNUMBER(--MID((LEFT(A104,SUM(LEN(A104)-LEN(SUBSTITUTE(A104,{"0","1","2"},""))))), ROW(INDIRECT("1:"&amp;LEN((LEFT(A104,SUM(LEN(A104)-LEN(SUBSTITUTE(A104,{"0","1","2"},"")))))))), 1)) * ROW(INDIRECT("1:"&amp;LEN((LEFT(A104,SUM(LEN(A104)-LEN(SUBSTITUTE(A104,{"0","1","2"},"")))))))), 0), ROW(INDIRECT("1:"&amp;LEN((LEFT(A104,SUM(LEN(A104)-LEN(SUBSTITUTE(A104,{"0","1","2"},"")))))))))+1, 1) * 10^ROW(INDIRECT("1:"&amp;LEN((LEFT(A104,SUM(LEN(A104)-LEN(SUBSTITUTE(A104,{"0","1","2"},""))))))))/10))*1+1&amp;""&amp;" to "&amp;""&amp;(SUMPRODUCT(MID(0&amp;(--TRIM(RIGHT(SUBSTITUTE(LEFT(A104,_xlfn.AGGREGATE(16,6,FIND({0,1,2,3,4,5,6,7,8,9},A104,ROW(INDIRECT("1:"&amp;LEN(A104)))),1))," ",REPT(" ",LEN(A104))),LEN(A104)))), LARGE(INDEX(ISNUMBER(--MID((--TRIM(RIGHT(SUBSTITUTE(LEFT(A104,_xlfn.AGGREGATE(16,6,FIND({0,1,2,3,4,5,6,7,8,9},A104,ROW(INDIRECT("1:"&amp;LEN(A104)))),1))," ",REPT(" ",LEN(A104))),LEN(A104)))), ROW(INDIRECT("1:"&amp;LEN((--TRIM(RIGHT(SUBSTITUTE(LEFT(A104,_xlfn.AGGREGATE(16,6,FIND({0,1,2,3,4,5,6,7,8,9},A104,ROW(INDIRECT("1:"&amp;LEN(A104)))),1))," ",REPT(" ",LEN(A104))),LEN(A104))))))), 1)) * ROW(INDIRECT("1:"&amp;LEN((--TRIM(RIGHT(SUBSTITUTE(LEFT(A104,_xlfn.AGGREGATE(16,6,FIND({0,1,2,3,4,5,6,7,8,9},A104,ROW(INDIRECT("1:"&amp;LEN(A104)))),1))," ",REPT(" ",LEN(A104))),LEN(A104))))))), 0), ROW(INDIRECT("1:"&amp;LEN((--TRIM(RIGHT(SUBSTITUTE(LEFT(A104,_xlfn.AGGREGATE(16,6,FIND({0,1,2,3,4,5,6,7,8,9},A104,ROW(INDIRECT("1:"&amp;LEN(A104)))),1))," ",REPT(" ",LEN(A104))),LEN(A104))))))))+1, 1) * 10^ROW(INDIRECT("1:"&amp;LEN((--TRIM(RIGHT(SUBSTITUTE(LEFT(A104,_xlfn.AGGREGATE(16,6,FIND({0,1,2,3,4,5,6,7,8,9},A104,ROW(INDIRECT("1:"&amp;LEN(A104)))),1))," ",REPT(" ",LEN(A104))),LEN(A104)))))))/10))*1+1</f>
        <v>106 to 1006</v>
      </c>
      <c r="B105" s="71"/>
      <c r="C105" s="38" t="s">
        <v>194</v>
      </c>
      <c r="D105" s="38">
        <f>(35.06+0.75*(2.75+2.3+2.75))*10.764</f>
        <v>440.35524000000004</v>
      </c>
      <c r="E105" s="38">
        <v>0</v>
      </c>
      <c r="F105" s="38">
        <v>660</v>
      </c>
      <c r="G105" s="70" t="str">
        <f t="shared" si="0"/>
        <v>1st to 7th, 9th, 10th Floor for Residential</v>
      </c>
      <c r="H105" s="71"/>
      <c r="I105" s="32"/>
    </row>
    <row r="106" spans="1:13" s="33" customFormat="1" x14ac:dyDescent="0.35">
      <c r="A106" s="70" t="str">
        <f ca="1">(SUMPRODUCT(MID(0&amp;(LEFT(A105,SUM(LEN(A105)-LEN(SUBSTITUTE(A105,{"0","1","2"},""))))), LARGE(INDEX(ISNUMBER(--MID((LEFT(A105,SUM(LEN(A105)-LEN(SUBSTITUTE(A105,{"0","1","2"},""))))), ROW(INDIRECT("1:"&amp;LEN((LEFT(A105,SUM(LEN(A105)-LEN(SUBSTITUTE(A105,{"0","1","2"},"")))))))), 1)) * ROW(INDIRECT("1:"&amp;LEN((LEFT(A105,SUM(LEN(A105)-LEN(SUBSTITUTE(A105,{"0","1","2"},"")))))))), 0), ROW(INDIRECT("1:"&amp;LEN((LEFT(A105,SUM(LEN(A105)-LEN(SUBSTITUTE(A105,{"0","1","2"},"")))))))))+1, 1) * 10^ROW(INDIRECT("1:"&amp;LEN((LEFT(A105,SUM(LEN(A105)-LEN(SUBSTITUTE(A105,{"0","1","2"},""))))))))/10))*1+1&amp;""&amp;" to "&amp;""&amp;(SUMPRODUCT(MID(0&amp;(--TRIM(RIGHT(SUBSTITUTE(LEFT(A105,_xlfn.AGGREGATE(16,6,FIND({0,1,2,3,4,5,6,7,8,9},A105,ROW(INDIRECT("1:"&amp;LEN(A105)))),1))," ",REPT(" ",LEN(A105))),LEN(A105)))), LARGE(INDEX(ISNUMBER(--MID((--TRIM(RIGHT(SUBSTITUTE(LEFT(A105,_xlfn.AGGREGATE(16,6,FIND({0,1,2,3,4,5,6,7,8,9},A105,ROW(INDIRECT("1:"&amp;LEN(A105)))),1))," ",REPT(" ",LEN(A105))),LEN(A105)))), ROW(INDIRECT("1:"&amp;LEN((--TRIM(RIGHT(SUBSTITUTE(LEFT(A105,_xlfn.AGGREGATE(16,6,FIND({0,1,2,3,4,5,6,7,8,9},A105,ROW(INDIRECT("1:"&amp;LEN(A105)))),1))," ",REPT(" ",LEN(A105))),LEN(A105))))))), 1)) * ROW(INDIRECT("1:"&amp;LEN((--TRIM(RIGHT(SUBSTITUTE(LEFT(A105,_xlfn.AGGREGATE(16,6,FIND({0,1,2,3,4,5,6,7,8,9},A105,ROW(INDIRECT("1:"&amp;LEN(A105)))),1))," ",REPT(" ",LEN(A105))),LEN(A105))))))), 0), ROW(INDIRECT("1:"&amp;LEN((--TRIM(RIGHT(SUBSTITUTE(LEFT(A105,_xlfn.AGGREGATE(16,6,FIND({0,1,2,3,4,5,6,7,8,9},A105,ROW(INDIRECT("1:"&amp;LEN(A105)))),1))," ",REPT(" ",LEN(A105))),LEN(A105))))))))+1, 1) * 10^ROW(INDIRECT("1:"&amp;LEN((--TRIM(RIGHT(SUBSTITUTE(LEFT(A105,_xlfn.AGGREGATE(16,6,FIND({0,1,2,3,4,5,6,7,8,9},A105,ROW(INDIRECT("1:"&amp;LEN(A105)))),1))," ",REPT(" ",LEN(A105))),LEN(A105)))))))/10))*1+1</f>
        <v>107 to 1007</v>
      </c>
      <c r="B106" s="71"/>
      <c r="C106" s="38" t="s">
        <v>194</v>
      </c>
      <c r="D106" s="38">
        <f>(32.37+0.75*(2.75+2.1+2.75))*10.764</f>
        <v>409.78547999999989</v>
      </c>
      <c r="E106" s="38">
        <v>0</v>
      </c>
      <c r="F106" s="38">
        <v>610</v>
      </c>
      <c r="G106" s="70" t="str">
        <f t="shared" si="0"/>
        <v>1st to 7th, 9th, 10th Floor for Residential</v>
      </c>
      <c r="H106" s="71"/>
      <c r="I106" s="32"/>
    </row>
    <row r="107" spans="1:13" s="33" customFormat="1" x14ac:dyDescent="0.35">
      <c r="A107" s="70" t="str">
        <f ca="1">(SUMPRODUCT(MID(0&amp;(LEFT(A106,SUM(LEN(A106)-LEN(SUBSTITUTE(A106,{"0","1","2"},""))))), LARGE(INDEX(ISNUMBER(--MID((LEFT(A106,SUM(LEN(A106)-LEN(SUBSTITUTE(A106,{"0","1","2"},""))))), ROW(INDIRECT("1:"&amp;LEN((LEFT(A106,SUM(LEN(A106)-LEN(SUBSTITUTE(A106,{"0","1","2"},"")))))))), 1)) * ROW(INDIRECT("1:"&amp;LEN((LEFT(A106,SUM(LEN(A106)-LEN(SUBSTITUTE(A106,{"0","1","2"},"")))))))), 0), ROW(INDIRECT("1:"&amp;LEN((LEFT(A106,SUM(LEN(A106)-LEN(SUBSTITUTE(A106,{"0","1","2"},"")))))))))+1, 1) * 10^ROW(INDIRECT("1:"&amp;LEN((LEFT(A106,SUM(LEN(A106)-LEN(SUBSTITUTE(A106,{"0","1","2"},""))))))))/10))*1+1&amp;""&amp;" to "&amp;""&amp;(SUMPRODUCT(MID(0&amp;(--TRIM(RIGHT(SUBSTITUTE(LEFT(A106,_xlfn.AGGREGATE(16,6,FIND({0,1,2,3,4,5,6,7,8,9},A106,ROW(INDIRECT("1:"&amp;LEN(A106)))),1))," ",REPT(" ",LEN(A106))),LEN(A106)))), LARGE(INDEX(ISNUMBER(--MID((--TRIM(RIGHT(SUBSTITUTE(LEFT(A106,_xlfn.AGGREGATE(16,6,FIND({0,1,2,3,4,5,6,7,8,9},A106,ROW(INDIRECT("1:"&amp;LEN(A106)))),1))," ",REPT(" ",LEN(A106))),LEN(A106)))), ROW(INDIRECT("1:"&amp;LEN((--TRIM(RIGHT(SUBSTITUTE(LEFT(A106,_xlfn.AGGREGATE(16,6,FIND({0,1,2,3,4,5,6,7,8,9},A106,ROW(INDIRECT("1:"&amp;LEN(A106)))),1))," ",REPT(" ",LEN(A106))),LEN(A106))))))), 1)) * ROW(INDIRECT("1:"&amp;LEN((--TRIM(RIGHT(SUBSTITUTE(LEFT(A106,_xlfn.AGGREGATE(16,6,FIND({0,1,2,3,4,5,6,7,8,9},A106,ROW(INDIRECT("1:"&amp;LEN(A106)))),1))," ",REPT(" ",LEN(A106))),LEN(A106))))))), 0), ROW(INDIRECT("1:"&amp;LEN((--TRIM(RIGHT(SUBSTITUTE(LEFT(A106,_xlfn.AGGREGATE(16,6,FIND({0,1,2,3,4,5,6,7,8,9},A106,ROW(INDIRECT("1:"&amp;LEN(A106)))),1))," ",REPT(" ",LEN(A106))),LEN(A106))))))))+1, 1) * 10^ROW(INDIRECT("1:"&amp;LEN((--TRIM(RIGHT(SUBSTITUTE(LEFT(A106,_xlfn.AGGREGATE(16,6,FIND({0,1,2,3,4,5,6,7,8,9},A106,ROW(INDIRECT("1:"&amp;LEN(A106)))),1))," ",REPT(" ",LEN(A106))),LEN(A106)))))))/10))*1+1</f>
        <v>108 to 1008</v>
      </c>
      <c r="B107" s="71"/>
      <c r="C107" s="38" t="s">
        <v>194</v>
      </c>
      <c r="D107" s="38">
        <f>(29.5+5+0.75*2.75)*10.764</f>
        <v>393.55874999999997</v>
      </c>
      <c r="E107" s="38">
        <v>0</v>
      </c>
      <c r="F107" s="38">
        <v>595</v>
      </c>
      <c r="G107" s="70" t="str">
        <f t="shared" si="0"/>
        <v>1st to 7th, 9th, 10th Floor for Residential</v>
      </c>
      <c r="H107" s="71"/>
      <c r="I107" s="32"/>
    </row>
    <row r="108" spans="1:13" s="33" customFormat="1" x14ac:dyDescent="0.35">
      <c r="A108" s="70" t="str">
        <f ca="1">(SUMPRODUCT(MID(0&amp;(LEFT(A107,SUM(LEN(A107)-LEN(SUBSTITUTE(A107,{"0","1","2"},""))))), LARGE(INDEX(ISNUMBER(--MID((LEFT(A107,SUM(LEN(A107)-LEN(SUBSTITUTE(A107,{"0","1","2"},""))))), ROW(INDIRECT("1:"&amp;LEN((LEFT(A107,SUM(LEN(A107)-LEN(SUBSTITUTE(A107,{"0","1","2"},"")))))))), 1)) * ROW(INDIRECT("1:"&amp;LEN((LEFT(A107,SUM(LEN(A107)-LEN(SUBSTITUTE(A107,{"0","1","2"},"")))))))), 0), ROW(INDIRECT("1:"&amp;LEN((LEFT(A107,SUM(LEN(A107)-LEN(SUBSTITUTE(A107,{"0","1","2"},"")))))))))+1, 1) * 10^ROW(INDIRECT("1:"&amp;LEN((LEFT(A107,SUM(LEN(A107)-LEN(SUBSTITUTE(A107,{"0","1","2"},""))))))))/10))*1+1&amp;""&amp;" to "&amp;""&amp;(SUMPRODUCT(MID(0&amp;(--TRIM(RIGHT(SUBSTITUTE(LEFT(A107,_xlfn.AGGREGATE(16,6,FIND({0,1,2,3,4,5,6,7,8,9},A107,ROW(INDIRECT("1:"&amp;LEN(A107)))),1))," ",REPT(" ",LEN(A107))),LEN(A107)))), LARGE(INDEX(ISNUMBER(--MID((--TRIM(RIGHT(SUBSTITUTE(LEFT(A107,_xlfn.AGGREGATE(16,6,FIND({0,1,2,3,4,5,6,7,8,9},A107,ROW(INDIRECT("1:"&amp;LEN(A107)))),1))," ",REPT(" ",LEN(A107))),LEN(A107)))), ROW(INDIRECT("1:"&amp;LEN((--TRIM(RIGHT(SUBSTITUTE(LEFT(A107,_xlfn.AGGREGATE(16,6,FIND({0,1,2,3,4,5,6,7,8,9},A107,ROW(INDIRECT("1:"&amp;LEN(A107)))),1))," ",REPT(" ",LEN(A107))),LEN(A107))))))), 1)) * ROW(INDIRECT("1:"&amp;LEN((--TRIM(RIGHT(SUBSTITUTE(LEFT(A107,_xlfn.AGGREGATE(16,6,FIND({0,1,2,3,4,5,6,7,8,9},A107,ROW(INDIRECT("1:"&amp;LEN(A107)))),1))," ",REPT(" ",LEN(A107))),LEN(A107))))))), 0), ROW(INDIRECT("1:"&amp;LEN((--TRIM(RIGHT(SUBSTITUTE(LEFT(A107,_xlfn.AGGREGATE(16,6,FIND({0,1,2,3,4,5,6,7,8,9},A107,ROW(INDIRECT("1:"&amp;LEN(A107)))),1))," ",REPT(" ",LEN(A107))),LEN(A107))))))))+1, 1) * 10^ROW(INDIRECT("1:"&amp;LEN((--TRIM(RIGHT(SUBSTITUTE(LEFT(A107,_xlfn.AGGREGATE(16,6,FIND({0,1,2,3,4,5,6,7,8,9},A107,ROW(INDIRECT("1:"&amp;LEN(A107)))),1))," ",REPT(" ",LEN(A107))),LEN(A107)))))))/10))*1+1</f>
        <v>109 to 1009</v>
      </c>
      <c r="B108" s="71"/>
      <c r="C108" s="38" t="s">
        <v>193</v>
      </c>
      <c r="D108" s="38">
        <f>(43.16+2.75+0.75*(2.75+2.1+2.75))*10.764</f>
        <v>555.53003999999999</v>
      </c>
      <c r="E108" s="38">
        <v>0</v>
      </c>
      <c r="F108" s="38">
        <v>835</v>
      </c>
      <c r="G108" s="70" t="str">
        <f t="shared" si="0"/>
        <v>1st to 7th, 9th, 10th Floor for Residential</v>
      </c>
      <c r="H108" s="71"/>
      <c r="I108" s="32"/>
    </row>
    <row r="109" spans="1:13" s="33" customFormat="1" x14ac:dyDescent="0.35">
      <c r="A109" s="70" t="str">
        <f ca="1">(SUMPRODUCT(MID(0&amp;(LEFT(A108,SUM(LEN(A108)-LEN(SUBSTITUTE(A108,{"0","1","2"},""))))), LARGE(INDEX(ISNUMBER(--MID((LEFT(A108,SUM(LEN(A108)-LEN(SUBSTITUTE(A108,{"0","1","2"},""))))), ROW(INDIRECT("1:"&amp;LEN((LEFT(A108,SUM(LEN(A108)-LEN(SUBSTITUTE(A108,{"0","1","2"},"")))))))), 1)) * ROW(INDIRECT("1:"&amp;LEN((LEFT(A108,SUM(LEN(A108)-LEN(SUBSTITUTE(A108,{"0","1","2"},"")))))))), 0), ROW(INDIRECT("1:"&amp;LEN((LEFT(A108,SUM(LEN(A108)-LEN(SUBSTITUTE(A108,{"0","1","2"},"")))))))))+1, 1) * 10^ROW(INDIRECT("1:"&amp;LEN((LEFT(A108,SUM(LEN(A108)-LEN(SUBSTITUTE(A108,{"0","1","2"},""))))))))/10))*1+1&amp;""&amp;" to "&amp;""&amp;(SUMPRODUCT(MID(0&amp;(--TRIM(RIGHT(SUBSTITUTE(LEFT(A108,_xlfn.AGGREGATE(16,6,FIND({0,1,2,3,4,5,6,7,8,9},A108,ROW(INDIRECT("1:"&amp;LEN(A108)))),1))," ",REPT(" ",LEN(A108))),LEN(A108)))), LARGE(INDEX(ISNUMBER(--MID((--TRIM(RIGHT(SUBSTITUTE(LEFT(A108,_xlfn.AGGREGATE(16,6,FIND({0,1,2,3,4,5,6,7,8,9},A108,ROW(INDIRECT("1:"&amp;LEN(A108)))),1))," ",REPT(" ",LEN(A108))),LEN(A108)))), ROW(INDIRECT("1:"&amp;LEN((--TRIM(RIGHT(SUBSTITUTE(LEFT(A108,_xlfn.AGGREGATE(16,6,FIND({0,1,2,3,4,5,6,7,8,9},A108,ROW(INDIRECT("1:"&amp;LEN(A108)))),1))," ",REPT(" ",LEN(A108))),LEN(A108))))))), 1)) * ROW(INDIRECT("1:"&amp;LEN((--TRIM(RIGHT(SUBSTITUTE(LEFT(A108,_xlfn.AGGREGATE(16,6,FIND({0,1,2,3,4,5,6,7,8,9},A108,ROW(INDIRECT("1:"&amp;LEN(A108)))),1))," ",REPT(" ",LEN(A108))),LEN(A108))))))), 0), ROW(INDIRECT("1:"&amp;LEN((--TRIM(RIGHT(SUBSTITUTE(LEFT(A108,_xlfn.AGGREGATE(16,6,FIND({0,1,2,3,4,5,6,7,8,9},A108,ROW(INDIRECT("1:"&amp;LEN(A108)))),1))," ",REPT(" ",LEN(A108))),LEN(A108))))))))+1, 1) * 10^ROW(INDIRECT("1:"&amp;LEN((--TRIM(RIGHT(SUBSTITUTE(LEFT(A108,_xlfn.AGGREGATE(16,6,FIND({0,1,2,3,4,5,6,7,8,9},A108,ROW(INDIRECT("1:"&amp;LEN(A108)))),1))," ",REPT(" ",LEN(A108))),LEN(A108)))))))/10))*1+1</f>
        <v>110 to 1010</v>
      </c>
      <c r="B109" s="71"/>
      <c r="C109" s="38" t="s">
        <v>194</v>
      </c>
      <c r="D109" s="38">
        <f>(34.09+0.75*(2.75+2.3+2.75))*10.764</f>
        <v>429.91416000000004</v>
      </c>
      <c r="E109" s="38">
        <v>0</v>
      </c>
      <c r="F109" s="38">
        <v>650</v>
      </c>
      <c r="G109" s="70" t="str">
        <f t="shared" si="0"/>
        <v>1st to 7th, 9th, 10th Floor for Residential</v>
      </c>
      <c r="H109" s="71"/>
      <c r="I109" s="32"/>
    </row>
    <row r="110" spans="1:13" s="33" customFormat="1" x14ac:dyDescent="0.35">
      <c r="A110" s="70" t="str">
        <f ca="1">(SUMPRODUCT(MID(0&amp;(LEFT(A109,SUM(LEN(A109)-LEN(SUBSTITUTE(A109,{"0","1","2"},""))))), LARGE(INDEX(ISNUMBER(--MID((LEFT(A109,SUM(LEN(A109)-LEN(SUBSTITUTE(A109,{"0","1","2"},""))))), ROW(INDIRECT("1:"&amp;LEN((LEFT(A109,SUM(LEN(A109)-LEN(SUBSTITUTE(A109,{"0","1","2"},"")))))))), 1)) * ROW(INDIRECT("1:"&amp;LEN((LEFT(A109,SUM(LEN(A109)-LEN(SUBSTITUTE(A109,{"0","1","2"},"")))))))), 0), ROW(INDIRECT("1:"&amp;LEN((LEFT(A109,SUM(LEN(A109)-LEN(SUBSTITUTE(A109,{"0","1","2"},"")))))))))+1, 1) * 10^ROW(INDIRECT("1:"&amp;LEN((LEFT(A109,SUM(LEN(A109)-LEN(SUBSTITUTE(A109,{"0","1","2"},""))))))))/10))*1+1&amp;""&amp;" to "&amp;""&amp;(SUMPRODUCT(MID(0&amp;(--TRIM(RIGHT(SUBSTITUTE(LEFT(A109,_xlfn.AGGREGATE(16,6,FIND({0,1,2,3,4,5,6,7,8,9},A109,ROW(INDIRECT("1:"&amp;LEN(A109)))),1))," ",REPT(" ",LEN(A109))),LEN(A109)))), LARGE(INDEX(ISNUMBER(--MID((--TRIM(RIGHT(SUBSTITUTE(LEFT(A109,_xlfn.AGGREGATE(16,6,FIND({0,1,2,3,4,5,6,7,8,9},A109,ROW(INDIRECT("1:"&amp;LEN(A109)))),1))," ",REPT(" ",LEN(A109))),LEN(A109)))), ROW(INDIRECT("1:"&amp;LEN((--TRIM(RIGHT(SUBSTITUTE(LEFT(A109,_xlfn.AGGREGATE(16,6,FIND({0,1,2,3,4,5,6,7,8,9},A109,ROW(INDIRECT("1:"&amp;LEN(A109)))),1))," ",REPT(" ",LEN(A109))),LEN(A109))))))), 1)) * ROW(INDIRECT("1:"&amp;LEN((--TRIM(RIGHT(SUBSTITUTE(LEFT(A109,_xlfn.AGGREGATE(16,6,FIND({0,1,2,3,4,5,6,7,8,9},A109,ROW(INDIRECT("1:"&amp;LEN(A109)))),1))," ",REPT(" ",LEN(A109))),LEN(A109))))))), 0), ROW(INDIRECT("1:"&amp;LEN((--TRIM(RIGHT(SUBSTITUTE(LEFT(A109,_xlfn.AGGREGATE(16,6,FIND({0,1,2,3,4,5,6,7,8,9},A109,ROW(INDIRECT("1:"&amp;LEN(A109)))),1))," ",REPT(" ",LEN(A109))),LEN(A109))))))))+1, 1) * 10^ROW(INDIRECT("1:"&amp;LEN((--TRIM(RIGHT(SUBSTITUTE(LEFT(A109,_xlfn.AGGREGATE(16,6,FIND({0,1,2,3,4,5,6,7,8,9},A109,ROW(INDIRECT("1:"&amp;LEN(A109)))),1))," ",REPT(" ",LEN(A109))),LEN(A109)))))))/10))*1+1</f>
        <v>111 to 1011</v>
      </c>
      <c r="B110" s="71"/>
      <c r="C110" s="38" t="s">
        <v>194</v>
      </c>
      <c r="D110" s="38">
        <f>(34.49+0.75*(2.75+2.3+2.75))*10.764</f>
        <v>434.21976000000001</v>
      </c>
      <c r="E110" s="38">
        <v>0</v>
      </c>
      <c r="F110" s="38">
        <v>655</v>
      </c>
      <c r="G110" s="70" t="str">
        <f t="shared" si="0"/>
        <v>1st to 7th, 9th, 10th Floor for Residential</v>
      </c>
      <c r="H110" s="71"/>
      <c r="I110" s="32"/>
    </row>
    <row r="111" spans="1:13" s="33" customFormat="1" x14ac:dyDescent="0.35">
      <c r="A111" s="70" t="str">
        <f ca="1">(SUMPRODUCT(MID(0&amp;(LEFT(A110,SUM(LEN(A110)-LEN(SUBSTITUTE(A110,{"0","1","2"},""))))), LARGE(INDEX(ISNUMBER(--MID((LEFT(A110,SUM(LEN(A110)-LEN(SUBSTITUTE(A110,{"0","1","2"},""))))), ROW(INDIRECT("1:"&amp;LEN((LEFT(A110,SUM(LEN(A110)-LEN(SUBSTITUTE(A110,{"0","1","2"},"")))))))), 1)) * ROW(INDIRECT("1:"&amp;LEN((LEFT(A110,SUM(LEN(A110)-LEN(SUBSTITUTE(A110,{"0","1","2"},"")))))))), 0), ROW(INDIRECT("1:"&amp;LEN((LEFT(A110,SUM(LEN(A110)-LEN(SUBSTITUTE(A110,{"0","1","2"},"")))))))))+1, 1) * 10^ROW(INDIRECT("1:"&amp;LEN((LEFT(A110,SUM(LEN(A110)-LEN(SUBSTITUTE(A110,{"0","1","2"},""))))))))/10))*1+1&amp;""&amp;" to "&amp;""&amp;(SUMPRODUCT(MID(0&amp;(--TRIM(RIGHT(SUBSTITUTE(LEFT(A110,_xlfn.AGGREGATE(16,6,FIND({0,1,2,3,4,5,6,7,8,9},A110,ROW(INDIRECT("1:"&amp;LEN(A110)))),1))," ",REPT(" ",LEN(A110))),LEN(A110)))), LARGE(INDEX(ISNUMBER(--MID((--TRIM(RIGHT(SUBSTITUTE(LEFT(A110,_xlfn.AGGREGATE(16,6,FIND({0,1,2,3,4,5,6,7,8,9},A110,ROW(INDIRECT("1:"&amp;LEN(A110)))),1))," ",REPT(" ",LEN(A110))),LEN(A110)))), ROW(INDIRECT("1:"&amp;LEN((--TRIM(RIGHT(SUBSTITUTE(LEFT(A110,_xlfn.AGGREGATE(16,6,FIND({0,1,2,3,4,5,6,7,8,9},A110,ROW(INDIRECT("1:"&amp;LEN(A110)))),1))," ",REPT(" ",LEN(A110))),LEN(A110))))))), 1)) * ROW(INDIRECT("1:"&amp;LEN((--TRIM(RIGHT(SUBSTITUTE(LEFT(A110,_xlfn.AGGREGATE(16,6,FIND({0,1,2,3,4,5,6,7,8,9},A110,ROW(INDIRECT("1:"&amp;LEN(A110)))),1))," ",REPT(" ",LEN(A110))),LEN(A110))))))), 0), ROW(INDIRECT("1:"&amp;LEN((--TRIM(RIGHT(SUBSTITUTE(LEFT(A110,_xlfn.AGGREGATE(16,6,FIND({0,1,2,3,4,5,6,7,8,9},A110,ROW(INDIRECT("1:"&amp;LEN(A110)))),1))," ",REPT(" ",LEN(A110))),LEN(A110))))))))+1, 1) * 10^ROW(INDIRECT("1:"&amp;LEN((--TRIM(RIGHT(SUBSTITUTE(LEFT(A110,_xlfn.AGGREGATE(16,6,FIND({0,1,2,3,4,5,6,7,8,9},A110,ROW(INDIRECT("1:"&amp;LEN(A110)))),1))," ",REPT(" ",LEN(A110))),LEN(A110)))))))/10))*1+1</f>
        <v>112 to 1012</v>
      </c>
      <c r="B111" s="71"/>
      <c r="C111" s="38" t="s">
        <v>194</v>
      </c>
      <c r="D111" s="38">
        <f>(32.01+2.3+0.75*(2.75+2.75))*10.764</f>
        <v>413.71433999999994</v>
      </c>
      <c r="E111" s="38">
        <v>0</v>
      </c>
      <c r="F111" s="38">
        <v>620</v>
      </c>
      <c r="G111" s="70" t="str">
        <f t="shared" si="0"/>
        <v>1st to 7th, 9th, 10th Floor for Residential</v>
      </c>
      <c r="H111" s="71"/>
      <c r="I111" s="32"/>
    </row>
    <row r="112" spans="1:13" s="33" customFormat="1" x14ac:dyDescent="0.35">
      <c r="A112" s="129" t="s">
        <v>195</v>
      </c>
      <c r="B112" s="129"/>
      <c r="C112" s="129"/>
      <c r="D112" s="129"/>
      <c r="E112" s="129"/>
      <c r="F112" s="129"/>
      <c r="G112" s="129"/>
      <c r="H112" s="129"/>
      <c r="I112" s="32"/>
      <c r="L112" s="160"/>
      <c r="M112" s="160"/>
    </row>
    <row r="113" spans="1:14" s="33" customFormat="1" x14ac:dyDescent="0.35">
      <c r="A113" s="130">
        <f>LEFT(A112,SUM(LEN(A112)-LEN(SUBSTITUTE(A112,{"0","1","2","3","4","5","6","7","8","9"},""))))*100+1</f>
        <v>801</v>
      </c>
      <c r="B113" s="130"/>
      <c r="C113" s="38" t="s">
        <v>194</v>
      </c>
      <c r="D113" s="38">
        <f>(34.62+0.75*(2.75+2.3+2.75))*10.764</f>
        <v>435.61907999999994</v>
      </c>
      <c r="E113" s="38">
        <v>0</v>
      </c>
      <c r="F113" s="38">
        <v>650</v>
      </c>
      <c r="G113" s="130" t="str">
        <f>A112</f>
        <v>8th Floor (Part Refuge Area)</v>
      </c>
      <c r="H113" s="130"/>
      <c r="I113" s="32"/>
      <c r="N113" s="32"/>
    </row>
    <row r="114" spans="1:14" s="33" customFormat="1" x14ac:dyDescent="0.35">
      <c r="A114" s="130">
        <f t="shared" ref="A114:A124" si="1">A113+1</f>
        <v>802</v>
      </c>
      <c r="B114" s="130"/>
      <c r="C114" s="38" t="s">
        <v>193</v>
      </c>
      <c r="D114" s="38">
        <f>(43.83+0.75*(2.75+3.2+1.9+2.75))*10.764</f>
        <v>557.35991999999999</v>
      </c>
      <c r="E114" s="38">
        <v>0</v>
      </c>
      <c r="F114" s="38">
        <v>835</v>
      </c>
      <c r="G114" s="130" t="str">
        <f t="shared" ref="G114:G124" si="2">G113</f>
        <v>8th Floor (Part Refuge Area)</v>
      </c>
      <c r="H114" s="130"/>
      <c r="I114" s="32"/>
      <c r="N114" s="32"/>
    </row>
    <row r="115" spans="1:14" s="33" customFormat="1" x14ac:dyDescent="0.35">
      <c r="A115" s="130">
        <f t="shared" si="1"/>
        <v>803</v>
      </c>
      <c r="B115" s="130"/>
      <c r="C115" s="38" t="s">
        <v>194</v>
      </c>
      <c r="D115" s="38">
        <f>(31.77+3.35+0.75*(2.25+2.75))*10.764</f>
        <v>418.39667999999995</v>
      </c>
      <c r="E115" s="38">
        <v>0</v>
      </c>
      <c r="F115" s="38">
        <v>630</v>
      </c>
      <c r="G115" s="130" t="str">
        <f t="shared" si="2"/>
        <v>8th Floor (Part Refuge Area)</v>
      </c>
      <c r="H115" s="130"/>
      <c r="I115" s="32"/>
      <c r="N115" s="32"/>
    </row>
    <row r="116" spans="1:14" s="33" customFormat="1" x14ac:dyDescent="0.35">
      <c r="A116" s="130">
        <f t="shared" si="1"/>
        <v>804</v>
      </c>
      <c r="B116" s="130"/>
      <c r="C116" s="38" t="s">
        <v>194</v>
      </c>
      <c r="D116" s="38">
        <f>(29.14+5.15+0.75*2.75)*10.764</f>
        <v>391.29830999999996</v>
      </c>
      <c r="E116" s="38">
        <v>0</v>
      </c>
      <c r="F116" s="38">
        <v>590</v>
      </c>
      <c r="G116" s="130" t="str">
        <f t="shared" si="2"/>
        <v>8th Floor (Part Refuge Area)</v>
      </c>
      <c r="H116" s="130"/>
      <c r="I116" s="32"/>
      <c r="N116" s="32"/>
    </row>
    <row r="117" spans="1:14" s="33" customFormat="1" x14ac:dyDescent="0.35">
      <c r="A117" s="130">
        <f t="shared" si="1"/>
        <v>805</v>
      </c>
      <c r="B117" s="130"/>
      <c r="C117" s="38" t="s">
        <v>194</v>
      </c>
      <c r="D117" s="38">
        <f>(29.53+5+0.75*2.75)*10.764</f>
        <v>393.88166999999999</v>
      </c>
      <c r="E117" s="38">
        <v>0</v>
      </c>
      <c r="F117" s="38">
        <v>595</v>
      </c>
      <c r="G117" s="130" t="str">
        <f t="shared" si="2"/>
        <v>8th Floor (Part Refuge Area)</v>
      </c>
      <c r="H117" s="130"/>
      <c r="I117" s="32"/>
      <c r="N117" s="32"/>
    </row>
    <row r="118" spans="1:14" s="33" customFormat="1" x14ac:dyDescent="0.35">
      <c r="A118" s="130">
        <f t="shared" si="1"/>
        <v>806</v>
      </c>
      <c r="B118" s="130"/>
      <c r="C118" s="38" t="s">
        <v>194</v>
      </c>
      <c r="D118" s="38">
        <f>(35.06+0.75*(2.75+2.3+2.75))*10.764</f>
        <v>440.35524000000004</v>
      </c>
      <c r="E118" s="38">
        <v>0</v>
      </c>
      <c r="F118" s="38">
        <v>660</v>
      </c>
      <c r="G118" s="130" t="str">
        <f t="shared" si="2"/>
        <v>8th Floor (Part Refuge Area)</v>
      </c>
      <c r="H118" s="130"/>
      <c r="I118" s="32"/>
      <c r="N118" s="32"/>
    </row>
    <row r="119" spans="1:14" s="33" customFormat="1" x14ac:dyDescent="0.35">
      <c r="A119" s="130">
        <f t="shared" si="1"/>
        <v>807</v>
      </c>
      <c r="B119" s="130"/>
      <c r="C119" s="38" t="s">
        <v>194</v>
      </c>
      <c r="D119" s="38">
        <f>(32.37+0.75*(2.75+2.1+2.75))*10.764</f>
        <v>409.78547999999989</v>
      </c>
      <c r="E119" s="38">
        <v>0</v>
      </c>
      <c r="F119" s="38">
        <v>610</v>
      </c>
      <c r="G119" s="130" t="str">
        <f t="shared" si="2"/>
        <v>8th Floor (Part Refuge Area)</v>
      </c>
      <c r="H119" s="130"/>
      <c r="I119" s="32"/>
      <c r="N119" s="32"/>
    </row>
    <row r="120" spans="1:14" s="33" customFormat="1" x14ac:dyDescent="0.35">
      <c r="A120" s="130">
        <f t="shared" si="1"/>
        <v>808</v>
      </c>
      <c r="B120" s="130"/>
      <c r="C120" s="38" t="s">
        <v>194</v>
      </c>
      <c r="D120" s="38">
        <f>(29.5+5+0.75*2.75)*10.764</f>
        <v>393.55874999999997</v>
      </c>
      <c r="E120" s="38">
        <v>0</v>
      </c>
      <c r="F120" s="38">
        <v>595</v>
      </c>
      <c r="G120" s="130" t="str">
        <f t="shared" si="2"/>
        <v>8th Floor (Part Refuge Area)</v>
      </c>
      <c r="H120" s="130"/>
      <c r="I120" s="32"/>
      <c r="N120" s="32"/>
    </row>
    <row r="121" spans="1:14" s="33" customFormat="1" x14ac:dyDescent="0.35">
      <c r="A121" s="130">
        <f t="shared" si="1"/>
        <v>809</v>
      </c>
      <c r="B121" s="130"/>
      <c r="C121" s="38" t="s">
        <v>193</v>
      </c>
      <c r="D121" s="38">
        <f>(43.16+2.75+0.75*(2.75+2.1+2.75))*10.764</f>
        <v>555.53003999999999</v>
      </c>
      <c r="E121" s="38">
        <v>0</v>
      </c>
      <c r="F121" s="38">
        <v>835</v>
      </c>
      <c r="G121" s="130" t="str">
        <f t="shared" si="2"/>
        <v>8th Floor (Part Refuge Area)</v>
      </c>
      <c r="H121" s="130"/>
      <c r="I121" s="32"/>
      <c r="N121" s="32"/>
    </row>
    <row r="122" spans="1:14" s="33" customFormat="1" x14ac:dyDescent="0.35">
      <c r="A122" s="130">
        <f t="shared" si="1"/>
        <v>810</v>
      </c>
      <c r="B122" s="130"/>
      <c r="C122" s="38" t="s">
        <v>194</v>
      </c>
      <c r="D122" s="38">
        <f>(34.09+0.75*(2.75+2.3+2.75))*10.764</f>
        <v>429.91416000000004</v>
      </c>
      <c r="E122" s="38">
        <v>0</v>
      </c>
      <c r="F122" s="38">
        <v>650</v>
      </c>
      <c r="G122" s="130" t="str">
        <f t="shared" si="2"/>
        <v>8th Floor (Part Refuge Area)</v>
      </c>
      <c r="H122" s="130"/>
      <c r="I122" s="32"/>
      <c r="N122" s="32"/>
    </row>
    <row r="123" spans="1:14" s="33" customFormat="1" x14ac:dyDescent="0.35">
      <c r="A123" s="130">
        <f t="shared" si="1"/>
        <v>811</v>
      </c>
      <c r="B123" s="130"/>
      <c r="C123" s="38" t="s">
        <v>194</v>
      </c>
      <c r="D123" s="38">
        <f>(34.49+0.75*(2.75+2.3+2.75))*10.764</f>
        <v>434.21976000000001</v>
      </c>
      <c r="E123" s="38">
        <v>0</v>
      </c>
      <c r="F123" s="38">
        <v>655</v>
      </c>
      <c r="G123" s="130" t="str">
        <f t="shared" si="2"/>
        <v>8th Floor (Part Refuge Area)</v>
      </c>
      <c r="H123" s="130"/>
      <c r="I123" s="32"/>
      <c r="N123" s="32"/>
    </row>
    <row r="124" spans="1:14" s="33" customFormat="1" x14ac:dyDescent="0.35">
      <c r="A124" s="130">
        <f t="shared" si="1"/>
        <v>812</v>
      </c>
      <c r="B124" s="130"/>
      <c r="C124" s="70" t="s">
        <v>196</v>
      </c>
      <c r="D124" s="138"/>
      <c r="E124" s="138"/>
      <c r="F124" s="71"/>
      <c r="G124" s="130" t="str">
        <f t="shared" si="2"/>
        <v>8th Floor (Part Refuge Area)</v>
      </c>
      <c r="H124" s="130"/>
      <c r="I124" s="32"/>
      <c r="N124" s="32"/>
    </row>
    <row r="125" spans="1:14" s="33" customFormat="1" x14ac:dyDescent="0.35">
      <c r="A125" s="129" t="s">
        <v>197</v>
      </c>
      <c r="B125" s="129"/>
      <c r="C125" s="129"/>
      <c r="D125" s="129"/>
      <c r="E125" s="129"/>
      <c r="F125" s="129"/>
      <c r="G125" s="129"/>
      <c r="H125" s="129"/>
      <c r="I125" s="32"/>
      <c r="L125" s="160"/>
      <c r="M125" s="160"/>
    </row>
    <row r="126" spans="1:14" s="33" customFormat="1" x14ac:dyDescent="0.35">
      <c r="A126" s="130">
        <f>LEFT(A125,SUM(LEN(A125)-LEN(SUBSTITUTE(A125,{"0","1","2","3","4","5","6","7","8","9"},""))))*100+1</f>
        <v>1101</v>
      </c>
      <c r="B126" s="130"/>
      <c r="C126" s="38" t="s">
        <v>194</v>
      </c>
      <c r="D126" s="38">
        <f>(34.62+0.75*(2.75+2.3+2.75))*10.764</f>
        <v>435.61907999999994</v>
      </c>
      <c r="E126" s="38">
        <v>0</v>
      </c>
      <c r="F126" s="38">
        <v>650</v>
      </c>
      <c r="G126" s="130" t="str">
        <f>A125</f>
        <v>11th Floor (Part Terrace Area)</v>
      </c>
      <c r="H126" s="130"/>
      <c r="I126" s="32"/>
      <c r="N126" s="32"/>
    </row>
    <row r="127" spans="1:14" s="33" customFormat="1" x14ac:dyDescent="0.35">
      <c r="A127" s="130">
        <f t="shared" ref="A127:A136" si="3">A126+1</f>
        <v>1102</v>
      </c>
      <c r="B127" s="130"/>
      <c r="C127" s="38" t="s">
        <v>193</v>
      </c>
      <c r="D127" s="38">
        <f>(43.83+0.75*(2.75+3.2+1.9+2.75))*10.764</f>
        <v>557.35991999999999</v>
      </c>
      <c r="E127" s="38">
        <v>0</v>
      </c>
      <c r="F127" s="38">
        <v>835</v>
      </c>
      <c r="G127" s="130" t="str">
        <f t="shared" ref="G127:G136" si="4">G126</f>
        <v>11th Floor (Part Terrace Area)</v>
      </c>
      <c r="H127" s="130"/>
      <c r="I127" s="32"/>
      <c r="N127" s="32"/>
    </row>
    <row r="128" spans="1:14" s="33" customFormat="1" x14ac:dyDescent="0.35">
      <c r="A128" s="130">
        <f t="shared" si="3"/>
        <v>1103</v>
      </c>
      <c r="B128" s="130"/>
      <c r="C128" s="38" t="s">
        <v>194</v>
      </c>
      <c r="D128" s="38">
        <f>(29.14+5.15+0.75*2.75)*10.764</f>
        <v>391.29830999999996</v>
      </c>
      <c r="E128" s="38">
        <v>0</v>
      </c>
      <c r="F128" s="38">
        <v>590</v>
      </c>
      <c r="G128" s="130" t="str">
        <f t="shared" si="4"/>
        <v>11th Floor (Part Terrace Area)</v>
      </c>
      <c r="H128" s="130"/>
      <c r="I128" s="32"/>
      <c r="N128" s="32"/>
    </row>
    <row r="129" spans="1:14" s="33" customFormat="1" x14ac:dyDescent="0.35">
      <c r="A129" s="130">
        <f t="shared" si="3"/>
        <v>1104</v>
      </c>
      <c r="B129" s="130"/>
      <c r="C129" s="38" t="s">
        <v>194</v>
      </c>
      <c r="D129" s="38">
        <f>(29.53+5+0.75*2.75)*10.764</f>
        <v>393.88166999999999</v>
      </c>
      <c r="E129" s="38">
        <v>0</v>
      </c>
      <c r="F129" s="38">
        <v>595</v>
      </c>
      <c r="G129" s="130" t="str">
        <f t="shared" si="4"/>
        <v>11th Floor (Part Terrace Area)</v>
      </c>
      <c r="H129" s="130"/>
      <c r="I129" s="32"/>
      <c r="N129" s="32"/>
    </row>
    <row r="130" spans="1:14" s="33" customFormat="1" x14ac:dyDescent="0.35">
      <c r="A130" s="130">
        <f t="shared" si="3"/>
        <v>1105</v>
      </c>
      <c r="B130" s="130"/>
      <c r="C130" s="38" t="s">
        <v>194</v>
      </c>
      <c r="D130" s="38">
        <f>(35.06+0.75*(2.75+2.3+2.75))*10.764</f>
        <v>440.35524000000004</v>
      </c>
      <c r="E130" s="38">
        <v>0</v>
      </c>
      <c r="F130" s="38">
        <v>660</v>
      </c>
      <c r="G130" s="130" t="str">
        <f t="shared" si="4"/>
        <v>11th Floor (Part Terrace Area)</v>
      </c>
      <c r="H130" s="130"/>
      <c r="I130" s="32"/>
      <c r="N130" s="32"/>
    </row>
    <row r="131" spans="1:14" s="33" customFormat="1" x14ac:dyDescent="0.35">
      <c r="A131" s="130">
        <f t="shared" si="3"/>
        <v>1106</v>
      </c>
      <c r="B131" s="130"/>
      <c r="C131" s="38" t="s">
        <v>194</v>
      </c>
      <c r="D131" s="38">
        <f>(32.37+0.75*(2.75+2.1+2.75))*10.764</f>
        <v>409.78547999999989</v>
      </c>
      <c r="E131" s="38">
        <v>0</v>
      </c>
      <c r="F131" s="38">
        <v>610</v>
      </c>
      <c r="G131" s="130" t="str">
        <f t="shared" si="4"/>
        <v>11th Floor (Part Terrace Area)</v>
      </c>
      <c r="H131" s="130"/>
      <c r="I131" s="32"/>
      <c r="N131" s="32"/>
    </row>
    <row r="132" spans="1:14" s="33" customFormat="1" x14ac:dyDescent="0.35">
      <c r="A132" s="130">
        <f t="shared" si="3"/>
        <v>1107</v>
      </c>
      <c r="B132" s="130"/>
      <c r="C132" s="38" t="s">
        <v>194</v>
      </c>
      <c r="D132" s="38">
        <f>(29.5+5+0.75*2.75)*10.764</f>
        <v>393.55874999999997</v>
      </c>
      <c r="E132" s="38">
        <v>0</v>
      </c>
      <c r="F132" s="38">
        <v>595</v>
      </c>
      <c r="G132" s="130" t="str">
        <f t="shared" si="4"/>
        <v>11th Floor (Part Terrace Area)</v>
      </c>
      <c r="H132" s="130"/>
      <c r="I132" s="32"/>
      <c r="N132" s="32"/>
    </row>
    <row r="133" spans="1:14" s="33" customFormat="1" x14ac:dyDescent="0.35">
      <c r="A133" s="130">
        <f t="shared" si="3"/>
        <v>1108</v>
      </c>
      <c r="B133" s="130"/>
      <c r="C133" s="38" t="s">
        <v>193</v>
      </c>
      <c r="D133" s="38">
        <f>(43.16+2.75+0.75*(2.75+2.1+2.75))*10.764</f>
        <v>555.53003999999999</v>
      </c>
      <c r="E133" s="38">
        <v>0</v>
      </c>
      <c r="F133" s="38">
        <v>835</v>
      </c>
      <c r="G133" s="130" t="str">
        <f t="shared" si="4"/>
        <v>11th Floor (Part Terrace Area)</v>
      </c>
      <c r="H133" s="130"/>
      <c r="I133" s="32"/>
      <c r="N133" s="32"/>
    </row>
    <row r="134" spans="1:14" s="33" customFormat="1" x14ac:dyDescent="0.35">
      <c r="A134" s="130">
        <f t="shared" si="3"/>
        <v>1109</v>
      </c>
      <c r="B134" s="130"/>
      <c r="C134" s="38" t="s">
        <v>194</v>
      </c>
      <c r="D134" s="38">
        <f>(34.09+0.75*(2.75+2.3+2.75))*10.764</f>
        <v>429.91416000000004</v>
      </c>
      <c r="E134" s="38">
        <v>0</v>
      </c>
      <c r="F134" s="38">
        <v>650</v>
      </c>
      <c r="G134" s="130" t="str">
        <f t="shared" si="4"/>
        <v>11th Floor (Part Terrace Area)</v>
      </c>
      <c r="H134" s="130"/>
      <c r="I134" s="32"/>
      <c r="N134" s="32"/>
    </row>
    <row r="135" spans="1:14" s="33" customFormat="1" x14ac:dyDescent="0.35">
      <c r="A135" s="130">
        <f t="shared" si="3"/>
        <v>1110</v>
      </c>
      <c r="B135" s="130"/>
      <c r="C135" s="38" t="s">
        <v>194</v>
      </c>
      <c r="D135" s="38">
        <f>(34.49+0.75*(2.75+2.3+2.75))*10.764</f>
        <v>434.21976000000001</v>
      </c>
      <c r="E135" s="38">
        <v>0</v>
      </c>
      <c r="F135" s="38">
        <v>655</v>
      </c>
      <c r="G135" s="130" t="str">
        <f t="shared" si="4"/>
        <v>11th Floor (Part Terrace Area)</v>
      </c>
      <c r="H135" s="130"/>
      <c r="I135" s="32"/>
      <c r="N135" s="32"/>
    </row>
    <row r="136" spans="1:14" s="33" customFormat="1" x14ac:dyDescent="0.35">
      <c r="A136" s="130">
        <f t="shared" si="3"/>
        <v>1111</v>
      </c>
      <c r="B136" s="130"/>
      <c r="C136" s="38" t="s">
        <v>194</v>
      </c>
      <c r="D136" s="38">
        <f>(32.01+2.3+0.75*(2.75+2.75))*10.764</f>
        <v>413.71433999999994</v>
      </c>
      <c r="E136" s="38">
        <v>0</v>
      </c>
      <c r="F136" s="38">
        <v>620</v>
      </c>
      <c r="G136" s="130" t="str">
        <f t="shared" si="4"/>
        <v>11th Floor (Part Terrace Area)</v>
      </c>
      <c r="H136" s="130"/>
      <c r="I136" s="32"/>
      <c r="N136" s="32"/>
    </row>
    <row r="137" spans="1:14" s="33" customFormat="1" x14ac:dyDescent="0.35">
      <c r="A137" s="129" t="s">
        <v>198</v>
      </c>
      <c r="B137" s="129"/>
      <c r="C137" s="129"/>
      <c r="D137" s="129"/>
      <c r="E137" s="129"/>
      <c r="F137" s="129"/>
      <c r="G137" s="129"/>
      <c r="H137" s="129"/>
      <c r="I137" s="32"/>
      <c r="L137" s="160"/>
      <c r="M137" s="160"/>
    </row>
    <row r="138" spans="1:14" s="33" customFormat="1" x14ac:dyDescent="0.35">
      <c r="A138" s="130">
        <f>LEFT(A137,SUM(LEN(A137)-LEN(SUBSTITUTE(A137,{"0","1","2","3","4","5","6","7","8","9"},""))))*100+1</f>
        <v>1201</v>
      </c>
      <c r="B138" s="130"/>
      <c r="C138" s="38" t="s">
        <v>194</v>
      </c>
      <c r="D138" s="38">
        <f>(34.62+0.75*(2.75+2.3+2.75))*10.764</f>
        <v>435.61907999999994</v>
      </c>
      <c r="E138" s="38">
        <v>0</v>
      </c>
      <c r="F138" s="38">
        <v>650</v>
      </c>
      <c r="G138" s="130" t="str">
        <f>A137</f>
        <v>12th Floor</v>
      </c>
      <c r="H138" s="130"/>
      <c r="I138" s="32"/>
      <c r="N138" s="32"/>
    </row>
    <row r="139" spans="1:14" s="33" customFormat="1" x14ac:dyDescent="0.35">
      <c r="A139" s="130">
        <f t="shared" ref="A139:A148" si="5">A138+1</f>
        <v>1202</v>
      </c>
      <c r="B139" s="130"/>
      <c r="C139" s="38" t="s">
        <v>193</v>
      </c>
      <c r="D139" s="38">
        <f>(43.83+0.75*(2.75+3.2+1.9+2.75))*10.764</f>
        <v>557.35991999999999</v>
      </c>
      <c r="E139" s="38">
        <v>0</v>
      </c>
      <c r="F139" s="38">
        <v>835</v>
      </c>
      <c r="G139" s="130" t="str">
        <f t="shared" ref="G139:G148" si="6">G138</f>
        <v>12th Floor</v>
      </c>
      <c r="H139" s="130"/>
      <c r="I139" s="32"/>
      <c r="N139" s="32"/>
    </row>
    <row r="140" spans="1:14" s="33" customFormat="1" x14ac:dyDescent="0.35">
      <c r="A140" s="130">
        <f t="shared" si="5"/>
        <v>1203</v>
      </c>
      <c r="B140" s="130"/>
      <c r="C140" s="38" t="s">
        <v>194</v>
      </c>
      <c r="D140" s="38">
        <f>(29.14+5.15+0.75*2.75)*10.764</f>
        <v>391.29830999999996</v>
      </c>
      <c r="E140" s="38">
        <v>0</v>
      </c>
      <c r="F140" s="38">
        <v>590</v>
      </c>
      <c r="G140" s="130" t="str">
        <f t="shared" si="6"/>
        <v>12th Floor</v>
      </c>
      <c r="H140" s="130"/>
      <c r="I140" s="32"/>
      <c r="N140" s="32"/>
    </row>
    <row r="141" spans="1:14" s="33" customFormat="1" x14ac:dyDescent="0.35">
      <c r="A141" s="130">
        <f t="shared" si="5"/>
        <v>1204</v>
      </c>
      <c r="B141" s="130"/>
      <c r="C141" s="38" t="s">
        <v>194</v>
      </c>
      <c r="D141" s="38">
        <f>(29.53+5+0.75*2.75)*10.764</f>
        <v>393.88166999999999</v>
      </c>
      <c r="E141" s="38">
        <v>0</v>
      </c>
      <c r="F141" s="38">
        <v>595</v>
      </c>
      <c r="G141" s="130" t="str">
        <f t="shared" si="6"/>
        <v>12th Floor</v>
      </c>
      <c r="H141" s="130"/>
      <c r="I141" s="32"/>
      <c r="N141" s="32"/>
    </row>
    <row r="142" spans="1:14" s="33" customFormat="1" x14ac:dyDescent="0.35">
      <c r="A142" s="130">
        <f t="shared" si="5"/>
        <v>1205</v>
      </c>
      <c r="B142" s="130"/>
      <c r="C142" s="38" t="s">
        <v>194</v>
      </c>
      <c r="D142" s="38">
        <f>(35.06+0.75*(2.75+2.3+2.75))*10.764</f>
        <v>440.35524000000004</v>
      </c>
      <c r="E142" s="38">
        <v>0</v>
      </c>
      <c r="F142" s="38">
        <v>660</v>
      </c>
      <c r="G142" s="130" t="str">
        <f t="shared" si="6"/>
        <v>12th Floor</v>
      </c>
      <c r="H142" s="130"/>
      <c r="I142" s="32"/>
      <c r="N142" s="32"/>
    </row>
    <row r="143" spans="1:14" s="33" customFormat="1" x14ac:dyDescent="0.35">
      <c r="A143" s="130">
        <f t="shared" si="5"/>
        <v>1206</v>
      </c>
      <c r="B143" s="130"/>
      <c r="C143" s="38" t="s">
        <v>194</v>
      </c>
      <c r="D143" s="38">
        <f>(32.37+0.75*(2.75+2.1+2.75))*10.764</f>
        <v>409.78547999999989</v>
      </c>
      <c r="E143" s="38">
        <v>0</v>
      </c>
      <c r="F143" s="38">
        <v>610</v>
      </c>
      <c r="G143" s="130" t="str">
        <f t="shared" si="6"/>
        <v>12th Floor</v>
      </c>
      <c r="H143" s="130"/>
      <c r="I143" s="32"/>
      <c r="N143" s="32"/>
    </row>
    <row r="144" spans="1:14" s="33" customFormat="1" x14ac:dyDescent="0.35">
      <c r="A144" s="130">
        <f t="shared" si="5"/>
        <v>1207</v>
      </c>
      <c r="B144" s="130"/>
      <c r="C144" s="38" t="s">
        <v>194</v>
      </c>
      <c r="D144" s="38">
        <f>(29.5+5+0.75*2.75)*10.764</f>
        <v>393.55874999999997</v>
      </c>
      <c r="E144" s="38">
        <v>0</v>
      </c>
      <c r="F144" s="38">
        <v>595</v>
      </c>
      <c r="G144" s="130" t="str">
        <f t="shared" si="6"/>
        <v>12th Floor</v>
      </c>
      <c r="H144" s="130"/>
      <c r="I144" s="32"/>
      <c r="N144" s="32"/>
    </row>
    <row r="145" spans="1:14" s="33" customFormat="1" x14ac:dyDescent="0.35">
      <c r="A145" s="130">
        <f t="shared" si="5"/>
        <v>1208</v>
      </c>
      <c r="B145" s="130"/>
      <c r="C145" s="38" t="s">
        <v>193</v>
      </c>
      <c r="D145" s="38">
        <f>(43.16+2.75+0.75*(2.75+2.1+2.75))*10.764</f>
        <v>555.53003999999999</v>
      </c>
      <c r="E145" s="38">
        <v>0</v>
      </c>
      <c r="F145" s="38">
        <v>835</v>
      </c>
      <c r="G145" s="130" t="str">
        <f t="shared" si="6"/>
        <v>12th Floor</v>
      </c>
      <c r="H145" s="130"/>
      <c r="I145" s="32"/>
      <c r="N145" s="32"/>
    </row>
    <row r="146" spans="1:14" s="33" customFormat="1" x14ac:dyDescent="0.35">
      <c r="A146" s="130">
        <f t="shared" si="5"/>
        <v>1209</v>
      </c>
      <c r="B146" s="130"/>
      <c r="C146" s="38" t="s">
        <v>194</v>
      </c>
      <c r="D146" s="38">
        <f>(34.09+0.75*(2.75+2.3+2.75))*10.764</f>
        <v>429.91416000000004</v>
      </c>
      <c r="E146" s="38">
        <v>0</v>
      </c>
      <c r="F146" s="38">
        <v>650</v>
      </c>
      <c r="G146" s="130" t="str">
        <f t="shared" si="6"/>
        <v>12th Floor</v>
      </c>
      <c r="H146" s="130"/>
      <c r="I146" s="32"/>
      <c r="N146" s="32"/>
    </row>
    <row r="147" spans="1:14" s="33" customFormat="1" x14ac:dyDescent="0.35">
      <c r="A147" s="130">
        <f t="shared" si="5"/>
        <v>1210</v>
      </c>
      <c r="B147" s="130"/>
      <c r="C147" s="38" t="s">
        <v>194</v>
      </c>
      <c r="D147" s="38">
        <f>(34.49+0.75*(2.75+2.3+2.75))*10.764</f>
        <v>434.21976000000001</v>
      </c>
      <c r="E147" s="38">
        <v>0</v>
      </c>
      <c r="F147" s="38">
        <v>655</v>
      </c>
      <c r="G147" s="130" t="str">
        <f t="shared" si="6"/>
        <v>12th Floor</v>
      </c>
      <c r="H147" s="130"/>
      <c r="I147" s="32"/>
      <c r="N147" s="32"/>
    </row>
    <row r="148" spans="1:14" s="33" customFormat="1" x14ac:dyDescent="0.35">
      <c r="A148" s="130">
        <f t="shared" si="5"/>
        <v>1211</v>
      </c>
      <c r="B148" s="130"/>
      <c r="C148" s="38" t="s">
        <v>194</v>
      </c>
      <c r="D148" s="38">
        <f>(32.01+2.3+0.75*(2.75+2.75))*10.764</f>
        <v>413.71433999999994</v>
      </c>
      <c r="E148" s="38">
        <v>0</v>
      </c>
      <c r="F148" s="38">
        <v>620</v>
      </c>
      <c r="G148" s="130" t="str">
        <f t="shared" si="6"/>
        <v>12th Floor</v>
      </c>
      <c r="H148" s="130"/>
      <c r="I148" s="32"/>
      <c r="N148" s="32"/>
    </row>
    <row r="149" spans="1:14" s="31" customFormat="1" x14ac:dyDescent="0.35">
      <c r="A149" s="134" t="s">
        <v>70</v>
      </c>
      <c r="B149" s="134"/>
      <c r="C149" s="134"/>
      <c r="D149" s="134"/>
      <c r="E149" s="134"/>
      <c r="F149" s="134"/>
      <c r="G149" s="134"/>
      <c r="H149" s="134"/>
    </row>
    <row r="150" spans="1:14" s="31" customFormat="1" ht="30.75" customHeight="1" x14ac:dyDescent="0.35">
      <c r="A150" s="41" t="s">
        <v>153</v>
      </c>
      <c r="B150" s="123" t="s">
        <v>207</v>
      </c>
      <c r="C150" s="124"/>
      <c r="D150" s="124"/>
      <c r="E150" s="124"/>
      <c r="F150" s="124"/>
      <c r="G150" s="124"/>
      <c r="H150" s="125"/>
    </row>
    <row r="151" spans="1:14" s="31" customFormat="1" x14ac:dyDescent="0.35">
      <c r="A151" s="41" t="s">
        <v>153</v>
      </c>
      <c r="B151" s="126" t="str">
        <f>(IF(F96="Saleable area Loading :","We have considered Saleable area of Flats as per our Calculation.","We considered Saleable area of Flat as per Builder area Sheet."))</f>
        <v>We considered Saleable area of Flat as per Builder area Sheet.</v>
      </c>
      <c r="C151" s="127"/>
      <c r="D151" s="127"/>
      <c r="E151" s="127"/>
      <c r="F151" s="127"/>
      <c r="G151" s="127"/>
      <c r="H151" s="128"/>
    </row>
    <row r="152" spans="1:14" s="31" customFormat="1" x14ac:dyDescent="0.35">
      <c r="A152" s="41" t="s">
        <v>153</v>
      </c>
      <c r="B152" s="62" t="s">
        <v>125</v>
      </c>
      <c r="C152" s="63"/>
      <c r="D152" s="63"/>
      <c r="E152" s="63"/>
      <c r="F152" s="63"/>
      <c r="G152" s="63"/>
      <c r="H152" s="64"/>
    </row>
    <row r="153" spans="1:14" s="31" customFormat="1" x14ac:dyDescent="0.35">
      <c r="A153" s="41" t="s">
        <v>153</v>
      </c>
      <c r="B153" s="62" t="s">
        <v>182</v>
      </c>
      <c r="C153" s="63"/>
      <c r="D153" s="63"/>
      <c r="E153" s="63"/>
      <c r="F153" s="63"/>
      <c r="G153" s="63"/>
      <c r="H153" s="64"/>
    </row>
    <row r="154" spans="1:14" s="31" customFormat="1" x14ac:dyDescent="0.35">
      <c r="A154" s="41" t="s">
        <v>153</v>
      </c>
      <c r="B154" s="62" t="s">
        <v>152</v>
      </c>
      <c r="C154" s="63"/>
      <c r="D154" s="63"/>
      <c r="E154" s="63"/>
      <c r="F154" s="63"/>
      <c r="G154" s="63"/>
      <c r="H154" s="64"/>
    </row>
    <row r="155" spans="1:14" s="31" customFormat="1" x14ac:dyDescent="0.35">
      <c r="A155" s="41" t="s">
        <v>153</v>
      </c>
      <c r="B155" s="62" t="s">
        <v>126</v>
      </c>
      <c r="C155" s="63"/>
      <c r="D155" s="63"/>
      <c r="E155" s="63"/>
      <c r="F155" s="63"/>
      <c r="G155" s="63"/>
      <c r="H155" s="64"/>
    </row>
    <row r="156" spans="1:14" s="31" customFormat="1" ht="34.5" hidden="1" customHeight="1" x14ac:dyDescent="0.35">
      <c r="A156" s="41" t="s">
        <v>153</v>
      </c>
      <c r="B156" s="62" t="s">
        <v>154</v>
      </c>
      <c r="C156" s="63"/>
      <c r="D156" s="63"/>
      <c r="E156" s="63"/>
      <c r="F156" s="63"/>
      <c r="G156" s="63"/>
      <c r="H156" s="64"/>
    </row>
    <row r="157" spans="1:14" s="31" customFormat="1" x14ac:dyDescent="0.35">
      <c r="A157" s="41" t="s">
        <v>153</v>
      </c>
      <c r="B157" s="62" t="s">
        <v>127</v>
      </c>
      <c r="C157" s="63"/>
      <c r="D157" s="63"/>
      <c r="E157" s="63"/>
      <c r="F157" s="63"/>
      <c r="G157" s="63"/>
      <c r="H157" s="64"/>
    </row>
    <row r="158" spans="1:14" x14ac:dyDescent="0.35">
      <c r="A158" s="121" t="s">
        <v>63</v>
      </c>
      <c r="B158" s="121"/>
      <c r="C158" s="121"/>
      <c r="D158" s="121"/>
      <c r="E158" s="121"/>
      <c r="F158" s="121"/>
      <c r="G158" s="121"/>
      <c r="H158" s="121"/>
    </row>
    <row r="159" spans="1:14" x14ac:dyDescent="0.35">
      <c r="A159" s="56" t="s">
        <v>64</v>
      </c>
      <c r="B159" s="56"/>
      <c r="C159" s="56"/>
      <c r="D159" s="56"/>
      <c r="E159" s="56"/>
      <c r="F159" s="56"/>
      <c r="G159" s="56"/>
      <c r="H159" s="56"/>
    </row>
    <row r="160" spans="1:14" ht="15.75" customHeight="1" x14ac:dyDescent="0.35">
      <c r="A160" s="135" t="s">
        <v>65</v>
      </c>
      <c r="B160" s="135"/>
      <c r="C160" s="135"/>
      <c r="D160" s="135"/>
      <c r="E160" s="135"/>
      <c r="F160" s="135"/>
      <c r="G160" s="135"/>
      <c r="H160" s="135"/>
    </row>
    <row r="161" spans="1:8" x14ac:dyDescent="0.35">
      <c r="A161" s="56" t="s">
        <v>66</v>
      </c>
      <c r="B161" s="56"/>
      <c r="C161" s="56"/>
      <c r="D161" s="56"/>
      <c r="E161" s="56"/>
      <c r="F161" s="56"/>
      <c r="G161" s="56"/>
      <c r="H161" s="56"/>
    </row>
    <row r="162" spans="1:8" x14ac:dyDescent="0.35">
      <c r="A162" s="56" t="s">
        <v>67</v>
      </c>
      <c r="B162" s="56"/>
      <c r="C162" s="56"/>
      <c r="D162" s="56"/>
      <c r="E162" s="56"/>
      <c r="F162" s="56"/>
      <c r="G162" s="56"/>
      <c r="H162" s="56"/>
    </row>
    <row r="163" spans="1:8" x14ac:dyDescent="0.35">
      <c r="A163" s="56" t="s">
        <v>128</v>
      </c>
      <c r="B163" s="56"/>
      <c r="C163" s="56"/>
      <c r="D163" s="56"/>
      <c r="E163" s="56"/>
      <c r="F163" s="56"/>
      <c r="G163" s="56"/>
      <c r="H163" s="56"/>
    </row>
    <row r="164" spans="1:8" x14ac:dyDescent="0.35">
      <c r="A164" s="98" t="s">
        <v>129</v>
      </c>
      <c r="B164" s="98"/>
      <c r="C164" s="98"/>
      <c r="D164" s="98"/>
      <c r="E164" s="98"/>
      <c r="F164" s="98"/>
      <c r="G164" s="98"/>
      <c r="H164" s="98"/>
    </row>
    <row r="165" spans="1:8" x14ac:dyDescent="0.35">
      <c r="A165" s="116" t="s">
        <v>79</v>
      </c>
      <c r="B165" s="116"/>
      <c r="C165" s="116" t="s">
        <v>206</v>
      </c>
      <c r="D165" s="116"/>
      <c r="E165" s="116" t="s">
        <v>108</v>
      </c>
      <c r="F165" s="116"/>
      <c r="G165" s="116" t="s">
        <v>208</v>
      </c>
      <c r="H165" s="116"/>
    </row>
    <row r="166" spans="1:8" x14ac:dyDescent="0.35">
      <c r="A166" s="115" t="s">
        <v>81</v>
      </c>
      <c r="B166" s="115"/>
      <c r="C166" s="115"/>
      <c r="D166" s="115"/>
      <c r="E166" s="115"/>
      <c r="F166" s="115"/>
      <c r="G166" s="115"/>
      <c r="H166" s="115"/>
    </row>
    <row r="167" spans="1:8" x14ac:dyDescent="0.35">
      <c r="A167" s="115"/>
      <c r="B167" s="115"/>
      <c r="C167" s="115"/>
      <c r="D167" s="115"/>
      <c r="E167" s="115"/>
      <c r="F167" s="115"/>
      <c r="G167" s="115"/>
      <c r="H167" s="115"/>
    </row>
    <row r="168" spans="1:8" x14ac:dyDescent="0.35">
      <c r="A168" s="115"/>
      <c r="B168" s="115"/>
      <c r="C168" s="115"/>
      <c r="D168" s="115"/>
      <c r="E168" s="115"/>
      <c r="F168" s="115"/>
      <c r="G168" s="115"/>
      <c r="H168" s="115"/>
    </row>
    <row r="169" spans="1:8" x14ac:dyDescent="0.35">
      <c r="A169" s="115"/>
      <c r="B169" s="115"/>
      <c r="C169" s="115"/>
      <c r="D169" s="115"/>
      <c r="E169" s="115"/>
      <c r="F169" s="115"/>
      <c r="G169" s="115"/>
      <c r="H169" s="115"/>
    </row>
    <row r="170" spans="1:8" x14ac:dyDescent="0.35">
      <c r="A170" s="34" t="s">
        <v>68</v>
      </c>
      <c r="B170" s="35"/>
      <c r="C170" s="35"/>
      <c r="D170" s="34" t="str">
        <f>E8</f>
        <v>Satyam Sheela (Wing F)</v>
      </c>
      <c r="F170" s="35"/>
      <c r="G170" s="35"/>
      <c r="H170" s="35"/>
    </row>
    <row r="171" spans="1:8" x14ac:dyDescent="0.35">
      <c r="A171" s="35"/>
      <c r="B171" s="35"/>
      <c r="C171" s="35"/>
      <c r="D171" s="35"/>
      <c r="E171" s="35"/>
      <c r="F171" s="35"/>
      <c r="G171" s="35"/>
      <c r="H171" s="35"/>
    </row>
    <row r="172" spans="1:8" x14ac:dyDescent="0.35">
      <c r="A172" s="35"/>
      <c r="B172" s="35"/>
      <c r="C172" s="35"/>
      <c r="D172" s="35"/>
      <c r="E172" s="35"/>
      <c r="F172" s="35"/>
      <c r="G172" s="35"/>
      <c r="H172" s="35"/>
    </row>
    <row r="173" spans="1:8" ht="15" customHeight="1" x14ac:dyDescent="0.35"/>
    <row r="212" spans="1:1" x14ac:dyDescent="0.35">
      <c r="A212" s="37" t="s">
        <v>164</v>
      </c>
    </row>
    <row r="248" spans="1:1" x14ac:dyDescent="0.35">
      <c r="A248" s="37" t="s">
        <v>69</v>
      </c>
    </row>
  </sheetData>
  <mergeCells count="314">
    <mergeCell ref="A144:B144"/>
    <mergeCell ref="G144:H144"/>
    <mergeCell ref="A145:B145"/>
    <mergeCell ref="G145:H145"/>
    <mergeCell ref="A146:B146"/>
    <mergeCell ref="G146:H146"/>
    <mergeCell ref="A147:B147"/>
    <mergeCell ref="G147:H147"/>
    <mergeCell ref="A148:B148"/>
    <mergeCell ref="G148:H148"/>
    <mergeCell ref="A139:B139"/>
    <mergeCell ref="G139:H139"/>
    <mergeCell ref="A140:B140"/>
    <mergeCell ref="G140:H140"/>
    <mergeCell ref="A141:B141"/>
    <mergeCell ref="G141:H141"/>
    <mergeCell ref="A142:B142"/>
    <mergeCell ref="G142:H142"/>
    <mergeCell ref="A143:B143"/>
    <mergeCell ref="G143:H143"/>
    <mergeCell ref="A130:B130"/>
    <mergeCell ref="G130:H130"/>
    <mergeCell ref="A136:B136"/>
    <mergeCell ref="G136:H136"/>
    <mergeCell ref="A137:H137"/>
    <mergeCell ref="L137:M137"/>
    <mergeCell ref="A138:B138"/>
    <mergeCell ref="G138:H138"/>
    <mergeCell ref="A131:B131"/>
    <mergeCell ref="G131:H131"/>
    <mergeCell ref="A132:B132"/>
    <mergeCell ref="G132:H132"/>
    <mergeCell ref="A133:B133"/>
    <mergeCell ref="G133:H133"/>
    <mergeCell ref="A134:B134"/>
    <mergeCell ref="G134:H134"/>
    <mergeCell ref="A135:B135"/>
    <mergeCell ref="G135:H135"/>
    <mergeCell ref="L125:M125"/>
    <mergeCell ref="A126:B126"/>
    <mergeCell ref="G126:H126"/>
    <mergeCell ref="A127:B127"/>
    <mergeCell ref="G127:H127"/>
    <mergeCell ref="A128:B128"/>
    <mergeCell ref="G128:H128"/>
    <mergeCell ref="A129:B129"/>
    <mergeCell ref="G129:H129"/>
    <mergeCell ref="L112:M112"/>
    <mergeCell ref="A113:B113"/>
    <mergeCell ref="G113:H113"/>
    <mergeCell ref="A114:B114"/>
    <mergeCell ref="G114:H114"/>
    <mergeCell ref="A115:B115"/>
    <mergeCell ref="G115:H115"/>
    <mergeCell ref="A116:B116"/>
    <mergeCell ref="G116:H116"/>
    <mergeCell ref="E41:H41"/>
    <mergeCell ref="A41:D41"/>
    <mergeCell ref="G52:H52"/>
    <mergeCell ref="C51:H51"/>
    <mergeCell ref="F85:H85"/>
    <mergeCell ref="G101:H101"/>
    <mergeCell ref="F88:H88"/>
    <mergeCell ref="F86:H86"/>
    <mergeCell ref="A95:H95"/>
    <mergeCell ref="A87:E87"/>
    <mergeCell ref="A98:H98"/>
    <mergeCell ref="F87:H87"/>
    <mergeCell ref="A44:D44"/>
    <mergeCell ref="A45:D45"/>
    <mergeCell ref="A46:H46"/>
    <mergeCell ref="F84:H84"/>
    <mergeCell ref="A80:E80"/>
    <mergeCell ref="F79:H79"/>
    <mergeCell ref="F82:H82"/>
    <mergeCell ref="A59:C59"/>
    <mergeCell ref="E69:F78"/>
    <mergeCell ref="G69:H78"/>
    <mergeCell ref="A77:B77"/>
    <mergeCell ref="A67:B67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A149:H149"/>
    <mergeCell ref="A163:H163"/>
    <mergeCell ref="A160:H160"/>
    <mergeCell ref="G103:H103"/>
    <mergeCell ref="A92:B92"/>
    <mergeCell ref="G96:H96"/>
    <mergeCell ref="A74:B74"/>
    <mergeCell ref="F80:H80"/>
    <mergeCell ref="G93:H93"/>
    <mergeCell ref="G118:H118"/>
    <mergeCell ref="A119:B119"/>
    <mergeCell ref="G119:H119"/>
    <mergeCell ref="A120:B120"/>
    <mergeCell ref="G120:H120"/>
    <mergeCell ref="A121:B121"/>
    <mergeCell ref="G121:H121"/>
    <mergeCell ref="A122:B122"/>
    <mergeCell ref="G122:H122"/>
    <mergeCell ref="A123:B123"/>
    <mergeCell ref="G123:H123"/>
    <mergeCell ref="A124:B124"/>
    <mergeCell ref="C124:F124"/>
    <mergeCell ref="G124:H124"/>
    <mergeCell ref="A125:H125"/>
    <mergeCell ref="B155:H155"/>
    <mergeCell ref="A94:H94"/>
    <mergeCell ref="B150:H150"/>
    <mergeCell ref="B151:H151"/>
    <mergeCell ref="A105:B105"/>
    <mergeCell ref="G108:H108"/>
    <mergeCell ref="A109:B109"/>
    <mergeCell ref="G109:H109"/>
    <mergeCell ref="A110:B110"/>
    <mergeCell ref="G110:H110"/>
    <mergeCell ref="A111:B111"/>
    <mergeCell ref="G111:H111"/>
    <mergeCell ref="A112:H112"/>
    <mergeCell ref="A117:B117"/>
    <mergeCell ref="G117:H117"/>
    <mergeCell ref="A118:B118"/>
    <mergeCell ref="A103:B103"/>
    <mergeCell ref="A104:B104"/>
    <mergeCell ref="G102:H102"/>
    <mergeCell ref="A99:H99"/>
    <mergeCell ref="A97:H97"/>
    <mergeCell ref="B152:H152"/>
    <mergeCell ref="B153:H153"/>
    <mergeCell ref="G104:H104"/>
    <mergeCell ref="A166:H169"/>
    <mergeCell ref="A165:B165"/>
    <mergeCell ref="E165:F165"/>
    <mergeCell ref="C165:D165"/>
    <mergeCell ref="G165:H165"/>
    <mergeCell ref="A89:E89"/>
    <mergeCell ref="F89:H89"/>
    <mergeCell ref="A90:E90"/>
    <mergeCell ref="F90:H90"/>
    <mergeCell ref="A93:B93"/>
    <mergeCell ref="A161:H161"/>
    <mergeCell ref="A91:H91"/>
    <mergeCell ref="A164:H164"/>
    <mergeCell ref="A162:H162"/>
    <mergeCell ref="C93:D93"/>
    <mergeCell ref="E93:F93"/>
    <mergeCell ref="A100:B100"/>
    <mergeCell ref="A101:B101"/>
    <mergeCell ref="A102:B102"/>
    <mergeCell ref="G100:H100"/>
    <mergeCell ref="A158:H158"/>
    <mergeCell ref="A159:H159"/>
    <mergeCell ref="E92:F92"/>
    <mergeCell ref="B157:H15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6:B16"/>
    <mergeCell ref="C16:H16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F32:H32"/>
    <mergeCell ref="F33:H33"/>
    <mergeCell ref="A39:H39"/>
    <mergeCell ref="A58:C58"/>
    <mergeCell ref="D58:H5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78:B78"/>
    <mergeCell ref="D59:H59"/>
    <mergeCell ref="A42:D42"/>
    <mergeCell ref="E42:H42"/>
    <mergeCell ref="E43:H43"/>
    <mergeCell ref="E44:H44"/>
    <mergeCell ref="E45:H45"/>
    <mergeCell ref="A43:D43"/>
    <mergeCell ref="F35:H35"/>
    <mergeCell ref="A37:B37"/>
    <mergeCell ref="A76:B76"/>
    <mergeCell ref="C37:H37"/>
    <mergeCell ref="D56:H56"/>
    <mergeCell ref="A36:H36"/>
    <mergeCell ref="A35:B35"/>
    <mergeCell ref="C35:E35"/>
    <mergeCell ref="A40:D40"/>
    <mergeCell ref="E40:H40"/>
    <mergeCell ref="A56:C56"/>
    <mergeCell ref="G49:H49"/>
    <mergeCell ref="A50:B51"/>
    <mergeCell ref="A75:B75"/>
    <mergeCell ref="A68:B68"/>
    <mergeCell ref="A71:B71"/>
    <mergeCell ref="A79:E79"/>
    <mergeCell ref="F81:H81"/>
    <mergeCell ref="A88:E88"/>
    <mergeCell ref="C92:D92"/>
    <mergeCell ref="G92:H92"/>
    <mergeCell ref="A38:B38"/>
    <mergeCell ref="C38:H38"/>
    <mergeCell ref="B156:H156"/>
    <mergeCell ref="A47:B47"/>
    <mergeCell ref="C47:H47"/>
    <mergeCell ref="B154:H154"/>
    <mergeCell ref="A81:E81"/>
    <mergeCell ref="A82:E82"/>
    <mergeCell ref="G105:H105"/>
    <mergeCell ref="A106:B106"/>
    <mergeCell ref="G106:H106"/>
    <mergeCell ref="A107:B107"/>
    <mergeCell ref="G107:H107"/>
    <mergeCell ref="A108:B108"/>
    <mergeCell ref="A83:E83"/>
    <mergeCell ref="F83:H83"/>
    <mergeCell ref="A84:E84"/>
    <mergeCell ref="A86:E86"/>
    <mergeCell ref="A85:E85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169" max="16383" man="1"/>
    <brk id="211" max="16383" man="1"/>
    <brk id="24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4296875" defaultRowHeight="14.5" x14ac:dyDescent="0.35"/>
  <cols>
    <col min="1" max="1" width="8.5429687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5429687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61" t="s">
        <v>109</v>
      </c>
      <c r="C3" s="161"/>
      <c r="D3" s="161"/>
      <c r="E3" s="161"/>
      <c r="F3" s="161"/>
      <c r="G3" s="161"/>
      <c r="H3" s="161"/>
    </row>
    <row r="4" spans="1:9" x14ac:dyDescent="0.3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2025-06-05T09:45:42Z</cp:lastPrinted>
  <dcterms:created xsi:type="dcterms:W3CDTF">2019-07-16T09:29:46Z</dcterms:created>
  <dcterms:modified xsi:type="dcterms:W3CDTF">2025-09-13T10:17:05Z</dcterms:modified>
</cp:coreProperties>
</file>