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3-09-2025\"/>
    </mc:Choice>
  </mc:AlternateContent>
  <bookViews>
    <workbookView xWindow="0" yWindow="0" windowWidth="19200" windowHeight="693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7" i="1" l="1"/>
  <c r="N139" i="1"/>
  <c r="N142" i="1"/>
  <c r="N143" i="1"/>
  <c r="N144" i="1"/>
  <c r="N150" i="1"/>
  <c r="D149" i="1"/>
  <c r="I149" i="1" s="1"/>
  <c r="D148" i="1"/>
  <c r="I148" i="1" s="1"/>
  <c r="D147" i="1"/>
  <c r="I147" i="1" s="1"/>
  <c r="D146" i="1"/>
  <c r="I146" i="1" s="1"/>
  <c r="D145" i="1"/>
  <c r="I145" i="1" s="1"/>
  <c r="D138" i="1"/>
  <c r="D140" i="1"/>
  <c r="D136" i="1"/>
  <c r="I136" i="1" s="1"/>
  <c r="D135" i="1"/>
  <c r="I135" i="1" s="1"/>
  <c r="D134" i="1"/>
  <c r="I134" i="1" s="1"/>
  <c r="D133" i="1"/>
  <c r="I133" i="1" s="1"/>
  <c r="J137" i="1" l="1"/>
  <c r="J139" i="1"/>
  <c r="J142" i="1"/>
  <c r="J143" i="1"/>
  <c r="J144" i="1"/>
  <c r="J150" i="1"/>
  <c r="D155" i="1" l="1"/>
  <c r="D154" i="1"/>
  <c r="D153" i="1"/>
  <c r="D152" i="1"/>
  <c r="D151" i="1"/>
  <c r="D141" i="1"/>
  <c r="C115" i="1"/>
  <c r="A139" i="1"/>
  <c r="A140" i="1" s="1"/>
  <c r="A141" i="1" s="1"/>
  <c r="G138" i="1"/>
  <c r="C116" i="1" l="1"/>
  <c r="C117" i="1" s="1"/>
  <c r="C118" i="1" s="1"/>
  <c r="E116" i="1"/>
  <c r="J138" i="1"/>
  <c r="N138" i="1"/>
  <c r="J140" i="1"/>
  <c r="N140" i="1"/>
  <c r="E115" i="1"/>
  <c r="N141" i="1" l="1"/>
  <c r="J141" i="1"/>
  <c r="E117" i="1"/>
  <c r="E118" i="1" s="1"/>
  <c r="E42" i="1"/>
  <c r="E43" i="1" s="1"/>
  <c r="C14" i="1" l="1"/>
  <c r="E29" i="1" l="1"/>
  <c r="A134" i="1" l="1"/>
  <c r="A135" i="1" s="1"/>
  <c r="A136" i="1" s="1"/>
  <c r="G133" i="1"/>
  <c r="J135" i="1" l="1"/>
  <c r="N135" i="1"/>
  <c r="G115" i="1"/>
  <c r="N133" i="1"/>
  <c r="L133" i="1"/>
  <c r="N136" i="1"/>
  <c r="J136" i="1"/>
  <c r="N134" i="1"/>
  <c r="J134" i="1"/>
  <c r="K133" i="1"/>
  <c r="J133" i="1"/>
  <c r="F107" i="1"/>
  <c r="F125" i="1" l="1"/>
  <c r="F126" i="1"/>
  <c r="F127" i="1"/>
  <c r="F124" i="1"/>
  <c r="B158" i="1" l="1"/>
  <c r="N146" i="1" l="1"/>
  <c r="J146" i="1"/>
  <c r="N147" i="1"/>
  <c r="J147" i="1"/>
  <c r="N148" i="1"/>
  <c r="J148" i="1"/>
  <c r="N153" i="1"/>
  <c r="J153" i="1"/>
  <c r="N145" i="1"/>
  <c r="G116" i="1"/>
  <c r="G117" i="1" s="1"/>
  <c r="G118" i="1" s="1"/>
  <c r="J145" i="1"/>
  <c r="N149" i="1"/>
  <c r="J149" i="1"/>
  <c r="N151" i="1"/>
  <c r="J151" i="1"/>
  <c r="M152" i="1"/>
  <c r="N152" i="1"/>
  <c r="L152" i="1"/>
  <c r="J152" i="1"/>
  <c r="N154" i="1"/>
  <c r="L154" i="1"/>
  <c r="J154" i="1"/>
  <c r="N155" i="1"/>
  <c r="J15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7" i="1"/>
  <c r="G151" i="1"/>
  <c r="G145" i="1"/>
  <c r="A146" i="1"/>
  <c r="A147" i="1" s="1"/>
  <c r="A148" i="1" s="1"/>
  <c r="A149" i="1" s="1"/>
  <c r="A125" i="1"/>
  <c r="A126" i="1" s="1"/>
  <c r="A127" i="1" s="1"/>
  <c r="G124" i="1"/>
  <c r="G125" i="1" s="1"/>
  <c r="G126" i="1" s="1"/>
  <c r="G127" i="1" s="1"/>
  <c r="C80" i="1"/>
  <c r="B81" i="1" s="1"/>
  <c r="B67" i="1"/>
  <c r="D54" i="1"/>
  <c r="G49" i="1"/>
  <c r="G50" i="1" s="1"/>
  <c r="C49" i="1"/>
  <c r="E26" i="1"/>
  <c r="E24" i="1"/>
  <c r="E7" i="1"/>
  <c r="E3" i="1"/>
  <c r="H67" i="1"/>
  <c r="H81" i="1"/>
  <c r="J86" i="1" l="1"/>
  <c r="J87" i="1" s="1"/>
  <c r="J80" i="1"/>
  <c r="J82" i="1" s="1"/>
  <c r="D60" i="1"/>
  <c r="D91" i="1"/>
  <c r="D92" i="1"/>
  <c r="D93" i="1"/>
  <c r="D87" i="1"/>
  <c r="D88" i="1"/>
  <c r="D89" i="1"/>
  <c r="D90" i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84" i="1"/>
  <c r="J85" i="1"/>
  <c r="C84" i="1" s="1"/>
  <c r="J83" i="1"/>
  <c r="J92" i="1" l="1"/>
  <c r="J88" i="1"/>
  <c r="J89" i="1" s="1"/>
  <c r="J90" i="1" s="1"/>
  <c r="J91" i="1" s="1"/>
  <c r="J74" i="1"/>
  <c r="J75" i="1" s="1"/>
  <c r="J76" i="1" s="1"/>
  <c r="J77" i="1" s="1"/>
  <c r="D86" i="1"/>
  <c r="D72" i="1"/>
  <c r="J68" i="1"/>
  <c r="D70" i="1"/>
  <c r="D84" i="1"/>
  <c r="J79" i="1" l="1"/>
  <c r="C71" i="1" s="1"/>
  <c r="G70" i="1" s="1"/>
  <c r="D64" i="1" s="1"/>
  <c r="D65" i="1" s="1"/>
  <c r="J93" i="1"/>
  <c r="C85" i="1" s="1"/>
  <c r="J81" i="1" l="1"/>
  <c r="J67" i="1"/>
  <c r="D71" i="1"/>
  <c r="I67" i="1" s="1"/>
  <c r="I68" i="1" s="1"/>
  <c r="E70" i="1"/>
  <c r="F65" i="1"/>
  <c r="E84" i="1"/>
  <c r="G84" i="1"/>
  <c r="D85" i="1"/>
  <c r="I81" i="1" l="1"/>
  <c r="I82" i="1" s="1"/>
  <c r="I66" i="1"/>
  <c r="C68" i="1" s="1"/>
  <c r="I80" i="1" l="1"/>
  <c r="C82" i="1" s="1"/>
</calcChain>
</file>

<file path=xl/sharedStrings.xml><?xml version="1.0" encoding="utf-8"?>
<sst xmlns="http://schemas.openxmlformats.org/spreadsheetml/2006/main" count="322" uniqueCount="227">
  <si>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</si>
  <si>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</si>
  <si>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</si>
  <si>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</si>
  <si>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</si>
  <si>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</si>
  <si>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</si>
  <si>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</si>
  <si>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</si>
  <si>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</si>
  <si>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</si>
  <si>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</si>
  <si>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</si>
  <si>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</si>
  <si>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</si>
  <si>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</si>
  <si>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</si>
  <si>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</si>
  <si>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</si>
  <si>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</si>
  <si>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</si>
  <si>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</si>
  <si>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</si>
  <si>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</si>
  <si>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</si>
  <si>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</si>
  <si>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</si>
  <si>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</si>
  <si>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</si>
  <si>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</si>
  <si>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</si>
  <si>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</si>
  <si>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</si>
  <si>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</si>
  <si>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</si>
  <si>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</si>
  <si>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</si>
  <si>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</si>
  <si>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</si>
  <si>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</si>
  <si>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</si>
  <si>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</si>
  <si>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</si>
  <si>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</si>
  <si>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</si>
  <si>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</si>
  <si>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</si>
  <si>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</si>
  <si>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</si>
  <si>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</si>
  <si>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</si>
  <si>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</si>
  <si>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</si>
  <si>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</si>
  <si>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</si>
  <si>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</si>
  <si>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</si>
  <si>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</si>
  <si>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</si>
  <si>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</si>
  <si>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</si>
  <si>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</si>
  <si>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</si>
  <si>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</si>
  <si>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</si>
  <si>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</si>
  <si>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</si>
  <si>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</si>
  <si>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</si>
  <si>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</si>
  <si>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</si>
  <si>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</si>
  <si>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</si>
  <si>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</si>
  <si>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</si>
  <si>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</si>
  <si>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</si>
  <si>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</si>
  <si>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</si>
  <si>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</si>
  <si>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</si>
  <si>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</si>
  <si>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</si>
  <si>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</si>
  <si>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</si>
  <si>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</si>
  <si>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</si>
  <si>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</si>
  <si>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</si>
  <si>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</si>
  <si>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</si>
  <si>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</si>
  <si>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</si>
  <si>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</si>
  <si>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</si>
  <si>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</si>
  <si>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</si>
  <si>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</si>
  <si>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</si>
  <si>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</si>
  <si>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</si>
  <si>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</si>
  <si>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</si>
  <si>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</si>
  <si>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</si>
  <si>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</si>
  <si>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</si>
  <si>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</si>
  <si>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</si>
  <si>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</si>
  <si>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</si>
  <si>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</si>
  <si>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</si>
  <si>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</si>
  <si>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</si>
  <si>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</si>
  <si>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</si>
  <si>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</si>
  <si>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</si>
  <si>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</si>
  <si>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</si>
  <si>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</si>
  <si>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</si>
  <si>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</si>
  <si>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</si>
  <si>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</si>
  <si>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</si>
  <si>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</si>
  <si>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</si>
  <si>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</si>
  <si>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</si>
  <si>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</si>
  <si>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</si>
  <si>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</si>
  <si>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</si>
  <si>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</si>
  <si>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</si>
  <si>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</si>
  <si>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</si>
  <si>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</si>
  <si>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</si>
  <si>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</si>
  <si>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</si>
  <si>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</si>
  <si>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</si>
  <si>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</si>
  <si>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</si>
  <si>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</si>
  <si>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</si>
  <si>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</si>
  <si>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</si>
  <si>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</si>
  <si>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</si>
  <si>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</si>
  <si>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</si>
  <si>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</si>
  <si>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</si>
  <si>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</si>
  <si>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</si>
  <si>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</si>
  <si>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</si>
  <si>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</si>
  <si>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</si>
  <si>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</si>
  <si>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</si>
  <si>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</si>
  <si>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</si>
  <si>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</si>
  <si>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</si>
  <si>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</si>
  <si>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</si>
  <si>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</si>
  <si>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</si>
  <si>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</si>
  <si>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</si>
  <si>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</si>
  <si>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</si>
  <si>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Axis Thane</t>
  </si>
  <si>
    <t>Sudhir Bhosale</t>
  </si>
  <si>
    <t>Shashwat Homes</t>
  </si>
  <si>
    <t>Shashwat Park Z-5 A and B Wing Apartment</t>
  </si>
  <si>
    <t xml:space="preserve">Shashwat Park Z-5 (Wing A &amp; B)
</t>
  </si>
  <si>
    <t>P51700050263</t>
  </si>
  <si>
    <t>Gut No</t>
  </si>
  <si>
    <t>105, H. No. 5/1/A/1</t>
  </si>
  <si>
    <t>Ambernath</t>
  </si>
  <si>
    <t>Thane</t>
  </si>
  <si>
    <t>Wing A</t>
  </si>
  <si>
    <t>Ground Floor Entrance Lobby &amp; Parking</t>
  </si>
  <si>
    <t>2BHK</t>
  </si>
  <si>
    <t>1BHK</t>
  </si>
  <si>
    <t>1.5BHK</t>
  </si>
  <si>
    <t>1st to 6th Floor For Residential</t>
  </si>
  <si>
    <t>7th Floor</t>
  </si>
  <si>
    <t>Society Office &amp; Driver Room</t>
  </si>
  <si>
    <t>Wing B</t>
  </si>
  <si>
    <t>We considered Gross carpet area = Net carpet + A.C.P Area.</t>
  </si>
  <si>
    <t>Wing A &amp; B = Gr + 1st to 7th Floor</t>
  </si>
  <si>
    <t>Wing B = Gr + 1st to 7th Floor</t>
  </si>
  <si>
    <t>Approved Plans, CC, Sale Plans, Cost Sheet</t>
  </si>
  <si>
    <t>KBNP/NRV/BD/2475-226</t>
  </si>
  <si>
    <t xml:space="preserve">As per RERA - 30/06/2025
</t>
  </si>
  <si>
    <t>KBNP/NRV/BP/2021-2022/2475/Unique No. 226</t>
  </si>
  <si>
    <t>Flats - 62</t>
  </si>
  <si>
    <t xml:space="preserve">Internal Roads, Meter Room, Sewage Treatment Plant, 24X7 Water Supply, Landscaping &amp; Tree Planting, Fire Fighting System, Footpaths/Pedestrian, Receiving Station, Sub-Station, Water Conservation, Rain water Harvesting, Open Parking, Community Buildings, Storm Water Drains, Energy management Closed Car Parking, Fire Sprinklers.
</t>
  </si>
  <si>
    <t xml:space="preserve">Kulgaon Badlapur Municipal Corporation
</t>
  </si>
  <si>
    <t xml:space="preserve">Shree Krishna Residency
</t>
  </si>
  <si>
    <t>Manjarli</t>
  </si>
  <si>
    <t>https://goo.gl/maps/xUU73xpWUfZ3bbGo6</t>
  </si>
  <si>
    <t>Shaswat Park (Wing H)</t>
  </si>
  <si>
    <t>Shaswat Park (Wing Z)</t>
  </si>
  <si>
    <t>1.8KM from Badlapur Railway Station</t>
  </si>
  <si>
    <t>Shree Krishna Residency</t>
  </si>
  <si>
    <t>Badlapur East</t>
  </si>
  <si>
    <t>Office No. 1031, Wing J, Akshar Business Park, Plot No. 03 Sector 25, Near APMC Market,
 Vashi, Navi Mumbai, Maharashtra 400703 TEL: 022-46090378/79/80                                                                       
E mail : vsjcapf@gmail.com. Web site : www.vsjadon.com</t>
  </si>
  <si>
    <t>Internal Road</t>
  </si>
  <si>
    <t>Valivali</t>
  </si>
  <si>
    <t>2 Buildings</t>
  </si>
  <si>
    <t>Internal Road/ Open Land</t>
  </si>
  <si>
    <t>Mr. Ashol Dhalop 9011563545</t>
  </si>
  <si>
    <t>99 acre</t>
  </si>
  <si>
    <t>mb</t>
  </si>
  <si>
    <t>Builder Saleable area</t>
  </si>
  <si>
    <t>19.178887,73.239955</t>
  </si>
  <si>
    <t>Wing A = Gr + 1st to 7th Floor</t>
  </si>
  <si>
    <t>Pooja</t>
  </si>
  <si>
    <t>Ground floor lobby, Painting &amp; finishing work is in process at the time of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</si>
</sst>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4" xfId="0" applyFont="1" applyFill="1" applyBorder="1"/>
    <xf numFmtId="0" fontId="25" fillId="0" borderId="8" xfId="0" applyFont="1" applyBorder="1"/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221</xdr:row>
      <xdr:rowOff>9525</xdr:rowOff>
    </xdr:from>
    <xdr:to>
      <xdr:col>6</xdr:col>
      <xdr:colOff>685442</xdr:colOff>
      <xdr:row>248</xdr:row>
      <xdr:rowOff>8850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320" t="16981" r="18010" b="13443"/>
        <a:stretch/>
      </xdr:blipFill>
      <xdr:spPr>
        <a:xfrm>
          <a:off x="1038225" y="52311300"/>
          <a:ext cx="4924067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142876</xdr:colOff>
      <xdr:row>230</xdr:row>
      <xdr:rowOff>142875</xdr:rowOff>
    </xdr:from>
    <xdr:to>
      <xdr:col>3</xdr:col>
      <xdr:colOff>161926</xdr:colOff>
      <xdr:row>236</xdr:row>
      <xdr:rowOff>104775</xdr:rowOff>
    </xdr:to>
    <xdr:sp macro="" textlink="">
      <xdr:nvSpPr>
        <xdr:cNvPr id="9" name="Freeform 8"/>
        <xdr:cNvSpPr/>
      </xdr:nvSpPr>
      <xdr:spPr>
        <a:xfrm>
          <a:off x="1819276" y="54244875"/>
          <a:ext cx="933450" cy="1162050"/>
        </a:xfrm>
        <a:custGeom>
          <a:avLst/>
          <a:gdLst>
            <a:gd name="connsiteX0" fmla="*/ 0 w 885825"/>
            <a:gd name="connsiteY0" fmla="*/ 0 h 1123950"/>
            <a:gd name="connsiteX1" fmla="*/ 447675 w 885825"/>
            <a:gd name="connsiteY1" fmla="*/ 0 h 1123950"/>
            <a:gd name="connsiteX2" fmla="*/ 885825 w 885825"/>
            <a:gd name="connsiteY2" fmla="*/ 952500 h 1123950"/>
            <a:gd name="connsiteX3" fmla="*/ 809625 w 885825"/>
            <a:gd name="connsiteY3" fmla="*/ 1038225 h 1123950"/>
            <a:gd name="connsiteX4" fmla="*/ 819150 w 885825"/>
            <a:gd name="connsiteY4" fmla="*/ 1123950 h 1123950"/>
            <a:gd name="connsiteX5" fmla="*/ 381000 w 885825"/>
            <a:gd name="connsiteY5" fmla="*/ 990600 h 1123950"/>
            <a:gd name="connsiteX6" fmla="*/ 0 w 885825"/>
            <a:gd name="connsiteY6" fmla="*/ 0 h 11239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885825" h="1123950">
              <a:moveTo>
                <a:pt x="0" y="0"/>
              </a:moveTo>
              <a:lnTo>
                <a:pt x="447675" y="0"/>
              </a:lnTo>
              <a:lnTo>
                <a:pt x="885825" y="952500"/>
              </a:lnTo>
              <a:lnTo>
                <a:pt x="809625" y="1038225"/>
              </a:lnTo>
              <a:lnTo>
                <a:pt x="819150" y="1123950"/>
              </a:lnTo>
              <a:lnTo>
                <a:pt x="381000" y="990600"/>
              </a:lnTo>
              <a:lnTo>
                <a:pt x="0" y="0"/>
              </a:lnTo>
              <a:close/>
            </a:path>
          </a:pathLst>
        </a:cu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704850</xdr:colOff>
      <xdr:row>236</xdr:row>
      <xdr:rowOff>57150</xdr:rowOff>
    </xdr:from>
    <xdr:to>
      <xdr:col>3</xdr:col>
      <xdr:colOff>590550</xdr:colOff>
      <xdr:row>239</xdr:row>
      <xdr:rowOff>133350</xdr:rowOff>
    </xdr:to>
    <xdr:sp macro="" textlink="">
      <xdr:nvSpPr>
        <xdr:cNvPr id="10" name="Rectangle 9"/>
        <xdr:cNvSpPr/>
      </xdr:nvSpPr>
      <xdr:spPr>
        <a:xfrm>
          <a:off x="1524000" y="55359300"/>
          <a:ext cx="1657350" cy="676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ln>
                <a:noFill/>
              </a:ln>
              <a:solidFill>
                <a:srgbClr val="C00000"/>
              </a:solidFill>
            </a:rPr>
            <a:t>Wing A &amp; B</a:t>
          </a:r>
        </a:p>
      </xdr:txBody>
    </xdr:sp>
    <xdr:clientData/>
  </xdr:twoCellAnchor>
  <xdr:twoCellAnchor>
    <xdr:from>
      <xdr:col>2</xdr:col>
      <xdr:colOff>161925</xdr:colOff>
      <xdr:row>235</xdr:row>
      <xdr:rowOff>19050</xdr:rowOff>
    </xdr:from>
    <xdr:to>
      <xdr:col>2</xdr:col>
      <xdr:colOff>495300</xdr:colOff>
      <xdr:row>237</xdr:row>
      <xdr:rowOff>38100</xdr:rowOff>
    </xdr:to>
    <xdr:cxnSp macro="">
      <xdr:nvCxnSpPr>
        <xdr:cNvPr id="12" name="Straight Arrow Connector 11"/>
        <xdr:cNvCxnSpPr/>
      </xdr:nvCxnSpPr>
      <xdr:spPr>
        <a:xfrm flipV="1">
          <a:off x="1838325" y="55121175"/>
          <a:ext cx="333375" cy="419100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398501</xdr:colOff>
      <xdr:row>278</xdr:row>
      <xdr:rowOff>113400</xdr:rowOff>
    </xdr:from>
    <xdr:to>
      <xdr:col>6</xdr:col>
      <xdr:colOff>458639</xdr:colOff>
      <xdr:row>291</xdr:row>
      <xdr:rowOff>33074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7651" y="53462925"/>
          <a:ext cx="4517838" cy="25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66675</xdr:colOff>
      <xdr:row>257</xdr:row>
      <xdr:rowOff>190500</xdr:rowOff>
    </xdr:from>
    <xdr:to>
      <xdr:col>7</xdr:col>
      <xdr:colOff>1622</xdr:colOff>
      <xdr:row>277</xdr:row>
      <xdr:rowOff>150000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5825" y="49339500"/>
          <a:ext cx="5181490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466280</xdr:colOff>
      <xdr:row>268</xdr:row>
      <xdr:rowOff>136900</xdr:rowOff>
    </xdr:from>
    <xdr:to>
      <xdr:col>3</xdr:col>
      <xdr:colOff>175634</xdr:colOff>
      <xdr:row>272</xdr:row>
      <xdr:rowOff>117850</xdr:rowOff>
    </xdr:to>
    <xdr:sp macro="" textlink="">
      <xdr:nvSpPr>
        <xdr:cNvPr id="11" name="Parallelogram 10"/>
        <xdr:cNvSpPr/>
      </xdr:nvSpPr>
      <xdr:spPr>
        <a:xfrm rot="21089806" flipH="1">
          <a:off x="2142680" y="51486175"/>
          <a:ext cx="623754" cy="781050"/>
        </a:xfrm>
        <a:prstGeom prst="parallelogram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11</xdr:col>
      <xdr:colOff>0</xdr:colOff>
      <xdr:row>174</xdr:row>
      <xdr:rowOff>0</xdr:rowOff>
    </xdr:from>
    <xdr:to>
      <xdr:col>12</xdr:col>
      <xdr:colOff>236691</xdr:colOff>
      <xdr:row>175</xdr:row>
      <xdr:rowOff>170173</xdr:rowOff>
    </xdr:to>
    <xdr:sp macro="" textlink="">
      <xdr:nvSpPr>
        <xdr:cNvPr id="19" name="TextBox 12"/>
        <xdr:cNvSpPr txBox="1"/>
      </xdr:nvSpPr>
      <xdr:spPr>
        <a:xfrm>
          <a:off x="9144000" y="33017114"/>
          <a:ext cx="938077" cy="369332"/>
        </a:xfrm>
        <a:prstGeom prst="rect">
          <a:avLst/>
        </a:prstGeom>
        <a:solidFill>
          <a:schemeClr val="bg1"/>
        </a:solidFill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/>
            <a:t>WING B</a:t>
          </a:r>
          <a:endParaRPr lang="en-IN" b="1"/>
        </a:p>
      </xdr:txBody>
    </xdr:sp>
    <xdr:clientData/>
  </xdr:twoCellAnchor>
  <xdr:twoCellAnchor editAs="oneCell">
    <xdr:from>
      <xdr:col>11</xdr:col>
      <xdr:colOff>34637</xdr:colOff>
      <xdr:row>68</xdr:row>
      <xdr:rowOff>95250</xdr:rowOff>
    </xdr:from>
    <xdr:to>
      <xdr:col>21</xdr:col>
      <xdr:colOff>945</xdr:colOff>
      <xdr:row>88</xdr:row>
      <xdr:rowOff>8369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78637" y="16383000"/>
          <a:ext cx="6763694" cy="4124901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177</xdr:row>
      <xdr:rowOff>114300</xdr:rowOff>
    </xdr:from>
    <xdr:to>
      <xdr:col>7</xdr:col>
      <xdr:colOff>730999</xdr:colOff>
      <xdr:row>214</xdr:row>
      <xdr:rowOff>129616</xdr:rowOff>
    </xdr:to>
    <xdr:grpSp>
      <xdr:nvGrpSpPr>
        <xdr:cNvPr id="4" name="Group 3"/>
        <xdr:cNvGrpSpPr/>
      </xdr:nvGrpSpPr>
      <xdr:grpSpPr>
        <a:xfrm>
          <a:off x="114300" y="33839150"/>
          <a:ext cx="6592049" cy="7292416"/>
          <a:chOff x="114300" y="33839150"/>
          <a:chExt cx="6592049" cy="7292416"/>
        </a:xfrm>
      </xdr:grpSpPr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63055" y="39079566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6443" y="33839150"/>
            <a:ext cx="2166025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7238" y="36819358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00" y="39079566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2661426" y="33839150"/>
            <a:ext cx="3820516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74426" y="36819358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21614" y="36819358"/>
            <a:ext cx="286538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4424" y="39079566"/>
            <a:ext cx="153686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99362" y="39079566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15</xdr:col>
      <xdr:colOff>100348</xdr:colOff>
      <xdr:row>53</xdr:row>
      <xdr:rowOff>75286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868706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xUU73xpWUfZ3bbGo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57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9" customWidth="1"/>
    <col min="2" max="2" width="12" style="39" customWidth="1"/>
    <col min="3" max="3" width="12.7265625" style="39" customWidth="1"/>
    <col min="4" max="4" width="14.1796875" style="39" customWidth="1"/>
    <col min="5" max="7" width="11.7265625" style="39" customWidth="1"/>
    <col min="8" max="8" width="12.453125" style="39" customWidth="1"/>
    <col min="9" max="9" width="17.453125" style="20" customWidth="1"/>
    <col min="10" max="10" width="11.453125" style="20" customWidth="1"/>
    <col min="11" max="11" width="10.54296875" style="20" bestFit="1" customWidth="1"/>
    <col min="12" max="12" width="10.54296875" style="20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7265625" style="20" customWidth="1"/>
    <col min="17" max="247" width="9.1796875" style="20"/>
    <col min="248" max="248" width="8.7265625" style="20" customWidth="1"/>
    <col min="249" max="249" width="9.81640625" style="20" customWidth="1"/>
    <col min="250" max="250" width="14.453125" style="20" customWidth="1"/>
    <col min="251" max="251" width="7.2695312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7265625" style="20" customWidth="1"/>
    <col min="505" max="505" width="9.81640625" style="20" customWidth="1"/>
    <col min="506" max="506" width="14.453125" style="20" customWidth="1"/>
    <col min="507" max="507" width="7.2695312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7265625" style="20" customWidth="1"/>
    <col min="761" max="761" width="9.81640625" style="20" customWidth="1"/>
    <col min="762" max="762" width="14.453125" style="20" customWidth="1"/>
    <col min="763" max="763" width="7.2695312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7265625" style="20" customWidth="1"/>
    <col min="1017" max="1017" width="9.81640625" style="20" customWidth="1"/>
    <col min="1018" max="1018" width="14.453125" style="20" customWidth="1"/>
    <col min="1019" max="1019" width="7.2695312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7265625" style="20" customWidth="1"/>
    <col min="1273" max="1273" width="9.81640625" style="20" customWidth="1"/>
    <col min="1274" max="1274" width="14.453125" style="20" customWidth="1"/>
    <col min="1275" max="1275" width="7.2695312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7265625" style="20" customWidth="1"/>
    <col min="1529" max="1529" width="9.81640625" style="20" customWidth="1"/>
    <col min="1530" max="1530" width="14.453125" style="20" customWidth="1"/>
    <col min="1531" max="1531" width="7.2695312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7265625" style="20" customWidth="1"/>
    <col min="1785" max="1785" width="9.81640625" style="20" customWidth="1"/>
    <col min="1786" max="1786" width="14.453125" style="20" customWidth="1"/>
    <col min="1787" max="1787" width="7.2695312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7265625" style="20" customWidth="1"/>
    <col min="2041" max="2041" width="9.81640625" style="20" customWidth="1"/>
    <col min="2042" max="2042" width="14.453125" style="20" customWidth="1"/>
    <col min="2043" max="2043" width="7.2695312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7265625" style="20" customWidth="1"/>
    <col min="2297" max="2297" width="9.81640625" style="20" customWidth="1"/>
    <col min="2298" max="2298" width="14.453125" style="20" customWidth="1"/>
    <col min="2299" max="2299" width="7.2695312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7265625" style="20" customWidth="1"/>
    <col min="2553" max="2553" width="9.81640625" style="20" customWidth="1"/>
    <col min="2554" max="2554" width="14.453125" style="20" customWidth="1"/>
    <col min="2555" max="2555" width="7.2695312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7265625" style="20" customWidth="1"/>
    <col min="2809" max="2809" width="9.81640625" style="20" customWidth="1"/>
    <col min="2810" max="2810" width="14.453125" style="20" customWidth="1"/>
    <col min="2811" max="2811" width="7.2695312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7265625" style="20" customWidth="1"/>
    <col min="3065" max="3065" width="9.81640625" style="20" customWidth="1"/>
    <col min="3066" max="3066" width="14.453125" style="20" customWidth="1"/>
    <col min="3067" max="3067" width="7.2695312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7265625" style="20" customWidth="1"/>
    <col min="3321" max="3321" width="9.81640625" style="20" customWidth="1"/>
    <col min="3322" max="3322" width="14.453125" style="20" customWidth="1"/>
    <col min="3323" max="3323" width="7.2695312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7265625" style="20" customWidth="1"/>
    <col min="3577" max="3577" width="9.81640625" style="20" customWidth="1"/>
    <col min="3578" max="3578" width="14.453125" style="20" customWidth="1"/>
    <col min="3579" max="3579" width="7.2695312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7265625" style="20" customWidth="1"/>
    <col min="3833" max="3833" width="9.81640625" style="20" customWidth="1"/>
    <col min="3834" max="3834" width="14.453125" style="20" customWidth="1"/>
    <col min="3835" max="3835" width="7.2695312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7265625" style="20" customWidth="1"/>
    <col min="4089" max="4089" width="9.81640625" style="20" customWidth="1"/>
    <col min="4090" max="4090" width="14.453125" style="20" customWidth="1"/>
    <col min="4091" max="4091" width="7.2695312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7265625" style="20" customWidth="1"/>
    <col min="4345" max="4345" width="9.81640625" style="20" customWidth="1"/>
    <col min="4346" max="4346" width="14.453125" style="20" customWidth="1"/>
    <col min="4347" max="4347" width="7.2695312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7265625" style="20" customWidth="1"/>
    <col min="4601" max="4601" width="9.81640625" style="20" customWidth="1"/>
    <col min="4602" max="4602" width="14.453125" style="20" customWidth="1"/>
    <col min="4603" max="4603" width="7.2695312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7265625" style="20" customWidth="1"/>
    <col min="4857" max="4857" width="9.81640625" style="20" customWidth="1"/>
    <col min="4858" max="4858" width="14.453125" style="20" customWidth="1"/>
    <col min="4859" max="4859" width="7.2695312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7265625" style="20" customWidth="1"/>
    <col min="5113" max="5113" width="9.81640625" style="20" customWidth="1"/>
    <col min="5114" max="5114" width="14.453125" style="20" customWidth="1"/>
    <col min="5115" max="5115" width="7.2695312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7265625" style="20" customWidth="1"/>
    <col min="5369" max="5369" width="9.81640625" style="20" customWidth="1"/>
    <col min="5370" max="5370" width="14.453125" style="20" customWidth="1"/>
    <col min="5371" max="5371" width="7.2695312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7265625" style="20" customWidth="1"/>
    <col min="5625" max="5625" width="9.81640625" style="20" customWidth="1"/>
    <col min="5626" max="5626" width="14.453125" style="20" customWidth="1"/>
    <col min="5627" max="5627" width="7.2695312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7265625" style="20" customWidth="1"/>
    <col min="5881" max="5881" width="9.81640625" style="20" customWidth="1"/>
    <col min="5882" max="5882" width="14.453125" style="20" customWidth="1"/>
    <col min="5883" max="5883" width="7.2695312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7265625" style="20" customWidth="1"/>
    <col min="6137" max="6137" width="9.81640625" style="20" customWidth="1"/>
    <col min="6138" max="6138" width="14.453125" style="20" customWidth="1"/>
    <col min="6139" max="6139" width="7.2695312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7265625" style="20" customWidth="1"/>
    <col min="6393" max="6393" width="9.81640625" style="20" customWidth="1"/>
    <col min="6394" max="6394" width="14.453125" style="20" customWidth="1"/>
    <col min="6395" max="6395" width="7.2695312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7265625" style="20" customWidth="1"/>
    <col min="6649" max="6649" width="9.81640625" style="20" customWidth="1"/>
    <col min="6650" max="6650" width="14.453125" style="20" customWidth="1"/>
    <col min="6651" max="6651" width="7.2695312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7265625" style="20" customWidth="1"/>
    <col min="6905" max="6905" width="9.81640625" style="20" customWidth="1"/>
    <col min="6906" max="6906" width="14.453125" style="20" customWidth="1"/>
    <col min="6907" max="6907" width="7.2695312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7265625" style="20" customWidth="1"/>
    <col min="7161" max="7161" width="9.81640625" style="20" customWidth="1"/>
    <col min="7162" max="7162" width="14.453125" style="20" customWidth="1"/>
    <col min="7163" max="7163" width="7.2695312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7265625" style="20" customWidth="1"/>
    <col min="7417" max="7417" width="9.81640625" style="20" customWidth="1"/>
    <col min="7418" max="7418" width="14.453125" style="20" customWidth="1"/>
    <col min="7419" max="7419" width="7.2695312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7265625" style="20" customWidth="1"/>
    <col min="7673" max="7673" width="9.81640625" style="20" customWidth="1"/>
    <col min="7674" max="7674" width="14.453125" style="20" customWidth="1"/>
    <col min="7675" max="7675" width="7.2695312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7265625" style="20" customWidth="1"/>
    <col min="7929" max="7929" width="9.81640625" style="20" customWidth="1"/>
    <col min="7930" max="7930" width="14.453125" style="20" customWidth="1"/>
    <col min="7931" max="7931" width="7.2695312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7265625" style="20" customWidth="1"/>
    <col min="8185" max="8185" width="9.81640625" style="20" customWidth="1"/>
    <col min="8186" max="8186" width="14.453125" style="20" customWidth="1"/>
    <col min="8187" max="8187" width="7.2695312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7265625" style="20" customWidth="1"/>
    <col min="8441" max="8441" width="9.81640625" style="20" customWidth="1"/>
    <col min="8442" max="8442" width="14.453125" style="20" customWidth="1"/>
    <col min="8443" max="8443" width="7.2695312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7265625" style="20" customWidth="1"/>
    <col min="8697" max="8697" width="9.81640625" style="20" customWidth="1"/>
    <col min="8698" max="8698" width="14.453125" style="20" customWidth="1"/>
    <col min="8699" max="8699" width="7.2695312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7265625" style="20" customWidth="1"/>
    <col min="8953" max="8953" width="9.81640625" style="20" customWidth="1"/>
    <col min="8954" max="8954" width="14.453125" style="20" customWidth="1"/>
    <col min="8955" max="8955" width="7.2695312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7265625" style="20" customWidth="1"/>
    <col min="9209" max="9209" width="9.81640625" style="20" customWidth="1"/>
    <col min="9210" max="9210" width="14.453125" style="20" customWidth="1"/>
    <col min="9211" max="9211" width="7.2695312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7265625" style="20" customWidth="1"/>
    <col min="9465" max="9465" width="9.81640625" style="20" customWidth="1"/>
    <col min="9466" max="9466" width="14.453125" style="20" customWidth="1"/>
    <col min="9467" max="9467" width="7.2695312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7265625" style="20" customWidth="1"/>
    <col min="9721" max="9721" width="9.81640625" style="20" customWidth="1"/>
    <col min="9722" max="9722" width="14.453125" style="20" customWidth="1"/>
    <col min="9723" max="9723" width="7.2695312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7265625" style="20" customWidth="1"/>
    <col min="9977" max="9977" width="9.81640625" style="20" customWidth="1"/>
    <col min="9978" max="9978" width="14.453125" style="20" customWidth="1"/>
    <col min="9979" max="9979" width="7.2695312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7265625" style="20" customWidth="1"/>
    <col min="10233" max="10233" width="9.81640625" style="20" customWidth="1"/>
    <col min="10234" max="10234" width="14.453125" style="20" customWidth="1"/>
    <col min="10235" max="10235" width="7.2695312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7265625" style="20" customWidth="1"/>
    <col min="10489" max="10489" width="9.81640625" style="20" customWidth="1"/>
    <col min="10490" max="10490" width="14.453125" style="20" customWidth="1"/>
    <col min="10491" max="10491" width="7.2695312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7265625" style="20" customWidth="1"/>
    <col min="10745" max="10745" width="9.81640625" style="20" customWidth="1"/>
    <col min="10746" max="10746" width="14.453125" style="20" customWidth="1"/>
    <col min="10747" max="10747" width="7.2695312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7265625" style="20" customWidth="1"/>
    <col min="11001" max="11001" width="9.81640625" style="20" customWidth="1"/>
    <col min="11002" max="11002" width="14.453125" style="20" customWidth="1"/>
    <col min="11003" max="11003" width="7.2695312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7265625" style="20" customWidth="1"/>
    <col min="11257" max="11257" width="9.81640625" style="20" customWidth="1"/>
    <col min="11258" max="11258" width="14.453125" style="20" customWidth="1"/>
    <col min="11259" max="11259" width="7.2695312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7265625" style="20" customWidth="1"/>
    <col min="11513" max="11513" width="9.81640625" style="20" customWidth="1"/>
    <col min="11514" max="11514" width="14.453125" style="20" customWidth="1"/>
    <col min="11515" max="11515" width="7.2695312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7265625" style="20" customWidth="1"/>
    <col min="11769" max="11769" width="9.81640625" style="20" customWidth="1"/>
    <col min="11770" max="11770" width="14.453125" style="20" customWidth="1"/>
    <col min="11771" max="11771" width="7.2695312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7265625" style="20" customWidth="1"/>
    <col min="12025" max="12025" width="9.81640625" style="20" customWidth="1"/>
    <col min="12026" max="12026" width="14.453125" style="20" customWidth="1"/>
    <col min="12027" max="12027" width="7.2695312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7265625" style="20" customWidth="1"/>
    <col min="12281" max="12281" width="9.81640625" style="20" customWidth="1"/>
    <col min="12282" max="12282" width="14.453125" style="20" customWidth="1"/>
    <col min="12283" max="12283" width="7.2695312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7265625" style="20" customWidth="1"/>
    <col min="12537" max="12537" width="9.81640625" style="20" customWidth="1"/>
    <col min="12538" max="12538" width="14.453125" style="20" customWidth="1"/>
    <col min="12539" max="12539" width="7.2695312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7265625" style="20" customWidth="1"/>
    <col min="12793" max="12793" width="9.81640625" style="20" customWidth="1"/>
    <col min="12794" max="12794" width="14.453125" style="20" customWidth="1"/>
    <col min="12795" max="12795" width="7.2695312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7265625" style="20" customWidth="1"/>
    <col min="13049" max="13049" width="9.81640625" style="20" customWidth="1"/>
    <col min="13050" max="13050" width="14.453125" style="20" customWidth="1"/>
    <col min="13051" max="13051" width="7.2695312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7265625" style="20" customWidth="1"/>
    <col min="13305" max="13305" width="9.81640625" style="20" customWidth="1"/>
    <col min="13306" max="13306" width="14.453125" style="20" customWidth="1"/>
    <col min="13307" max="13307" width="7.2695312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7265625" style="20" customWidth="1"/>
    <col min="13561" max="13561" width="9.81640625" style="20" customWidth="1"/>
    <col min="13562" max="13562" width="14.453125" style="20" customWidth="1"/>
    <col min="13563" max="13563" width="7.2695312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7265625" style="20" customWidth="1"/>
    <col min="13817" max="13817" width="9.81640625" style="20" customWidth="1"/>
    <col min="13818" max="13818" width="14.453125" style="20" customWidth="1"/>
    <col min="13819" max="13819" width="7.2695312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7265625" style="20" customWidth="1"/>
    <col min="14073" max="14073" width="9.81640625" style="20" customWidth="1"/>
    <col min="14074" max="14074" width="14.453125" style="20" customWidth="1"/>
    <col min="14075" max="14075" width="7.2695312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7265625" style="20" customWidth="1"/>
    <col min="14329" max="14329" width="9.81640625" style="20" customWidth="1"/>
    <col min="14330" max="14330" width="14.453125" style="20" customWidth="1"/>
    <col min="14331" max="14331" width="7.2695312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7265625" style="20" customWidth="1"/>
    <col min="14585" max="14585" width="9.81640625" style="20" customWidth="1"/>
    <col min="14586" max="14586" width="14.453125" style="20" customWidth="1"/>
    <col min="14587" max="14587" width="7.2695312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7265625" style="20" customWidth="1"/>
    <col min="14841" max="14841" width="9.81640625" style="20" customWidth="1"/>
    <col min="14842" max="14842" width="14.453125" style="20" customWidth="1"/>
    <col min="14843" max="14843" width="7.2695312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7265625" style="20" customWidth="1"/>
    <col min="15097" max="15097" width="9.81640625" style="20" customWidth="1"/>
    <col min="15098" max="15098" width="14.453125" style="20" customWidth="1"/>
    <col min="15099" max="15099" width="7.2695312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7265625" style="20" customWidth="1"/>
    <col min="15353" max="15353" width="9.81640625" style="20" customWidth="1"/>
    <col min="15354" max="15354" width="14.453125" style="20" customWidth="1"/>
    <col min="15355" max="15355" width="7.2695312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7265625" style="20" customWidth="1"/>
    <col min="15609" max="15609" width="9.81640625" style="20" customWidth="1"/>
    <col min="15610" max="15610" width="14.453125" style="20" customWidth="1"/>
    <col min="15611" max="15611" width="7.2695312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7265625" style="20" customWidth="1"/>
    <col min="15865" max="15865" width="9.81640625" style="20" customWidth="1"/>
    <col min="15866" max="15866" width="14.453125" style="20" customWidth="1"/>
    <col min="15867" max="15867" width="7.2695312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7265625" style="20" customWidth="1"/>
    <col min="16121" max="16121" width="9.81640625" style="20" customWidth="1"/>
    <col min="16122" max="16122" width="14.453125" style="20" customWidth="1"/>
    <col min="16123" max="16123" width="7.2695312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8" ht="46.5" customHeight="1" x14ac:dyDescent="0.35">
      <c r="A1" s="172" t="s">
        <v>214</v>
      </c>
      <c r="B1" s="172"/>
      <c r="C1" s="172"/>
      <c r="D1" s="172"/>
      <c r="E1" s="172"/>
      <c r="F1" s="172"/>
      <c r="G1" s="172"/>
      <c r="H1" s="172"/>
    </row>
    <row r="2" spans="1:8" ht="16.5" customHeight="1" x14ac:dyDescent="0.35">
      <c r="A2" s="173" t="s">
        <v>0</v>
      </c>
      <c r="B2" s="173"/>
      <c r="C2" s="173"/>
      <c r="D2" s="173"/>
      <c r="E2" s="173"/>
      <c r="F2" s="173"/>
      <c r="G2" s="173"/>
      <c r="H2" s="173"/>
    </row>
    <row r="3" spans="1:8" x14ac:dyDescent="0.35">
      <c r="A3" s="146" t="s">
        <v>1</v>
      </c>
      <c r="B3" s="146"/>
      <c r="C3" s="146"/>
      <c r="D3" s="146"/>
      <c r="E3" s="146" t="str">
        <f ca="1">TEXT(TODAY(),"DD/MM/YYYY")</f>
        <v>13/09/2025</v>
      </c>
      <c r="F3" s="146"/>
      <c r="G3" s="146"/>
      <c r="H3" s="146"/>
    </row>
    <row r="4" spans="1:8" ht="15" customHeight="1" x14ac:dyDescent="0.35">
      <c r="A4" s="146" t="s">
        <v>2</v>
      </c>
      <c r="B4" s="146"/>
      <c r="C4" s="146"/>
      <c r="D4" s="146"/>
      <c r="E4" s="146" t="s">
        <v>177</v>
      </c>
      <c r="F4" s="146"/>
      <c r="G4" s="146"/>
      <c r="H4" s="146"/>
    </row>
    <row r="5" spans="1:8" x14ac:dyDescent="0.35">
      <c r="A5" s="146" t="s">
        <v>3</v>
      </c>
      <c r="B5" s="146"/>
      <c r="C5" s="146"/>
      <c r="D5" s="146"/>
      <c r="E5" s="174">
        <v>45905</v>
      </c>
      <c r="F5" s="146"/>
      <c r="G5" s="146"/>
      <c r="H5" s="146"/>
    </row>
    <row r="6" spans="1:8" ht="16.5" customHeight="1" x14ac:dyDescent="0.35">
      <c r="A6" s="146" t="s">
        <v>4</v>
      </c>
      <c r="B6" s="146"/>
      <c r="C6" s="146"/>
      <c r="D6" s="146"/>
      <c r="E6" s="146" t="s">
        <v>179</v>
      </c>
      <c r="F6" s="146"/>
      <c r="G6" s="146"/>
      <c r="H6" s="146"/>
    </row>
    <row r="7" spans="1:8" ht="15" customHeight="1" x14ac:dyDescent="0.35">
      <c r="A7" s="146" t="s">
        <v>5</v>
      </c>
      <c r="B7" s="146"/>
      <c r="C7" s="146"/>
      <c r="D7" s="146"/>
      <c r="E7" s="146" t="str">
        <f>E6</f>
        <v>Shashwat Homes</v>
      </c>
      <c r="F7" s="146"/>
      <c r="G7" s="146"/>
      <c r="H7" s="146"/>
    </row>
    <row r="8" spans="1:8" x14ac:dyDescent="0.35">
      <c r="A8" s="146" t="s">
        <v>6</v>
      </c>
      <c r="B8" s="146"/>
      <c r="C8" s="146"/>
      <c r="D8" s="146"/>
      <c r="E8" s="123" t="s">
        <v>180</v>
      </c>
      <c r="F8" s="123"/>
      <c r="G8" s="123"/>
      <c r="H8" s="123"/>
    </row>
    <row r="9" spans="1:8" x14ac:dyDescent="0.35">
      <c r="A9" s="146" t="s">
        <v>175</v>
      </c>
      <c r="B9" s="146"/>
      <c r="C9" s="146"/>
      <c r="D9" s="146"/>
      <c r="E9" s="146" t="s">
        <v>219</v>
      </c>
      <c r="F9" s="146"/>
      <c r="G9" s="146"/>
      <c r="H9" s="146"/>
    </row>
    <row r="10" spans="1:8" x14ac:dyDescent="0.35">
      <c r="A10" s="146" t="s">
        <v>176</v>
      </c>
      <c r="B10" s="146"/>
      <c r="C10" s="146"/>
      <c r="D10" s="146"/>
      <c r="E10" s="146" t="s">
        <v>30</v>
      </c>
      <c r="F10" s="146"/>
      <c r="G10" s="146"/>
      <c r="H10" s="146"/>
    </row>
    <row r="11" spans="1:8" x14ac:dyDescent="0.35">
      <c r="A11" s="146" t="s">
        <v>7</v>
      </c>
      <c r="B11" s="146"/>
      <c r="C11" s="146"/>
      <c r="D11" s="146"/>
      <c r="E11" s="152" t="s">
        <v>181</v>
      </c>
      <c r="F11" s="146"/>
      <c r="G11" s="146"/>
      <c r="H11" s="146"/>
    </row>
    <row r="12" spans="1:8" x14ac:dyDescent="0.35">
      <c r="A12" s="96" t="s">
        <v>8</v>
      </c>
      <c r="B12" s="96"/>
      <c r="C12" s="96"/>
      <c r="D12" s="96"/>
      <c r="E12" s="152" t="s">
        <v>199</v>
      </c>
      <c r="F12" s="152"/>
      <c r="G12" s="152"/>
      <c r="H12" s="152"/>
    </row>
    <row r="13" spans="1:8" x14ac:dyDescent="0.35">
      <c r="A13" s="96" t="s">
        <v>9</v>
      </c>
      <c r="B13" s="96"/>
      <c r="C13" s="96"/>
      <c r="D13" s="96"/>
      <c r="E13" s="152" t="s">
        <v>182</v>
      </c>
      <c r="F13" s="146"/>
      <c r="G13" s="146"/>
      <c r="H13" s="146"/>
    </row>
    <row r="14" spans="1:8" ht="50.25" customHeight="1" x14ac:dyDescent="0.35">
      <c r="A14" s="126" t="s">
        <v>10</v>
      </c>
      <c r="B14" s="126"/>
      <c r="C14" s="12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Shashwat Park Z-5 A and B Wing Apartment, Gut No.105, H. No. 5/1/A/1, near Shree Krishna Residency, Internal Road, Manjarli, Valivali, Badlapur East, Ambernath, Thane - 421503.</v>
      </c>
      <c r="D14" s="126"/>
      <c r="E14" s="126"/>
      <c r="F14" s="126"/>
      <c r="G14" s="126"/>
      <c r="H14" s="126"/>
    </row>
    <row r="15" spans="1:8" x14ac:dyDescent="0.35">
      <c r="A15" s="152" t="s">
        <v>183</v>
      </c>
      <c r="B15" s="152"/>
      <c r="C15" s="152" t="s">
        <v>184</v>
      </c>
      <c r="D15" s="152"/>
      <c r="E15" s="152"/>
      <c r="F15" s="152"/>
      <c r="G15" s="152"/>
      <c r="H15" s="152"/>
    </row>
    <row r="16" spans="1:8" ht="15.75" customHeight="1" x14ac:dyDescent="0.35">
      <c r="A16" s="152" t="s">
        <v>171</v>
      </c>
      <c r="B16" s="152"/>
      <c r="C16" s="152" t="s">
        <v>207</v>
      </c>
      <c r="D16" s="152"/>
      <c r="E16" s="152"/>
      <c r="F16" s="152"/>
      <c r="G16" s="152"/>
      <c r="H16" s="152"/>
    </row>
    <row r="17" spans="1:8" ht="15.75" customHeight="1" x14ac:dyDescent="0.35">
      <c r="A17" s="126" t="s">
        <v>11</v>
      </c>
      <c r="B17" s="126"/>
      <c r="C17" s="146" t="s">
        <v>215</v>
      </c>
      <c r="D17" s="146"/>
      <c r="E17" s="126" t="s">
        <v>75</v>
      </c>
      <c r="F17" s="126"/>
      <c r="G17" s="152" t="s">
        <v>216</v>
      </c>
      <c r="H17" s="152"/>
    </row>
    <row r="18" spans="1:8" x14ac:dyDescent="0.35">
      <c r="A18" s="96" t="s">
        <v>13</v>
      </c>
      <c r="B18" s="96"/>
      <c r="C18" s="152" t="s">
        <v>213</v>
      </c>
      <c r="D18" s="152"/>
      <c r="E18" s="126" t="s">
        <v>12</v>
      </c>
      <c r="F18" s="126"/>
      <c r="G18" s="171" t="s">
        <v>186</v>
      </c>
      <c r="H18" s="171"/>
    </row>
    <row r="19" spans="1:8" x14ac:dyDescent="0.35">
      <c r="A19" s="96" t="s">
        <v>76</v>
      </c>
      <c r="B19" s="96"/>
      <c r="C19" s="152" t="s">
        <v>185</v>
      </c>
      <c r="D19" s="152"/>
      <c r="E19" s="126" t="s">
        <v>14</v>
      </c>
      <c r="F19" s="126"/>
      <c r="G19" s="152">
        <v>421503</v>
      </c>
      <c r="H19" s="152"/>
    </row>
    <row r="20" spans="1:8" ht="32.25" customHeight="1" x14ac:dyDescent="0.35">
      <c r="A20" s="96" t="s">
        <v>128</v>
      </c>
      <c r="B20" s="96"/>
      <c r="C20" s="152" t="s">
        <v>212</v>
      </c>
      <c r="D20" s="152"/>
      <c r="E20" s="126" t="s">
        <v>15</v>
      </c>
      <c r="F20" s="126"/>
      <c r="G20" s="152" t="s">
        <v>211</v>
      </c>
      <c r="H20" s="152"/>
    </row>
    <row r="21" spans="1:8" ht="15" customHeight="1" x14ac:dyDescent="0.35">
      <c r="A21" s="126" t="s">
        <v>79</v>
      </c>
      <c r="B21" s="126"/>
      <c r="C21" s="126"/>
      <c r="D21" s="126"/>
      <c r="E21" s="146" t="s">
        <v>16</v>
      </c>
      <c r="F21" s="146"/>
      <c r="G21" s="146"/>
      <c r="H21" s="146"/>
    </row>
    <row r="22" spans="1:8" ht="18.75" customHeight="1" x14ac:dyDescent="0.35">
      <c r="A22" s="126"/>
      <c r="B22" s="126"/>
      <c r="C22" s="126"/>
      <c r="D22" s="126"/>
      <c r="E22" s="146"/>
      <c r="F22" s="146"/>
      <c r="G22" s="146"/>
      <c r="H22" s="146"/>
    </row>
    <row r="23" spans="1:8" ht="15" customHeight="1" x14ac:dyDescent="0.35">
      <c r="A23" s="126" t="s">
        <v>17</v>
      </c>
      <c r="B23" s="126"/>
      <c r="C23" s="126"/>
      <c r="D23" s="126"/>
      <c r="E23" s="152" t="s">
        <v>18</v>
      </c>
      <c r="F23" s="152"/>
      <c r="G23" s="152"/>
      <c r="H23" s="152"/>
    </row>
    <row r="24" spans="1:8" ht="15" customHeight="1" x14ac:dyDescent="0.35">
      <c r="A24" s="96" t="s">
        <v>19</v>
      </c>
      <c r="B24" s="96"/>
      <c r="C24" s="96"/>
      <c r="D24" s="96"/>
      <c r="E24" s="152" t="str">
        <f>IF(AND(G18="Mumbai"),"Upper Class","Middle Class")</f>
        <v>Middle Class</v>
      </c>
      <c r="F24" s="152"/>
      <c r="G24" s="152"/>
      <c r="H24" s="152"/>
    </row>
    <row r="25" spans="1:8" x14ac:dyDescent="0.35">
      <c r="A25" s="96" t="s">
        <v>20</v>
      </c>
      <c r="B25" s="96"/>
      <c r="C25" s="96"/>
      <c r="D25" s="96"/>
      <c r="E25" s="152" t="s">
        <v>21</v>
      </c>
      <c r="F25" s="152"/>
      <c r="G25" s="152"/>
      <c r="H25" s="152"/>
    </row>
    <row r="26" spans="1:8" ht="15.75" customHeight="1" x14ac:dyDescent="0.35">
      <c r="A26" s="96" t="s">
        <v>22</v>
      </c>
      <c r="B26" s="96"/>
      <c r="C26" s="96"/>
      <c r="D26" s="96"/>
      <c r="E26" s="152" t="str">
        <f>IF(AND(G18="Mumbai"),"Developed","Developing")</f>
        <v>Developing</v>
      </c>
      <c r="F26" s="152"/>
      <c r="G26" s="152"/>
      <c r="H26" s="152"/>
    </row>
    <row r="27" spans="1:8" x14ac:dyDescent="0.35">
      <c r="A27" s="96" t="s">
        <v>23</v>
      </c>
      <c r="B27" s="96"/>
      <c r="C27" s="96"/>
      <c r="D27" s="96"/>
      <c r="E27" s="152" t="s">
        <v>24</v>
      </c>
      <c r="F27" s="152"/>
      <c r="G27" s="152"/>
      <c r="H27" s="152"/>
    </row>
    <row r="28" spans="1:8" ht="15.75" customHeight="1" x14ac:dyDescent="0.35">
      <c r="A28" s="96" t="s">
        <v>84</v>
      </c>
      <c r="B28" s="96"/>
      <c r="C28" s="96"/>
      <c r="D28" s="96"/>
      <c r="E28" s="152" t="s">
        <v>85</v>
      </c>
      <c r="F28" s="152"/>
      <c r="G28" s="152"/>
      <c r="H28" s="152"/>
    </row>
    <row r="29" spans="1:8" ht="15" customHeight="1" x14ac:dyDescent="0.35">
      <c r="A29" s="96" t="s">
        <v>33</v>
      </c>
      <c r="B29" s="96"/>
      <c r="C29" s="96"/>
      <c r="D29" s="96"/>
      <c r="E29" s="15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52"/>
      <c r="G29" s="152"/>
      <c r="H29" s="152"/>
    </row>
    <row r="30" spans="1:8" ht="15.75" customHeight="1" x14ac:dyDescent="0.35">
      <c r="A30" s="96" t="s">
        <v>96</v>
      </c>
      <c r="B30" s="96"/>
      <c r="C30" s="96"/>
      <c r="D30" s="96"/>
      <c r="E30" s="152" t="s">
        <v>34</v>
      </c>
      <c r="F30" s="152"/>
      <c r="G30" s="152"/>
      <c r="H30" s="152"/>
    </row>
    <row r="31" spans="1:8" s="21" customFormat="1" x14ac:dyDescent="0.35">
      <c r="A31" s="170" t="s">
        <v>97</v>
      </c>
      <c r="B31" s="170"/>
      <c r="C31" s="169" t="s">
        <v>29</v>
      </c>
      <c r="D31" s="169"/>
      <c r="E31" s="169"/>
      <c r="F31" s="169" t="s">
        <v>31</v>
      </c>
      <c r="G31" s="169"/>
      <c r="H31" s="169"/>
    </row>
    <row r="32" spans="1:8" s="21" customFormat="1" x14ac:dyDescent="0.35">
      <c r="A32" s="153" t="s">
        <v>25</v>
      </c>
      <c r="B32" s="153" t="s">
        <v>30</v>
      </c>
      <c r="C32" s="154" t="s">
        <v>30</v>
      </c>
      <c r="D32" s="154"/>
      <c r="E32" s="154"/>
      <c r="F32" s="154" t="s">
        <v>209</v>
      </c>
      <c r="G32" s="154"/>
      <c r="H32" s="154"/>
    </row>
    <row r="33" spans="1:8" x14ac:dyDescent="0.35">
      <c r="A33" s="153" t="s">
        <v>26</v>
      </c>
      <c r="B33" s="153" t="s">
        <v>30</v>
      </c>
      <c r="C33" s="154" t="s">
        <v>30</v>
      </c>
      <c r="D33" s="154"/>
      <c r="E33" s="154"/>
      <c r="F33" s="94" t="s">
        <v>218</v>
      </c>
      <c r="G33" s="154"/>
      <c r="H33" s="154"/>
    </row>
    <row r="34" spans="1:8" s="21" customFormat="1" x14ac:dyDescent="0.35">
      <c r="A34" s="153" t="s">
        <v>28</v>
      </c>
      <c r="B34" s="153" t="s">
        <v>30</v>
      </c>
      <c r="C34" s="154" t="s">
        <v>30</v>
      </c>
      <c r="D34" s="154"/>
      <c r="E34" s="154"/>
      <c r="F34" s="94" t="s">
        <v>206</v>
      </c>
      <c r="G34" s="154"/>
      <c r="H34" s="154"/>
    </row>
    <row r="35" spans="1:8" x14ac:dyDescent="0.35">
      <c r="A35" s="153" t="s">
        <v>27</v>
      </c>
      <c r="B35" s="153" t="s">
        <v>30</v>
      </c>
      <c r="C35" s="154" t="s">
        <v>30</v>
      </c>
      <c r="D35" s="154"/>
      <c r="E35" s="154"/>
      <c r="F35" s="154" t="s">
        <v>210</v>
      </c>
      <c r="G35" s="154"/>
      <c r="H35" s="154"/>
    </row>
    <row r="36" spans="1:8" x14ac:dyDescent="0.35">
      <c r="A36" s="96" t="s">
        <v>32</v>
      </c>
      <c r="B36" s="96"/>
      <c r="C36" s="96"/>
      <c r="D36" s="96"/>
      <c r="E36" s="96"/>
      <c r="F36" s="96"/>
      <c r="G36" s="96"/>
      <c r="H36" s="96"/>
    </row>
    <row r="37" spans="1:8" ht="15.75" customHeight="1" x14ac:dyDescent="0.35">
      <c r="A37" s="96" t="s">
        <v>173</v>
      </c>
      <c r="B37" s="96"/>
      <c r="C37" s="156" t="s">
        <v>223</v>
      </c>
      <c r="D37" s="156"/>
      <c r="E37" s="156"/>
      <c r="F37" s="156"/>
      <c r="G37" s="156"/>
      <c r="H37" s="156"/>
    </row>
    <row r="38" spans="1:8" x14ac:dyDescent="0.35">
      <c r="A38" s="96" t="s">
        <v>170</v>
      </c>
      <c r="B38" s="96"/>
      <c r="C38" s="157" t="s">
        <v>208</v>
      </c>
      <c r="D38" s="152"/>
      <c r="E38" s="152"/>
      <c r="F38" s="152"/>
      <c r="G38" s="152"/>
      <c r="H38" s="152"/>
    </row>
    <row r="39" spans="1:8" x14ac:dyDescent="0.35">
      <c r="A39" s="156" t="s">
        <v>35</v>
      </c>
      <c r="B39" s="156"/>
      <c r="C39" s="156"/>
      <c r="D39" s="156"/>
      <c r="E39" s="156"/>
      <c r="F39" s="156"/>
      <c r="G39" s="156"/>
      <c r="H39" s="156"/>
    </row>
    <row r="40" spans="1:8" x14ac:dyDescent="0.35">
      <c r="A40" s="96" t="s">
        <v>36</v>
      </c>
      <c r="B40" s="96"/>
      <c r="C40" s="96"/>
      <c r="D40" s="96"/>
      <c r="E40" s="155">
        <v>1300</v>
      </c>
      <c r="F40" s="155"/>
      <c r="G40" s="155"/>
      <c r="H40" s="155"/>
    </row>
    <row r="41" spans="1:8" x14ac:dyDescent="0.35">
      <c r="A41" s="96" t="s">
        <v>37</v>
      </c>
      <c r="B41" s="96"/>
      <c r="C41" s="96"/>
      <c r="D41" s="96"/>
      <c r="E41" s="144">
        <v>1.1000000000000001</v>
      </c>
      <c r="F41" s="144"/>
      <c r="G41" s="144"/>
      <c r="H41" s="144"/>
    </row>
    <row r="42" spans="1:8" x14ac:dyDescent="0.35">
      <c r="A42" s="96" t="s">
        <v>38</v>
      </c>
      <c r="B42" s="96"/>
      <c r="C42" s="96"/>
      <c r="D42" s="96"/>
      <c r="E42" s="144">
        <f>E44/E40-E41</f>
        <v>1.1861538461538461</v>
      </c>
      <c r="F42" s="144"/>
      <c r="G42" s="144"/>
      <c r="H42" s="144"/>
    </row>
    <row r="43" spans="1:8" x14ac:dyDescent="0.35">
      <c r="A43" s="96" t="s">
        <v>39</v>
      </c>
      <c r="B43" s="96"/>
      <c r="C43" s="96"/>
      <c r="D43" s="96"/>
      <c r="E43" s="144">
        <f>E41+E42</f>
        <v>2.2861538461538462</v>
      </c>
      <c r="F43" s="144"/>
      <c r="G43" s="144"/>
      <c r="H43" s="144"/>
    </row>
    <row r="44" spans="1:8" x14ac:dyDescent="0.35">
      <c r="A44" s="96" t="s">
        <v>95</v>
      </c>
      <c r="B44" s="96"/>
      <c r="C44" s="96"/>
      <c r="D44" s="96"/>
      <c r="E44" s="145">
        <v>2972</v>
      </c>
      <c r="F44" s="145"/>
      <c r="G44" s="145"/>
      <c r="H44" s="145"/>
    </row>
    <row r="45" spans="1:8" x14ac:dyDescent="0.35">
      <c r="A45" s="146" t="s">
        <v>40</v>
      </c>
      <c r="B45" s="146"/>
      <c r="C45" s="146"/>
      <c r="D45" s="146"/>
      <c r="E45" s="146" t="s">
        <v>217</v>
      </c>
      <c r="F45" s="146"/>
      <c r="G45" s="146"/>
      <c r="H45" s="146"/>
    </row>
    <row r="46" spans="1:8" x14ac:dyDescent="0.35">
      <c r="A46" s="156" t="s">
        <v>41</v>
      </c>
      <c r="B46" s="156"/>
      <c r="C46" s="156"/>
      <c r="D46" s="156"/>
      <c r="E46" s="156"/>
      <c r="F46" s="156"/>
      <c r="G46" s="156"/>
      <c r="H46" s="156"/>
    </row>
    <row r="47" spans="1:8" ht="33.75" customHeight="1" x14ac:dyDescent="0.35">
      <c r="A47" s="82" t="s">
        <v>157</v>
      </c>
      <c r="B47" s="83"/>
      <c r="C47" s="84" t="s">
        <v>205</v>
      </c>
      <c r="D47" s="85"/>
      <c r="E47" s="85"/>
      <c r="F47" s="85"/>
      <c r="G47" s="85"/>
      <c r="H47" s="86"/>
    </row>
    <row r="48" spans="1:8" ht="15.75" customHeight="1" x14ac:dyDescent="0.35">
      <c r="A48" s="82" t="s">
        <v>42</v>
      </c>
      <c r="B48" s="83"/>
      <c r="C48" s="82" t="s">
        <v>200</v>
      </c>
      <c r="D48" s="187"/>
      <c r="E48" s="83"/>
      <c r="F48" s="17" t="s">
        <v>43</v>
      </c>
      <c r="G48" s="163">
        <v>44644</v>
      </c>
      <c r="H48" s="83"/>
    </row>
    <row r="49" spans="1:14" x14ac:dyDescent="0.35">
      <c r="A49" s="82" t="s">
        <v>44</v>
      </c>
      <c r="B49" s="83"/>
      <c r="C49" s="82" t="str">
        <f>C48</f>
        <v>KBNP/NRV/BD/2475-226</v>
      </c>
      <c r="D49" s="187"/>
      <c r="E49" s="83"/>
      <c r="F49" s="17" t="s">
        <v>43</v>
      </c>
      <c r="G49" s="163">
        <f>G48</f>
        <v>44644</v>
      </c>
      <c r="H49" s="164"/>
    </row>
    <row r="50" spans="1:14" s="22" customFormat="1" ht="32.25" customHeight="1" x14ac:dyDescent="0.35">
      <c r="A50" s="165" t="s">
        <v>161</v>
      </c>
      <c r="B50" s="166"/>
      <c r="C50" s="82" t="s">
        <v>202</v>
      </c>
      <c r="D50" s="187"/>
      <c r="E50" s="83"/>
      <c r="F50" s="17" t="s">
        <v>43</v>
      </c>
      <c r="G50" s="163">
        <f>G49</f>
        <v>44644</v>
      </c>
      <c r="H50" s="164"/>
    </row>
    <row r="51" spans="1:14" s="22" customFormat="1" x14ac:dyDescent="0.35">
      <c r="A51" s="167"/>
      <c r="B51" s="168"/>
      <c r="C51" s="82" t="s">
        <v>197</v>
      </c>
      <c r="D51" s="187"/>
      <c r="E51" s="187"/>
      <c r="F51" s="187"/>
      <c r="G51" s="187"/>
      <c r="H51" s="83"/>
    </row>
    <row r="52" spans="1:14" x14ac:dyDescent="0.35">
      <c r="A52" s="148" t="s">
        <v>45</v>
      </c>
      <c r="B52" s="149"/>
      <c r="C52" s="148" t="s">
        <v>109</v>
      </c>
      <c r="D52" s="150"/>
      <c r="E52" s="149"/>
      <c r="F52" s="44" t="s">
        <v>43</v>
      </c>
      <c r="G52" s="192" t="s">
        <v>30</v>
      </c>
      <c r="H52" s="193"/>
    </row>
    <row r="53" spans="1:14" x14ac:dyDescent="0.35">
      <c r="A53" s="151" t="s">
        <v>47</v>
      </c>
      <c r="B53" s="151"/>
      <c r="C53" s="151"/>
      <c r="D53" s="151"/>
      <c r="E53" s="151"/>
      <c r="F53" s="151"/>
      <c r="G53" s="151"/>
      <c r="H53" s="151"/>
    </row>
    <row r="54" spans="1:14" x14ac:dyDescent="0.35">
      <c r="A54" s="126" t="s">
        <v>94</v>
      </c>
      <c r="B54" s="126"/>
      <c r="C54" s="126"/>
      <c r="D54" s="96">
        <f>E44</f>
        <v>2972</v>
      </c>
      <c r="E54" s="96"/>
      <c r="F54" s="96"/>
      <c r="G54" s="96"/>
      <c r="H54" s="96"/>
    </row>
    <row r="55" spans="1:14" x14ac:dyDescent="0.35">
      <c r="A55" s="152" t="s">
        <v>48</v>
      </c>
      <c r="B55" s="146"/>
      <c r="C55" s="146"/>
      <c r="D55" s="146" t="s">
        <v>203</v>
      </c>
      <c r="E55" s="146"/>
      <c r="F55" s="146"/>
      <c r="G55" s="146"/>
      <c r="H55" s="146"/>
      <c r="I55" s="23"/>
    </row>
    <row r="56" spans="1:14" x14ac:dyDescent="0.35">
      <c r="A56" s="160" t="s">
        <v>49</v>
      </c>
      <c r="B56" s="161"/>
      <c r="C56" s="162"/>
      <c r="D56" s="158" t="s">
        <v>197</v>
      </c>
      <c r="E56" s="159"/>
      <c r="F56" s="159"/>
      <c r="G56" s="159"/>
      <c r="H56" s="159"/>
    </row>
    <row r="57" spans="1:14" ht="15.75" customHeight="1" x14ac:dyDescent="0.35">
      <c r="A57" s="160" t="s">
        <v>92</v>
      </c>
      <c r="B57" s="161"/>
      <c r="C57" s="161"/>
      <c r="D57" s="146" t="s">
        <v>197</v>
      </c>
      <c r="E57" s="146"/>
      <c r="F57" s="146"/>
      <c r="G57" s="146"/>
      <c r="H57" s="146"/>
    </row>
    <row r="58" spans="1:14" ht="15.75" hidden="1" customHeight="1" x14ac:dyDescent="0.35">
      <c r="A58" s="189"/>
      <c r="B58" s="190"/>
      <c r="C58" s="190"/>
      <c r="D58" s="191" t="s">
        <v>198</v>
      </c>
      <c r="E58" s="191"/>
      <c r="F58" s="191"/>
      <c r="G58" s="191"/>
      <c r="H58" s="191"/>
    </row>
    <row r="59" spans="1:14" ht="15.75" customHeight="1" x14ac:dyDescent="0.35">
      <c r="A59" s="96" t="s">
        <v>46</v>
      </c>
      <c r="B59" s="96"/>
      <c r="C59" s="96"/>
      <c r="D59" s="126" t="s">
        <v>201</v>
      </c>
      <c r="E59" s="126"/>
      <c r="F59" s="126"/>
      <c r="G59" s="126"/>
      <c r="H59" s="126"/>
      <c r="J59" s="24"/>
      <c r="K59" s="23"/>
      <c r="N59" s="23"/>
    </row>
    <row r="60" spans="1:14" ht="15.75" customHeight="1" x14ac:dyDescent="0.35">
      <c r="A60" s="96" t="s">
        <v>90</v>
      </c>
      <c r="B60" s="96"/>
      <c r="C60" s="96"/>
      <c r="D60" s="138" t="str">
        <f>(IF(G52="NA","60 Years After Completion",IF(G52&lt;&gt;"NA",""&amp;60-ROUNDDOWN((E3-G52)/360,0)&amp;" Years"," ")))</f>
        <v>60 Years After Completion</v>
      </c>
      <c r="E60" s="138"/>
      <c r="F60" s="138"/>
      <c r="G60" s="138"/>
      <c r="H60" s="138"/>
      <c r="N60" s="23"/>
    </row>
    <row r="61" spans="1:14" ht="15.75" customHeight="1" x14ac:dyDescent="0.35">
      <c r="A61" s="96" t="s">
        <v>91</v>
      </c>
      <c r="B61" s="96"/>
      <c r="C61" s="96"/>
      <c r="D61" s="126" t="s">
        <v>24</v>
      </c>
      <c r="E61" s="126"/>
      <c r="F61" s="126"/>
      <c r="G61" s="126"/>
      <c r="H61" s="126"/>
      <c r="J61" s="25"/>
      <c r="K61" s="25"/>
    </row>
    <row r="62" spans="1:14" ht="96" customHeight="1" x14ac:dyDescent="0.35">
      <c r="A62" s="96" t="s">
        <v>77</v>
      </c>
      <c r="B62" s="96"/>
      <c r="C62" s="96"/>
      <c r="D62" s="152" t="s">
        <v>204</v>
      </c>
      <c r="E62" s="152"/>
      <c r="F62" s="152"/>
      <c r="G62" s="152"/>
      <c r="H62" s="152"/>
    </row>
    <row r="63" spans="1:14" x14ac:dyDescent="0.35">
      <c r="A63" s="126" t="s">
        <v>154</v>
      </c>
      <c r="B63" s="126"/>
      <c r="C63" s="126"/>
      <c r="D63" s="126" t="s">
        <v>30</v>
      </c>
      <c r="E63" s="126"/>
      <c r="F63" s="126"/>
      <c r="G63" s="126"/>
      <c r="H63" s="126"/>
      <c r="I63" s="26"/>
      <c r="J63" s="26"/>
      <c r="K63" s="26"/>
      <c r="L63" s="26"/>
      <c r="M63" s="26"/>
      <c r="N63" s="26"/>
    </row>
    <row r="64" spans="1:14" ht="15.75" customHeight="1" x14ac:dyDescent="0.35">
      <c r="A64" s="96" t="s">
        <v>89</v>
      </c>
      <c r="B64" s="96"/>
      <c r="C64" s="96"/>
      <c r="D64" s="152" t="str">
        <f ca="1">(IF(G70&gt;95%,"Nothing",IF(G70&gt;0%,"Cement, Aggregate, Steel, etc",IF(G70=0%,"Work not yet Started"))))</f>
        <v>Cement, Aggregate, Steel, etc</v>
      </c>
      <c r="E64" s="152"/>
      <c r="F64" s="152"/>
      <c r="G64" s="152"/>
      <c r="H64" s="152"/>
      <c r="J64" s="25"/>
    </row>
    <row r="65" spans="1:10" ht="33.75" customHeight="1" thickBot="1" x14ac:dyDescent="0.4">
      <c r="A65" s="126" t="s">
        <v>122</v>
      </c>
      <c r="B65" s="126"/>
      <c r="C65" s="126"/>
      <c r="D65" s="152" t="str">
        <f ca="1">(IF(D64="Nothing","Yes",IF(D64="Cement, Aggregate, Steel, etc","Under Construction",IF(D64="Work not yet Started","Work not yet Started"))))</f>
        <v>Under Construction</v>
      </c>
      <c r="E65" s="152"/>
      <c r="F65" s="152" t="str">
        <f ca="1">(IF(D64="Nothing","Yes",IF(D64="Cement, Aggregate, Steel, etc","Under Construction",IF(D64="Work not yet Started","Work not yet Started"))))</f>
        <v>Under Construction</v>
      </c>
      <c r="G65" s="152"/>
      <c r="H65" s="152"/>
    </row>
    <row r="66" spans="1:10" ht="15.75" customHeight="1" x14ac:dyDescent="0.35">
      <c r="A66" s="147" t="s">
        <v>146</v>
      </c>
      <c r="B66" s="147"/>
      <c r="C66" s="124" t="s">
        <v>224</v>
      </c>
      <c r="D66" s="124"/>
      <c r="E66" s="124"/>
      <c r="F66" s="124"/>
      <c r="G66" s="124"/>
      <c r="H66" s="124"/>
      <c r="I66" s="65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Plaster, Flooring Completed, Painting upto 6 Floor, Finishing upto 1 Floor Completed</v>
      </c>
      <c r="J66" s="47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Painting upto 6 Floor, Finishing upto 1 Floor</v>
      </c>
    </row>
    <row r="67" spans="1:10" x14ac:dyDescent="0.35">
      <c r="A67" s="64" t="s">
        <v>148</v>
      </c>
      <c r="B67" s="64">
        <f>IF(AND(ISNUMBER(SEARCH("1B",C66))),1,IF(AND(ISNUMBER(SEARCH("2B",C66))),2,IF(AND(ISNUMBER(SEARCH("3B",C66))),3,IF(AND(ISNUMBER(SEARCH("4B",C66))),4,IF(ISNUMBER(SEARCH("5B",C66)),5,0)))))</f>
        <v>0</v>
      </c>
      <c r="C67" s="64" t="s">
        <v>74</v>
      </c>
      <c r="D67" s="64">
        <v>1</v>
      </c>
      <c r="E67" s="64" t="s">
        <v>73</v>
      </c>
      <c r="F67" s="64">
        <v>0</v>
      </c>
      <c r="G67" s="64" t="s">
        <v>83</v>
      </c>
      <c r="H67" s="64">
        <f ca="1">--TRIM(RIGHT(SUBSTITUTE(LEFT(C66,_xlfn.AGGREGATE(16,6,FIND({0,1,2,3,4,5,6,7,8,9},C66,ROW(INDIRECT("1:"&amp;LEN(C66)))),1))," ",REPT(" ",LEN(C66))),LEN(C66)))</f>
        <v>7</v>
      </c>
      <c r="I67" s="66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</v>
      </c>
      <c r="J67" s="49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3" customHeight="1" x14ac:dyDescent="0.35">
      <c r="A68" s="123" t="s">
        <v>93</v>
      </c>
      <c r="B68" s="123"/>
      <c r="C68" s="124" t="str">
        <f ca="1">I66</f>
        <v>Excavation, Plinth, RCC Slab, Brickwork, Internal Plaster, External Plaster, Flooring Completed, Painting upto 6 Floor, Finishing upto 1 Floor Completed</v>
      </c>
      <c r="D68" s="124"/>
      <c r="E68" s="124"/>
      <c r="F68" s="124"/>
      <c r="G68" s="124"/>
      <c r="H68" s="124"/>
      <c r="I68" s="66" t="str">
        <f ca="1">IF(I67&lt;&gt;""," Completed","")</f>
        <v xml:space="preserve"> Completed</v>
      </c>
      <c r="J68" s="49" t="str">
        <f ca="1">IF(J66&lt;&gt;"","Completed","")</f>
        <v>Completed</v>
      </c>
    </row>
    <row r="69" spans="1:10" x14ac:dyDescent="0.35">
      <c r="A69" s="115" t="s">
        <v>50</v>
      </c>
      <c r="B69" s="115"/>
      <c r="C69" s="63" t="s">
        <v>145</v>
      </c>
      <c r="D69" s="63" t="s">
        <v>86</v>
      </c>
      <c r="E69" s="115" t="s">
        <v>88</v>
      </c>
      <c r="F69" s="115"/>
      <c r="G69" s="115" t="s">
        <v>87</v>
      </c>
      <c r="H69" s="115"/>
      <c r="I69" s="13" t="s">
        <v>147</v>
      </c>
      <c r="J69" s="27">
        <f ca="1">H67*25%</f>
        <v>1.75</v>
      </c>
    </row>
    <row r="70" spans="1:10" x14ac:dyDescent="0.35">
      <c r="A70" s="114" t="s">
        <v>134</v>
      </c>
      <c r="B70" s="115"/>
      <c r="C70" s="42">
        <f ca="1">J71</f>
        <v>7</v>
      </c>
      <c r="D70" s="18">
        <f ca="1">((100/H67)*C70)/100</f>
        <v>1</v>
      </c>
      <c r="E70" s="127">
        <f ca="1">(((C71/H67*10)+(40/(D67+F67+H67)*C72)+(7.5/(H67)*C73)+(7.5/(H67)*C74)+(10/H67*C75)+(10/H67*C76)+(5/H67*C77)+(5/H67*C78)+(5/H67*C79))/100)</f>
        <v>0.9</v>
      </c>
      <c r="F70" s="128"/>
      <c r="G70" s="127">
        <f ca="1">((((C70/H67)*20)+((C71/H67)*25)+(30/(H67+F67+D67)*C72)+(5/H67*C73)+(5/H67*C74)+(5/H67*C75)+(5/H67*C76)+(0/H67*C77)+(0/H67*C78)+(5/H67*C79))/100)</f>
        <v>0.95</v>
      </c>
      <c r="H70" s="133"/>
      <c r="I70" s="13" t="s">
        <v>104</v>
      </c>
      <c r="J70" s="28">
        <f ca="1">H67*50%</f>
        <v>3.5</v>
      </c>
    </row>
    <row r="71" spans="1:10" x14ac:dyDescent="0.35">
      <c r="A71" s="114" t="s">
        <v>51</v>
      </c>
      <c r="B71" s="115"/>
      <c r="C71" s="42">
        <f ca="1">J79</f>
        <v>7</v>
      </c>
      <c r="D71" s="18">
        <f ca="1">((100/H67)*C71)/100</f>
        <v>1</v>
      </c>
      <c r="E71" s="129"/>
      <c r="F71" s="130"/>
      <c r="G71" s="129"/>
      <c r="H71" s="134"/>
      <c r="I71" s="13" t="s">
        <v>105</v>
      </c>
      <c r="J71" s="28">
        <f ca="1">H67</f>
        <v>7</v>
      </c>
    </row>
    <row r="72" spans="1:10" ht="15.75" customHeight="1" x14ac:dyDescent="0.35">
      <c r="A72" s="114" t="s">
        <v>135</v>
      </c>
      <c r="B72" s="115"/>
      <c r="C72" s="42">
        <v>8</v>
      </c>
      <c r="D72" s="18">
        <f ca="1">((100/(D67+F67+H67))*C72)/100</f>
        <v>1</v>
      </c>
      <c r="E72" s="129"/>
      <c r="F72" s="130"/>
      <c r="G72" s="129"/>
      <c r="H72" s="134"/>
      <c r="I72" s="13" t="s">
        <v>106</v>
      </c>
      <c r="J72" s="29">
        <f ca="1">(IF(B67&gt;1,(H67/(B67+2)),H67/4))</f>
        <v>1.75</v>
      </c>
    </row>
    <row r="73" spans="1:10" ht="15.75" customHeight="1" x14ac:dyDescent="0.35">
      <c r="A73" s="114" t="s">
        <v>142</v>
      </c>
      <c r="B73" s="115" t="s">
        <v>136</v>
      </c>
      <c r="C73" s="42">
        <v>7</v>
      </c>
      <c r="D73" s="18">
        <f ca="1">((100/H67)*C73)/100</f>
        <v>1</v>
      </c>
      <c r="E73" s="129"/>
      <c r="F73" s="130"/>
      <c r="G73" s="129"/>
      <c r="H73" s="134"/>
      <c r="I73" s="13" t="s">
        <v>107</v>
      </c>
      <c r="J73" s="29">
        <f ca="1">(IF(B67&gt;1,(H67/(B67+2)+J72),H67/4+J72))</f>
        <v>3.5</v>
      </c>
    </row>
    <row r="74" spans="1:10" ht="15.75" customHeight="1" x14ac:dyDescent="0.35">
      <c r="A74" s="114" t="s">
        <v>143</v>
      </c>
      <c r="B74" s="115" t="s">
        <v>136</v>
      </c>
      <c r="C74" s="42">
        <v>7</v>
      </c>
      <c r="D74" s="18">
        <f ca="1">((100/H67)*C74)/100</f>
        <v>1</v>
      </c>
      <c r="E74" s="129"/>
      <c r="F74" s="130"/>
      <c r="G74" s="129"/>
      <c r="H74" s="134"/>
      <c r="I74" s="13" t="s">
        <v>152</v>
      </c>
      <c r="J74" s="29">
        <f>(IF(B67&gt;1,(H67/(B67+2)+J73),0))</f>
        <v>0</v>
      </c>
    </row>
    <row r="75" spans="1:10" ht="15" customHeight="1" x14ac:dyDescent="0.35">
      <c r="A75" s="114" t="s">
        <v>141</v>
      </c>
      <c r="B75" s="115" t="s">
        <v>138</v>
      </c>
      <c r="C75" s="42">
        <v>7</v>
      </c>
      <c r="D75" s="18">
        <f ca="1">((100/(H67))*C75)/100</f>
        <v>1</v>
      </c>
      <c r="E75" s="129"/>
      <c r="F75" s="130"/>
      <c r="G75" s="129"/>
      <c r="H75" s="134"/>
      <c r="I75" s="13" t="s">
        <v>149</v>
      </c>
      <c r="J75" s="29">
        <f>(IF(B67&gt;2,(H67/(B67+2)+J74),0))</f>
        <v>0</v>
      </c>
    </row>
    <row r="76" spans="1:10" ht="15.75" customHeight="1" x14ac:dyDescent="0.35">
      <c r="A76" s="114" t="s">
        <v>137</v>
      </c>
      <c r="B76" s="115" t="s">
        <v>137</v>
      </c>
      <c r="C76" s="42">
        <v>7</v>
      </c>
      <c r="D76" s="18">
        <f ca="1">((100/H67)*C76)/100</f>
        <v>1</v>
      </c>
      <c r="E76" s="129"/>
      <c r="F76" s="130"/>
      <c r="G76" s="129"/>
      <c r="H76" s="134"/>
      <c r="I76" s="13" t="s">
        <v>150</v>
      </c>
      <c r="J76" s="30">
        <f>(IF(B67&gt;3,(H67/(B67+2)+J75),0))</f>
        <v>0</v>
      </c>
    </row>
    <row r="77" spans="1:10" ht="15.75" customHeight="1" x14ac:dyDescent="0.35">
      <c r="A77" s="114" t="s">
        <v>144</v>
      </c>
      <c r="B77" s="115"/>
      <c r="C77" s="42">
        <v>6</v>
      </c>
      <c r="D77" s="18">
        <f ca="1">((100/H67)*C77)/100</f>
        <v>0.85714285714285721</v>
      </c>
      <c r="E77" s="129"/>
      <c r="F77" s="130"/>
      <c r="G77" s="129"/>
      <c r="H77" s="134"/>
      <c r="I77" s="13" t="s">
        <v>151</v>
      </c>
      <c r="J77" s="29">
        <f>(IF(B67&gt;4,(H67/(B67+2)+J76),0))</f>
        <v>0</v>
      </c>
    </row>
    <row r="78" spans="1:10" ht="15.75" customHeight="1" x14ac:dyDescent="0.35">
      <c r="A78" s="114" t="s">
        <v>139</v>
      </c>
      <c r="B78" s="115" t="s">
        <v>139</v>
      </c>
      <c r="C78" s="42">
        <v>1</v>
      </c>
      <c r="D78" s="18">
        <f ca="1">((100/(H67))*C78)/100</f>
        <v>0.14285714285714288</v>
      </c>
      <c r="E78" s="129"/>
      <c r="F78" s="130"/>
      <c r="G78" s="129"/>
      <c r="H78" s="134"/>
      <c r="I78" s="13" t="s">
        <v>153</v>
      </c>
      <c r="J78" s="29">
        <f ca="1">(IF(B67=1,(H67/(B67+3)+J73),IF(B67=0,(H67/4+J73),IF(B67&gt;1,0))))</f>
        <v>5.25</v>
      </c>
    </row>
    <row r="79" spans="1:10" ht="16" thickBot="1" x14ac:dyDescent="0.4">
      <c r="A79" s="136" t="s">
        <v>140</v>
      </c>
      <c r="B79" s="137"/>
      <c r="C79" s="43">
        <v>0</v>
      </c>
      <c r="D79" s="19">
        <f ca="1">((100/(H67))*C79)/100</f>
        <v>0</v>
      </c>
      <c r="E79" s="131"/>
      <c r="F79" s="132"/>
      <c r="G79" s="131"/>
      <c r="H79" s="135"/>
      <c r="I79" s="14" t="s">
        <v>108</v>
      </c>
      <c r="J79" s="31">
        <f ca="1">(IF(B67&gt;1.5,(H67/(B67+2)+J73+MAX(0,J74-J73)+MAX(0,J75-J74)+MAX(0,J76-J75)+MAX(0,J77-J76)+MAX(0,J78-J77)),IF(B67=1,(H67/(B67+3)+J78),IF(B67=0,H67/4+J78))))</f>
        <v>7</v>
      </c>
    </row>
    <row r="80" spans="1:10" ht="15.75" customHeight="1" x14ac:dyDescent="0.35">
      <c r="A80" s="139" t="s">
        <v>146</v>
      </c>
      <c r="B80" s="140"/>
      <c r="C80" s="141" t="str">
        <f>D58</f>
        <v>Wing B = Gr + 1st to 7th Floor</v>
      </c>
      <c r="D80" s="142"/>
      <c r="E80" s="142"/>
      <c r="F80" s="142"/>
      <c r="G80" s="142"/>
      <c r="H80" s="143"/>
      <c r="I80" s="46" t="str">
        <f ca="1">IF(D93=100%,"All work Completed. Possession granted to the Building.",IF(D92=100%,"All work Completed, Waiting for OC",I81&amp;""&amp;I82&amp;""&amp;J81&amp;""&amp;J80&amp;" "&amp;J82))</f>
        <v>Excavation, Plinth, RCC Slab, Brickwork, Internal Plaster, External Plaster, Flooring Completed, Painting upto 6 Floor, Finishing upto 1 Floor Completed</v>
      </c>
      <c r="J80" s="47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Painting upto 6 Floor, Finishing upto 1 Floor</v>
      </c>
    </row>
    <row r="81" spans="1:10" x14ac:dyDescent="0.35">
      <c r="A81" s="15" t="s">
        <v>148</v>
      </c>
      <c r="B81" s="56">
        <f>IF(AND(ISNUMBER(SEARCH("1B",C80))),1,IF(AND(ISNUMBER(SEARCH("2B",C80))),2,IF(AND(ISNUMBER(SEARCH("3B",C80))),3,IF(AND(ISNUMBER(SEARCH("4B",C80))),4,IF(ISNUMBER(SEARCH("5B",C80)),5,0)))))</f>
        <v>0</v>
      </c>
      <c r="C81" s="56" t="s">
        <v>74</v>
      </c>
      <c r="D81" s="56">
        <v>1</v>
      </c>
      <c r="E81" s="56" t="s">
        <v>73</v>
      </c>
      <c r="F81" s="56">
        <v>0</v>
      </c>
      <c r="G81" s="56" t="s">
        <v>83</v>
      </c>
      <c r="H81" s="16">
        <f ca="1">--TRIM(RIGHT(SUBSTITUTE(LEFT(C80,_xlfn.AGGREGATE(16,6,FIND({0,1,2,3,4,5,6,7,8,9},C80,ROW(INDIRECT("1:"&amp;LEN(C80)))),1))," ",REPT(" ",LEN(C80))),LEN(C80)))</f>
        <v>7</v>
      </c>
      <c r="I81" s="48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Brickwork, Internal Plaster, External Plaster, Flooring</v>
      </c>
      <c r="J81" s="49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3.5" customHeight="1" x14ac:dyDescent="0.35">
      <c r="A82" s="122" t="s">
        <v>93</v>
      </c>
      <c r="B82" s="123"/>
      <c r="C82" s="124" t="str">
        <f ca="1">(IF($G$52="NA",I80,"All work Completed. OC Received."))</f>
        <v>Excavation, Plinth, RCC Slab, Brickwork, Internal Plaster, External Plaster, Flooring Completed, Painting upto 6 Floor, Finishing upto 1 Floor Completed</v>
      </c>
      <c r="D82" s="124"/>
      <c r="E82" s="124"/>
      <c r="F82" s="124"/>
      <c r="G82" s="124"/>
      <c r="H82" s="125"/>
      <c r="I82" s="48" t="str">
        <f ca="1">IF(I81&lt;&gt;""," Completed","")</f>
        <v xml:space="preserve"> Completed</v>
      </c>
      <c r="J82" s="49" t="str">
        <f ca="1">IF(J80&lt;&gt;"","Completed","")</f>
        <v>Completed</v>
      </c>
    </row>
    <row r="83" spans="1:10" ht="15.75" customHeight="1" x14ac:dyDescent="0.35">
      <c r="A83" s="93" t="s">
        <v>50</v>
      </c>
      <c r="B83" s="94"/>
      <c r="C83" s="57" t="s">
        <v>145</v>
      </c>
      <c r="D83" s="57" t="s">
        <v>86</v>
      </c>
      <c r="E83" s="94" t="s">
        <v>88</v>
      </c>
      <c r="F83" s="94"/>
      <c r="G83" s="94" t="s">
        <v>87</v>
      </c>
      <c r="H83" s="99"/>
      <c r="I83" s="13" t="s">
        <v>147</v>
      </c>
      <c r="J83" s="27">
        <f ca="1">H81*25%</f>
        <v>1.75</v>
      </c>
    </row>
    <row r="84" spans="1:10" x14ac:dyDescent="0.35">
      <c r="A84" s="93" t="s">
        <v>134</v>
      </c>
      <c r="B84" s="94"/>
      <c r="C84" s="57">
        <f ca="1">J85</f>
        <v>7</v>
      </c>
      <c r="D84" s="58">
        <f ca="1">((100/H81)*C84)/100</f>
        <v>1</v>
      </c>
      <c r="E84" s="87">
        <f ca="1">(((C85/H81*10)+(40/(D81+F81+H81)*C86)+(7.5/(H81)*C87)+(7.5/(H81)*C88)+(10/H81*C89)+(10/H81*C90)+(5/H81*C91)+(5/H81*C92)+(5/H81*C93))/100)</f>
        <v>0.9</v>
      </c>
      <c r="F84" s="117"/>
      <c r="G84" s="87">
        <f ca="1">((((C84/H81)*20)+((C85/H81)*25)+(30/(H81+F81+D81)*C86)+(5/H81*C87)+(5/H81*C88)+(5/H81*C89)+(5/H81*C90)+(0/H81*C91)+(0/H81*C92)+(5/H81*C93))/100)</f>
        <v>0.95</v>
      </c>
      <c r="H84" s="88"/>
      <c r="I84" s="13" t="s">
        <v>104</v>
      </c>
      <c r="J84" s="28">
        <f ca="1">H81*50%</f>
        <v>3.5</v>
      </c>
    </row>
    <row r="85" spans="1:10" x14ac:dyDescent="0.35">
      <c r="A85" s="93" t="s">
        <v>51</v>
      </c>
      <c r="B85" s="94"/>
      <c r="C85" s="59">
        <f ca="1">J93</f>
        <v>7</v>
      </c>
      <c r="D85" s="58">
        <f ca="1">((100/H81)*C85)/100</f>
        <v>1</v>
      </c>
      <c r="E85" s="89"/>
      <c r="F85" s="118"/>
      <c r="G85" s="89"/>
      <c r="H85" s="90"/>
      <c r="I85" s="13" t="s">
        <v>105</v>
      </c>
      <c r="J85" s="28">
        <f ca="1">H81</f>
        <v>7</v>
      </c>
    </row>
    <row r="86" spans="1:10" ht="15.75" customHeight="1" x14ac:dyDescent="0.35">
      <c r="A86" s="93" t="s">
        <v>135</v>
      </c>
      <c r="B86" s="94"/>
      <c r="C86" s="57">
        <v>8</v>
      </c>
      <c r="D86" s="58">
        <f ca="1">((100/(D81+F81+H81))*C86)/100</f>
        <v>1</v>
      </c>
      <c r="E86" s="89"/>
      <c r="F86" s="118"/>
      <c r="G86" s="89"/>
      <c r="H86" s="90"/>
      <c r="I86" s="13" t="s">
        <v>106</v>
      </c>
      <c r="J86" s="29">
        <f ca="1">(IF(B81&gt;1,(H81/(B81+2)),H81/4))</f>
        <v>1.75</v>
      </c>
    </row>
    <row r="87" spans="1:10" ht="15.75" customHeight="1" x14ac:dyDescent="0.35">
      <c r="A87" s="93" t="s">
        <v>142</v>
      </c>
      <c r="B87" s="94" t="s">
        <v>136</v>
      </c>
      <c r="C87" s="57">
        <v>7</v>
      </c>
      <c r="D87" s="58">
        <f ca="1">((100/H81)*C87)/100</f>
        <v>1</v>
      </c>
      <c r="E87" s="89"/>
      <c r="F87" s="118"/>
      <c r="G87" s="89"/>
      <c r="H87" s="90"/>
      <c r="I87" s="13" t="s">
        <v>107</v>
      </c>
      <c r="J87" s="29">
        <f ca="1">(IF(B81&gt;1,(H81/(B81+2)+J86),H81/4+J86))</f>
        <v>3.5</v>
      </c>
    </row>
    <row r="88" spans="1:10" ht="15.75" customHeight="1" x14ac:dyDescent="0.35">
      <c r="A88" s="93" t="s">
        <v>143</v>
      </c>
      <c r="B88" s="94" t="s">
        <v>136</v>
      </c>
      <c r="C88" s="57">
        <v>7</v>
      </c>
      <c r="D88" s="58">
        <f ca="1">((100/H81)*C88)/100</f>
        <v>1</v>
      </c>
      <c r="E88" s="89"/>
      <c r="F88" s="118"/>
      <c r="G88" s="89"/>
      <c r="H88" s="90"/>
      <c r="I88" s="13" t="s">
        <v>152</v>
      </c>
      <c r="J88" s="29">
        <f>(IF(B81&gt;1,(H81/(B81+2)+J87),0))</f>
        <v>0</v>
      </c>
    </row>
    <row r="89" spans="1:10" ht="15" customHeight="1" x14ac:dyDescent="0.35">
      <c r="A89" s="93" t="s">
        <v>141</v>
      </c>
      <c r="B89" s="94" t="s">
        <v>138</v>
      </c>
      <c r="C89" s="57">
        <v>7</v>
      </c>
      <c r="D89" s="58">
        <f ca="1">((100/(H81))*C89)/100</f>
        <v>1</v>
      </c>
      <c r="E89" s="89"/>
      <c r="F89" s="118"/>
      <c r="G89" s="89"/>
      <c r="H89" s="90"/>
      <c r="I89" s="13" t="s">
        <v>149</v>
      </c>
      <c r="J89" s="29">
        <f>(IF(B81&gt;2,(H81/(B81+2)+J88),0))</f>
        <v>0</v>
      </c>
    </row>
    <row r="90" spans="1:10" ht="15.75" customHeight="1" x14ac:dyDescent="0.35">
      <c r="A90" s="93" t="s">
        <v>137</v>
      </c>
      <c r="B90" s="94" t="s">
        <v>137</v>
      </c>
      <c r="C90" s="57">
        <v>7</v>
      </c>
      <c r="D90" s="58">
        <f ca="1">((100/H81)*C90)/100</f>
        <v>1</v>
      </c>
      <c r="E90" s="89"/>
      <c r="F90" s="118"/>
      <c r="G90" s="89"/>
      <c r="H90" s="90"/>
      <c r="I90" s="13" t="s">
        <v>150</v>
      </c>
      <c r="J90" s="30">
        <f>(IF(B81&gt;3,(H81/(B81+2)+J89),0))</f>
        <v>0</v>
      </c>
    </row>
    <row r="91" spans="1:10" ht="15.75" customHeight="1" x14ac:dyDescent="0.35">
      <c r="A91" s="93" t="s">
        <v>144</v>
      </c>
      <c r="B91" s="94"/>
      <c r="C91" s="57">
        <v>6</v>
      </c>
      <c r="D91" s="58">
        <f ca="1">((100/H81)*C91)/100</f>
        <v>0.85714285714285721</v>
      </c>
      <c r="E91" s="89"/>
      <c r="F91" s="118"/>
      <c r="G91" s="89"/>
      <c r="H91" s="90"/>
      <c r="I91" s="13" t="s">
        <v>151</v>
      </c>
      <c r="J91" s="29">
        <f>(IF(B81&gt;4,(H81/(B81+2)+J90),0))</f>
        <v>0</v>
      </c>
    </row>
    <row r="92" spans="1:10" ht="15.75" customHeight="1" x14ac:dyDescent="0.35">
      <c r="A92" s="93" t="s">
        <v>139</v>
      </c>
      <c r="B92" s="94" t="s">
        <v>139</v>
      </c>
      <c r="C92" s="57">
        <v>1</v>
      </c>
      <c r="D92" s="58">
        <f ca="1">((100/(H81))*C92)/100</f>
        <v>0.14285714285714288</v>
      </c>
      <c r="E92" s="89"/>
      <c r="F92" s="118"/>
      <c r="G92" s="89"/>
      <c r="H92" s="90"/>
      <c r="I92" s="13" t="s">
        <v>153</v>
      </c>
      <c r="J92" s="29">
        <f ca="1">(IF(B81=1,(H81/(B81+3)+J87),IF(B81=0,(H81/4+J87),IF(B81&gt;1,0))))</f>
        <v>5.25</v>
      </c>
    </row>
    <row r="93" spans="1:10" ht="16" thickBot="1" x14ac:dyDescent="0.4">
      <c r="A93" s="120" t="s">
        <v>140</v>
      </c>
      <c r="B93" s="121"/>
      <c r="C93" s="60">
        <v>0</v>
      </c>
      <c r="D93" s="61">
        <f ca="1">((100/(H81))*C93)/100</f>
        <v>0</v>
      </c>
      <c r="E93" s="91"/>
      <c r="F93" s="119"/>
      <c r="G93" s="91"/>
      <c r="H93" s="92"/>
      <c r="I93" s="14" t="s">
        <v>108</v>
      </c>
      <c r="J93" s="31">
        <f ca="1">(IF(B81&gt;1.5,(H81/(B81+2)+J87+MAX(0,J88-J87)+MAX(0,J89-J88)+MAX(0,J90-J89)+MAX(0,J91-J90)+MAX(0,J92-J91)),IF(B81=1,(H81/(B81+3)+J92),IF(B81=0,H81/4+J92))))</f>
        <v>7</v>
      </c>
    </row>
    <row r="94" spans="1:10" x14ac:dyDescent="0.35">
      <c r="A94" s="100" t="s">
        <v>163</v>
      </c>
      <c r="B94" s="100"/>
      <c r="C94" s="100"/>
      <c r="D94" s="100"/>
      <c r="E94" s="100"/>
      <c r="F94" s="105" t="s">
        <v>168</v>
      </c>
      <c r="G94" s="105"/>
      <c r="H94" s="105"/>
    </row>
    <row r="95" spans="1:10" x14ac:dyDescent="0.35">
      <c r="A95" s="96" t="s">
        <v>166</v>
      </c>
      <c r="B95" s="96"/>
      <c r="C95" s="96"/>
      <c r="D95" s="96"/>
      <c r="E95" s="96"/>
      <c r="F95" s="95">
        <v>3800</v>
      </c>
      <c r="G95" s="95"/>
      <c r="H95" s="95"/>
    </row>
    <row r="96" spans="1:10" hidden="1" x14ac:dyDescent="0.35">
      <c r="A96" s="96" t="s">
        <v>165</v>
      </c>
      <c r="B96" s="96"/>
      <c r="C96" s="96"/>
      <c r="D96" s="96"/>
      <c r="E96" s="96"/>
      <c r="F96" s="95"/>
      <c r="G96" s="95"/>
      <c r="H96" s="95"/>
    </row>
    <row r="97" spans="1:8" hidden="1" x14ac:dyDescent="0.35">
      <c r="A97" s="96" t="s">
        <v>167</v>
      </c>
      <c r="B97" s="96"/>
      <c r="C97" s="96"/>
      <c r="D97" s="96"/>
      <c r="E97" s="96"/>
      <c r="F97" s="95"/>
      <c r="G97" s="95"/>
      <c r="H97" s="95"/>
    </row>
    <row r="98" spans="1:8" s="32" customFormat="1" hidden="1" x14ac:dyDescent="0.3">
      <c r="A98" s="96" t="s">
        <v>164</v>
      </c>
      <c r="B98" s="96"/>
      <c r="C98" s="96"/>
      <c r="D98" s="96"/>
      <c r="E98" s="96"/>
      <c r="F98" s="95"/>
      <c r="G98" s="95"/>
      <c r="H98" s="95"/>
    </row>
    <row r="99" spans="1:8" s="32" customFormat="1" x14ac:dyDescent="0.3">
      <c r="A99" s="96" t="s">
        <v>98</v>
      </c>
      <c r="B99" s="96"/>
      <c r="C99" s="96"/>
      <c r="D99" s="96"/>
      <c r="E99" s="96"/>
      <c r="F99" s="95">
        <v>250000</v>
      </c>
      <c r="G99" s="95"/>
      <c r="H99" s="95"/>
    </row>
    <row r="100" spans="1:8" s="32" customFormat="1" hidden="1" x14ac:dyDescent="0.3">
      <c r="A100" s="96" t="s">
        <v>99</v>
      </c>
      <c r="B100" s="96"/>
      <c r="C100" s="96"/>
      <c r="D100" s="96"/>
      <c r="E100" s="96"/>
      <c r="F100" s="95"/>
      <c r="G100" s="95"/>
      <c r="H100" s="95"/>
    </row>
    <row r="101" spans="1:8" s="32" customFormat="1" hidden="1" x14ac:dyDescent="0.3">
      <c r="A101" s="96" t="s">
        <v>169</v>
      </c>
      <c r="B101" s="96"/>
      <c r="C101" s="96"/>
      <c r="D101" s="96"/>
      <c r="E101" s="96"/>
      <c r="F101" s="95"/>
      <c r="G101" s="95"/>
      <c r="H101" s="95"/>
    </row>
    <row r="102" spans="1:8" s="32" customFormat="1" hidden="1" x14ac:dyDescent="0.3">
      <c r="A102" s="96" t="s">
        <v>100</v>
      </c>
      <c r="B102" s="96"/>
      <c r="C102" s="96"/>
      <c r="D102" s="96"/>
      <c r="E102" s="96"/>
      <c r="F102" s="95"/>
      <c r="G102" s="95"/>
      <c r="H102" s="95"/>
    </row>
    <row r="103" spans="1:8" s="32" customFormat="1" hidden="1" x14ac:dyDescent="0.3">
      <c r="A103" s="96" t="s">
        <v>101</v>
      </c>
      <c r="B103" s="96"/>
      <c r="C103" s="96"/>
      <c r="D103" s="96"/>
      <c r="E103" s="96"/>
      <c r="F103" s="95"/>
      <c r="G103" s="95"/>
      <c r="H103" s="95"/>
    </row>
    <row r="104" spans="1:8" s="32" customFormat="1" hidden="1" x14ac:dyDescent="0.3">
      <c r="A104" s="96" t="s">
        <v>102</v>
      </c>
      <c r="B104" s="96"/>
      <c r="C104" s="96"/>
      <c r="D104" s="96"/>
      <c r="E104" s="96"/>
      <c r="F104" s="95"/>
      <c r="G104" s="95"/>
      <c r="H104" s="95"/>
    </row>
    <row r="105" spans="1:8" s="32" customFormat="1" x14ac:dyDescent="0.3">
      <c r="A105" s="96" t="s">
        <v>103</v>
      </c>
      <c r="B105" s="96"/>
      <c r="C105" s="96"/>
      <c r="D105" s="96"/>
      <c r="E105" s="96"/>
      <c r="F105" s="95">
        <v>25000</v>
      </c>
      <c r="G105" s="95"/>
      <c r="H105" s="95"/>
    </row>
    <row r="106" spans="1:8" x14ac:dyDescent="0.35">
      <c r="A106" s="96" t="s">
        <v>52</v>
      </c>
      <c r="B106" s="96"/>
      <c r="C106" s="96"/>
      <c r="D106" s="96"/>
      <c r="E106" s="96"/>
      <c r="F106" s="95">
        <v>200000</v>
      </c>
      <c r="G106" s="95"/>
      <c r="H106" s="95"/>
    </row>
    <row r="107" spans="1:8" s="33" customFormat="1" x14ac:dyDescent="0.35">
      <c r="A107" s="156" t="s">
        <v>53</v>
      </c>
      <c r="B107" s="156"/>
      <c r="C107" s="156"/>
      <c r="D107" s="156"/>
      <c r="E107" s="156"/>
      <c r="F107" s="95">
        <f>F95*0.8</f>
        <v>3040</v>
      </c>
      <c r="G107" s="95"/>
      <c r="H107" s="95"/>
    </row>
    <row r="108" spans="1:8" s="34" customFormat="1" ht="15.75" hidden="1" customHeight="1" x14ac:dyDescent="0.35">
      <c r="A108" s="104" t="s">
        <v>78</v>
      </c>
      <c r="B108" s="104"/>
      <c r="C108" s="104"/>
      <c r="D108" s="104"/>
      <c r="E108" s="104"/>
      <c r="F108" s="104"/>
      <c r="G108" s="104"/>
      <c r="H108" s="104"/>
    </row>
    <row r="109" spans="1:8" s="34" customFormat="1" ht="15.75" hidden="1" customHeight="1" x14ac:dyDescent="0.35">
      <c r="A109" s="102" t="s">
        <v>54</v>
      </c>
      <c r="B109" s="102"/>
      <c r="C109" s="103" t="s">
        <v>81</v>
      </c>
      <c r="D109" s="103"/>
      <c r="E109" s="101" t="s">
        <v>55</v>
      </c>
      <c r="F109" s="101"/>
      <c r="G109" s="102" t="s">
        <v>56</v>
      </c>
      <c r="H109" s="102"/>
    </row>
    <row r="110" spans="1:8" s="34" customFormat="1" hidden="1" x14ac:dyDescent="0.35">
      <c r="A110" s="111"/>
      <c r="B110" s="111"/>
      <c r="C110" s="107"/>
      <c r="D110" s="107"/>
      <c r="E110" s="108"/>
      <c r="F110" s="108"/>
      <c r="G110" s="110"/>
      <c r="H110" s="110"/>
    </row>
    <row r="111" spans="1:8" s="34" customFormat="1" hidden="1" x14ac:dyDescent="0.35">
      <c r="A111" s="111"/>
      <c r="B111" s="111"/>
      <c r="C111" s="107"/>
      <c r="D111" s="107"/>
      <c r="E111" s="108"/>
      <c r="F111" s="108"/>
      <c r="G111" s="110"/>
      <c r="H111" s="110"/>
    </row>
    <row r="112" spans="1:8" s="34" customFormat="1" hidden="1" x14ac:dyDescent="0.35">
      <c r="A112" s="104" t="s">
        <v>156</v>
      </c>
      <c r="B112" s="104"/>
      <c r="C112" s="103"/>
      <c r="D112" s="103"/>
      <c r="E112" s="101"/>
      <c r="F112" s="101"/>
      <c r="G112" s="102"/>
      <c r="H112" s="102"/>
    </row>
    <row r="113" spans="1:14" s="34" customFormat="1" x14ac:dyDescent="0.35">
      <c r="A113" s="104" t="s">
        <v>72</v>
      </c>
      <c r="B113" s="104"/>
      <c r="C113" s="104"/>
      <c r="D113" s="104"/>
      <c r="E113" s="104"/>
      <c r="F113" s="104"/>
      <c r="G113" s="104"/>
      <c r="H113" s="104"/>
    </row>
    <row r="114" spans="1:14" s="34" customFormat="1" ht="15.75" customHeight="1" x14ac:dyDescent="0.35">
      <c r="A114" s="102" t="s">
        <v>54</v>
      </c>
      <c r="B114" s="102"/>
      <c r="C114" s="103" t="s">
        <v>81</v>
      </c>
      <c r="D114" s="103"/>
      <c r="E114" s="101" t="s">
        <v>55</v>
      </c>
      <c r="F114" s="101"/>
      <c r="G114" s="102" t="s">
        <v>56</v>
      </c>
      <c r="H114" s="102"/>
    </row>
    <row r="115" spans="1:14" s="34" customFormat="1" x14ac:dyDescent="0.35">
      <c r="A115" s="111" t="s">
        <v>187</v>
      </c>
      <c r="B115" s="111"/>
      <c r="C115" s="112">
        <f>COUNT(D133:D136)*6+COUNT(D138,D140:D141)</f>
        <v>27</v>
      </c>
      <c r="D115" s="112"/>
      <c r="E115" s="113">
        <f>SUM(D133:D136)*6+SUM(D138,D140:D141)</f>
        <v>12557.524590000001</v>
      </c>
      <c r="F115" s="113"/>
      <c r="G115" s="113">
        <f>SUM(F133:F136)*6+SUM(F138,F140:F141)</f>
        <v>19980</v>
      </c>
      <c r="H115" s="113"/>
    </row>
    <row r="116" spans="1:14" s="34" customFormat="1" x14ac:dyDescent="0.35">
      <c r="A116" s="111" t="s">
        <v>195</v>
      </c>
      <c r="B116" s="111"/>
      <c r="C116" s="112">
        <f>COUNT(D145:D149)*6+COUNT(D151:D155)</f>
        <v>35</v>
      </c>
      <c r="D116" s="112"/>
      <c r="E116" s="113">
        <f>SUM(D145:D149)*6+SUM(D151:D155)</f>
        <v>14777.6265</v>
      </c>
      <c r="F116" s="113"/>
      <c r="G116" s="113">
        <f>SUM(F145:F149)*6+SUM(F151:F155)</f>
        <v>23730</v>
      </c>
      <c r="H116" s="113"/>
    </row>
    <row r="117" spans="1:14" s="34" customFormat="1" x14ac:dyDescent="0.35">
      <c r="A117" s="104" t="s">
        <v>156</v>
      </c>
      <c r="B117" s="104"/>
      <c r="C117" s="109">
        <f>SUM(C115:C116)</f>
        <v>62</v>
      </c>
      <c r="D117" s="103"/>
      <c r="E117" s="106">
        <f>SUM(E115:E116)</f>
        <v>27335.151089999999</v>
      </c>
      <c r="F117" s="101"/>
      <c r="G117" s="102">
        <f>SUM(G115:G116)</f>
        <v>43710</v>
      </c>
      <c r="H117" s="102"/>
    </row>
    <row r="118" spans="1:14" s="54" customFormat="1" hidden="1" x14ac:dyDescent="0.35">
      <c r="A118" s="104" t="s">
        <v>174</v>
      </c>
      <c r="B118" s="104"/>
      <c r="C118" s="103">
        <f>C112+C117</f>
        <v>62</v>
      </c>
      <c r="D118" s="103"/>
      <c r="E118" s="106">
        <f>E112+E117</f>
        <v>27335.151089999999</v>
      </c>
      <c r="F118" s="106"/>
      <c r="G118" s="102">
        <f>G112+G117</f>
        <v>43710</v>
      </c>
      <c r="H118" s="102"/>
    </row>
    <row r="119" spans="1:14" s="33" customFormat="1" x14ac:dyDescent="0.35">
      <c r="A119" s="173" t="s">
        <v>57</v>
      </c>
      <c r="B119" s="173"/>
      <c r="C119" s="173"/>
      <c r="D119" s="173"/>
      <c r="E119" s="173"/>
      <c r="F119" s="173"/>
      <c r="G119" s="173"/>
      <c r="H119" s="173"/>
    </row>
    <row r="120" spans="1:14" x14ac:dyDescent="0.35">
      <c r="A120" s="173" t="s">
        <v>58</v>
      </c>
      <c r="B120" s="173"/>
      <c r="C120" s="173"/>
      <c r="D120" s="173"/>
      <c r="E120" s="173"/>
      <c r="F120" s="173"/>
      <c r="G120" s="173"/>
      <c r="H120" s="173"/>
    </row>
    <row r="121" spans="1:14" ht="47.25" hidden="1" customHeight="1" x14ac:dyDescent="0.35">
      <c r="A121" s="97" t="s">
        <v>125</v>
      </c>
      <c r="B121" s="97" t="s">
        <v>124</v>
      </c>
      <c r="C121" s="97" t="s">
        <v>59</v>
      </c>
      <c r="D121" s="97" t="s">
        <v>60</v>
      </c>
      <c r="E121" s="116" t="s">
        <v>162</v>
      </c>
      <c r="F121" s="69" t="s">
        <v>155</v>
      </c>
      <c r="G121" s="97" t="s">
        <v>62</v>
      </c>
      <c r="H121" s="97"/>
    </row>
    <row r="122" spans="1:14" s="36" customFormat="1" hidden="1" x14ac:dyDescent="0.35">
      <c r="A122" s="97"/>
      <c r="B122" s="97"/>
      <c r="C122" s="97"/>
      <c r="D122" s="97"/>
      <c r="E122" s="116"/>
      <c r="F122" s="67">
        <v>0.6</v>
      </c>
      <c r="G122" s="97"/>
      <c r="H122" s="97"/>
    </row>
    <row r="123" spans="1:14" s="36" customFormat="1" hidden="1" x14ac:dyDescent="0.35">
      <c r="A123" s="98" t="s">
        <v>123</v>
      </c>
      <c r="B123" s="98"/>
      <c r="C123" s="98"/>
      <c r="D123" s="98"/>
      <c r="E123" s="98"/>
      <c r="F123" s="98"/>
      <c r="G123" s="98"/>
      <c r="H123" s="98"/>
      <c r="J123" s="35"/>
    </row>
    <row r="124" spans="1:14" s="36" customFormat="1" hidden="1" x14ac:dyDescent="0.35">
      <c r="A124" s="74">
        <v>1</v>
      </c>
      <c r="B124" s="74"/>
      <c r="C124" s="68"/>
      <c r="D124" s="68"/>
      <c r="E124" s="68">
        <v>0</v>
      </c>
      <c r="F124" s="68">
        <f>(D124+E124)*(($F$122)+1)</f>
        <v>0</v>
      </c>
      <c r="G124" s="74" t="str">
        <f>A123</f>
        <v>Ground Floor</v>
      </c>
      <c r="H124" s="74"/>
      <c r="I124" s="35"/>
      <c r="L124" s="71"/>
      <c r="M124" s="71"/>
      <c r="N124" s="35"/>
    </row>
    <row r="125" spans="1:14" s="36" customFormat="1" hidden="1" x14ac:dyDescent="0.35">
      <c r="A125" s="74">
        <f t="shared" ref="A125:A127" si="0">A124+1</f>
        <v>2</v>
      </c>
      <c r="B125" s="74"/>
      <c r="C125" s="68"/>
      <c r="D125" s="68"/>
      <c r="E125" s="68">
        <v>0</v>
      </c>
      <c r="F125" s="68">
        <f t="shared" ref="F125:F127" si="1">(D125+E125)*(($F$122)+1)</f>
        <v>0</v>
      </c>
      <c r="G125" s="74" t="str">
        <f t="shared" ref="G125:G127" si="2">G124</f>
        <v>Ground Floor</v>
      </c>
      <c r="H125" s="74"/>
      <c r="I125" s="35"/>
      <c r="L125" s="71"/>
      <c r="M125" s="71"/>
      <c r="N125" s="35"/>
    </row>
    <row r="126" spans="1:14" s="36" customFormat="1" hidden="1" x14ac:dyDescent="0.35">
      <c r="A126" s="74">
        <f t="shared" si="0"/>
        <v>3</v>
      </c>
      <c r="B126" s="74"/>
      <c r="C126" s="68"/>
      <c r="D126" s="68"/>
      <c r="E126" s="68">
        <v>0</v>
      </c>
      <c r="F126" s="68">
        <f t="shared" si="1"/>
        <v>0</v>
      </c>
      <c r="G126" s="74" t="str">
        <f t="shared" si="2"/>
        <v>Ground Floor</v>
      </c>
      <c r="H126" s="74"/>
      <c r="I126" s="35"/>
      <c r="L126" s="71"/>
      <c r="M126" s="71"/>
      <c r="N126" s="35"/>
    </row>
    <row r="127" spans="1:14" s="36" customFormat="1" hidden="1" x14ac:dyDescent="0.35">
      <c r="A127" s="74">
        <f t="shared" si="0"/>
        <v>4</v>
      </c>
      <c r="B127" s="74"/>
      <c r="C127" s="68"/>
      <c r="D127" s="68"/>
      <c r="E127" s="68">
        <v>0</v>
      </c>
      <c r="F127" s="68">
        <f t="shared" si="1"/>
        <v>0</v>
      </c>
      <c r="G127" s="74" t="str">
        <f t="shared" si="2"/>
        <v>Ground Floor</v>
      </c>
      <c r="H127" s="74"/>
      <c r="I127" s="35"/>
      <c r="L127" s="71"/>
      <c r="M127" s="71"/>
      <c r="N127" s="35"/>
    </row>
    <row r="128" spans="1:14" s="36" customFormat="1" hidden="1" x14ac:dyDescent="0.35">
      <c r="A128" s="74"/>
      <c r="B128" s="74"/>
      <c r="C128" s="74"/>
      <c r="D128" s="74"/>
      <c r="E128" s="74"/>
      <c r="F128" s="74"/>
      <c r="G128" s="74"/>
      <c r="H128" s="74"/>
      <c r="I128" s="35"/>
      <c r="N128" s="35"/>
    </row>
    <row r="129" spans="1:14" ht="47.25" customHeight="1" x14ac:dyDescent="0.35">
      <c r="A129" s="69" t="s">
        <v>126</v>
      </c>
      <c r="B129" s="69" t="s">
        <v>127</v>
      </c>
      <c r="C129" s="69" t="s">
        <v>59</v>
      </c>
      <c r="D129" s="69" t="s">
        <v>60</v>
      </c>
      <c r="E129" s="70" t="s">
        <v>61</v>
      </c>
      <c r="F129" s="69" t="s">
        <v>222</v>
      </c>
      <c r="G129" s="97" t="s">
        <v>62</v>
      </c>
      <c r="H129" s="97"/>
      <c r="I129" s="35"/>
    </row>
    <row r="130" spans="1:14" s="51" customFormat="1" x14ac:dyDescent="0.35">
      <c r="A130" s="98" t="s">
        <v>187</v>
      </c>
      <c r="B130" s="98"/>
      <c r="C130" s="98"/>
      <c r="D130" s="98"/>
      <c r="E130" s="98"/>
      <c r="F130" s="98"/>
      <c r="G130" s="98"/>
      <c r="H130" s="98"/>
      <c r="J130" s="35"/>
    </row>
    <row r="131" spans="1:14" s="51" customFormat="1" x14ac:dyDescent="0.35">
      <c r="A131" s="98" t="s">
        <v>188</v>
      </c>
      <c r="B131" s="98"/>
      <c r="C131" s="98"/>
      <c r="D131" s="98"/>
      <c r="E131" s="98"/>
      <c r="F131" s="98"/>
      <c r="G131" s="98"/>
      <c r="H131" s="98"/>
      <c r="J131" s="35"/>
    </row>
    <row r="132" spans="1:14" s="36" customFormat="1" x14ac:dyDescent="0.35">
      <c r="A132" s="98" t="s">
        <v>192</v>
      </c>
      <c r="B132" s="98"/>
      <c r="C132" s="98"/>
      <c r="D132" s="98"/>
      <c r="E132" s="98"/>
      <c r="F132" s="98"/>
      <c r="G132" s="98"/>
      <c r="H132" s="98"/>
      <c r="J132" s="53">
        <v>10.763999999999999</v>
      </c>
    </row>
    <row r="133" spans="1:14" s="36" customFormat="1" ht="15.75" customHeight="1" x14ac:dyDescent="0.35">
      <c r="A133" s="74">
        <v>1</v>
      </c>
      <c r="B133" s="74"/>
      <c r="C133" s="62" t="s">
        <v>189</v>
      </c>
      <c r="D133" s="53">
        <f>(2.7*4.7+2.25*2.25+2.7*3.35+2.7*3.35+1.9*2.3+1.6*0.9+1.6*1.2+1.2*2.25+0.75*(2.7+2.7+2.25+2.7))*10.764</f>
        <v>581.63274000000001</v>
      </c>
      <c r="E133" s="62">
        <v>0</v>
      </c>
      <c r="F133" s="62">
        <v>925</v>
      </c>
      <c r="G133" s="74" t="str">
        <f>A132</f>
        <v>1st to 6th Floor For Residential</v>
      </c>
      <c r="H133" s="74"/>
      <c r="I133" s="55">
        <f t="shared" ref="I133:I136" si="3">F133/D133</f>
        <v>1.5903506394774132</v>
      </c>
      <c r="J133" s="36">
        <f>4800*F133</f>
        <v>4440000</v>
      </c>
      <c r="K133" s="36">
        <f>2600000/F133</f>
        <v>2810.8108108108108</v>
      </c>
      <c r="L133" s="71">
        <f>3700000/F133</f>
        <v>4000</v>
      </c>
      <c r="M133" s="71"/>
      <c r="N133" s="35">
        <f>4200*F133</f>
        <v>3885000</v>
      </c>
    </row>
    <row r="134" spans="1:14" s="36" customFormat="1" ht="15.75" customHeight="1" x14ac:dyDescent="0.35">
      <c r="A134" s="74">
        <f t="shared" ref="A134:A136" si="4">A133+1</f>
        <v>2</v>
      </c>
      <c r="B134" s="74"/>
      <c r="C134" s="62" t="s">
        <v>191</v>
      </c>
      <c r="D134" s="53">
        <f>(2.7*4.4+2.25*2.85+3.3*2.7+2.4*2.1+3.7*0.9+2*1.2+1.2*2.4+0.75*3.3)*10.764</f>
        <v>466.37721000000005</v>
      </c>
      <c r="E134" s="62">
        <v>0</v>
      </c>
      <c r="F134" s="62">
        <v>740</v>
      </c>
      <c r="G134" s="74"/>
      <c r="H134" s="74"/>
      <c r="I134" s="55">
        <f t="shared" si="3"/>
        <v>1.586698458100043</v>
      </c>
      <c r="J134" s="52">
        <f t="shared" ref="J134:J155" si="5">4800*F134</f>
        <v>3552000</v>
      </c>
      <c r="L134" s="71"/>
      <c r="M134" s="71"/>
      <c r="N134" s="35">
        <f t="shared" ref="N134:N155" si="6">4200*F134</f>
        <v>3108000</v>
      </c>
    </row>
    <row r="135" spans="1:14" s="36" customFormat="1" ht="15.75" customHeight="1" x14ac:dyDescent="0.35">
      <c r="A135" s="74">
        <f t="shared" si="4"/>
        <v>3</v>
      </c>
      <c r="B135" s="74"/>
      <c r="C135" s="62" t="s">
        <v>190</v>
      </c>
      <c r="D135" s="53">
        <f>(2.7*5+2.25*2.25+2.7*3.8+1.2*1.8+1.2*1.8+0.9*2.25+2.4*0.6)*10.764</f>
        <v>394.04312999999991</v>
      </c>
      <c r="E135" s="62">
        <v>0</v>
      </c>
      <c r="F135" s="62">
        <v>620</v>
      </c>
      <c r="G135" s="74"/>
      <c r="H135" s="74"/>
      <c r="I135" s="55">
        <f t="shared" si="3"/>
        <v>1.5734318220444552</v>
      </c>
      <c r="J135" s="52">
        <f t="shared" si="5"/>
        <v>2976000</v>
      </c>
      <c r="L135" s="71"/>
      <c r="M135" s="71"/>
      <c r="N135" s="35">
        <f t="shared" si="6"/>
        <v>2604000</v>
      </c>
    </row>
    <row r="136" spans="1:14" s="36" customFormat="1" ht="15.75" customHeight="1" x14ac:dyDescent="0.35">
      <c r="A136" s="74">
        <f t="shared" si="4"/>
        <v>4</v>
      </c>
      <c r="B136" s="74"/>
      <c r="C136" s="62" t="s">
        <v>190</v>
      </c>
      <c r="D136" s="53">
        <f>(2.7*4.7+2.25*2.25+2.7*3.35+1.2*1.8+1.2*1.8+0.9*2.25+0.75*(2.7+2.25+2.7))*10.764</f>
        <v>418.50432000000006</v>
      </c>
      <c r="E136" s="62">
        <v>0</v>
      </c>
      <c r="F136" s="62">
        <v>675</v>
      </c>
      <c r="G136" s="74"/>
      <c r="H136" s="74"/>
      <c r="I136" s="55">
        <f t="shared" si="3"/>
        <v>1.6128865766546923</v>
      </c>
      <c r="J136" s="52">
        <f t="shared" si="5"/>
        <v>3240000</v>
      </c>
      <c r="L136" s="71"/>
      <c r="M136" s="71"/>
      <c r="N136" s="35">
        <f t="shared" si="6"/>
        <v>2835000</v>
      </c>
    </row>
    <row r="137" spans="1:14" s="51" customFormat="1" x14ac:dyDescent="0.35">
      <c r="A137" s="76" t="s">
        <v>193</v>
      </c>
      <c r="B137" s="77"/>
      <c r="C137" s="77"/>
      <c r="D137" s="77"/>
      <c r="E137" s="77"/>
      <c r="F137" s="77"/>
      <c r="G137" s="77"/>
      <c r="H137" s="78"/>
      <c r="J137" s="52">
        <f t="shared" si="5"/>
        <v>0</v>
      </c>
      <c r="N137" s="35">
        <f t="shared" si="6"/>
        <v>0</v>
      </c>
    </row>
    <row r="138" spans="1:14" s="51" customFormat="1" x14ac:dyDescent="0.35">
      <c r="A138" s="72">
        <v>1</v>
      </c>
      <c r="B138" s="73"/>
      <c r="C138" s="50" t="s">
        <v>189</v>
      </c>
      <c r="D138" s="53">
        <f>(2.7*4.7+2.25*2.25+2.7*3.35+2.7*3.35+1.9*2.3+1.6*0.9+1.6*1.2+1.2*2.25+0.75*(2.7+2.7+2.25+2.7))*10.764</f>
        <v>581.63274000000001</v>
      </c>
      <c r="E138" s="50">
        <v>0</v>
      </c>
      <c r="F138" s="50">
        <v>925</v>
      </c>
      <c r="G138" s="181" t="str">
        <f>A137</f>
        <v>7th Floor</v>
      </c>
      <c r="H138" s="182"/>
      <c r="I138" s="35"/>
      <c r="J138" s="52">
        <f t="shared" si="5"/>
        <v>4440000</v>
      </c>
      <c r="L138" s="71"/>
      <c r="M138" s="71"/>
      <c r="N138" s="35">
        <f t="shared" si="6"/>
        <v>3885000</v>
      </c>
    </row>
    <row r="139" spans="1:14" s="51" customFormat="1" x14ac:dyDescent="0.35">
      <c r="A139" s="72">
        <f t="shared" ref="A139:A141" si="7">A138+1</f>
        <v>2</v>
      </c>
      <c r="B139" s="73"/>
      <c r="C139" s="72" t="s">
        <v>194</v>
      </c>
      <c r="D139" s="75"/>
      <c r="E139" s="75"/>
      <c r="F139" s="73"/>
      <c r="G139" s="183"/>
      <c r="H139" s="184"/>
      <c r="I139" s="35"/>
      <c r="J139" s="52">
        <f t="shared" si="5"/>
        <v>0</v>
      </c>
      <c r="L139" s="71"/>
      <c r="M139" s="71"/>
      <c r="N139" s="35">
        <f t="shared" si="6"/>
        <v>0</v>
      </c>
    </row>
    <row r="140" spans="1:14" s="51" customFormat="1" x14ac:dyDescent="0.35">
      <c r="A140" s="72">
        <f t="shared" si="7"/>
        <v>3</v>
      </c>
      <c r="B140" s="73"/>
      <c r="C140" s="50" t="s">
        <v>190</v>
      </c>
      <c r="D140" s="53">
        <f>(2.7*5+2.25*2.25+2.7*3.8+1.2*1.8+1.2*1.8+0.9*2.25+2.4*0.6)*10.764</f>
        <v>394.04312999999991</v>
      </c>
      <c r="E140" s="50">
        <v>0</v>
      </c>
      <c r="F140" s="50">
        <v>620</v>
      </c>
      <c r="G140" s="183"/>
      <c r="H140" s="184"/>
      <c r="I140" s="35"/>
      <c r="J140" s="52">
        <f t="shared" si="5"/>
        <v>2976000</v>
      </c>
      <c r="L140" s="71"/>
      <c r="M140" s="71"/>
      <c r="N140" s="35">
        <f t="shared" si="6"/>
        <v>2604000</v>
      </c>
    </row>
    <row r="141" spans="1:14" s="51" customFormat="1" x14ac:dyDescent="0.35">
      <c r="A141" s="72">
        <f t="shared" si="7"/>
        <v>4</v>
      </c>
      <c r="B141" s="73"/>
      <c r="C141" s="50" t="s">
        <v>190</v>
      </c>
      <c r="D141" s="53">
        <f>(2.7*4.7+2.25*2.25+2.7*3.35+1.2*1.8+1.2*1.8+0.9*2.25+0.75*(2.7+2.25+2.7))*10.764</f>
        <v>418.50432000000006</v>
      </c>
      <c r="E141" s="50">
        <v>0</v>
      </c>
      <c r="F141" s="50">
        <v>675</v>
      </c>
      <c r="G141" s="185"/>
      <c r="H141" s="186"/>
      <c r="I141" s="35"/>
      <c r="J141" s="52">
        <f t="shared" si="5"/>
        <v>3240000</v>
      </c>
      <c r="L141" s="71"/>
      <c r="M141" s="71"/>
      <c r="N141" s="35">
        <f t="shared" si="6"/>
        <v>2835000</v>
      </c>
    </row>
    <row r="142" spans="1:14" s="51" customFormat="1" x14ac:dyDescent="0.35">
      <c r="A142" s="76" t="s">
        <v>195</v>
      </c>
      <c r="B142" s="77"/>
      <c r="C142" s="77"/>
      <c r="D142" s="77"/>
      <c r="E142" s="77"/>
      <c r="F142" s="77"/>
      <c r="G142" s="77"/>
      <c r="H142" s="78"/>
      <c r="I142" s="35"/>
      <c r="J142" s="52">
        <f t="shared" si="5"/>
        <v>0</v>
      </c>
      <c r="L142" s="71"/>
      <c r="M142" s="71"/>
      <c r="N142" s="35">
        <f t="shared" si="6"/>
        <v>0</v>
      </c>
    </row>
    <row r="143" spans="1:14" s="51" customFormat="1" x14ac:dyDescent="0.35">
      <c r="A143" s="76" t="s">
        <v>188</v>
      </c>
      <c r="B143" s="77"/>
      <c r="C143" s="77"/>
      <c r="D143" s="77"/>
      <c r="E143" s="77"/>
      <c r="F143" s="77"/>
      <c r="G143" s="77"/>
      <c r="H143" s="78"/>
      <c r="I143" s="35"/>
      <c r="J143" s="52">
        <f t="shared" si="5"/>
        <v>0</v>
      </c>
      <c r="L143" s="71"/>
      <c r="M143" s="71"/>
      <c r="N143" s="35">
        <f t="shared" si="6"/>
        <v>0</v>
      </c>
    </row>
    <row r="144" spans="1:14" s="36" customFormat="1" x14ac:dyDescent="0.35">
      <c r="A144" s="76" t="s">
        <v>192</v>
      </c>
      <c r="B144" s="77"/>
      <c r="C144" s="77"/>
      <c r="D144" s="77"/>
      <c r="E144" s="77"/>
      <c r="F144" s="77"/>
      <c r="G144" s="77"/>
      <c r="H144" s="78"/>
      <c r="I144" s="35"/>
      <c r="J144" s="52">
        <f t="shared" si="5"/>
        <v>0</v>
      </c>
      <c r="L144" s="71"/>
      <c r="M144" s="71"/>
      <c r="N144" s="35">
        <f t="shared" si="6"/>
        <v>0</v>
      </c>
    </row>
    <row r="145" spans="1:14" s="36" customFormat="1" ht="15.75" customHeight="1" x14ac:dyDescent="0.35">
      <c r="A145" s="74">
        <v>1</v>
      </c>
      <c r="B145" s="74"/>
      <c r="C145" s="41" t="s">
        <v>190</v>
      </c>
      <c r="D145" s="53">
        <f>(2.7*5.1+2.25*2.25+2.7*3.35+1.8*1.2+1.8*1.2+0.9*2.25)*10.764</f>
        <v>368.37099000000001</v>
      </c>
      <c r="E145" s="41">
        <v>0</v>
      </c>
      <c r="F145" s="41">
        <v>585</v>
      </c>
      <c r="G145" s="181" t="str">
        <f>A144</f>
        <v>1st to 6th Floor For Residential</v>
      </c>
      <c r="H145" s="182"/>
      <c r="I145" s="55">
        <f>F145/D145</f>
        <v>1.5880729370138511</v>
      </c>
      <c r="J145" s="52">
        <f t="shared" si="5"/>
        <v>2808000</v>
      </c>
      <c r="N145" s="35">
        <f t="shared" si="6"/>
        <v>2457000</v>
      </c>
    </row>
    <row r="146" spans="1:14" s="36" customFormat="1" ht="15.75" customHeight="1" x14ac:dyDescent="0.35">
      <c r="A146" s="74">
        <f>A145+1</f>
        <v>2</v>
      </c>
      <c r="B146" s="74"/>
      <c r="C146" s="41" t="s">
        <v>190</v>
      </c>
      <c r="D146" s="53">
        <f>(2.7*4.7+2.25*2.25+2.7*3.35+1.8*1.2+1.8*1.5+0.9*2.25)*10.764</f>
        <v>362.55843000000004</v>
      </c>
      <c r="E146" s="41">
        <v>0</v>
      </c>
      <c r="F146" s="41">
        <v>580</v>
      </c>
      <c r="G146" s="183"/>
      <c r="H146" s="184"/>
      <c r="I146" s="55">
        <f t="shared" ref="I146:I149" si="8">F146/D146</f>
        <v>1.5997421436318553</v>
      </c>
      <c r="J146" s="52">
        <f t="shared" si="5"/>
        <v>2784000</v>
      </c>
      <c r="N146" s="35">
        <f t="shared" si="6"/>
        <v>2436000</v>
      </c>
    </row>
    <row r="147" spans="1:14" s="36" customFormat="1" ht="15.75" customHeight="1" x14ac:dyDescent="0.35">
      <c r="A147" s="74">
        <f>A146+1</f>
        <v>3</v>
      </c>
      <c r="B147" s="74"/>
      <c r="C147" s="41" t="s">
        <v>189</v>
      </c>
      <c r="D147" s="53">
        <f>(4.7*2.7+2.1*2.6+2.7*3.5+3.5*2.7+1.2*2+1.8*1.2+0.9*1.2+0.75*(2.7+2.1+2.7+2.7))*10.764</f>
        <v>541.85975999999994</v>
      </c>
      <c r="E147" s="41">
        <v>0</v>
      </c>
      <c r="F147" s="41">
        <v>875</v>
      </c>
      <c r="G147" s="183"/>
      <c r="H147" s="184"/>
      <c r="I147" s="55">
        <f t="shared" si="8"/>
        <v>1.6148089682836018</v>
      </c>
      <c r="J147" s="52">
        <f t="shared" si="5"/>
        <v>4200000</v>
      </c>
      <c r="N147" s="35">
        <f t="shared" si="6"/>
        <v>3675000</v>
      </c>
    </row>
    <row r="148" spans="1:14" s="36" customFormat="1" ht="15.75" customHeight="1" x14ac:dyDescent="0.35">
      <c r="A148" s="74">
        <f>A147+1</f>
        <v>4</v>
      </c>
      <c r="B148" s="74"/>
      <c r="C148" s="41" t="s">
        <v>190</v>
      </c>
      <c r="D148" s="53">
        <f>(2.7*4.7+2.25*2.25+2.7*3.35+2*1.2+1.7*1.2+0.9*2.25+0.75*(2.7+2.25+2.7))*10.764</f>
        <v>419.79599999999999</v>
      </c>
      <c r="E148" s="41">
        <v>0</v>
      </c>
      <c r="F148" s="41">
        <v>675</v>
      </c>
      <c r="G148" s="183"/>
      <c r="H148" s="184"/>
      <c r="I148" s="55">
        <f t="shared" si="8"/>
        <v>1.6079238487265244</v>
      </c>
      <c r="J148" s="52">
        <f t="shared" si="5"/>
        <v>3240000</v>
      </c>
      <c r="N148" s="35">
        <f t="shared" si="6"/>
        <v>2835000</v>
      </c>
    </row>
    <row r="149" spans="1:14" s="36" customFormat="1" ht="15.75" customHeight="1" x14ac:dyDescent="0.35">
      <c r="A149" s="74">
        <f>A148+1</f>
        <v>5</v>
      </c>
      <c r="B149" s="74"/>
      <c r="C149" s="41" t="s">
        <v>190</v>
      </c>
      <c r="D149" s="53">
        <f>(2.7*4.7+2.25*2.25+2.7*3.35+1.8*1.2+1.8*1.2+0.9*2.25+0.75*(2.7+2.25+2.7))*10.764</f>
        <v>418.50432000000006</v>
      </c>
      <c r="E149" s="41">
        <v>0</v>
      </c>
      <c r="F149" s="41">
        <v>675</v>
      </c>
      <c r="G149" s="185"/>
      <c r="H149" s="186"/>
      <c r="I149" s="55">
        <f t="shared" si="8"/>
        <v>1.6128865766546923</v>
      </c>
      <c r="J149" s="52">
        <f t="shared" si="5"/>
        <v>3240000</v>
      </c>
      <c r="N149" s="35">
        <f t="shared" si="6"/>
        <v>2835000</v>
      </c>
    </row>
    <row r="150" spans="1:14" s="36" customFormat="1" ht="15.75" customHeight="1" x14ac:dyDescent="0.35">
      <c r="A150" s="76" t="s">
        <v>193</v>
      </c>
      <c r="B150" s="77"/>
      <c r="C150" s="77"/>
      <c r="D150" s="77"/>
      <c r="E150" s="77"/>
      <c r="F150" s="77"/>
      <c r="G150" s="77"/>
      <c r="H150" s="78"/>
      <c r="I150" s="35"/>
      <c r="J150" s="52">
        <f t="shared" si="5"/>
        <v>0</v>
      </c>
      <c r="N150" s="35">
        <f t="shared" si="6"/>
        <v>0</v>
      </c>
    </row>
    <row r="151" spans="1:14" s="36" customFormat="1" x14ac:dyDescent="0.35">
      <c r="A151" s="72">
        <v>1</v>
      </c>
      <c r="B151" s="73"/>
      <c r="C151" s="50" t="s">
        <v>190</v>
      </c>
      <c r="D151" s="53">
        <f>(2.7*5.1+2.25*2.25+2.7*3.35+1.8*1.2+1.8*1.2+0.9*2.25)*10.764</f>
        <v>368.37099000000001</v>
      </c>
      <c r="E151" s="41">
        <v>0</v>
      </c>
      <c r="F151" s="41">
        <v>585</v>
      </c>
      <c r="G151" s="181" t="str">
        <f>A150</f>
        <v>7th Floor</v>
      </c>
      <c r="H151" s="182"/>
      <c r="I151" s="35"/>
      <c r="J151" s="52">
        <f t="shared" si="5"/>
        <v>2808000</v>
      </c>
      <c r="L151" s="36" t="s">
        <v>220</v>
      </c>
      <c r="M151" s="36" t="s">
        <v>221</v>
      </c>
      <c r="N151" s="35">
        <f t="shared" si="6"/>
        <v>2457000</v>
      </c>
    </row>
    <row r="152" spans="1:14" s="36" customFormat="1" x14ac:dyDescent="0.35">
      <c r="A152" s="72">
        <v>2</v>
      </c>
      <c r="B152" s="73"/>
      <c r="C152" s="50" t="s">
        <v>190</v>
      </c>
      <c r="D152" s="53">
        <f>(2.7*4.7+2.25*2.25+2.7*3.35+1.8*1.2+1.8*1.5+0.9*2.25)*10.764</f>
        <v>362.55843000000004</v>
      </c>
      <c r="E152" s="41">
        <v>0</v>
      </c>
      <c r="F152" s="41">
        <v>580</v>
      </c>
      <c r="G152" s="183"/>
      <c r="H152" s="184"/>
      <c r="I152" s="35"/>
      <c r="J152" s="52">
        <f t="shared" si="5"/>
        <v>2784000</v>
      </c>
      <c r="L152" s="36">
        <f>2100000/F152</f>
        <v>3620.6896551724139</v>
      </c>
      <c r="M152" s="36">
        <f>2300000/F152</f>
        <v>3965.5172413793102</v>
      </c>
      <c r="N152" s="35">
        <f t="shared" si="6"/>
        <v>2436000</v>
      </c>
    </row>
    <row r="153" spans="1:14" s="36" customFormat="1" ht="15.75" customHeight="1" x14ac:dyDescent="0.35">
      <c r="A153" s="72">
        <v>3</v>
      </c>
      <c r="B153" s="73"/>
      <c r="C153" s="50" t="s">
        <v>189</v>
      </c>
      <c r="D153" s="53">
        <f>(4.7*2.7+2.1*2.6+2.7*3.5+3.5*2.7+1.2*2+1.8*1.2+0.9*1.2+0.75*(2.7+2.1+2.7+2.7))*10.764</f>
        <v>541.85975999999994</v>
      </c>
      <c r="E153" s="41">
        <v>0</v>
      </c>
      <c r="F153" s="41">
        <v>875</v>
      </c>
      <c r="G153" s="183"/>
      <c r="H153" s="184"/>
      <c r="I153" s="35"/>
      <c r="J153" s="52">
        <f t="shared" si="5"/>
        <v>4200000</v>
      </c>
      <c r="N153" s="35">
        <f t="shared" si="6"/>
        <v>3675000</v>
      </c>
    </row>
    <row r="154" spans="1:14" s="36" customFormat="1" ht="15.75" customHeight="1" x14ac:dyDescent="0.35">
      <c r="A154" s="72">
        <v>4</v>
      </c>
      <c r="B154" s="73"/>
      <c r="C154" s="50" t="s">
        <v>190</v>
      </c>
      <c r="D154" s="53">
        <f>(2.7*4.7+2.25*2.25+2.7*3.35+2*1.2+1.7*1.2+0.9*2.25+0.75*(2.7+2.25+2.7))*10.764</f>
        <v>419.79599999999999</v>
      </c>
      <c r="E154" s="41">
        <v>0</v>
      </c>
      <c r="F154" s="41">
        <v>675</v>
      </c>
      <c r="G154" s="183"/>
      <c r="H154" s="184"/>
      <c r="I154" s="35"/>
      <c r="J154" s="52">
        <f t="shared" si="5"/>
        <v>3240000</v>
      </c>
      <c r="L154" s="36">
        <f>2300000/F154</f>
        <v>3407.4074074074074</v>
      </c>
      <c r="N154" s="35">
        <f t="shared" si="6"/>
        <v>2835000</v>
      </c>
    </row>
    <row r="155" spans="1:14" s="36" customFormat="1" ht="15.75" customHeight="1" x14ac:dyDescent="0.35">
      <c r="A155" s="72">
        <v>5</v>
      </c>
      <c r="B155" s="73"/>
      <c r="C155" s="50" t="s">
        <v>190</v>
      </c>
      <c r="D155" s="53">
        <f>(2.7*4.7+2.25*2.25+2.7*3.35+1.8*1.2+1.8*1.2+0.9*2.25+0.75*(2.7+2.25+2.7))*10.764</f>
        <v>418.50432000000006</v>
      </c>
      <c r="E155" s="41">
        <v>0</v>
      </c>
      <c r="F155" s="41">
        <v>675</v>
      </c>
      <c r="G155" s="185"/>
      <c r="H155" s="186"/>
      <c r="I155" s="35"/>
      <c r="J155" s="52">
        <f t="shared" si="5"/>
        <v>3240000</v>
      </c>
      <c r="N155" s="35">
        <f t="shared" si="6"/>
        <v>2835000</v>
      </c>
    </row>
    <row r="156" spans="1:14" s="34" customFormat="1" x14ac:dyDescent="0.35">
      <c r="A156" s="180" t="s">
        <v>70</v>
      </c>
      <c r="B156" s="180"/>
      <c r="C156" s="180"/>
      <c r="D156" s="180"/>
      <c r="E156" s="180"/>
      <c r="F156" s="180"/>
      <c r="G156" s="180"/>
      <c r="H156" s="180"/>
    </row>
    <row r="157" spans="1:14" s="34" customFormat="1" x14ac:dyDescent="0.35">
      <c r="A157" s="45" t="s">
        <v>159</v>
      </c>
      <c r="B157" s="177" t="s">
        <v>226</v>
      </c>
      <c r="C157" s="178"/>
      <c r="D157" s="178"/>
      <c r="E157" s="178"/>
      <c r="F157" s="178"/>
      <c r="G157" s="178"/>
      <c r="H157" s="179"/>
    </row>
    <row r="158" spans="1:14" s="34" customFormat="1" x14ac:dyDescent="0.35">
      <c r="A158" s="45" t="s">
        <v>159</v>
      </c>
      <c r="B158" s="177" t="str">
        <f>(IF(F129="Saleable area Loading :","We have considered Saleable area of Flats as per our Calculation.","We considered Saleable area of Flat as per Builder area Sheet."))</f>
        <v>We considered Saleable area of Flat as per Builder area Sheet.</v>
      </c>
      <c r="C158" s="178"/>
      <c r="D158" s="178"/>
      <c r="E158" s="178"/>
      <c r="F158" s="178"/>
      <c r="G158" s="178"/>
      <c r="H158" s="179"/>
    </row>
    <row r="159" spans="1:14" s="34" customFormat="1" x14ac:dyDescent="0.35">
      <c r="A159" s="45" t="s">
        <v>159</v>
      </c>
      <c r="B159" s="79" t="s">
        <v>129</v>
      </c>
      <c r="C159" s="80"/>
      <c r="D159" s="80"/>
      <c r="E159" s="80"/>
      <c r="F159" s="80"/>
      <c r="G159" s="80"/>
      <c r="H159" s="81"/>
    </row>
    <row r="160" spans="1:14" s="34" customFormat="1" x14ac:dyDescent="0.35">
      <c r="A160" s="45" t="s">
        <v>159</v>
      </c>
      <c r="B160" s="79" t="s">
        <v>196</v>
      </c>
      <c r="C160" s="80"/>
      <c r="D160" s="80"/>
      <c r="E160" s="80"/>
      <c r="F160" s="80"/>
      <c r="G160" s="80"/>
      <c r="H160" s="81"/>
    </row>
    <row r="161" spans="1:8" s="34" customFormat="1" x14ac:dyDescent="0.35">
      <c r="A161" s="45" t="s">
        <v>159</v>
      </c>
      <c r="B161" s="79" t="s">
        <v>158</v>
      </c>
      <c r="C161" s="80"/>
      <c r="D161" s="80"/>
      <c r="E161" s="80"/>
      <c r="F161" s="80"/>
      <c r="G161" s="80"/>
      <c r="H161" s="81"/>
    </row>
    <row r="162" spans="1:8" s="34" customFormat="1" x14ac:dyDescent="0.35">
      <c r="A162" s="45" t="s">
        <v>159</v>
      </c>
      <c r="B162" s="79" t="s">
        <v>130</v>
      </c>
      <c r="C162" s="80"/>
      <c r="D162" s="80"/>
      <c r="E162" s="80"/>
      <c r="F162" s="80"/>
      <c r="G162" s="80"/>
      <c r="H162" s="81"/>
    </row>
    <row r="163" spans="1:8" s="34" customFormat="1" ht="34.5" hidden="1" customHeight="1" x14ac:dyDescent="0.35">
      <c r="A163" s="45" t="s">
        <v>159</v>
      </c>
      <c r="B163" s="79" t="s">
        <v>160</v>
      </c>
      <c r="C163" s="80"/>
      <c r="D163" s="80"/>
      <c r="E163" s="80"/>
      <c r="F163" s="80"/>
      <c r="G163" s="80"/>
      <c r="H163" s="81"/>
    </row>
    <row r="164" spans="1:8" s="34" customFormat="1" x14ac:dyDescent="0.35">
      <c r="A164" s="45" t="s">
        <v>159</v>
      </c>
      <c r="B164" s="79" t="s">
        <v>131</v>
      </c>
      <c r="C164" s="80"/>
      <c r="D164" s="80"/>
      <c r="E164" s="80"/>
      <c r="F164" s="80"/>
      <c r="G164" s="80"/>
      <c r="H164" s="81"/>
    </row>
    <row r="165" spans="1:8" x14ac:dyDescent="0.35">
      <c r="A165" s="151" t="s">
        <v>63</v>
      </c>
      <c r="B165" s="151"/>
      <c r="C165" s="151"/>
      <c r="D165" s="151"/>
      <c r="E165" s="151"/>
      <c r="F165" s="151"/>
      <c r="G165" s="151"/>
      <c r="H165" s="151"/>
    </row>
    <row r="166" spans="1:8" x14ac:dyDescent="0.35">
      <c r="A166" s="96" t="s">
        <v>64</v>
      </c>
      <c r="B166" s="96"/>
      <c r="C166" s="96"/>
      <c r="D166" s="96"/>
      <c r="E166" s="96"/>
      <c r="F166" s="96"/>
      <c r="G166" s="96"/>
      <c r="H166" s="96"/>
    </row>
    <row r="167" spans="1:8" ht="15.75" customHeight="1" x14ac:dyDescent="0.35">
      <c r="A167" s="188" t="s">
        <v>65</v>
      </c>
      <c r="B167" s="188"/>
      <c r="C167" s="188"/>
      <c r="D167" s="188"/>
      <c r="E167" s="188"/>
      <c r="F167" s="188"/>
      <c r="G167" s="188"/>
      <c r="H167" s="188"/>
    </row>
    <row r="168" spans="1:8" x14ac:dyDescent="0.35">
      <c r="A168" s="96" t="s">
        <v>66</v>
      </c>
      <c r="B168" s="96"/>
      <c r="C168" s="96"/>
      <c r="D168" s="96"/>
      <c r="E168" s="96"/>
      <c r="F168" s="96"/>
      <c r="G168" s="96"/>
      <c r="H168" s="96"/>
    </row>
    <row r="169" spans="1:8" x14ac:dyDescent="0.35">
      <c r="A169" s="96" t="s">
        <v>67</v>
      </c>
      <c r="B169" s="96"/>
      <c r="C169" s="96"/>
      <c r="D169" s="96"/>
      <c r="E169" s="96"/>
      <c r="F169" s="96"/>
      <c r="G169" s="96"/>
      <c r="H169" s="96"/>
    </row>
    <row r="170" spans="1:8" x14ac:dyDescent="0.35">
      <c r="A170" s="96" t="s">
        <v>132</v>
      </c>
      <c r="B170" s="96"/>
      <c r="C170" s="96"/>
      <c r="D170" s="96"/>
      <c r="E170" s="96"/>
      <c r="F170" s="96"/>
      <c r="G170" s="96"/>
      <c r="H170" s="96"/>
    </row>
    <row r="171" spans="1:8" x14ac:dyDescent="0.35">
      <c r="A171" s="126" t="s">
        <v>133</v>
      </c>
      <c r="B171" s="126"/>
      <c r="C171" s="126"/>
      <c r="D171" s="126"/>
      <c r="E171" s="126"/>
      <c r="F171" s="126"/>
      <c r="G171" s="126"/>
      <c r="H171" s="126"/>
    </row>
    <row r="172" spans="1:8" x14ac:dyDescent="0.35">
      <c r="A172" s="176" t="s">
        <v>80</v>
      </c>
      <c r="B172" s="176"/>
      <c r="C172" s="176" t="s">
        <v>178</v>
      </c>
      <c r="D172" s="176"/>
      <c r="E172" s="176" t="s">
        <v>110</v>
      </c>
      <c r="F172" s="176"/>
      <c r="G172" s="176" t="s">
        <v>225</v>
      </c>
      <c r="H172" s="176"/>
    </row>
    <row r="173" spans="1:8" x14ac:dyDescent="0.35">
      <c r="A173" s="175" t="s">
        <v>82</v>
      </c>
      <c r="B173" s="175"/>
      <c r="C173" s="175"/>
      <c r="D173" s="175"/>
      <c r="E173" s="175"/>
      <c r="F173" s="175"/>
      <c r="G173" s="175"/>
      <c r="H173" s="175"/>
    </row>
    <row r="174" spans="1:8" x14ac:dyDescent="0.35">
      <c r="A174" s="175"/>
      <c r="B174" s="175"/>
      <c r="C174" s="175"/>
      <c r="D174" s="175"/>
      <c r="E174" s="175"/>
      <c r="F174" s="175"/>
      <c r="G174" s="175"/>
      <c r="H174" s="175"/>
    </row>
    <row r="175" spans="1:8" x14ac:dyDescent="0.35">
      <c r="A175" s="175"/>
      <c r="B175" s="175"/>
      <c r="C175" s="175"/>
      <c r="D175" s="175"/>
      <c r="E175" s="175"/>
      <c r="F175" s="175"/>
      <c r="G175" s="175"/>
      <c r="H175" s="175"/>
    </row>
    <row r="176" spans="1:8" x14ac:dyDescent="0.35">
      <c r="A176" s="175"/>
      <c r="B176" s="175"/>
      <c r="C176" s="175"/>
      <c r="D176" s="175"/>
      <c r="E176" s="175"/>
      <c r="F176" s="175"/>
      <c r="G176" s="175"/>
      <c r="H176" s="175"/>
    </row>
    <row r="177" spans="1:8" x14ac:dyDescent="0.35">
      <c r="A177" s="37" t="s">
        <v>68</v>
      </c>
      <c r="B177" s="38"/>
      <c r="C177" s="38"/>
      <c r="D177" s="37" t="str">
        <f>E8</f>
        <v>Shashwat Park Z-5 A and B Wing Apartment</v>
      </c>
      <c r="F177" s="38"/>
      <c r="G177" s="38"/>
      <c r="H177" s="38"/>
    </row>
    <row r="178" spans="1:8" x14ac:dyDescent="0.35">
      <c r="A178" s="38"/>
      <c r="B178" s="38"/>
      <c r="C178" s="38"/>
      <c r="D178" s="38"/>
      <c r="E178" s="38"/>
      <c r="F178" s="38"/>
      <c r="G178" s="38"/>
      <c r="H178" s="38"/>
    </row>
    <row r="179" spans="1:8" x14ac:dyDescent="0.35">
      <c r="A179" s="38"/>
      <c r="B179" s="38"/>
      <c r="C179" s="38"/>
      <c r="D179" s="38"/>
      <c r="E179" s="38"/>
      <c r="F179" s="38"/>
      <c r="G179" s="38"/>
      <c r="H179" s="38"/>
    </row>
    <row r="180" spans="1:8" ht="15" customHeight="1" x14ac:dyDescent="0.35"/>
    <row r="220" spans="1:1" x14ac:dyDescent="0.35">
      <c r="A220" s="40" t="s">
        <v>172</v>
      </c>
    </row>
    <row r="257" spans="1:1" x14ac:dyDescent="0.35">
      <c r="A257" s="40" t="s">
        <v>69</v>
      </c>
    </row>
  </sheetData>
  <mergeCells count="327">
    <mergeCell ref="A48:B48"/>
    <mergeCell ref="C48:E48"/>
    <mergeCell ref="G48:H48"/>
    <mergeCell ref="G50:H50"/>
    <mergeCell ref="D54:H54"/>
    <mergeCell ref="C50:E50"/>
    <mergeCell ref="A170:H170"/>
    <mergeCell ref="A167:H167"/>
    <mergeCell ref="A145:B145"/>
    <mergeCell ref="A114:B114"/>
    <mergeCell ref="G129:H129"/>
    <mergeCell ref="A88:B88"/>
    <mergeCell ref="A89:B89"/>
    <mergeCell ref="A90:B90"/>
    <mergeCell ref="F95:H95"/>
    <mergeCell ref="G110:H110"/>
    <mergeCell ref="E118:F118"/>
    <mergeCell ref="G118:H118"/>
    <mergeCell ref="A57:C58"/>
    <mergeCell ref="D57:H57"/>
    <mergeCell ref="D58:H58"/>
    <mergeCell ref="C49:E49"/>
    <mergeCell ref="D55:H55"/>
    <mergeCell ref="G52:H52"/>
    <mergeCell ref="C51:H51"/>
    <mergeCell ref="A71:B71"/>
    <mergeCell ref="A73:B73"/>
    <mergeCell ref="E69:F69"/>
    <mergeCell ref="A62:C62"/>
    <mergeCell ref="D62:H62"/>
    <mergeCell ref="A65:C65"/>
    <mergeCell ref="D65:H65"/>
    <mergeCell ref="A63:C63"/>
    <mergeCell ref="D63:H63"/>
    <mergeCell ref="A64:C64"/>
    <mergeCell ref="D64:H64"/>
    <mergeCell ref="A70:B70"/>
    <mergeCell ref="B162:H162"/>
    <mergeCell ref="A119:H119"/>
    <mergeCell ref="B157:H157"/>
    <mergeCell ref="B158:H158"/>
    <mergeCell ref="A154:B154"/>
    <mergeCell ref="B159:H159"/>
    <mergeCell ref="B160:H160"/>
    <mergeCell ref="A156:H156"/>
    <mergeCell ref="A150:H150"/>
    <mergeCell ref="A136:B136"/>
    <mergeCell ref="A133:B133"/>
    <mergeCell ref="A148:B148"/>
    <mergeCell ref="A152:B152"/>
    <mergeCell ref="A120:H120"/>
    <mergeCell ref="B121:B122"/>
    <mergeCell ref="A121:A122"/>
    <mergeCell ref="A132:H132"/>
    <mergeCell ref="C121:C122"/>
    <mergeCell ref="G133:H136"/>
    <mergeCell ref="G138:H141"/>
    <mergeCell ref="G145:H149"/>
    <mergeCell ref="G151:H155"/>
    <mergeCell ref="A173:H176"/>
    <mergeCell ref="A172:B172"/>
    <mergeCell ref="E172:F172"/>
    <mergeCell ref="C172:D172"/>
    <mergeCell ref="G172:H172"/>
    <mergeCell ref="A108:H108"/>
    <mergeCell ref="A106:E106"/>
    <mergeCell ref="F106:H106"/>
    <mergeCell ref="A107:E107"/>
    <mergeCell ref="F107:H107"/>
    <mergeCell ref="A144:H144"/>
    <mergeCell ref="A115:B115"/>
    <mergeCell ref="A153:B153"/>
    <mergeCell ref="A110:B110"/>
    <mergeCell ref="A168:H168"/>
    <mergeCell ref="A113:H113"/>
    <mergeCell ref="A171:H171"/>
    <mergeCell ref="A169:H169"/>
    <mergeCell ref="A165:H165"/>
    <mergeCell ref="A166:H166"/>
    <mergeCell ref="E114:F114"/>
    <mergeCell ref="B164:H164"/>
    <mergeCell ref="G126:H126"/>
    <mergeCell ref="G124:H12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6:B16"/>
    <mergeCell ref="C16:H16"/>
    <mergeCell ref="A11:D11"/>
    <mergeCell ref="E11:H11"/>
    <mergeCell ref="A15:B15"/>
    <mergeCell ref="A12:D12"/>
    <mergeCell ref="E12:H12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9:C59"/>
    <mergeCell ref="F35:H35"/>
    <mergeCell ref="A37:B37"/>
    <mergeCell ref="C37:H37"/>
    <mergeCell ref="A38:B38"/>
    <mergeCell ref="C38:H38"/>
    <mergeCell ref="A34:B34"/>
    <mergeCell ref="C34:E34"/>
    <mergeCell ref="A45:D45"/>
    <mergeCell ref="A46:H46"/>
    <mergeCell ref="D56:H56"/>
    <mergeCell ref="A56:C56"/>
    <mergeCell ref="G49:H49"/>
    <mergeCell ref="A50:B51"/>
    <mergeCell ref="E41:H41"/>
    <mergeCell ref="A41:D41"/>
    <mergeCell ref="A42:D42"/>
    <mergeCell ref="E42:H42"/>
    <mergeCell ref="E43:H43"/>
    <mergeCell ref="E44:H44"/>
    <mergeCell ref="E45:H45"/>
    <mergeCell ref="A43:D43"/>
    <mergeCell ref="A44:D44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G69:H69"/>
    <mergeCell ref="A52:B52"/>
    <mergeCell ref="C52:E52"/>
    <mergeCell ref="A49:B49"/>
    <mergeCell ref="A53:H53"/>
    <mergeCell ref="A54:C54"/>
    <mergeCell ref="A55:C55"/>
    <mergeCell ref="C82:H82"/>
    <mergeCell ref="A83:B83"/>
    <mergeCell ref="A60:C60"/>
    <mergeCell ref="D59:H59"/>
    <mergeCell ref="E70:F79"/>
    <mergeCell ref="G70:H79"/>
    <mergeCell ref="A78:B78"/>
    <mergeCell ref="A79:B79"/>
    <mergeCell ref="D60:H60"/>
    <mergeCell ref="A80:B80"/>
    <mergeCell ref="C80:H80"/>
    <mergeCell ref="A75:B75"/>
    <mergeCell ref="L127:M127"/>
    <mergeCell ref="L126:M126"/>
    <mergeCell ref="L125:M125"/>
    <mergeCell ref="L124:M124"/>
    <mergeCell ref="A77:B77"/>
    <mergeCell ref="C115:D115"/>
    <mergeCell ref="E115:F115"/>
    <mergeCell ref="G115:H115"/>
    <mergeCell ref="F101:H101"/>
    <mergeCell ref="A95:E95"/>
    <mergeCell ref="A123:H123"/>
    <mergeCell ref="E121:E122"/>
    <mergeCell ref="G121:H122"/>
    <mergeCell ref="A84:B84"/>
    <mergeCell ref="E84:F93"/>
    <mergeCell ref="A91:B91"/>
    <mergeCell ref="A92:B92"/>
    <mergeCell ref="A93:B93"/>
    <mergeCell ref="F99:H99"/>
    <mergeCell ref="F102:H102"/>
    <mergeCell ref="A127:B127"/>
    <mergeCell ref="A82:B82"/>
    <mergeCell ref="G117:H117"/>
    <mergeCell ref="C111:D111"/>
    <mergeCell ref="E111:F111"/>
    <mergeCell ref="G111:H111"/>
    <mergeCell ref="A112:B112"/>
    <mergeCell ref="C112:D112"/>
    <mergeCell ref="E112:F112"/>
    <mergeCell ref="G112:H112"/>
    <mergeCell ref="A116:B116"/>
    <mergeCell ref="C116:D116"/>
    <mergeCell ref="E116:F116"/>
    <mergeCell ref="G116:H116"/>
    <mergeCell ref="C114:D114"/>
    <mergeCell ref="G114:H114"/>
    <mergeCell ref="A111:B111"/>
    <mergeCell ref="A118:B118"/>
    <mergeCell ref="C118:D118"/>
    <mergeCell ref="A134:B134"/>
    <mergeCell ref="A135:B135"/>
    <mergeCell ref="A155:B155"/>
    <mergeCell ref="F94:H94"/>
    <mergeCell ref="A126:B126"/>
    <mergeCell ref="A117:B117"/>
    <mergeCell ref="E117:F117"/>
    <mergeCell ref="G125:H125"/>
    <mergeCell ref="G127:H127"/>
    <mergeCell ref="F105:H105"/>
    <mergeCell ref="F103:H103"/>
    <mergeCell ref="G109:H109"/>
    <mergeCell ref="A104:E104"/>
    <mergeCell ref="C110:D110"/>
    <mergeCell ref="E110:F110"/>
    <mergeCell ref="C117:D117"/>
    <mergeCell ref="A151:B151"/>
    <mergeCell ref="F104:H104"/>
    <mergeCell ref="A128:H128"/>
    <mergeCell ref="A149:B149"/>
    <mergeCell ref="A103:E103"/>
    <mergeCell ref="F97:H97"/>
    <mergeCell ref="A102:E102"/>
    <mergeCell ref="A97:E97"/>
    <mergeCell ref="A94:E94"/>
    <mergeCell ref="F98:H98"/>
    <mergeCell ref="A99:E99"/>
    <mergeCell ref="E109:F109"/>
    <mergeCell ref="A109:B109"/>
    <mergeCell ref="A105:E105"/>
    <mergeCell ref="C109:D109"/>
    <mergeCell ref="B163:H163"/>
    <mergeCell ref="A47:B47"/>
    <mergeCell ref="C47:H47"/>
    <mergeCell ref="B161:H161"/>
    <mergeCell ref="G84:H93"/>
    <mergeCell ref="A85:B85"/>
    <mergeCell ref="A86:B86"/>
    <mergeCell ref="A87:B87"/>
    <mergeCell ref="F96:H96"/>
    <mergeCell ref="A96:E96"/>
    <mergeCell ref="D121:D122"/>
    <mergeCell ref="A98:E98"/>
    <mergeCell ref="A124:B124"/>
    <mergeCell ref="A125:B125"/>
    <mergeCell ref="A130:H130"/>
    <mergeCell ref="A131:H131"/>
    <mergeCell ref="A137:H137"/>
    <mergeCell ref="A138:B138"/>
    <mergeCell ref="A141:B141"/>
    <mergeCell ref="E83:F83"/>
    <mergeCell ref="G83:H83"/>
    <mergeCell ref="A100:E100"/>
    <mergeCell ref="F100:H100"/>
    <mergeCell ref="A101:E101"/>
    <mergeCell ref="L136:M136"/>
    <mergeCell ref="L133:M133"/>
    <mergeCell ref="L134:M134"/>
    <mergeCell ref="L135:M135"/>
    <mergeCell ref="A140:B140"/>
    <mergeCell ref="L140:M140"/>
    <mergeCell ref="L144:M144"/>
    <mergeCell ref="A146:B146"/>
    <mergeCell ref="A147:B147"/>
    <mergeCell ref="L141:M141"/>
    <mergeCell ref="C139:F139"/>
    <mergeCell ref="A143:H143"/>
    <mergeCell ref="L143:M143"/>
    <mergeCell ref="A142:H142"/>
    <mergeCell ref="L142:M142"/>
    <mergeCell ref="L138:M138"/>
    <mergeCell ref="A139:B139"/>
    <mergeCell ref="L139:M139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7" man="1"/>
    <brk id="176" max="16383" man="1"/>
    <brk id="219" max="16383" man="1"/>
    <brk id="25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9" zoomScale="85" zoomScaleNormal="85" workbookViewId="0">
      <selection activeCell="L8" sqref="L8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4" t="s">
        <v>111</v>
      </c>
      <c r="C3" s="194"/>
      <c r="D3" s="194"/>
      <c r="E3" s="194"/>
      <c r="F3" s="194"/>
      <c r="G3" s="194"/>
      <c r="H3" s="194"/>
    </row>
    <row r="4" spans="1:9" x14ac:dyDescent="0.35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2025-06-25T13:08:07Z</cp:lastPrinted>
  <dcterms:created xsi:type="dcterms:W3CDTF">2019-07-16T09:29:46Z</dcterms:created>
  <dcterms:modified xsi:type="dcterms:W3CDTF">2025-09-13T10:35:08Z</dcterms:modified>
</cp:coreProperties>
</file>