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1" l="1"/>
  <c r="I145" i="1"/>
  <c r="I146" i="1"/>
  <c r="I150" i="1"/>
  <c r="D157" i="1" l="1"/>
  <c r="F157" i="1" s="1"/>
  <c r="I157" i="1" s="1"/>
  <c r="D156" i="1"/>
  <c r="D155" i="1"/>
  <c r="D154" i="1"/>
  <c r="D153" i="1"/>
  <c r="F153" i="1" s="1"/>
  <c r="I153" i="1" s="1"/>
  <c r="D152" i="1"/>
  <c r="F152" i="1" s="1"/>
  <c r="I152" i="1" s="1"/>
  <c r="D151" i="1"/>
  <c r="F151" i="1" s="1"/>
  <c r="I151" i="1" s="1"/>
  <c r="D149" i="1"/>
  <c r="F149" i="1" s="1"/>
  <c r="I149" i="1" s="1"/>
  <c r="D148" i="1"/>
  <c r="F148" i="1" s="1"/>
  <c r="I148" i="1" s="1"/>
  <c r="D147" i="1"/>
  <c r="F147" i="1" s="1"/>
  <c r="I147" i="1" s="1"/>
  <c r="D144" i="1"/>
  <c r="F144" i="1" s="1"/>
  <c r="I144" i="1" s="1"/>
  <c r="D143" i="1"/>
  <c r="F143" i="1" s="1"/>
  <c r="I143" i="1" s="1"/>
  <c r="D142" i="1"/>
  <c r="F142" i="1" s="1"/>
  <c r="D141" i="1"/>
  <c r="F141" i="1" s="1"/>
  <c r="D140" i="1"/>
  <c r="F140" i="1" s="1"/>
  <c r="I140" i="1" s="1"/>
  <c r="D139" i="1"/>
  <c r="F139" i="1" s="1"/>
  <c r="I139" i="1" s="1"/>
  <c r="D137" i="1"/>
  <c r="F137" i="1" s="1"/>
  <c r="D136" i="1"/>
  <c r="F136" i="1" s="1"/>
  <c r="J135" i="1"/>
  <c r="F155" i="1"/>
  <c r="F154" i="1"/>
  <c r="I154" i="1" s="1"/>
  <c r="J141" i="1"/>
  <c r="J136" i="1"/>
  <c r="F156" i="1"/>
  <c r="I156" i="1" s="1"/>
  <c r="G151" i="1"/>
  <c r="G139" i="1"/>
  <c r="A148" i="1"/>
  <c r="A149" i="1" s="1"/>
  <c r="G147" i="1"/>
  <c r="A137" i="1"/>
  <c r="G136" i="1"/>
  <c r="A139" i="1"/>
  <c r="A151" i="1"/>
  <c r="I141" i="1" l="1"/>
  <c r="K120" i="1"/>
  <c r="J116" i="1"/>
  <c r="I142" i="1"/>
  <c r="J117" i="1"/>
  <c r="I155" i="1"/>
  <c r="K121" i="1"/>
  <c r="J154" i="1"/>
  <c r="I137" i="1"/>
  <c r="J110" i="1"/>
  <c r="C119" i="1"/>
  <c r="G118" i="1"/>
  <c r="I136" i="1"/>
  <c r="C118" i="1"/>
  <c r="C120" i="1" s="1"/>
  <c r="C121" i="1" s="1"/>
  <c r="G119" i="1"/>
  <c r="E118" i="1"/>
  <c r="E119" i="1"/>
  <c r="A140" i="1"/>
  <c r="A152" i="1"/>
  <c r="G120" i="1" l="1"/>
  <c r="G121" i="1" s="1"/>
  <c r="J118" i="1"/>
  <c r="E120" i="1"/>
  <c r="E121" i="1" s="1"/>
  <c r="E42" i="1"/>
  <c r="E43" i="1" s="1"/>
  <c r="A153" i="1"/>
  <c r="A141" i="1"/>
  <c r="C14" i="1" l="1"/>
  <c r="A154" i="1"/>
  <c r="A142" i="1"/>
  <c r="E29" i="1" l="1"/>
  <c r="A155" i="1"/>
  <c r="A143" i="1"/>
  <c r="F160" i="1" l="1"/>
  <c r="F161" i="1"/>
  <c r="F162" i="1"/>
  <c r="F159" i="1"/>
  <c r="A160" i="1"/>
  <c r="A161" i="1" s="1"/>
  <c r="A162" i="1" s="1"/>
  <c r="G159" i="1"/>
  <c r="G160" i="1" s="1"/>
  <c r="G161" i="1" s="1"/>
  <c r="G162" i="1" s="1"/>
  <c r="A144" i="1"/>
  <c r="A156" i="1"/>
  <c r="F110" i="1" l="1"/>
  <c r="A157" i="1"/>
  <c r="F128" i="1" l="1"/>
  <c r="F129" i="1"/>
  <c r="F130" i="1"/>
  <c r="F127" i="1"/>
  <c r="B189" i="1" l="1"/>
  <c r="A170" i="1"/>
  <c r="A182" i="1"/>
  <c r="A176" i="1"/>
  <c r="F186" i="1" l="1"/>
  <c r="F185" i="1"/>
  <c r="F184" i="1"/>
  <c r="F183" i="1"/>
  <c r="F182" i="1"/>
  <c r="F180" i="1"/>
  <c r="F179" i="1"/>
  <c r="F178" i="1"/>
  <c r="F177" i="1"/>
  <c r="F176" i="1"/>
  <c r="F174" i="1"/>
  <c r="F173" i="1"/>
  <c r="F172" i="1"/>
  <c r="F171" i="1"/>
  <c r="F170" i="1"/>
  <c r="F168" i="1"/>
  <c r="F167" i="1"/>
  <c r="F165" i="1"/>
  <c r="F164" i="1"/>
  <c r="F166" i="1"/>
  <c r="A171" i="1"/>
  <c r="A183" i="1"/>
  <c r="A177" i="1"/>
  <c r="B190" i="1" l="1"/>
  <c r="A172" i="1"/>
  <c r="A184" i="1"/>
  <c r="A17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9" i="1"/>
  <c r="G182" i="1"/>
  <c r="G183" i="1" s="1"/>
  <c r="G184" i="1" s="1"/>
  <c r="G185" i="1" s="1"/>
  <c r="G186" i="1" s="1"/>
  <c r="G176" i="1"/>
  <c r="G177" i="1" s="1"/>
  <c r="G178" i="1" s="1"/>
  <c r="G179" i="1" s="1"/>
  <c r="G180" i="1" s="1"/>
  <c r="G170" i="1"/>
  <c r="G171" i="1" s="1"/>
  <c r="G172" i="1" s="1"/>
  <c r="G173" i="1" s="1"/>
  <c r="G174" i="1" s="1"/>
  <c r="G164" i="1"/>
  <c r="G165" i="1" s="1"/>
  <c r="G166" i="1" s="1"/>
  <c r="G167" i="1" s="1"/>
  <c r="G168" i="1" s="1"/>
  <c r="A164" i="1"/>
  <c r="A165" i="1" s="1"/>
  <c r="A166" i="1" s="1"/>
  <c r="A167" i="1" s="1"/>
  <c r="A168" i="1" s="1"/>
  <c r="A128" i="1"/>
  <c r="A129" i="1" s="1"/>
  <c r="A130" i="1" s="1"/>
  <c r="G127" i="1"/>
  <c r="G128" i="1" s="1"/>
  <c r="G129" i="1" s="1"/>
  <c r="G130" i="1" s="1"/>
  <c r="C83" i="1"/>
  <c r="B84" i="1" s="1"/>
  <c r="C68" i="1"/>
  <c r="B69" i="1" s="1"/>
  <c r="D56" i="1"/>
  <c r="G49" i="1"/>
  <c r="G50" i="1" s="1"/>
  <c r="C49" i="1"/>
  <c r="E26" i="1"/>
  <c r="E24" i="1"/>
  <c r="E7" i="1"/>
  <c r="E3" i="1"/>
  <c r="A179" i="1"/>
  <c r="H84" i="1"/>
  <c r="A185" i="1"/>
  <c r="H69" i="1"/>
  <c r="A173" i="1"/>
  <c r="J89" i="1" l="1"/>
  <c r="J90" i="1" s="1"/>
  <c r="J83" i="1"/>
  <c r="J85" i="1" s="1"/>
  <c r="D62" i="1"/>
  <c r="D94" i="1"/>
  <c r="D95" i="1"/>
  <c r="D96" i="1"/>
  <c r="D90" i="1"/>
  <c r="D91" i="1"/>
  <c r="D92" i="1"/>
  <c r="D93" i="1"/>
  <c r="D82" i="1"/>
  <c r="D80" i="1"/>
  <c r="D79" i="1"/>
  <c r="D78" i="1"/>
  <c r="D76" i="1"/>
  <c r="J68" i="1"/>
  <c r="D81" i="1"/>
  <c r="D77" i="1"/>
  <c r="J73" i="1"/>
  <c r="J74" i="1"/>
  <c r="C73" i="1" s="1"/>
  <c r="J72" i="1"/>
  <c r="J75" i="1"/>
  <c r="J76" i="1" s="1"/>
  <c r="J81" i="1" s="1"/>
  <c r="J87" i="1"/>
  <c r="J88" i="1"/>
  <c r="C87" i="1" s="1"/>
  <c r="J86" i="1"/>
  <c r="A180" i="1"/>
  <c r="A186" i="1"/>
  <c r="A174" i="1"/>
  <c r="J95" i="1" l="1"/>
  <c r="J91" i="1"/>
  <c r="J92" i="1" s="1"/>
  <c r="J93" i="1" s="1"/>
  <c r="J94" i="1" s="1"/>
  <c r="J77" i="1"/>
  <c r="J78" i="1" s="1"/>
  <c r="J79" i="1" s="1"/>
  <c r="J80" i="1" s="1"/>
  <c r="D89" i="1"/>
  <c r="D75" i="1"/>
  <c r="J71" i="1"/>
  <c r="D73" i="1"/>
  <c r="D87" i="1"/>
  <c r="J82" i="1" l="1"/>
  <c r="C74" i="1" s="1"/>
  <c r="G73" i="1" s="1"/>
  <c r="D66" i="1" s="1"/>
  <c r="D67" i="1" s="1"/>
  <c r="J96" i="1"/>
  <c r="C88" i="1" l="1"/>
  <c r="J84" i="1" s="1"/>
  <c r="J69" i="1"/>
  <c r="D74" i="1"/>
  <c r="I69" i="1" s="1"/>
  <c r="I71" i="1" s="1"/>
  <c r="E73" i="1"/>
  <c r="F67" i="1"/>
  <c r="D88" i="1" l="1"/>
  <c r="I84" i="1" s="1"/>
  <c r="I85" i="1" s="1"/>
  <c r="G87" i="1"/>
  <c r="E87" i="1"/>
  <c r="I68" i="1"/>
  <c r="C71" i="1" s="1"/>
  <c r="I83" i="1" l="1"/>
  <c r="C85" i="1" s="1"/>
</calcChain>
</file>

<file path=xl/sharedStrings.xml><?xml version="1.0" encoding="utf-8"?>
<sst xmlns="http://schemas.openxmlformats.org/spreadsheetml/2006/main" count="318" uniqueCount="234">
  <si>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</si>
  <si>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</si>
  <si>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</si>
  <si>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</si>
  <si>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</si>
  <si>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</si>
  <si>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</si>
  <si>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</si>
  <si>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</si>
  <si>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</si>
  <si>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</si>
  <si>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</si>
  <si>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</si>
  <si>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</si>
  <si>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</si>
  <si>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</si>
  <si>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</si>
  <si>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</si>
  <si>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</si>
  <si>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</si>
  <si>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</si>
  <si>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</si>
  <si>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</si>
  <si>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</si>
  <si>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</si>
  <si>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</si>
  <si>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</si>
  <si>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</si>
  <si>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</si>
  <si>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</si>
  <si>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</si>
  <si>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</si>
  <si>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</si>
  <si>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</si>
  <si>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</si>
  <si>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</si>
  <si>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</si>
  <si>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</si>
  <si>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</si>
  <si>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</si>
  <si>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</si>
  <si>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</si>
  <si>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</si>
  <si>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</si>
  <si>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</si>
  <si>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</si>
  <si>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</si>
  <si>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</si>
  <si>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</si>
  <si>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</si>
  <si>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</si>
  <si>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</si>
  <si>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</si>
  <si>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</si>
  <si>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</si>
  <si>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</si>
  <si>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</si>
  <si>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</si>
  <si>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</si>
  <si>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</si>
  <si>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</si>
  <si>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</si>
  <si>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</si>
  <si>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</si>
  <si>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</si>
  <si>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</si>
  <si>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</si>
  <si>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</si>
  <si>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</si>
  <si>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</si>
  <si>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</si>
  <si>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</si>
  <si>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</si>
  <si>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</si>
  <si>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</si>
  <si>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</si>
  <si>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</si>
  <si>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</si>
  <si>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</si>
  <si>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</si>
  <si>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</si>
  <si>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</si>
  <si>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</si>
  <si>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</si>
  <si>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</si>
  <si>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</si>
  <si>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</si>
  <si>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</si>
  <si>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</si>
  <si>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</si>
  <si>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</si>
  <si>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</si>
  <si>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</si>
  <si>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</si>
  <si>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</si>
  <si>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</si>
  <si>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</si>
  <si>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</si>
  <si>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</si>
  <si>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</si>
  <si>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</si>
  <si>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</si>
  <si>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</si>
  <si>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</si>
  <si>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</si>
  <si>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</si>
  <si>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</si>
  <si>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</si>
  <si>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</si>
  <si>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</si>
  <si>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</si>
  <si>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</si>
  <si>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</si>
  <si>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</si>
  <si>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</si>
  <si>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</si>
  <si>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</si>
  <si>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</si>
  <si>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</si>
  <si>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</si>
  <si>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</si>
  <si>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</si>
  <si>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</si>
  <si>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</si>
  <si>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</si>
  <si>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</si>
  <si>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</si>
  <si>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</si>
  <si>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</si>
  <si>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</si>
  <si>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</si>
  <si>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</si>
  <si>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</si>
  <si>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</si>
  <si>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</si>
  <si>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</si>
  <si>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</si>
  <si>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</si>
  <si>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</si>
  <si>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</si>
  <si>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</si>
  <si>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</si>
  <si>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</si>
  <si>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</si>
  <si>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</si>
  <si>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</si>
  <si>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</si>
  <si>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</si>
  <si>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</si>
  <si>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</si>
  <si>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</si>
  <si>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</si>
  <si>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</si>
  <si>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</si>
  <si>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</si>
  <si>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</si>
  <si>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</si>
  <si>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</si>
  <si>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</si>
  <si>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</si>
  <si>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</si>
  <si>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</si>
  <si>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</si>
  <si>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</si>
  <si>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</si>
  <si>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</si>
  <si>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</si>
  <si>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</si>
  <si>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</si>
  <si>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</si>
  <si>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</si>
  <si>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</si>
  <si>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</si>
  <si>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</si>
  <si>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</si>
  <si>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</si>
  <si>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</si>
  <si>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</si>
  <si>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</si>
  <si>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</si>
  <si>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</si>
  <si>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</si>
  <si>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</si>
  <si>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Shivam Homes Wing A and B</t>
  </si>
  <si>
    <t>Mr.Mukesh 9321336560</t>
  </si>
  <si>
    <t>Mr.Kiran Limbani 8097889806</t>
  </si>
  <si>
    <t>Wing A &amp; B</t>
  </si>
  <si>
    <t>P51700048026</t>
  </si>
  <si>
    <t>62 Hissa No.9,10</t>
  </si>
  <si>
    <t>Survey No</t>
  </si>
  <si>
    <t>Shivam Homes</t>
  </si>
  <si>
    <t>Shirgaon</t>
  </si>
  <si>
    <t>Thane</t>
  </si>
  <si>
    <t>https://goo.gl/maps/qQkBzQS9UugPwERk7</t>
  </si>
  <si>
    <t>Bhakti Park Apartment</t>
  </si>
  <si>
    <t>Open Plot</t>
  </si>
  <si>
    <t>Internal Road/ Ashapura Krupa</t>
  </si>
  <si>
    <t>Vedant Vatika</t>
  </si>
  <si>
    <t>Bhosale Nagar</t>
  </si>
  <si>
    <t>Thanekar Hillcrest Road</t>
  </si>
  <si>
    <t>2.7 KM from Badlapur Railway Station</t>
  </si>
  <si>
    <t>Ambernath</t>
  </si>
  <si>
    <t>2 Buildings</t>
  </si>
  <si>
    <t>Kulgoan Badlapur Municipal Council</t>
  </si>
  <si>
    <t>Wing A &amp; B = Gr/St + 1st to 7th Floor</t>
  </si>
  <si>
    <t>Wing A = Gr/St + 1st to 7th Floor</t>
  </si>
  <si>
    <t>Wing B = Gr/St + 1st to 7th Floor</t>
  </si>
  <si>
    <t>As per RERA - 31/12/2025</t>
  </si>
  <si>
    <t>Ground Floor For Parking &amp; Part Residential</t>
  </si>
  <si>
    <t>Wing A</t>
  </si>
  <si>
    <t>Wing B</t>
  </si>
  <si>
    <t>Ground Floor For Parking, Residential &amp; Society Office</t>
  </si>
  <si>
    <t>1st to 7th Floor For Residential</t>
  </si>
  <si>
    <t>We considered Gross carpet area = Net carpet + E.P. Area.</t>
  </si>
  <si>
    <t>Builder</t>
  </si>
  <si>
    <t xml:space="preserve">mis </t>
  </si>
  <si>
    <t>Flats - 96</t>
  </si>
  <si>
    <t>Approved Plans, CC, Sale Plans, Cost Sheet</t>
  </si>
  <si>
    <t>Gated Community, Children's Play Area, Rain Water Harvesting, Power Backup, Car Parking, Intercom, CCTV, RO Water System</t>
  </si>
  <si>
    <t>housing</t>
  </si>
  <si>
    <t>KBNP/NRV/B.P/4491/2021-2022/
Unique No.45</t>
  </si>
  <si>
    <t>Badlapur (West)</t>
  </si>
  <si>
    <t>19.152841, 73.235605</t>
  </si>
  <si>
    <t>KBNP/NRV/BP/4491-45</t>
  </si>
  <si>
    <t>Inspection Sheet</t>
  </si>
  <si>
    <t>25L 1BHK.</t>
  </si>
  <si>
    <t>35L 2BHK.</t>
  </si>
  <si>
    <t>https://www.commonfloor.com/shivam-homes-wing-a-and-b-mumbai/povp-rqhxue?contactsource=recently_viewed_projects</t>
  </si>
  <si>
    <t>Common floor</t>
  </si>
  <si>
    <t>Sudhir Bhosale</t>
  </si>
  <si>
    <t>KBNP/NRV/581/2022-2023</t>
  </si>
  <si>
    <t xml:space="preserve">Commencement Validity Extension No.
Valid Up to Date: </t>
  </si>
  <si>
    <t>Wing B = Finishing work is in process.
Wing A = All work Completed. Please provide OC.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</si>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</sst>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67" fontId="7" fillId="0" borderId="0" xfId="9" applyNumberFormat="1" applyFont="1" applyAlignment="1">
      <alignment horizontal="right"/>
    </xf>
    <xf numFmtId="167" fontId="16" fillId="0" borderId="0" xfId="9" applyNumberFormat="1" applyFont="1" applyAlignment="1">
      <alignment horizontal="right"/>
    </xf>
    <xf numFmtId="167" fontId="6" fillId="0" borderId="0" xfId="9" applyNumberFormat="1" applyFont="1" applyAlignment="1">
      <alignment horizontal="right"/>
    </xf>
    <xf numFmtId="167" fontId="7" fillId="0" borderId="0" xfId="9" applyNumberFormat="1" applyFont="1" applyAlignment="1">
      <alignment horizontal="right" vertical="center"/>
    </xf>
    <xf numFmtId="167" fontId="10" fillId="0" borderId="0" xfId="0" applyNumberFormat="1" applyFont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1" fontId="26" fillId="0" borderId="0" xfId="10" applyNumberForma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35" xfId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9" fontId="13" fillId="0" borderId="7" xfId="1" applyNumberFormat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0" fillId="0" borderId="7" xfId="1" applyFont="1" applyBorder="1" applyAlignment="1" applyProtection="1">
      <alignment horizontal="center" vertical="top" wrapText="1"/>
      <protection locked="0"/>
    </xf>
    <xf numFmtId="0" fontId="10" fillId="0" borderId="34" xfId="1" applyFont="1" applyBorder="1" applyAlignment="1" applyProtection="1">
      <alignment horizontal="center" vertical="top" wrapText="1"/>
      <protection locked="0"/>
    </xf>
    <xf numFmtId="0" fontId="13" fillId="0" borderId="34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center" vertical="top" wrapText="1"/>
      <protection locked="0"/>
    </xf>
    <xf numFmtId="0" fontId="7" fillId="0" borderId="36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285747</xdr:colOff>
      <xdr:row>298</xdr:row>
      <xdr:rowOff>0</xdr:rowOff>
    </xdr:from>
    <xdr:to>
      <xdr:col>7</xdr:col>
      <xdr:colOff>536724</xdr:colOff>
      <xdr:row>315</xdr:row>
      <xdr:rowOff>85722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47" y="51002045"/>
          <a:ext cx="5940000" cy="34714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285747</xdr:colOff>
      <xdr:row>316</xdr:row>
      <xdr:rowOff>20978</xdr:rowOff>
    </xdr:from>
    <xdr:to>
      <xdr:col>7</xdr:col>
      <xdr:colOff>536724</xdr:colOff>
      <xdr:row>339</xdr:row>
      <xdr:rowOff>38034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47" y="52815455"/>
          <a:ext cx="5940000" cy="45977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311724</xdr:colOff>
      <xdr:row>253</xdr:row>
      <xdr:rowOff>129887</xdr:rowOff>
    </xdr:from>
    <xdr:to>
      <xdr:col>6</xdr:col>
      <xdr:colOff>581795</xdr:colOff>
      <xdr:row>278</xdr:row>
      <xdr:rowOff>190910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724" y="40377342"/>
          <a:ext cx="4417776" cy="50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560093</xdr:colOff>
      <xdr:row>279</xdr:row>
      <xdr:rowOff>166588</xdr:rowOff>
    </xdr:from>
    <xdr:to>
      <xdr:col>5</xdr:col>
      <xdr:colOff>316109</xdr:colOff>
      <xdr:row>294</xdr:row>
      <xdr:rowOff>59200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8729" y="45592179"/>
          <a:ext cx="232776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337705</xdr:colOff>
      <xdr:row>259</xdr:row>
      <xdr:rowOff>181841</xdr:rowOff>
    </xdr:from>
    <xdr:to>
      <xdr:col>4</xdr:col>
      <xdr:colOff>623455</xdr:colOff>
      <xdr:row>269</xdr:row>
      <xdr:rowOff>95250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744932" y="41624250"/>
          <a:ext cx="1229591" cy="1905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65810</xdr:colOff>
      <xdr:row>268</xdr:row>
      <xdr:rowOff>164522</xdr:rowOff>
    </xdr:from>
    <xdr:to>
      <xdr:col>4</xdr:col>
      <xdr:colOff>562843</xdr:colOff>
      <xdr:row>274</xdr:row>
      <xdr:rowOff>95248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16200000">
          <a:off x="2206339" y="42817470"/>
          <a:ext cx="1125680" cy="228946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666750</xdr:colOff>
      <xdr:row>261</xdr:row>
      <xdr:rowOff>190500</xdr:rowOff>
    </xdr:from>
    <xdr:ext cx="607089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017818" y="42031227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A</a:t>
          </a:r>
          <a:endParaRPr lang="en-IN" sz="1100" b="1"/>
        </a:p>
      </xdr:txBody>
    </xdr:sp>
    <xdr:clientData/>
  </xdr:oneCellAnchor>
  <xdr:oneCellAnchor>
    <xdr:from>
      <xdr:col>4</xdr:col>
      <xdr:colOff>602673</xdr:colOff>
      <xdr:row>271</xdr:row>
      <xdr:rowOff>74468</xdr:rowOff>
    </xdr:from>
    <xdr:ext cx="600677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953741" y="43906786"/>
          <a:ext cx="60067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B</a:t>
          </a:r>
          <a:endParaRPr lang="en-IN" sz="1100" b="1"/>
        </a:p>
      </xdr:txBody>
    </xdr:sp>
    <xdr:clientData/>
  </xdr:oneCellAnchor>
  <xdr:twoCellAnchor>
    <xdr:from>
      <xdr:col>3</xdr:col>
      <xdr:colOff>779318</xdr:colOff>
      <xdr:row>323</xdr:row>
      <xdr:rowOff>155863</xdr:rowOff>
    </xdr:from>
    <xdr:to>
      <xdr:col>4</xdr:col>
      <xdr:colOff>606137</xdr:colOff>
      <xdr:row>329</xdr:row>
      <xdr:rowOff>43296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86545" y="54344454"/>
          <a:ext cx="770660" cy="108238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658088</xdr:colOff>
      <xdr:row>324</xdr:row>
      <xdr:rowOff>194160</xdr:rowOff>
    </xdr:from>
    <xdr:ext cx="607089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009156" y="54581910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A</a:t>
          </a:r>
          <a:endParaRPr lang="en-IN" sz="1100" b="1"/>
        </a:p>
      </xdr:txBody>
    </xdr:sp>
    <xdr:clientData/>
  </xdr:oneCellAnchor>
  <xdr:twoCellAnchor>
    <xdr:from>
      <xdr:col>3</xdr:col>
      <xdr:colOff>377535</xdr:colOff>
      <xdr:row>328</xdr:row>
      <xdr:rowOff>135085</xdr:rowOff>
    </xdr:from>
    <xdr:to>
      <xdr:col>4</xdr:col>
      <xdr:colOff>516081</xdr:colOff>
      <xdr:row>331</xdr:row>
      <xdr:rowOff>103913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5400000">
          <a:off x="3042803" y="55061430"/>
          <a:ext cx="566306" cy="108238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550715</xdr:colOff>
      <xdr:row>329</xdr:row>
      <xdr:rowOff>95447</xdr:rowOff>
    </xdr:from>
    <xdr:ext cx="600677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901783" y="55478992"/>
          <a:ext cx="60067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B</a:t>
          </a:r>
          <a:endParaRPr lang="en-IN" sz="1100" b="1"/>
        </a:p>
      </xdr:txBody>
    </xdr:sp>
    <xdr:clientData/>
  </xdr:oneCellAnchor>
  <xdr:twoCellAnchor>
    <xdr:from>
      <xdr:col>8</xdr:col>
      <xdr:colOff>276225</xdr:colOff>
      <xdr:row>208</xdr:row>
      <xdr:rowOff>171450</xdr:rowOff>
    </xdr:from>
    <xdr:to>
      <xdr:col>15</xdr:col>
      <xdr:colOff>620946</xdr:colOff>
      <xdr:row>243</xdr:row>
      <xdr:rowOff>173680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DE7DBC2C-1C7B-471C-ACA1-A8F993A1562F}"/>
            </a:ext>
          </a:extLst>
        </xdr:cNvPr>
        <xdr:cNvGrpSpPr/>
      </xdr:nvGrpSpPr>
      <xdr:grpSpPr>
        <a:xfrm>
          <a:off x="7616825" y="31718250"/>
          <a:ext cx="6434371" cy="6885630"/>
          <a:chOff x="603015" y="328630"/>
          <a:chExt cx="6164496" cy="6993580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07A625C-0585-4BBF-88DF-FCE0C46D09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2222" y="328630"/>
            <a:ext cx="2436778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C68363F6-9009-44B4-8793-B72286F0BA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6162" y="328630"/>
            <a:ext cx="2436778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635ED8EC-E729-440A-9E5C-B70A385AB3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3015" y="364483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9A56838B-BE3E-42E7-B68F-D88950CCF7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47685" y="364483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884E8D9A-A4A3-40FA-BAF6-CC96C02E14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78369" y="364483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5AE09EBF-CBCD-4226-8837-007F6233F4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4649" y="364526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3B74D4E1-DE7C-49C7-8693-1DAFF71A98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0767" y="5702210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BD639820-F18E-48C6-AAAC-EBE2D4352E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00688" y="570221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8CB4D66F-EA5C-40B0-8C54-871BDD5D6A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9220" y="5702210"/>
            <a:ext cx="214904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9" name="TextBox 37">
            <a:extLst>
              <a:ext uri="{FF2B5EF4-FFF2-40B4-BE49-F238E27FC236}">
                <a16:creationId xmlns:a16="http://schemas.microsoft.com/office/drawing/2014/main" id="{12716FE8-325F-4C9D-B937-0E50983ADA9B}"/>
              </a:ext>
            </a:extLst>
          </xdr:cNvPr>
          <xdr:cNvSpPr txBox="1"/>
        </xdr:nvSpPr>
        <xdr:spPr>
          <a:xfrm>
            <a:off x="2076450" y="2419350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 Wing 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0" name="TextBox 38">
            <a:extLst>
              <a:ext uri="{FF2B5EF4-FFF2-40B4-BE49-F238E27FC236}">
                <a16:creationId xmlns:a16="http://schemas.microsoft.com/office/drawing/2014/main" id="{57B79E3D-A4A9-4884-806B-E50A2540A30C}"/>
              </a:ext>
            </a:extLst>
          </xdr:cNvPr>
          <xdr:cNvSpPr txBox="1"/>
        </xdr:nvSpPr>
        <xdr:spPr>
          <a:xfrm>
            <a:off x="4363969" y="459683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 Wing 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209550</xdr:colOff>
      <xdr:row>46</xdr:row>
      <xdr:rowOff>171451</xdr:rowOff>
    </xdr:from>
    <xdr:to>
      <xdr:col>13</xdr:col>
      <xdr:colOff>205200</xdr:colOff>
      <xdr:row>53</xdr:row>
      <xdr:rowOff>3643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4FF19A-6AFF-4752-92F7-98540D71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10425" y="10210801"/>
          <a:ext cx="4320000" cy="186101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54</xdr:row>
      <xdr:rowOff>66675</xdr:rowOff>
    </xdr:from>
    <xdr:to>
      <xdr:col>16</xdr:col>
      <xdr:colOff>208724</xdr:colOff>
      <xdr:row>59</xdr:row>
      <xdr:rowOff>114169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E81B37-8DBB-4FE6-AF76-405E2A0B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00900" y="12134850"/>
          <a:ext cx="6609524" cy="1047619"/>
        </a:xfrm>
        <a:prstGeom prst="rect">
          <a:avLst/>
        </a:prstGeom>
      </xdr:spPr>
    </xdr:pic>
    <xdr:clientData/>
  </xdr:twoCellAnchor>
  <xdr:twoCellAnchor>
    <xdr:from>
      <xdr:col>0</xdr:col>
      <xdr:colOff>469900</xdr:colOff>
      <xdr:row>209</xdr:row>
      <xdr:rowOff>184150</xdr:rowOff>
    </xdr:from>
    <xdr:to>
      <xdr:col>7</xdr:col>
      <xdr:colOff>910072</xdr:colOff>
      <xdr:row>238</xdr:row>
      <xdr:rowOff>75132</xdr:rowOff>
    </xdr:to>
    <xdr:grpSp>
      <xdr:nvGrpSpPr>
        <xdr:cNvPr id="6" name="Group 5"/>
        <xdr:cNvGrpSpPr/>
      </xdr:nvGrpSpPr>
      <xdr:grpSpPr>
        <a:xfrm>
          <a:off x="469900" y="31927800"/>
          <a:ext cx="6415522" cy="5593282"/>
          <a:chOff x="469900" y="31864300"/>
          <a:chExt cx="6415522" cy="5593282"/>
        </a:xfrm>
      </xdr:grpSpPr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7698" y="34721582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4512" y="31864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31864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3086" y="34721582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19124" y="31864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34721582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7</xdr:col>
      <xdr:colOff>372703</xdr:colOff>
      <xdr:row>32</xdr:row>
      <xdr:rowOff>180548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8104762" cy="3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monfloor.com/shivam-homes-wing-a-and-b-mumbai/povp-rqhxue?contactsource=recently_viewed_projects" TargetMode="External"/><Relationship Id="rId1" Type="http://schemas.openxmlformats.org/officeDocument/2006/relationships/hyperlink" Target="https://goo.gl/maps/qQkBzQS9UugPwERk7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7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9.54296875" style="40" customWidth="1"/>
    <col min="9" max="9" width="17.453125" style="21" customWidth="1"/>
    <col min="10" max="10" width="11.453125" style="21" customWidth="1"/>
    <col min="11" max="11" width="13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41" t="s">
        <v>177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3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x14ac:dyDescent="0.35">
      <c r="A3" s="134" t="s">
        <v>1</v>
      </c>
      <c r="B3" s="134"/>
      <c r="C3" s="134"/>
      <c r="D3" s="134"/>
      <c r="E3" s="134" t="str">
        <f ca="1">TEXT(TODAY(),"DD/MM/YYYY")</f>
        <v>19/09/2025</v>
      </c>
      <c r="F3" s="134"/>
      <c r="G3" s="134"/>
      <c r="H3" s="134"/>
    </row>
    <row r="4" spans="1:8" ht="15" customHeight="1" x14ac:dyDescent="0.35">
      <c r="A4" s="134" t="s">
        <v>2</v>
      </c>
      <c r="B4" s="134"/>
      <c r="C4" s="134"/>
      <c r="D4" s="134"/>
      <c r="E4" s="134" t="s">
        <v>182</v>
      </c>
      <c r="F4" s="134"/>
      <c r="G4" s="134"/>
      <c r="H4" s="134"/>
    </row>
    <row r="5" spans="1:8" x14ac:dyDescent="0.35">
      <c r="A5" s="134" t="s">
        <v>3</v>
      </c>
      <c r="B5" s="134"/>
      <c r="C5" s="134"/>
      <c r="D5" s="134"/>
      <c r="E5" s="140">
        <v>45915</v>
      </c>
      <c r="F5" s="134"/>
      <c r="G5" s="134"/>
      <c r="H5" s="134"/>
    </row>
    <row r="6" spans="1:8" ht="16.5" customHeight="1" x14ac:dyDescent="0.35">
      <c r="A6" s="134" t="s">
        <v>4</v>
      </c>
      <c r="B6" s="134"/>
      <c r="C6" s="134"/>
      <c r="D6" s="134"/>
      <c r="E6" s="134" t="s">
        <v>190</v>
      </c>
      <c r="F6" s="134"/>
      <c r="G6" s="134"/>
      <c r="H6" s="134"/>
    </row>
    <row r="7" spans="1:8" ht="15" customHeight="1" x14ac:dyDescent="0.35">
      <c r="A7" s="134" t="s">
        <v>5</v>
      </c>
      <c r="B7" s="134"/>
      <c r="C7" s="134"/>
      <c r="D7" s="134"/>
      <c r="E7" s="134" t="str">
        <f>E6</f>
        <v>Shivam Homes</v>
      </c>
      <c r="F7" s="134"/>
      <c r="G7" s="134"/>
      <c r="H7" s="134"/>
    </row>
    <row r="8" spans="1:8" x14ac:dyDescent="0.35">
      <c r="A8" s="134" t="s">
        <v>6</v>
      </c>
      <c r="B8" s="134"/>
      <c r="C8" s="134"/>
      <c r="D8" s="134"/>
      <c r="E8" s="103" t="s">
        <v>183</v>
      </c>
      <c r="F8" s="127"/>
      <c r="G8" s="127"/>
      <c r="H8" s="127"/>
    </row>
    <row r="9" spans="1:8" x14ac:dyDescent="0.35">
      <c r="A9" s="134" t="s">
        <v>180</v>
      </c>
      <c r="B9" s="134"/>
      <c r="C9" s="134"/>
      <c r="D9" s="134"/>
      <c r="E9" s="134" t="s">
        <v>184</v>
      </c>
      <c r="F9" s="134"/>
      <c r="G9" s="134"/>
      <c r="H9" s="134"/>
    </row>
    <row r="10" spans="1:8" hidden="1" x14ac:dyDescent="0.35">
      <c r="A10" s="134" t="s">
        <v>181</v>
      </c>
      <c r="B10" s="134"/>
      <c r="C10" s="134"/>
      <c r="D10" s="134"/>
      <c r="E10" s="134" t="s">
        <v>185</v>
      </c>
      <c r="F10" s="134"/>
      <c r="G10" s="134"/>
      <c r="H10" s="134"/>
    </row>
    <row r="11" spans="1:8" x14ac:dyDescent="0.35">
      <c r="A11" s="134" t="s">
        <v>7</v>
      </c>
      <c r="B11" s="134"/>
      <c r="C11" s="134"/>
      <c r="D11" s="134"/>
      <c r="E11" s="134" t="s">
        <v>186</v>
      </c>
      <c r="F11" s="134"/>
      <c r="G11" s="134"/>
      <c r="H11" s="134"/>
    </row>
    <row r="12" spans="1:8" x14ac:dyDescent="0.35">
      <c r="A12" s="69" t="s">
        <v>8</v>
      </c>
      <c r="B12" s="69"/>
      <c r="C12" s="69"/>
      <c r="D12" s="69"/>
      <c r="E12" s="71" t="s">
        <v>217</v>
      </c>
      <c r="F12" s="71"/>
      <c r="G12" s="71"/>
      <c r="H12" s="71"/>
    </row>
    <row r="13" spans="1:8" x14ac:dyDescent="0.35">
      <c r="A13" s="69" t="s">
        <v>9</v>
      </c>
      <c r="B13" s="69"/>
      <c r="C13" s="69"/>
      <c r="D13" s="69"/>
      <c r="E13" s="71" t="s">
        <v>187</v>
      </c>
      <c r="F13" s="134"/>
      <c r="G13" s="134"/>
      <c r="H13" s="134"/>
    </row>
    <row r="14" spans="1:8" ht="50.25" customHeight="1" x14ac:dyDescent="0.35">
      <c r="A14" s="138" t="s">
        <v>10</v>
      </c>
      <c r="B14" s="138"/>
      <c r="C14" s="13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Shivam Homes Wing A and B, Survey No.62 Hissa No.9,10, near Bhakti Park Apartment, Thanekar Hillcrest Road, Bhosale Nagar, Shirgaon, Badlapur (West), Ambernath, Thane - 421503.</v>
      </c>
      <c r="D14" s="138"/>
      <c r="E14" s="138"/>
      <c r="F14" s="138"/>
      <c r="G14" s="138"/>
      <c r="H14" s="138"/>
    </row>
    <row r="15" spans="1:8" x14ac:dyDescent="0.35">
      <c r="A15" s="71" t="s">
        <v>189</v>
      </c>
      <c r="B15" s="71"/>
      <c r="C15" s="71" t="s">
        <v>188</v>
      </c>
      <c r="D15" s="71"/>
      <c r="E15" s="71"/>
      <c r="F15" s="71"/>
      <c r="G15" s="71"/>
      <c r="H15" s="71"/>
    </row>
    <row r="16" spans="1:8" ht="15.75" customHeight="1" x14ac:dyDescent="0.35">
      <c r="A16" s="71" t="s">
        <v>175</v>
      </c>
      <c r="B16" s="71"/>
      <c r="C16" s="71" t="s">
        <v>198</v>
      </c>
      <c r="D16" s="71"/>
      <c r="E16" s="71"/>
      <c r="F16" s="71"/>
      <c r="G16" s="71"/>
      <c r="H16" s="71"/>
    </row>
    <row r="17" spans="1:8" ht="15.75" customHeight="1" x14ac:dyDescent="0.35">
      <c r="A17" s="138" t="s">
        <v>11</v>
      </c>
      <c r="B17" s="138"/>
      <c r="C17" s="134" t="s">
        <v>199</v>
      </c>
      <c r="D17" s="134"/>
      <c r="E17" s="138" t="s">
        <v>75</v>
      </c>
      <c r="F17" s="138"/>
      <c r="G17" s="71" t="s">
        <v>191</v>
      </c>
      <c r="H17" s="71"/>
    </row>
    <row r="18" spans="1:8" x14ac:dyDescent="0.35">
      <c r="A18" s="69" t="s">
        <v>13</v>
      </c>
      <c r="B18" s="69"/>
      <c r="C18" s="71" t="s">
        <v>221</v>
      </c>
      <c r="D18" s="71"/>
      <c r="E18" s="138" t="s">
        <v>12</v>
      </c>
      <c r="F18" s="138"/>
      <c r="G18" s="139" t="s">
        <v>192</v>
      </c>
      <c r="H18" s="139"/>
    </row>
    <row r="19" spans="1:8" x14ac:dyDescent="0.35">
      <c r="A19" s="69" t="s">
        <v>76</v>
      </c>
      <c r="B19" s="69"/>
      <c r="C19" s="71" t="s">
        <v>201</v>
      </c>
      <c r="D19" s="71"/>
      <c r="E19" s="138" t="s">
        <v>14</v>
      </c>
      <c r="F19" s="138"/>
      <c r="G19" s="71">
        <v>421503</v>
      </c>
      <c r="H19" s="71"/>
    </row>
    <row r="20" spans="1:8" ht="32.25" customHeight="1" x14ac:dyDescent="0.35">
      <c r="A20" s="69" t="s">
        <v>129</v>
      </c>
      <c r="B20" s="69"/>
      <c r="C20" s="71" t="s">
        <v>194</v>
      </c>
      <c r="D20" s="71"/>
      <c r="E20" s="138" t="s">
        <v>15</v>
      </c>
      <c r="F20" s="138"/>
      <c r="G20" s="71" t="s">
        <v>200</v>
      </c>
      <c r="H20" s="71"/>
    </row>
    <row r="21" spans="1:8" ht="15" customHeight="1" x14ac:dyDescent="0.35">
      <c r="A21" s="138" t="s">
        <v>79</v>
      </c>
      <c r="B21" s="138"/>
      <c r="C21" s="138"/>
      <c r="D21" s="138"/>
      <c r="E21" s="134" t="s">
        <v>16</v>
      </c>
      <c r="F21" s="134"/>
      <c r="G21" s="134"/>
      <c r="H21" s="134"/>
    </row>
    <row r="22" spans="1:8" ht="18.75" customHeight="1" x14ac:dyDescent="0.35">
      <c r="A22" s="138"/>
      <c r="B22" s="138"/>
      <c r="C22" s="138"/>
      <c r="D22" s="138"/>
      <c r="E22" s="134"/>
      <c r="F22" s="134"/>
      <c r="G22" s="134"/>
      <c r="H22" s="134"/>
    </row>
    <row r="23" spans="1:8" ht="15" customHeight="1" x14ac:dyDescent="0.35">
      <c r="A23" s="138" t="s">
        <v>17</v>
      </c>
      <c r="B23" s="138"/>
      <c r="C23" s="138"/>
      <c r="D23" s="138"/>
      <c r="E23" s="71" t="s">
        <v>18</v>
      </c>
      <c r="F23" s="71"/>
      <c r="G23" s="71"/>
      <c r="H23" s="71"/>
    </row>
    <row r="24" spans="1:8" ht="15" customHeight="1" x14ac:dyDescent="0.35">
      <c r="A24" s="69" t="s">
        <v>19</v>
      </c>
      <c r="B24" s="69"/>
      <c r="C24" s="69"/>
      <c r="D24" s="69"/>
      <c r="E24" s="71" t="str">
        <f>IF(AND(G18="Mumbai"),"Upper Class","Middle Class")</f>
        <v>Middle Class</v>
      </c>
      <c r="F24" s="71"/>
      <c r="G24" s="71"/>
      <c r="H24" s="71"/>
    </row>
    <row r="25" spans="1:8" x14ac:dyDescent="0.35">
      <c r="A25" s="69" t="s">
        <v>20</v>
      </c>
      <c r="B25" s="69"/>
      <c r="C25" s="69"/>
      <c r="D25" s="69"/>
      <c r="E25" s="71" t="s">
        <v>21</v>
      </c>
      <c r="F25" s="71"/>
      <c r="G25" s="71"/>
      <c r="H25" s="71"/>
    </row>
    <row r="26" spans="1:8" ht="15.75" customHeight="1" x14ac:dyDescent="0.35">
      <c r="A26" s="69" t="s">
        <v>22</v>
      </c>
      <c r="B26" s="69"/>
      <c r="C26" s="69"/>
      <c r="D26" s="69"/>
      <c r="E26" s="71" t="str">
        <f>IF(AND(G18="Mumbai"),"Developed","Developing")</f>
        <v>Developing</v>
      </c>
      <c r="F26" s="71"/>
      <c r="G26" s="71"/>
      <c r="H26" s="71"/>
    </row>
    <row r="27" spans="1:8" x14ac:dyDescent="0.35">
      <c r="A27" s="69" t="s">
        <v>23</v>
      </c>
      <c r="B27" s="69"/>
      <c r="C27" s="69"/>
      <c r="D27" s="69"/>
      <c r="E27" s="71" t="s">
        <v>24</v>
      </c>
      <c r="F27" s="71"/>
      <c r="G27" s="71"/>
      <c r="H27" s="71"/>
    </row>
    <row r="28" spans="1:8" ht="15.75" customHeight="1" x14ac:dyDescent="0.35">
      <c r="A28" s="69" t="s">
        <v>84</v>
      </c>
      <c r="B28" s="69"/>
      <c r="C28" s="69"/>
      <c r="D28" s="69"/>
      <c r="E28" s="71" t="s">
        <v>85</v>
      </c>
      <c r="F28" s="71"/>
      <c r="G28" s="71"/>
      <c r="H28" s="71"/>
    </row>
    <row r="29" spans="1:8" ht="15" customHeight="1" x14ac:dyDescent="0.35">
      <c r="A29" s="69" t="s">
        <v>33</v>
      </c>
      <c r="B29" s="69"/>
      <c r="C29" s="69"/>
      <c r="D29" s="69"/>
      <c r="E29" s="71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71"/>
      <c r="G29" s="71"/>
      <c r="H29" s="71"/>
    </row>
    <row r="30" spans="1:8" ht="15.75" customHeight="1" x14ac:dyDescent="0.35">
      <c r="A30" s="69" t="s">
        <v>96</v>
      </c>
      <c r="B30" s="69"/>
      <c r="C30" s="69"/>
      <c r="D30" s="69"/>
      <c r="E30" s="71" t="s">
        <v>34</v>
      </c>
      <c r="F30" s="71"/>
      <c r="G30" s="71"/>
      <c r="H30" s="71"/>
    </row>
    <row r="31" spans="1:8" s="22" customFormat="1" x14ac:dyDescent="0.35">
      <c r="A31" s="137" t="s">
        <v>97</v>
      </c>
      <c r="B31" s="137"/>
      <c r="C31" s="136" t="s">
        <v>29</v>
      </c>
      <c r="D31" s="136"/>
      <c r="E31" s="136"/>
      <c r="F31" s="136" t="s">
        <v>31</v>
      </c>
      <c r="G31" s="136"/>
      <c r="H31" s="136"/>
    </row>
    <row r="32" spans="1:8" s="22" customFormat="1" x14ac:dyDescent="0.35">
      <c r="A32" s="128" t="s">
        <v>25</v>
      </c>
      <c r="B32" s="128" t="s">
        <v>30</v>
      </c>
      <c r="C32" s="129" t="s">
        <v>30</v>
      </c>
      <c r="D32" s="129"/>
      <c r="E32" s="129"/>
      <c r="F32" s="129" t="s">
        <v>195</v>
      </c>
      <c r="G32" s="129"/>
      <c r="H32" s="129"/>
    </row>
    <row r="33" spans="1:8" x14ac:dyDescent="0.35">
      <c r="A33" s="128" t="s">
        <v>26</v>
      </c>
      <c r="B33" s="128" t="s">
        <v>30</v>
      </c>
      <c r="C33" s="129" t="s">
        <v>30</v>
      </c>
      <c r="D33" s="129"/>
      <c r="E33" s="129"/>
      <c r="F33" s="129" t="s">
        <v>194</v>
      </c>
      <c r="G33" s="129"/>
      <c r="H33" s="129"/>
    </row>
    <row r="34" spans="1:8" s="22" customFormat="1" x14ac:dyDescent="0.35">
      <c r="A34" s="128" t="s">
        <v>28</v>
      </c>
      <c r="B34" s="128" t="s">
        <v>30</v>
      </c>
      <c r="C34" s="129" t="s">
        <v>30</v>
      </c>
      <c r="D34" s="129"/>
      <c r="E34" s="129"/>
      <c r="F34" s="129" t="s">
        <v>196</v>
      </c>
      <c r="G34" s="129"/>
      <c r="H34" s="129"/>
    </row>
    <row r="35" spans="1:8" x14ac:dyDescent="0.35">
      <c r="A35" s="128" t="s">
        <v>27</v>
      </c>
      <c r="B35" s="128" t="s">
        <v>30</v>
      </c>
      <c r="C35" s="129" t="s">
        <v>30</v>
      </c>
      <c r="D35" s="129"/>
      <c r="E35" s="129"/>
      <c r="F35" s="135" t="s">
        <v>197</v>
      </c>
      <c r="G35" s="129"/>
      <c r="H35" s="129"/>
    </row>
    <row r="36" spans="1:8" x14ac:dyDescent="0.35">
      <c r="A36" s="69" t="s">
        <v>32</v>
      </c>
      <c r="B36" s="69"/>
      <c r="C36" s="69"/>
      <c r="D36" s="69"/>
      <c r="E36" s="69"/>
      <c r="F36" s="69"/>
      <c r="G36" s="69"/>
      <c r="H36" s="69"/>
    </row>
    <row r="37" spans="1:8" ht="15.75" customHeight="1" x14ac:dyDescent="0.35">
      <c r="A37" s="69" t="s">
        <v>178</v>
      </c>
      <c r="B37" s="69"/>
      <c r="C37" s="118" t="s">
        <v>222</v>
      </c>
      <c r="D37" s="118"/>
      <c r="E37" s="118"/>
      <c r="F37" s="118"/>
      <c r="G37" s="118"/>
      <c r="H37" s="118"/>
    </row>
    <row r="38" spans="1:8" x14ac:dyDescent="0.35">
      <c r="A38" s="69" t="s">
        <v>174</v>
      </c>
      <c r="B38" s="69"/>
      <c r="C38" s="70" t="s">
        <v>193</v>
      </c>
      <c r="D38" s="71"/>
      <c r="E38" s="71"/>
      <c r="F38" s="71"/>
      <c r="G38" s="71"/>
      <c r="H38" s="71"/>
    </row>
    <row r="39" spans="1:8" x14ac:dyDescent="0.35">
      <c r="A39" s="118" t="s">
        <v>35</v>
      </c>
      <c r="B39" s="118"/>
      <c r="C39" s="118"/>
      <c r="D39" s="118"/>
      <c r="E39" s="118"/>
      <c r="F39" s="118"/>
      <c r="G39" s="118"/>
      <c r="H39" s="118"/>
    </row>
    <row r="40" spans="1:8" x14ac:dyDescent="0.35">
      <c r="A40" s="69" t="s">
        <v>36</v>
      </c>
      <c r="B40" s="69"/>
      <c r="C40" s="69"/>
      <c r="D40" s="69"/>
      <c r="E40" s="130">
        <v>2270</v>
      </c>
      <c r="F40" s="130"/>
      <c r="G40" s="130"/>
      <c r="H40" s="130"/>
    </row>
    <row r="41" spans="1:8" x14ac:dyDescent="0.35">
      <c r="A41" s="69" t="s">
        <v>37</v>
      </c>
      <c r="B41" s="69"/>
      <c r="C41" s="69"/>
      <c r="D41" s="69"/>
      <c r="E41" s="132">
        <v>1.1000000000000001</v>
      </c>
      <c r="F41" s="132"/>
      <c r="G41" s="132"/>
      <c r="H41" s="132"/>
    </row>
    <row r="42" spans="1:8" x14ac:dyDescent="0.35">
      <c r="A42" s="69" t="s">
        <v>38</v>
      </c>
      <c r="B42" s="69"/>
      <c r="C42" s="69"/>
      <c r="D42" s="69"/>
      <c r="E42" s="132">
        <f>E44/E40-E41</f>
        <v>0.97130396475770908</v>
      </c>
      <c r="F42" s="132"/>
      <c r="G42" s="132"/>
      <c r="H42" s="132"/>
    </row>
    <row r="43" spans="1:8" x14ac:dyDescent="0.35">
      <c r="A43" s="69" t="s">
        <v>39</v>
      </c>
      <c r="B43" s="69"/>
      <c r="C43" s="69"/>
      <c r="D43" s="69"/>
      <c r="E43" s="132">
        <f>E41+E42</f>
        <v>2.0713039647577092</v>
      </c>
      <c r="F43" s="132"/>
      <c r="G43" s="132"/>
      <c r="H43" s="132"/>
    </row>
    <row r="44" spans="1:8" x14ac:dyDescent="0.35">
      <c r="A44" s="69" t="s">
        <v>95</v>
      </c>
      <c r="B44" s="69"/>
      <c r="C44" s="69"/>
      <c r="D44" s="69"/>
      <c r="E44" s="133">
        <v>4701.8599999999997</v>
      </c>
      <c r="F44" s="133"/>
      <c r="G44" s="133"/>
      <c r="H44" s="133"/>
    </row>
    <row r="45" spans="1:8" x14ac:dyDescent="0.35">
      <c r="A45" s="134" t="s">
        <v>40</v>
      </c>
      <c r="B45" s="134"/>
      <c r="C45" s="134"/>
      <c r="D45" s="134"/>
      <c r="E45" s="134" t="s">
        <v>202</v>
      </c>
      <c r="F45" s="134"/>
      <c r="G45" s="134"/>
      <c r="H45" s="134"/>
    </row>
    <row r="46" spans="1:8" x14ac:dyDescent="0.35">
      <c r="A46" s="118" t="s">
        <v>41</v>
      </c>
      <c r="B46" s="118"/>
      <c r="C46" s="118"/>
      <c r="D46" s="118"/>
      <c r="E46" s="118"/>
      <c r="F46" s="118"/>
      <c r="G46" s="118"/>
      <c r="H46" s="118"/>
    </row>
    <row r="47" spans="1:8" ht="33.75" customHeight="1" x14ac:dyDescent="0.35">
      <c r="A47" s="75" t="s">
        <v>161</v>
      </c>
      <c r="B47" s="76"/>
      <c r="C47" s="77" t="s">
        <v>203</v>
      </c>
      <c r="D47" s="78"/>
      <c r="E47" s="78"/>
      <c r="F47" s="78"/>
      <c r="G47" s="78"/>
      <c r="H47" s="79"/>
    </row>
    <row r="48" spans="1:8" ht="15.75" customHeight="1" x14ac:dyDescent="0.35">
      <c r="A48" s="75" t="s">
        <v>42</v>
      </c>
      <c r="B48" s="76"/>
      <c r="C48" s="75" t="s">
        <v>223</v>
      </c>
      <c r="D48" s="174"/>
      <c r="E48" s="76"/>
      <c r="F48" s="18" t="s">
        <v>43</v>
      </c>
      <c r="G48" s="148">
        <v>44344</v>
      </c>
      <c r="H48" s="76"/>
    </row>
    <row r="49" spans="1:14" x14ac:dyDescent="0.35">
      <c r="A49" s="75" t="s">
        <v>44</v>
      </c>
      <c r="B49" s="76"/>
      <c r="C49" s="75" t="str">
        <f>C48</f>
        <v>KBNP/NRV/BP/4491-45</v>
      </c>
      <c r="D49" s="174"/>
      <c r="E49" s="76"/>
      <c r="F49" s="18" t="s">
        <v>43</v>
      </c>
      <c r="G49" s="148">
        <f>G48</f>
        <v>44344</v>
      </c>
      <c r="H49" s="149"/>
    </row>
    <row r="50" spans="1:14" s="23" customFormat="1" ht="31.5" customHeight="1" x14ac:dyDescent="0.35">
      <c r="A50" s="150" t="s">
        <v>165</v>
      </c>
      <c r="B50" s="151"/>
      <c r="C50" s="75" t="s">
        <v>220</v>
      </c>
      <c r="D50" s="175"/>
      <c r="E50" s="176"/>
      <c r="F50" s="18" t="s">
        <v>43</v>
      </c>
      <c r="G50" s="148">
        <f>G49</f>
        <v>44344</v>
      </c>
      <c r="H50" s="149"/>
    </row>
    <row r="51" spans="1:14" s="23" customFormat="1" ht="15.75" customHeight="1" x14ac:dyDescent="0.35">
      <c r="A51" s="152"/>
      <c r="B51" s="153"/>
      <c r="C51" s="75" t="s">
        <v>204</v>
      </c>
      <c r="D51" s="174"/>
      <c r="E51" s="174"/>
      <c r="F51" s="174"/>
      <c r="G51" s="174"/>
      <c r="H51" s="76"/>
    </row>
    <row r="52" spans="1:14" s="23" customFormat="1" ht="31.5" customHeight="1" x14ac:dyDescent="0.35">
      <c r="A52" s="150" t="s">
        <v>231</v>
      </c>
      <c r="B52" s="151"/>
      <c r="C52" s="75" t="s">
        <v>230</v>
      </c>
      <c r="D52" s="175"/>
      <c r="E52" s="176"/>
      <c r="F52" s="18" t="s">
        <v>43</v>
      </c>
      <c r="G52" s="148">
        <v>44874</v>
      </c>
      <c r="H52" s="149"/>
    </row>
    <row r="53" spans="1:14" s="23" customFormat="1" ht="15.75" customHeight="1" x14ac:dyDescent="0.35">
      <c r="A53" s="152"/>
      <c r="B53" s="153"/>
      <c r="C53" s="148">
        <v>45074</v>
      </c>
      <c r="D53" s="174"/>
      <c r="E53" s="174"/>
      <c r="F53" s="174"/>
      <c r="G53" s="174"/>
      <c r="H53" s="76"/>
    </row>
    <row r="54" spans="1:14" x14ac:dyDescent="0.35">
      <c r="A54" s="179" t="s">
        <v>45</v>
      </c>
      <c r="B54" s="180"/>
      <c r="C54" s="179" t="s">
        <v>109</v>
      </c>
      <c r="D54" s="181"/>
      <c r="E54" s="180"/>
      <c r="F54" s="46" t="s">
        <v>43</v>
      </c>
      <c r="G54" s="182" t="s">
        <v>30</v>
      </c>
      <c r="H54" s="183"/>
    </row>
    <row r="55" spans="1:14" x14ac:dyDescent="0.35">
      <c r="A55" s="169" t="s">
        <v>47</v>
      </c>
      <c r="B55" s="169"/>
      <c r="C55" s="169"/>
      <c r="D55" s="169"/>
      <c r="E55" s="169"/>
      <c r="F55" s="169"/>
      <c r="G55" s="169"/>
      <c r="H55" s="169"/>
    </row>
    <row r="56" spans="1:14" x14ac:dyDescent="0.35">
      <c r="A56" s="138" t="s">
        <v>94</v>
      </c>
      <c r="B56" s="138"/>
      <c r="C56" s="138"/>
      <c r="D56" s="69">
        <f>E44</f>
        <v>4701.8599999999997</v>
      </c>
      <c r="E56" s="69"/>
      <c r="F56" s="69"/>
      <c r="G56" s="69"/>
      <c r="H56" s="69"/>
    </row>
    <row r="57" spans="1:14" x14ac:dyDescent="0.35">
      <c r="A57" s="71" t="s">
        <v>48</v>
      </c>
      <c r="B57" s="134"/>
      <c r="C57" s="134"/>
      <c r="D57" s="134" t="s">
        <v>216</v>
      </c>
      <c r="E57" s="134"/>
      <c r="F57" s="134"/>
      <c r="G57" s="134"/>
      <c r="H57" s="134"/>
      <c r="I57" s="24"/>
    </row>
    <row r="58" spans="1:14" x14ac:dyDescent="0.35">
      <c r="A58" s="145" t="s">
        <v>49</v>
      </c>
      <c r="B58" s="146"/>
      <c r="C58" s="147"/>
      <c r="D58" s="143" t="s">
        <v>204</v>
      </c>
      <c r="E58" s="144"/>
      <c r="F58" s="144"/>
      <c r="G58" s="144"/>
      <c r="H58" s="144"/>
    </row>
    <row r="59" spans="1:14" ht="15.75" customHeight="1" x14ac:dyDescent="0.35">
      <c r="A59" s="145" t="s">
        <v>92</v>
      </c>
      <c r="B59" s="146"/>
      <c r="C59" s="146"/>
      <c r="D59" s="143" t="s">
        <v>205</v>
      </c>
      <c r="E59" s="144"/>
      <c r="F59" s="144"/>
      <c r="G59" s="144"/>
      <c r="H59" s="144"/>
    </row>
    <row r="60" spans="1:14" ht="15.75" customHeight="1" x14ac:dyDescent="0.35">
      <c r="A60" s="177"/>
      <c r="B60" s="178"/>
      <c r="C60" s="178"/>
      <c r="D60" s="71" t="s">
        <v>206</v>
      </c>
      <c r="E60" s="134"/>
      <c r="F60" s="134"/>
      <c r="G60" s="134"/>
      <c r="H60" s="134"/>
    </row>
    <row r="61" spans="1:14" ht="15.75" customHeight="1" x14ac:dyDescent="0.35">
      <c r="A61" s="69" t="s">
        <v>46</v>
      </c>
      <c r="B61" s="69"/>
      <c r="C61" s="69"/>
      <c r="D61" s="131" t="s">
        <v>207</v>
      </c>
      <c r="E61" s="131"/>
      <c r="F61" s="131"/>
      <c r="G61" s="131"/>
      <c r="H61" s="131"/>
      <c r="J61" s="25"/>
      <c r="K61" s="24"/>
      <c r="N61" s="24"/>
    </row>
    <row r="62" spans="1:14" ht="15.75" customHeight="1" x14ac:dyDescent="0.35">
      <c r="A62" s="69" t="s">
        <v>90</v>
      </c>
      <c r="B62" s="69"/>
      <c r="C62" s="69"/>
      <c r="D62" s="210" t="str">
        <f>(IF(G54="NA","60 Years After Completion",IF(G54&lt;&gt;"NA",""&amp;60-ROUNDDOWN((E3-G54)/360,0)&amp;" Years"," ")))</f>
        <v>60 Years After Completion</v>
      </c>
      <c r="E62" s="210"/>
      <c r="F62" s="210"/>
      <c r="G62" s="210"/>
      <c r="H62" s="210"/>
      <c r="N62" s="24"/>
    </row>
    <row r="63" spans="1:14" ht="15.75" customHeight="1" x14ac:dyDescent="0.35">
      <c r="A63" s="69" t="s">
        <v>91</v>
      </c>
      <c r="B63" s="69"/>
      <c r="C63" s="69"/>
      <c r="D63" s="138" t="s">
        <v>24</v>
      </c>
      <c r="E63" s="138"/>
      <c r="F63" s="138"/>
      <c r="G63" s="138"/>
      <c r="H63" s="138"/>
      <c r="J63" s="26"/>
      <c r="K63" s="26"/>
    </row>
    <row r="64" spans="1:14" ht="47.25" customHeight="1" x14ac:dyDescent="0.35">
      <c r="A64" s="69" t="s">
        <v>77</v>
      </c>
      <c r="B64" s="69"/>
      <c r="C64" s="69"/>
      <c r="D64" s="71" t="s">
        <v>218</v>
      </c>
      <c r="E64" s="138"/>
      <c r="F64" s="138"/>
      <c r="G64" s="138"/>
      <c r="H64" s="138"/>
      <c r="J64" s="21" t="s">
        <v>219</v>
      </c>
    </row>
    <row r="65" spans="1:14" x14ac:dyDescent="0.35">
      <c r="A65" s="138" t="s">
        <v>157</v>
      </c>
      <c r="B65" s="138"/>
      <c r="C65" s="138"/>
      <c r="D65" s="138" t="s">
        <v>30</v>
      </c>
      <c r="E65" s="138"/>
      <c r="F65" s="138"/>
      <c r="G65" s="138"/>
      <c r="H65" s="138"/>
      <c r="I65" s="27"/>
      <c r="J65" s="27"/>
      <c r="K65" s="27"/>
      <c r="L65" s="27"/>
      <c r="M65" s="27"/>
      <c r="N65" s="27"/>
    </row>
    <row r="66" spans="1:14" ht="15.75" customHeight="1" x14ac:dyDescent="0.35">
      <c r="A66" s="205" t="s">
        <v>89</v>
      </c>
      <c r="B66" s="205"/>
      <c r="C66" s="205"/>
      <c r="D66" s="143" t="str">
        <f ca="1">(IF(G73&gt;95%,"Nothing",IF(G73&gt;0%,"Cement, Aggregate, Steel, etc",IF(G73=0%,"Work not yet Started"))))</f>
        <v>Nothing</v>
      </c>
      <c r="E66" s="143"/>
      <c r="F66" s="143"/>
      <c r="G66" s="143"/>
      <c r="H66" s="143"/>
      <c r="J66" s="26"/>
    </row>
    <row r="67" spans="1:14" ht="33.75" customHeight="1" thickBot="1" x14ac:dyDescent="0.4">
      <c r="A67" s="165" t="s">
        <v>122</v>
      </c>
      <c r="B67" s="165"/>
      <c r="C67" s="165"/>
      <c r="D67" s="143" t="str">
        <f ca="1">(IF(D66="Nothing","Yes",IF(D66="Cement, Aggregate, Steel, etc","Under Construction",IF(D66="Work not yet Started","Work not yet Started"))))</f>
        <v>Yes</v>
      </c>
      <c r="E67" s="143"/>
      <c r="F67" s="143" t="str">
        <f ca="1">(IF(D66="Nothing","Yes",IF(D66="Cement, Aggregate, Steel, etc","Under Construction",IF(D66="Work not yet Started","Work not yet Started"))))</f>
        <v>Yes</v>
      </c>
      <c r="G67" s="143"/>
      <c r="H67" s="143"/>
    </row>
    <row r="68" spans="1:14" ht="15.75" customHeight="1" x14ac:dyDescent="0.35">
      <c r="A68" s="158" t="s">
        <v>147</v>
      </c>
      <c r="B68" s="159"/>
      <c r="C68" s="160" t="str">
        <f>D59</f>
        <v>Wing A = Gr/St + 1st to 7th Floor</v>
      </c>
      <c r="D68" s="161"/>
      <c r="E68" s="161"/>
      <c r="F68" s="161"/>
      <c r="G68" s="161"/>
      <c r="H68" s="162"/>
      <c r="I68" s="48" t="str">
        <f ca="1">IF(D82=100%,"All work Completed. Possession granted to the Building.",IF(D81=100%,"All work Completed, Waiting for OC",I69&amp;""&amp;I71&amp;""&amp;J69&amp;""&amp;J68&amp;" "&amp;J71))</f>
        <v>All work Completed. Possession granted to the Building.</v>
      </c>
      <c r="J68" s="49" t="str">
        <f ca="1">(IF(C75=(D69+F69+H69),"",IF(C75&gt;0,", RCC upto "&amp;C75&amp;" Slab","")))&amp;(IF(C76=H69,"",IF(C76&gt;0,", Brickwork upto "&amp;C76&amp;" Floor","")))&amp;(IF(C77=H69,"",IF(C77&gt;0,", Internal Plaster upto "&amp;C77&amp;" Floor","")))&amp;(IF(C78=H69,"",IF(C78&gt;0,", External Plaster upto "&amp;C78&amp;" Floor","")))&amp;(IF(C79=H69,"",IF(C79&gt;0,", Flooring upto "&amp;C79&amp;" Floor","")))&amp;(IF(C80=H69,"",IF(C80&gt;0,", Painting upto "&amp;C80&amp;" Floor","")))&amp;(IF(C81=H69,"",IF(C81&gt;0,", Finishing upto "&amp;C81&amp;" Floor","")))&amp;(IF(C82=H69,"",IF(C82&gt;0,", Possession upto "&amp;C82&amp;" Floor","")))</f>
        <v/>
      </c>
    </row>
    <row r="69" spans="1:14" x14ac:dyDescent="0.35">
      <c r="A69" s="16" t="s">
        <v>149</v>
      </c>
      <c r="B69" s="65">
        <f>IF(AND(ISNUMBER(SEARCH("1B",C68))),1,IF(AND(ISNUMBER(SEARCH("2B",C68))),2,IF(AND(ISNUMBER(SEARCH("3B",C68))),3,IF(AND(ISNUMBER(SEARCH("4B",C68))),4,IF(ISNUMBER(SEARCH("5B",C68)),5,0)))))</f>
        <v>0</v>
      </c>
      <c r="C69" s="65" t="s">
        <v>74</v>
      </c>
      <c r="D69" s="65">
        <v>1</v>
      </c>
      <c r="E69" s="65" t="s">
        <v>73</v>
      </c>
      <c r="F69" s="65">
        <v>0</v>
      </c>
      <c r="G69" s="65" t="s">
        <v>83</v>
      </c>
      <c r="H69" s="17">
        <f ca="1">--TRIM(RIGHT(SUBSTITUTE(LEFT(C68,_xlfn.AGGREGATE(16,6,FIND({0,1,2,3,4,5,6,7,8,9},C68,ROW(INDIRECT("1:"&amp;LEN(C68)))),1))," ",REPT(" ",LEN(C68))),LEN(C68)))</f>
        <v>7</v>
      </c>
      <c r="I69" s="5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Plaster, Flooring, Painting, Building common Amenities</v>
      </c>
      <c r="J69" s="5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0" spans="1:14" x14ac:dyDescent="0.35">
      <c r="A70" s="198" t="s">
        <v>88</v>
      </c>
      <c r="B70" s="199"/>
      <c r="C70" s="200">
        <v>1</v>
      </c>
      <c r="D70" s="201"/>
      <c r="E70" s="202" t="s">
        <v>87</v>
      </c>
      <c r="F70" s="203"/>
      <c r="G70" s="200">
        <v>1</v>
      </c>
      <c r="H70" s="204"/>
      <c r="I70" s="50"/>
      <c r="J70" s="51"/>
    </row>
    <row r="71" spans="1:14" ht="16" thickBot="1" x14ac:dyDescent="0.4">
      <c r="A71" s="156" t="s">
        <v>93</v>
      </c>
      <c r="B71" s="157"/>
      <c r="C71" s="163" t="str">
        <f ca="1">I68</f>
        <v>All work Completed. Possession granted to the Building.</v>
      </c>
      <c r="D71" s="163"/>
      <c r="E71" s="163"/>
      <c r="F71" s="163"/>
      <c r="G71" s="163"/>
      <c r="H71" s="164"/>
      <c r="I71" s="50" t="str">
        <f ca="1">IF(I69&lt;&gt;""," Completed","")</f>
        <v xml:space="preserve"> Completed</v>
      </c>
      <c r="J71" s="51" t="str">
        <f ca="1">IF(J68&lt;&gt;"","Completed","")</f>
        <v/>
      </c>
    </row>
    <row r="72" spans="1:14" ht="15.75" hidden="1" customHeight="1" x14ac:dyDescent="0.35">
      <c r="A72" s="154" t="s">
        <v>50</v>
      </c>
      <c r="B72" s="155"/>
      <c r="C72" s="66" t="s">
        <v>146</v>
      </c>
      <c r="D72" s="66" t="s">
        <v>86</v>
      </c>
      <c r="E72" s="155" t="s">
        <v>88</v>
      </c>
      <c r="F72" s="155"/>
      <c r="G72" s="206" t="s">
        <v>87</v>
      </c>
      <c r="H72" s="207"/>
      <c r="I72" s="14" t="s">
        <v>148</v>
      </c>
      <c r="J72" s="28">
        <f ca="1">H69*25%</f>
        <v>1.75</v>
      </c>
    </row>
    <row r="73" spans="1:14" hidden="1" x14ac:dyDescent="0.35">
      <c r="A73" s="86" t="s">
        <v>135</v>
      </c>
      <c r="B73" s="87"/>
      <c r="C73" s="44">
        <f ca="1">J74</f>
        <v>7</v>
      </c>
      <c r="D73" s="19">
        <f ca="1">((100/H69)*C73)/100</f>
        <v>1</v>
      </c>
      <c r="E73" s="80">
        <f ca="1">(((C74/H69*10)+(40/(D69+F69+H69)*C75)+(7.5/(H69)*C76)+(7.5/(H69)*C77)+(10/H69*C78)+(10/H69*C79)+(5/H69*C80)+(5/H69*C81)+(5/H69*C82))/100)</f>
        <v>1</v>
      </c>
      <c r="F73" s="123"/>
      <c r="G73" s="80">
        <f ca="1">((((C73/H69)*20)+((C74/H69)*25)+(30/(H69+F69+D69)*C75)+(5/H69*C76)+(5/H69*C77)+(5/H69*C78)+(5/H69*C79)+(0/H69*C80)+(0/H69*C81)+(5/H69*C82))/100)</f>
        <v>1</v>
      </c>
      <c r="H73" s="81"/>
      <c r="I73" s="14" t="s">
        <v>104</v>
      </c>
      <c r="J73" s="29">
        <f ca="1">H69*50%</f>
        <v>3.5</v>
      </c>
    </row>
    <row r="74" spans="1:14" hidden="1" x14ac:dyDescent="0.35">
      <c r="A74" s="86" t="s">
        <v>51</v>
      </c>
      <c r="B74" s="87"/>
      <c r="C74" s="44">
        <f ca="1">J82</f>
        <v>7</v>
      </c>
      <c r="D74" s="19">
        <f ca="1">((100/H69)*C74)/100</f>
        <v>1</v>
      </c>
      <c r="E74" s="82"/>
      <c r="F74" s="124"/>
      <c r="G74" s="82"/>
      <c r="H74" s="83"/>
      <c r="I74" s="14" t="s">
        <v>105</v>
      </c>
      <c r="J74" s="29">
        <f ca="1">H69</f>
        <v>7</v>
      </c>
    </row>
    <row r="75" spans="1:14" ht="15.75" hidden="1" customHeight="1" x14ac:dyDescent="0.35">
      <c r="A75" s="86" t="s">
        <v>136</v>
      </c>
      <c r="B75" s="87"/>
      <c r="C75" s="44">
        <v>8</v>
      </c>
      <c r="D75" s="19">
        <f ca="1">((100/(D69+F69+H69))*C75)/100</f>
        <v>1</v>
      </c>
      <c r="E75" s="82"/>
      <c r="F75" s="124"/>
      <c r="G75" s="82"/>
      <c r="H75" s="83"/>
      <c r="I75" s="14" t="s">
        <v>106</v>
      </c>
      <c r="J75" s="30">
        <f ca="1">(IF(B69&gt;1,(H69/(B69+2)),H69/4))</f>
        <v>1.75</v>
      </c>
    </row>
    <row r="76" spans="1:14" ht="15.75" hidden="1" customHeight="1" x14ac:dyDescent="0.35">
      <c r="A76" s="86" t="s">
        <v>143</v>
      </c>
      <c r="B76" s="87" t="s">
        <v>137</v>
      </c>
      <c r="C76" s="44">
        <v>7</v>
      </c>
      <c r="D76" s="19">
        <f ca="1">((100/H69)*C76)/100</f>
        <v>1</v>
      </c>
      <c r="E76" s="82"/>
      <c r="F76" s="124"/>
      <c r="G76" s="82"/>
      <c r="H76" s="83"/>
      <c r="I76" s="14" t="s">
        <v>107</v>
      </c>
      <c r="J76" s="30">
        <f ca="1">(IF(B69&gt;1,(H69/(B69+2)+J75),H69/4+J75))</f>
        <v>3.5</v>
      </c>
    </row>
    <row r="77" spans="1:14" ht="15.75" hidden="1" customHeight="1" x14ac:dyDescent="0.35">
      <c r="A77" s="86" t="s">
        <v>144</v>
      </c>
      <c r="B77" s="87" t="s">
        <v>137</v>
      </c>
      <c r="C77" s="44">
        <v>7</v>
      </c>
      <c r="D77" s="19">
        <f ca="1">((100/H69)*C77)/100</f>
        <v>1</v>
      </c>
      <c r="E77" s="82"/>
      <c r="F77" s="124"/>
      <c r="G77" s="82"/>
      <c r="H77" s="83"/>
      <c r="I77" s="14" t="s">
        <v>155</v>
      </c>
      <c r="J77" s="30">
        <f>(IF(B69&gt;1,(H69/(B69+2)+J76),0))</f>
        <v>0</v>
      </c>
    </row>
    <row r="78" spans="1:14" ht="15" hidden="1" customHeight="1" x14ac:dyDescent="0.35">
      <c r="A78" s="86" t="s">
        <v>142</v>
      </c>
      <c r="B78" s="87" t="s">
        <v>139</v>
      </c>
      <c r="C78" s="44">
        <v>7</v>
      </c>
      <c r="D78" s="19">
        <f ca="1">((100/(H69))*C78)/100</f>
        <v>1</v>
      </c>
      <c r="E78" s="82"/>
      <c r="F78" s="124"/>
      <c r="G78" s="82"/>
      <c r="H78" s="83"/>
      <c r="I78" s="14" t="s">
        <v>150</v>
      </c>
      <c r="J78" s="30">
        <f>(IF(B69&gt;2,(H69/(B69+2)+J77),0))</f>
        <v>0</v>
      </c>
    </row>
    <row r="79" spans="1:14" ht="15.75" hidden="1" customHeight="1" x14ac:dyDescent="0.35">
      <c r="A79" s="86" t="s">
        <v>138</v>
      </c>
      <c r="B79" s="87" t="s">
        <v>138</v>
      </c>
      <c r="C79" s="44">
        <v>7</v>
      </c>
      <c r="D79" s="19">
        <f ca="1">((100/H69)*C79)/100</f>
        <v>1</v>
      </c>
      <c r="E79" s="82"/>
      <c r="F79" s="124"/>
      <c r="G79" s="82"/>
      <c r="H79" s="83"/>
      <c r="I79" s="14" t="s">
        <v>151</v>
      </c>
      <c r="J79" s="31">
        <f>(IF(B69&gt;3,(H69/(B69+2)+J78),0))</f>
        <v>0</v>
      </c>
    </row>
    <row r="80" spans="1:14" ht="15.75" hidden="1" customHeight="1" x14ac:dyDescent="0.35">
      <c r="A80" s="86" t="s">
        <v>145</v>
      </c>
      <c r="B80" s="87"/>
      <c r="C80" s="44">
        <v>7</v>
      </c>
      <c r="D80" s="19">
        <f ca="1">((100/H69)*C80)/100</f>
        <v>1</v>
      </c>
      <c r="E80" s="82"/>
      <c r="F80" s="124"/>
      <c r="G80" s="82"/>
      <c r="H80" s="83"/>
      <c r="I80" s="14" t="s">
        <v>152</v>
      </c>
      <c r="J80" s="30">
        <f>(IF(B69&gt;4,(H69/(B69+2)+J79),0))</f>
        <v>0</v>
      </c>
    </row>
    <row r="81" spans="1:10" ht="15.75" hidden="1" customHeight="1" x14ac:dyDescent="0.35">
      <c r="A81" s="86" t="s">
        <v>140</v>
      </c>
      <c r="B81" s="87" t="s">
        <v>140</v>
      </c>
      <c r="C81" s="44">
        <v>7</v>
      </c>
      <c r="D81" s="19">
        <f ca="1">((100/(H69))*C81)/100</f>
        <v>1</v>
      </c>
      <c r="E81" s="82"/>
      <c r="F81" s="124"/>
      <c r="G81" s="82"/>
      <c r="H81" s="83"/>
      <c r="I81" s="14" t="s">
        <v>156</v>
      </c>
      <c r="J81" s="30">
        <f ca="1">(IF(B69=1,(H69/(B69+3)+J76),IF(B69=0,(H69/4+J76),IF(B69&gt;1,0))))</f>
        <v>5.25</v>
      </c>
    </row>
    <row r="82" spans="1:10" ht="16" hidden="1" thickBot="1" x14ac:dyDescent="0.4">
      <c r="A82" s="208" t="s">
        <v>141</v>
      </c>
      <c r="B82" s="209"/>
      <c r="C82" s="45">
        <v>7</v>
      </c>
      <c r="D82" s="20">
        <f ca="1">((100/(H69))*C82)/100</f>
        <v>1</v>
      </c>
      <c r="E82" s="84"/>
      <c r="F82" s="125"/>
      <c r="G82" s="84"/>
      <c r="H82" s="85"/>
      <c r="I82" s="15" t="s">
        <v>108</v>
      </c>
      <c r="J82" s="32">
        <f ca="1">(IF(B69&gt;1.5,(H69/(B69+2)+J76+MAX(0,J77-J76)+MAX(0,J78-J77)+MAX(0,J79-J78)+MAX(0,J80-J79)+MAX(0,J81-J80)),IF(B69=1,(H69/(B69+3)+J81),IF(B69=0,H69/4+J81))))</f>
        <v>7</v>
      </c>
    </row>
    <row r="83" spans="1:10" ht="15.75" customHeight="1" x14ac:dyDescent="0.35">
      <c r="A83" s="158" t="s">
        <v>147</v>
      </c>
      <c r="B83" s="159"/>
      <c r="C83" s="160" t="str">
        <f>D60</f>
        <v>Wing B = Gr/St + 1st to 7th Floor</v>
      </c>
      <c r="D83" s="161"/>
      <c r="E83" s="161"/>
      <c r="F83" s="161"/>
      <c r="G83" s="161"/>
      <c r="H83" s="162"/>
      <c r="I83" s="48" t="str">
        <f ca="1">IF(D96=100%,"All work Completed. Possession granted to the Building.",IF(D95=100%,"All work Completed, Waiting for OC",I84&amp;""&amp;I85&amp;""&amp;J84&amp;""&amp;J83&amp;" "&amp;J85))</f>
        <v>Excavation, Plinth, RCC Slab, Brickwork, Internal Plaster, External Plaster, Flooring, Painting Completed, Finishing upto 3 Floor Completed</v>
      </c>
      <c r="J83" s="4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Finishing upto 3 Floor</v>
      </c>
    </row>
    <row r="84" spans="1:10" x14ac:dyDescent="0.35">
      <c r="A84" s="16" t="s">
        <v>149</v>
      </c>
      <c r="B84" s="55">
        <f>IF(AND(ISNUMBER(SEARCH("1B",C83))),1,IF(AND(ISNUMBER(SEARCH("2B",C83))),2,IF(AND(ISNUMBER(SEARCH("3B",C83))),3,IF(AND(ISNUMBER(SEARCH("4B",C83))),4,IF(ISNUMBER(SEARCH("5B",C83)),5,0)))))</f>
        <v>0</v>
      </c>
      <c r="C84" s="55" t="s">
        <v>74</v>
      </c>
      <c r="D84" s="55">
        <v>1</v>
      </c>
      <c r="E84" s="55" t="s">
        <v>73</v>
      </c>
      <c r="F84" s="55">
        <v>0</v>
      </c>
      <c r="G84" s="55" t="s">
        <v>83</v>
      </c>
      <c r="H84" s="17">
        <f ca="1">--TRIM(RIGHT(SUBSTITUTE(LEFT(C83,_xlfn.AGGREGATE(16,6,FIND({0,1,2,3,4,5,6,7,8,9},C83,ROW(INDIRECT("1:"&amp;LEN(C83)))),1))," ",REPT(" ",LEN(C83))),LEN(C83)))</f>
        <v>7</v>
      </c>
      <c r="I84" s="5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Brickwork, Internal Plaster, External Plaster, Flooring, Painting</v>
      </c>
      <c r="J84" s="5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2.25" customHeight="1" x14ac:dyDescent="0.35">
      <c r="A85" s="126" t="s">
        <v>93</v>
      </c>
      <c r="B85" s="127"/>
      <c r="C85" s="103" t="str">
        <f ca="1">(IF($G$54="NA",I83,"All work Completed. OC Received."))</f>
        <v>Excavation, Plinth, RCC Slab, Brickwork, Internal Plaster, External Plaster, Flooring, Painting Completed, Finishing upto 3 Floor Completed</v>
      </c>
      <c r="D85" s="103"/>
      <c r="E85" s="103"/>
      <c r="F85" s="103"/>
      <c r="G85" s="103"/>
      <c r="H85" s="104"/>
      <c r="I85" s="50" t="str">
        <f ca="1">IF(I84&lt;&gt;""," Completed","")</f>
        <v xml:space="preserve"> Completed</v>
      </c>
      <c r="J85" s="51" t="str">
        <f ca="1">IF(J83&lt;&gt;"","Completed","")</f>
        <v>Completed</v>
      </c>
    </row>
    <row r="86" spans="1:10" ht="15.75" customHeight="1" x14ac:dyDescent="0.35">
      <c r="A86" s="86" t="s">
        <v>50</v>
      </c>
      <c r="B86" s="87"/>
      <c r="C86" s="44" t="s">
        <v>146</v>
      </c>
      <c r="D86" s="44" t="s">
        <v>86</v>
      </c>
      <c r="E86" s="87" t="s">
        <v>88</v>
      </c>
      <c r="F86" s="87"/>
      <c r="G86" s="87" t="s">
        <v>87</v>
      </c>
      <c r="H86" s="94"/>
      <c r="I86" s="14" t="s">
        <v>148</v>
      </c>
      <c r="J86" s="28">
        <f ca="1">H84*25%</f>
        <v>1.75</v>
      </c>
    </row>
    <row r="87" spans="1:10" x14ac:dyDescent="0.35">
      <c r="A87" s="86" t="s">
        <v>135</v>
      </c>
      <c r="B87" s="87"/>
      <c r="C87" s="44">
        <f ca="1">J88</f>
        <v>7</v>
      </c>
      <c r="D87" s="19">
        <f ca="1">((100/H84)*C87)/100</f>
        <v>1</v>
      </c>
      <c r="E87" s="80">
        <f ca="1">(((C88/H84*10)+(40/(D84+F84+H84)*C89)+(7.5/(H84)*C90)+(7.5/(H84)*C91)+(10/H84*C92)+(10/H84*C93)+(5/H84*C94)+(5/H84*C95)+(5/H84*C96))/100)</f>
        <v>0.92142857142857137</v>
      </c>
      <c r="F87" s="123"/>
      <c r="G87" s="80">
        <f ca="1">((((C87/H84)*20)+((C88/H84)*25)+(30/(H84+F84+D84)*C89)+(5/H84*C90)+(5/H84*C91)+(5/H84*C92)+(5/H84*C93)+(0/H84*C94)+(0/H84*C95)+(5/H84*C96))/100)</f>
        <v>0.95</v>
      </c>
      <c r="H87" s="81"/>
      <c r="I87" s="14" t="s">
        <v>104</v>
      </c>
      <c r="J87" s="29">
        <f ca="1">H84*50%</f>
        <v>3.5</v>
      </c>
    </row>
    <row r="88" spans="1:10" x14ac:dyDescent="0.35">
      <c r="A88" s="86" t="s">
        <v>51</v>
      </c>
      <c r="B88" s="87"/>
      <c r="C88" s="52">
        <f ca="1">J96</f>
        <v>7</v>
      </c>
      <c r="D88" s="19">
        <f ca="1">((100/H84)*C88)/100</f>
        <v>1</v>
      </c>
      <c r="E88" s="82"/>
      <c r="F88" s="124"/>
      <c r="G88" s="82"/>
      <c r="H88" s="83"/>
      <c r="I88" s="14" t="s">
        <v>105</v>
      </c>
      <c r="J88" s="29">
        <f ca="1">H84</f>
        <v>7</v>
      </c>
    </row>
    <row r="89" spans="1:10" ht="15.75" customHeight="1" x14ac:dyDescent="0.35">
      <c r="A89" s="86" t="s">
        <v>136</v>
      </c>
      <c r="B89" s="87"/>
      <c r="C89" s="44">
        <v>8</v>
      </c>
      <c r="D89" s="19">
        <f ca="1">((100/(D84+F84+H84))*C89)/100</f>
        <v>1</v>
      </c>
      <c r="E89" s="82"/>
      <c r="F89" s="124"/>
      <c r="G89" s="82"/>
      <c r="H89" s="83"/>
      <c r="I89" s="14" t="s">
        <v>106</v>
      </c>
      <c r="J89" s="30">
        <f ca="1">(IF(B84&gt;1,(H84/(B84+2)),H84/4))</f>
        <v>1.75</v>
      </c>
    </row>
    <row r="90" spans="1:10" ht="15.75" customHeight="1" x14ac:dyDescent="0.35">
      <c r="A90" s="86" t="s">
        <v>143</v>
      </c>
      <c r="B90" s="87" t="s">
        <v>137</v>
      </c>
      <c r="C90" s="44">
        <v>7</v>
      </c>
      <c r="D90" s="19">
        <f ca="1">((100/H84)*C90)/100</f>
        <v>1</v>
      </c>
      <c r="E90" s="82"/>
      <c r="F90" s="124"/>
      <c r="G90" s="82"/>
      <c r="H90" s="83"/>
      <c r="I90" s="14" t="s">
        <v>107</v>
      </c>
      <c r="J90" s="30">
        <f ca="1">(IF(B84&gt;1,(H84/(B84+2)+J89),H84/4+J89))</f>
        <v>3.5</v>
      </c>
    </row>
    <row r="91" spans="1:10" ht="15.75" customHeight="1" x14ac:dyDescent="0.35">
      <c r="A91" s="86" t="s">
        <v>144</v>
      </c>
      <c r="B91" s="87" t="s">
        <v>137</v>
      </c>
      <c r="C91" s="44">
        <v>7</v>
      </c>
      <c r="D91" s="19">
        <f ca="1">((100/H84)*C91)/100</f>
        <v>1</v>
      </c>
      <c r="E91" s="82"/>
      <c r="F91" s="124"/>
      <c r="G91" s="82"/>
      <c r="H91" s="83"/>
      <c r="I91" s="14" t="s">
        <v>155</v>
      </c>
      <c r="J91" s="30">
        <f>(IF(B84&gt;1,(H84/(B84+2)+J90),0))</f>
        <v>0</v>
      </c>
    </row>
    <row r="92" spans="1:10" ht="15" customHeight="1" x14ac:dyDescent="0.35">
      <c r="A92" s="86" t="s">
        <v>142</v>
      </c>
      <c r="B92" s="87" t="s">
        <v>139</v>
      </c>
      <c r="C92" s="44">
        <v>7</v>
      </c>
      <c r="D92" s="19">
        <f ca="1">((100/(H84))*C92)/100</f>
        <v>1</v>
      </c>
      <c r="E92" s="82"/>
      <c r="F92" s="124"/>
      <c r="G92" s="82"/>
      <c r="H92" s="83"/>
      <c r="I92" s="14" t="s">
        <v>150</v>
      </c>
      <c r="J92" s="30">
        <f>(IF(B84&gt;2,(H84/(B84+2)+J91),0))</f>
        <v>0</v>
      </c>
    </row>
    <row r="93" spans="1:10" ht="15.75" customHeight="1" x14ac:dyDescent="0.35">
      <c r="A93" s="86" t="s">
        <v>138</v>
      </c>
      <c r="B93" s="87" t="s">
        <v>138</v>
      </c>
      <c r="C93" s="44">
        <v>7</v>
      </c>
      <c r="D93" s="19">
        <f ca="1">((100/H84)*C93)/100</f>
        <v>1</v>
      </c>
      <c r="E93" s="82"/>
      <c r="F93" s="124"/>
      <c r="G93" s="82"/>
      <c r="H93" s="83"/>
      <c r="I93" s="14" t="s">
        <v>151</v>
      </c>
      <c r="J93" s="31">
        <f>(IF(B84&gt;3,(H84/(B84+2)+J92),0))</f>
        <v>0</v>
      </c>
    </row>
    <row r="94" spans="1:10" ht="15.75" customHeight="1" x14ac:dyDescent="0.35">
      <c r="A94" s="86" t="s">
        <v>145</v>
      </c>
      <c r="B94" s="87"/>
      <c r="C94" s="44">
        <v>7</v>
      </c>
      <c r="D94" s="19">
        <f ca="1">((100/H84)*C94)/100</f>
        <v>1</v>
      </c>
      <c r="E94" s="82"/>
      <c r="F94" s="124"/>
      <c r="G94" s="82"/>
      <c r="H94" s="83"/>
      <c r="I94" s="14" t="s">
        <v>152</v>
      </c>
      <c r="J94" s="30">
        <f>(IF(B84&gt;4,(H84/(B84+2)+J93),0))</f>
        <v>0</v>
      </c>
    </row>
    <row r="95" spans="1:10" ht="15.75" customHeight="1" x14ac:dyDescent="0.35">
      <c r="A95" s="86" t="s">
        <v>140</v>
      </c>
      <c r="B95" s="87" t="s">
        <v>140</v>
      </c>
      <c r="C95" s="44">
        <v>3</v>
      </c>
      <c r="D95" s="19">
        <f ca="1">((100/(H84))*C95)/100</f>
        <v>0.4285714285714286</v>
      </c>
      <c r="E95" s="82"/>
      <c r="F95" s="124"/>
      <c r="G95" s="82"/>
      <c r="H95" s="83"/>
      <c r="I95" s="14" t="s">
        <v>156</v>
      </c>
      <c r="J95" s="30">
        <f ca="1">(IF(B84=1,(H84/(B84+3)+J90),IF(B84=0,(H84/4+J90),IF(B84&gt;1,0))))</f>
        <v>5.25</v>
      </c>
    </row>
    <row r="96" spans="1:10" ht="16" thickBot="1" x14ac:dyDescent="0.4">
      <c r="A96" s="208" t="s">
        <v>141</v>
      </c>
      <c r="B96" s="209"/>
      <c r="C96" s="45">
        <v>0</v>
      </c>
      <c r="D96" s="20">
        <f ca="1">((100/(H84))*C96)/100</f>
        <v>0</v>
      </c>
      <c r="E96" s="84"/>
      <c r="F96" s="125"/>
      <c r="G96" s="84"/>
      <c r="H96" s="85"/>
      <c r="I96" s="15" t="s">
        <v>108</v>
      </c>
      <c r="J96" s="32">
        <f ca="1">(IF(B84&gt;1.5,(H84/(B84+2)+J90+MAX(0,J91-J90)+MAX(0,J92-J91)+MAX(0,J93-J92)+MAX(0,J94-J93)+MAX(0,J95-J94)),IF(B84=1,(H84/(B84+3)+J95),IF(B84=0,H84/4+J95))))</f>
        <v>7</v>
      </c>
    </row>
    <row r="97" spans="1:12" x14ac:dyDescent="0.35">
      <c r="A97" s="95" t="s">
        <v>167</v>
      </c>
      <c r="B97" s="95"/>
      <c r="C97" s="95"/>
      <c r="D97" s="95"/>
      <c r="E97" s="95"/>
      <c r="F97" s="105" t="s">
        <v>172</v>
      </c>
      <c r="G97" s="105"/>
      <c r="H97" s="105"/>
    </row>
    <row r="98" spans="1:12" x14ac:dyDescent="0.35">
      <c r="A98" s="69" t="s">
        <v>170</v>
      </c>
      <c r="B98" s="69"/>
      <c r="C98" s="69"/>
      <c r="D98" s="69"/>
      <c r="E98" s="69"/>
      <c r="F98" s="191">
        <v>3700</v>
      </c>
      <c r="G98" s="191"/>
      <c r="H98" s="191"/>
      <c r="J98" s="58" t="s">
        <v>214</v>
      </c>
      <c r="K98" s="58" t="s">
        <v>215</v>
      </c>
    </row>
    <row r="99" spans="1:12" hidden="1" x14ac:dyDescent="0.35">
      <c r="A99" s="69" t="s">
        <v>169</v>
      </c>
      <c r="B99" s="69"/>
      <c r="C99" s="69"/>
      <c r="D99" s="69"/>
      <c r="E99" s="69"/>
      <c r="F99" s="88"/>
      <c r="G99" s="88"/>
      <c r="H99" s="88"/>
      <c r="J99" s="58"/>
      <c r="K99" s="58"/>
    </row>
    <row r="100" spans="1:12" hidden="1" x14ac:dyDescent="0.35">
      <c r="A100" s="69" t="s">
        <v>171</v>
      </c>
      <c r="B100" s="69"/>
      <c r="C100" s="69"/>
      <c r="D100" s="69"/>
      <c r="E100" s="69"/>
      <c r="F100" s="88"/>
      <c r="G100" s="88"/>
      <c r="H100" s="88"/>
      <c r="J100" s="58"/>
      <c r="K100" s="58"/>
    </row>
    <row r="101" spans="1:12" s="33" customFormat="1" hidden="1" x14ac:dyDescent="0.3">
      <c r="A101" s="69" t="s">
        <v>168</v>
      </c>
      <c r="B101" s="69"/>
      <c r="C101" s="69"/>
      <c r="D101" s="69"/>
      <c r="E101" s="69"/>
      <c r="F101" s="88"/>
      <c r="G101" s="88"/>
      <c r="H101" s="88"/>
      <c r="J101" s="59"/>
      <c r="K101" s="59"/>
    </row>
    <row r="102" spans="1:12" s="33" customFormat="1" x14ac:dyDescent="0.3">
      <c r="A102" s="69" t="s">
        <v>98</v>
      </c>
      <c r="B102" s="69"/>
      <c r="C102" s="69"/>
      <c r="D102" s="69"/>
      <c r="E102" s="69"/>
      <c r="F102" s="88">
        <v>225000</v>
      </c>
      <c r="G102" s="88"/>
      <c r="H102" s="88"/>
      <c r="J102" s="59">
        <v>3500</v>
      </c>
      <c r="K102" s="59">
        <v>4000</v>
      </c>
      <c r="L102" s="36"/>
    </row>
    <row r="103" spans="1:12" s="33" customFormat="1" hidden="1" x14ac:dyDescent="0.3">
      <c r="A103" s="69" t="s">
        <v>99</v>
      </c>
      <c r="B103" s="69"/>
      <c r="C103" s="69"/>
      <c r="D103" s="69"/>
      <c r="E103" s="69"/>
      <c r="F103" s="88"/>
      <c r="G103" s="88"/>
      <c r="H103" s="88"/>
    </row>
    <row r="104" spans="1:12" s="33" customFormat="1" hidden="1" x14ac:dyDescent="0.3">
      <c r="A104" s="69" t="s">
        <v>173</v>
      </c>
      <c r="B104" s="69"/>
      <c r="C104" s="69"/>
      <c r="D104" s="69"/>
      <c r="E104" s="69"/>
      <c r="F104" s="88"/>
      <c r="G104" s="88"/>
      <c r="H104" s="88"/>
    </row>
    <row r="105" spans="1:12" s="33" customFormat="1" hidden="1" x14ac:dyDescent="0.3">
      <c r="A105" s="69" t="s">
        <v>100</v>
      </c>
      <c r="B105" s="69"/>
      <c r="C105" s="69"/>
      <c r="D105" s="69"/>
      <c r="E105" s="69"/>
      <c r="F105" s="88"/>
      <c r="G105" s="88"/>
      <c r="H105" s="88"/>
    </row>
    <row r="106" spans="1:12" s="33" customFormat="1" hidden="1" x14ac:dyDescent="0.3">
      <c r="A106" s="69" t="s">
        <v>101</v>
      </c>
      <c r="B106" s="69"/>
      <c r="C106" s="69"/>
      <c r="D106" s="69"/>
      <c r="E106" s="69"/>
      <c r="F106" s="88"/>
      <c r="G106" s="88"/>
      <c r="H106" s="88"/>
    </row>
    <row r="107" spans="1:12" s="33" customFormat="1" hidden="1" x14ac:dyDescent="0.3">
      <c r="A107" s="69" t="s">
        <v>102</v>
      </c>
      <c r="B107" s="69"/>
      <c r="C107" s="69"/>
      <c r="D107" s="69"/>
      <c r="E107" s="69"/>
      <c r="F107" s="88"/>
      <c r="G107" s="88"/>
      <c r="H107" s="88"/>
    </row>
    <row r="108" spans="1:12" s="33" customFormat="1" hidden="1" x14ac:dyDescent="0.3">
      <c r="A108" s="69" t="s">
        <v>103</v>
      </c>
      <c r="B108" s="69"/>
      <c r="C108" s="69"/>
      <c r="D108" s="69"/>
      <c r="E108" s="69"/>
      <c r="F108" s="88"/>
      <c r="G108" s="88"/>
      <c r="H108" s="88"/>
    </row>
    <row r="109" spans="1:12" x14ac:dyDescent="0.35">
      <c r="A109" s="69" t="s">
        <v>52</v>
      </c>
      <c r="B109" s="69"/>
      <c r="C109" s="69"/>
      <c r="D109" s="69"/>
      <c r="E109" s="69"/>
      <c r="F109" s="88">
        <v>150000</v>
      </c>
      <c r="G109" s="88"/>
      <c r="H109" s="88"/>
    </row>
    <row r="110" spans="1:12" s="34" customFormat="1" x14ac:dyDescent="0.35">
      <c r="A110" s="118" t="s">
        <v>53</v>
      </c>
      <c r="B110" s="118"/>
      <c r="C110" s="118"/>
      <c r="D110" s="118"/>
      <c r="E110" s="118"/>
      <c r="F110" s="88">
        <f>F98*0.8</f>
        <v>2960</v>
      </c>
      <c r="G110" s="88"/>
      <c r="H110" s="88"/>
      <c r="J110" s="60">
        <f>2400000/F137</f>
        <v>4193.0501242453165</v>
      </c>
      <c r="K110" s="34" t="s">
        <v>224</v>
      </c>
    </row>
    <row r="111" spans="1:12" s="35" customFormat="1" ht="15.75" hidden="1" customHeight="1" x14ac:dyDescent="0.35">
      <c r="A111" s="111" t="s">
        <v>78</v>
      </c>
      <c r="B111" s="111"/>
      <c r="C111" s="111"/>
      <c r="D111" s="111"/>
      <c r="E111" s="111"/>
      <c r="F111" s="111"/>
      <c r="G111" s="111"/>
      <c r="H111" s="111"/>
      <c r="J111" s="61"/>
    </row>
    <row r="112" spans="1:12" s="35" customFormat="1" ht="15.75" hidden="1" customHeight="1" x14ac:dyDescent="0.35">
      <c r="A112" s="114" t="s">
        <v>54</v>
      </c>
      <c r="B112" s="114"/>
      <c r="C112" s="112" t="s">
        <v>81</v>
      </c>
      <c r="D112" s="112"/>
      <c r="E112" s="113" t="s">
        <v>55</v>
      </c>
      <c r="F112" s="113"/>
      <c r="G112" s="114" t="s">
        <v>56</v>
      </c>
      <c r="H112" s="114"/>
      <c r="J112" s="61"/>
    </row>
    <row r="113" spans="1:14" s="35" customFormat="1" hidden="1" x14ac:dyDescent="0.35">
      <c r="A113" s="115"/>
      <c r="B113" s="115"/>
      <c r="C113" s="108"/>
      <c r="D113" s="108"/>
      <c r="E113" s="109"/>
      <c r="F113" s="109"/>
      <c r="G113" s="110"/>
      <c r="H113" s="110"/>
      <c r="J113" s="61"/>
    </row>
    <row r="114" spans="1:14" s="35" customFormat="1" hidden="1" x14ac:dyDescent="0.35">
      <c r="A114" s="115"/>
      <c r="B114" s="115"/>
      <c r="C114" s="108"/>
      <c r="D114" s="108"/>
      <c r="E114" s="109"/>
      <c r="F114" s="109"/>
      <c r="G114" s="110"/>
      <c r="H114" s="110"/>
      <c r="J114" s="61"/>
    </row>
    <row r="115" spans="1:14" s="35" customFormat="1" hidden="1" x14ac:dyDescent="0.35">
      <c r="A115" s="111" t="s">
        <v>160</v>
      </c>
      <c r="B115" s="111"/>
      <c r="C115" s="112"/>
      <c r="D115" s="112"/>
      <c r="E115" s="113"/>
      <c r="F115" s="113"/>
      <c r="G115" s="114"/>
      <c r="H115" s="114"/>
      <c r="J115" s="61"/>
    </row>
    <row r="116" spans="1:14" s="35" customFormat="1" x14ac:dyDescent="0.35">
      <c r="A116" s="111" t="s">
        <v>72</v>
      </c>
      <c r="B116" s="111"/>
      <c r="C116" s="111"/>
      <c r="D116" s="111"/>
      <c r="E116" s="111"/>
      <c r="F116" s="111"/>
      <c r="G116" s="111"/>
      <c r="H116" s="111"/>
      <c r="J116" s="61">
        <f>2750000/F141</f>
        <v>4123.9908594366962</v>
      </c>
      <c r="K116" s="35" t="s">
        <v>225</v>
      </c>
    </row>
    <row r="117" spans="1:14" s="35" customFormat="1" ht="15.75" customHeight="1" x14ac:dyDescent="0.35">
      <c r="A117" s="114" t="s">
        <v>54</v>
      </c>
      <c r="B117" s="114"/>
      <c r="C117" s="112" t="s">
        <v>81</v>
      </c>
      <c r="D117" s="112"/>
      <c r="E117" s="113" t="s">
        <v>55</v>
      </c>
      <c r="F117" s="113"/>
      <c r="G117" s="114" t="s">
        <v>56</v>
      </c>
      <c r="H117" s="114"/>
      <c r="J117" s="61">
        <f>2650000/F142</f>
        <v>3974.0275554571799</v>
      </c>
      <c r="K117" s="35" t="s">
        <v>226</v>
      </c>
    </row>
    <row r="118" spans="1:14" s="35" customFormat="1" x14ac:dyDescent="0.35">
      <c r="A118" s="115" t="s">
        <v>209</v>
      </c>
      <c r="B118" s="115"/>
      <c r="C118" s="116">
        <f>COUNT(D136:D137)+COUNT(D139:D144)*7</f>
        <v>44</v>
      </c>
      <c r="D118" s="116"/>
      <c r="E118" s="117">
        <f>SUM(D136:D137)+SUM(D139:D144)*7</f>
        <v>20419.873109999997</v>
      </c>
      <c r="F118" s="117"/>
      <c r="G118" s="117">
        <f>SUM(F136:F137)+SUM(F139:F144)*7</f>
        <v>30629.809665000001</v>
      </c>
      <c r="H118" s="117"/>
      <c r="J118" s="62">
        <f>AVERAGE(J110:J117)</f>
        <v>4097.0228463797312</v>
      </c>
    </row>
    <row r="119" spans="1:14" s="35" customFormat="1" x14ac:dyDescent="0.35">
      <c r="A119" s="115" t="s">
        <v>210</v>
      </c>
      <c r="B119" s="115"/>
      <c r="C119" s="116">
        <f>COUNT(D147:D149)+COUNT(D151:D157)*7</f>
        <v>52</v>
      </c>
      <c r="D119" s="116"/>
      <c r="E119" s="117">
        <f>SUM(D147:D149)+SUM(D151:D157)*7</f>
        <v>25257.806729999997</v>
      </c>
      <c r="F119" s="117"/>
      <c r="G119" s="117">
        <f>SUM(F147:F149)+SUM(F151:F157)*7</f>
        <v>37886.710095000002</v>
      </c>
      <c r="H119" s="117"/>
      <c r="K119" s="35" t="s">
        <v>228</v>
      </c>
    </row>
    <row r="120" spans="1:14" s="35" customFormat="1" ht="16" thickBot="1" x14ac:dyDescent="0.4">
      <c r="A120" s="67" t="s">
        <v>160</v>
      </c>
      <c r="B120" s="67"/>
      <c r="C120" s="173">
        <f>SUM(C118:C119)</f>
        <v>96</v>
      </c>
      <c r="D120" s="173"/>
      <c r="E120" s="68">
        <f>SUM(E118:E119)</f>
        <v>45677.679839999997</v>
      </c>
      <c r="F120" s="68"/>
      <c r="G120" s="107">
        <f>SUM(G118:G119)</f>
        <v>68516.519759999996</v>
      </c>
      <c r="H120" s="107"/>
      <c r="K120" s="63">
        <f>2500000/F141</f>
        <v>3749.0825994879056</v>
      </c>
    </row>
    <row r="121" spans="1:14" s="35" customFormat="1" ht="16" thickBot="1" x14ac:dyDescent="0.4">
      <c r="A121" s="184" t="s">
        <v>179</v>
      </c>
      <c r="B121" s="185"/>
      <c r="C121" s="186">
        <f>C115+C120</f>
        <v>96</v>
      </c>
      <c r="D121" s="186"/>
      <c r="E121" s="187">
        <f>E115+E120</f>
        <v>45677.679839999997</v>
      </c>
      <c r="F121" s="187"/>
      <c r="G121" s="188">
        <f>G115+G120</f>
        <v>68516.519759999996</v>
      </c>
      <c r="H121" s="189"/>
      <c r="K121" s="63">
        <f>3800000/F155</f>
        <v>4064.9839676230022</v>
      </c>
    </row>
    <row r="122" spans="1:14" s="34" customFormat="1" x14ac:dyDescent="0.35">
      <c r="A122" s="105" t="s">
        <v>57</v>
      </c>
      <c r="B122" s="105"/>
      <c r="C122" s="105"/>
      <c r="D122" s="105"/>
      <c r="E122" s="105"/>
      <c r="F122" s="105"/>
      <c r="G122" s="105"/>
      <c r="H122" s="105"/>
    </row>
    <row r="123" spans="1:14" hidden="1" x14ac:dyDescent="0.35">
      <c r="A123" s="142" t="s">
        <v>58</v>
      </c>
      <c r="B123" s="142"/>
      <c r="C123" s="142"/>
      <c r="D123" s="142"/>
      <c r="E123" s="142"/>
      <c r="F123" s="142"/>
      <c r="G123" s="142"/>
      <c r="H123" s="142"/>
    </row>
    <row r="124" spans="1:14" ht="47.25" hidden="1" customHeight="1" x14ac:dyDescent="0.35">
      <c r="A124" s="92" t="s">
        <v>126</v>
      </c>
      <c r="B124" s="92" t="s">
        <v>125</v>
      </c>
      <c r="C124" s="92" t="s">
        <v>59</v>
      </c>
      <c r="D124" s="92" t="s">
        <v>60</v>
      </c>
      <c r="E124" s="119" t="s">
        <v>166</v>
      </c>
      <c r="F124" s="43" t="s">
        <v>158</v>
      </c>
      <c r="G124" s="97" t="s">
        <v>62</v>
      </c>
      <c r="H124" s="121"/>
    </row>
    <row r="125" spans="1:14" s="37" customFormat="1" hidden="1" x14ac:dyDescent="0.35">
      <c r="A125" s="93"/>
      <c r="B125" s="93"/>
      <c r="C125" s="93"/>
      <c r="D125" s="93"/>
      <c r="E125" s="120"/>
      <c r="F125" s="13">
        <v>0.6</v>
      </c>
      <c r="G125" s="98"/>
      <c r="H125" s="122"/>
    </row>
    <row r="126" spans="1:14" s="37" customFormat="1" hidden="1" x14ac:dyDescent="0.35">
      <c r="A126" s="99" t="s">
        <v>123</v>
      </c>
      <c r="B126" s="100"/>
      <c r="C126" s="100"/>
      <c r="D126" s="100"/>
      <c r="E126" s="100"/>
      <c r="F126" s="100"/>
      <c r="G126" s="100"/>
      <c r="H126" s="101"/>
      <c r="J126" s="36"/>
    </row>
    <row r="127" spans="1:14" s="37" customFormat="1" hidden="1" x14ac:dyDescent="0.35">
      <c r="A127" s="89">
        <v>1</v>
      </c>
      <c r="B127" s="90"/>
      <c r="C127" s="42"/>
      <c r="D127" s="42"/>
      <c r="E127" s="42">
        <v>0</v>
      </c>
      <c r="F127" s="42">
        <f>(D127+E127)*(($F$125)+1)</f>
        <v>0</v>
      </c>
      <c r="G127" s="89" t="str">
        <f>A126</f>
        <v>Ground Floor</v>
      </c>
      <c r="H127" s="90"/>
      <c r="I127" s="36"/>
      <c r="L127" s="102"/>
      <c r="M127" s="102"/>
      <c r="N127" s="36"/>
    </row>
    <row r="128" spans="1:14" s="37" customFormat="1" hidden="1" x14ac:dyDescent="0.35">
      <c r="A128" s="89">
        <f t="shared" ref="A128:A130" si="0">A127+1</f>
        <v>2</v>
      </c>
      <c r="B128" s="90"/>
      <c r="C128" s="42"/>
      <c r="D128" s="42"/>
      <c r="E128" s="42">
        <v>0</v>
      </c>
      <c r="F128" s="42">
        <f t="shared" ref="F128:F130" si="1">(D128+E128)*(($F$125)+1)</f>
        <v>0</v>
      </c>
      <c r="G128" s="89" t="str">
        <f t="shared" ref="G128:G130" si="2">G127</f>
        <v>Ground Floor</v>
      </c>
      <c r="H128" s="90"/>
      <c r="I128" s="36"/>
      <c r="L128" s="102"/>
      <c r="M128" s="102"/>
      <c r="N128" s="36"/>
    </row>
    <row r="129" spans="1:14" s="37" customFormat="1" hidden="1" x14ac:dyDescent="0.35">
      <c r="A129" s="89">
        <f t="shared" si="0"/>
        <v>3</v>
      </c>
      <c r="B129" s="90"/>
      <c r="C129" s="42"/>
      <c r="D129" s="42"/>
      <c r="E129" s="42">
        <v>0</v>
      </c>
      <c r="F129" s="42">
        <f t="shared" si="1"/>
        <v>0</v>
      </c>
      <c r="G129" s="89" t="str">
        <f t="shared" si="2"/>
        <v>Ground Floor</v>
      </c>
      <c r="H129" s="90"/>
      <c r="I129" s="36"/>
      <c r="L129" s="102"/>
      <c r="M129" s="102"/>
      <c r="N129" s="36"/>
    </row>
    <row r="130" spans="1:14" s="37" customFormat="1" hidden="1" x14ac:dyDescent="0.35">
      <c r="A130" s="89">
        <f t="shared" si="0"/>
        <v>4</v>
      </c>
      <c r="B130" s="90"/>
      <c r="C130" s="42"/>
      <c r="D130" s="42"/>
      <c r="E130" s="42">
        <v>0</v>
      </c>
      <c r="F130" s="42">
        <f t="shared" si="1"/>
        <v>0</v>
      </c>
      <c r="G130" s="89" t="str">
        <f t="shared" si="2"/>
        <v>Ground Floor</v>
      </c>
      <c r="H130" s="90"/>
      <c r="I130" s="36"/>
      <c r="L130" s="102"/>
      <c r="M130" s="102"/>
      <c r="N130" s="36"/>
    </row>
    <row r="131" spans="1:14" s="37" customFormat="1" hidden="1" x14ac:dyDescent="0.35">
      <c r="A131" s="89"/>
      <c r="B131" s="106"/>
      <c r="C131" s="106"/>
      <c r="D131" s="106"/>
      <c r="E131" s="106"/>
      <c r="F131" s="106"/>
      <c r="G131" s="106"/>
      <c r="H131" s="90"/>
      <c r="I131" s="36"/>
      <c r="N131" s="36"/>
    </row>
    <row r="132" spans="1:14" ht="47.25" customHeight="1" x14ac:dyDescent="0.35">
      <c r="A132" s="97" t="s">
        <v>127</v>
      </c>
      <c r="B132" s="97" t="s">
        <v>128</v>
      </c>
      <c r="C132" s="92" t="s">
        <v>59</v>
      </c>
      <c r="D132" s="92" t="s">
        <v>60</v>
      </c>
      <c r="E132" s="119" t="s">
        <v>61</v>
      </c>
      <c r="F132" s="43" t="s">
        <v>158</v>
      </c>
      <c r="G132" s="97" t="s">
        <v>62</v>
      </c>
      <c r="H132" s="121"/>
      <c r="I132" s="64" t="s">
        <v>227</v>
      </c>
    </row>
    <row r="133" spans="1:14" s="37" customFormat="1" x14ac:dyDescent="0.35">
      <c r="A133" s="98"/>
      <c r="B133" s="98"/>
      <c r="C133" s="93"/>
      <c r="D133" s="93"/>
      <c r="E133" s="120"/>
      <c r="F133" s="13">
        <v>0.5</v>
      </c>
      <c r="G133" s="98"/>
      <c r="H133" s="122"/>
      <c r="I133" s="36"/>
    </row>
    <row r="134" spans="1:14" s="56" customFormat="1" x14ac:dyDescent="0.35">
      <c r="A134" s="99" t="s">
        <v>209</v>
      </c>
      <c r="B134" s="100"/>
      <c r="C134" s="100"/>
      <c r="D134" s="100"/>
      <c r="E134" s="100"/>
      <c r="F134" s="100"/>
      <c r="G134" s="100"/>
      <c r="H134" s="101"/>
      <c r="J134" s="36"/>
    </row>
    <row r="135" spans="1:14" s="56" customFormat="1" x14ac:dyDescent="0.35">
      <c r="A135" s="99" t="s">
        <v>211</v>
      </c>
      <c r="B135" s="100"/>
      <c r="C135" s="100"/>
      <c r="D135" s="100"/>
      <c r="E135" s="100"/>
      <c r="F135" s="100"/>
      <c r="G135" s="100"/>
      <c r="H135" s="101"/>
      <c r="J135" s="57">
        <f>10.764</f>
        <v>10.763999999999999</v>
      </c>
    </row>
    <row r="136" spans="1:14" s="56" customFormat="1" ht="15.75" customHeight="1" x14ac:dyDescent="0.35">
      <c r="A136" s="89">
        <v>1</v>
      </c>
      <c r="B136" s="90"/>
      <c r="C136" s="53">
        <v>2</v>
      </c>
      <c r="D136" s="57">
        <f>(43.58)*(10.764)</f>
        <v>469.09511999999995</v>
      </c>
      <c r="E136" s="54">
        <v>0</v>
      </c>
      <c r="F136" s="54">
        <f>D136*(($F$133)+1)+(IF(E136&lt;101,E136,IF(E136&lt;201,E136/2,IF(E136&lt;=301,E136/3,E136/4))))</f>
        <v>703.64267999999993</v>
      </c>
      <c r="G136" s="192" t="str">
        <f>A135</f>
        <v>Ground Floor For Parking, Residential &amp; Society Office</v>
      </c>
      <c r="H136" s="193"/>
      <c r="I136" s="36">
        <f>3700*F136</f>
        <v>2603477.9159999997</v>
      </c>
      <c r="J136" s="56">
        <f>4.5*2.75+2.75*2.3+3.35*2.75+1.2*0.97+1.5*1.23+1.23*0.7+2.3*0.9+2.7*2.85</f>
        <v>41.547499999999999</v>
      </c>
      <c r="K136" s="36"/>
      <c r="L136" s="102"/>
      <c r="M136" s="102"/>
      <c r="N136" s="36"/>
    </row>
    <row r="137" spans="1:14" s="56" customFormat="1" ht="15.75" customHeight="1" x14ac:dyDescent="0.35">
      <c r="A137" s="89">
        <f t="shared" ref="A137" si="3">A136+1</f>
        <v>2</v>
      </c>
      <c r="B137" s="90"/>
      <c r="C137" s="53">
        <v>1</v>
      </c>
      <c r="D137" s="57">
        <f>(35.45)*(10.764)</f>
        <v>381.5838</v>
      </c>
      <c r="E137" s="54">
        <v>0</v>
      </c>
      <c r="F137" s="54">
        <f>D137*(($F$133)+1)+(IF(E137&lt;101,E137,IF(E137&lt;201,E137/2,IF(E137&lt;=301,E137/3,E137/4))))</f>
        <v>572.37570000000005</v>
      </c>
      <c r="G137" s="196"/>
      <c r="H137" s="197"/>
      <c r="I137" s="36">
        <f t="shared" ref="I137:I157" si="4">3700*F137</f>
        <v>2117790.0900000003</v>
      </c>
      <c r="K137" s="36"/>
      <c r="L137" s="102"/>
      <c r="M137" s="102"/>
      <c r="N137" s="36"/>
    </row>
    <row r="138" spans="1:14" s="56" customFormat="1" x14ac:dyDescent="0.35">
      <c r="A138" s="99" t="s">
        <v>212</v>
      </c>
      <c r="B138" s="100"/>
      <c r="C138" s="100"/>
      <c r="D138" s="100"/>
      <c r="E138" s="100"/>
      <c r="F138" s="100"/>
      <c r="G138" s="100"/>
      <c r="H138" s="101"/>
      <c r="I138" s="36">
        <f t="shared" si="4"/>
        <v>0</v>
      </c>
      <c r="K138" s="36"/>
    </row>
    <row r="139" spans="1:14" s="56" customFormat="1" ht="15.75" customHeight="1" x14ac:dyDescent="0.35">
      <c r="A139" s="89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10^ROW(INDIRECT("1:"&amp;LEN((LEFT(A138,SUM(LEN(A138)-LEN(SUBSTITUTE(A138,{"0","1","2"},""))))))))/10))*100+1&amp;""&amp;"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",LEN(A138))),LEN(A138)))))))/10))*100+1</f>
        <v>101 to 701</v>
      </c>
      <c r="B139" s="90"/>
      <c r="C139" s="53">
        <v>1</v>
      </c>
      <c r="D139" s="57">
        <f>(36.92+0.75*(2.75+2.3+2.75))*(10.764)</f>
        <v>460.37628000000001</v>
      </c>
      <c r="E139" s="54">
        <v>0</v>
      </c>
      <c r="F139" s="54">
        <f t="shared" ref="F139:F144" si="5">D139*(($F$133)+1)+(IF(E139&lt;101,E139,IF(E139&lt;201,E139/2,IF(E139&lt;=301,E139/3,E139/4))))</f>
        <v>690.56442000000004</v>
      </c>
      <c r="G139" s="192" t="str">
        <f>A138</f>
        <v>1st to 7th Floor For Residential</v>
      </c>
      <c r="H139" s="193"/>
      <c r="I139" s="36">
        <f t="shared" si="4"/>
        <v>2555088.3540000003</v>
      </c>
      <c r="K139" s="36"/>
    </row>
    <row r="140" spans="1:14" s="56" customFormat="1" ht="15.75" customHeight="1" x14ac:dyDescent="0.35">
      <c r="A140" s="89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102 to 702</v>
      </c>
      <c r="B140" s="90"/>
      <c r="C140" s="53">
        <v>2</v>
      </c>
      <c r="D140" s="57">
        <f>(45.05+0.75*(2.75+2.3+2.75+2.85))*(10.764)</f>
        <v>570.89564999999993</v>
      </c>
      <c r="E140" s="54">
        <v>0</v>
      </c>
      <c r="F140" s="54">
        <f t="shared" si="5"/>
        <v>856.3434749999999</v>
      </c>
      <c r="G140" s="194"/>
      <c r="H140" s="195"/>
      <c r="I140" s="36">
        <f t="shared" si="4"/>
        <v>3168470.8574999995</v>
      </c>
      <c r="K140" s="36"/>
    </row>
    <row r="141" spans="1:14" s="56" customFormat="1" ht="15.75" customHeight="1" x14ac:dyDescent="0.35">
      <c r="A141" s="89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103 to 703</v>
      </c>
      <c r="B141" s="90"/>
      <c r="C141" s="53">
        <v>1</v>
      </c>
      <c r="D141" s="57">
        <f>(35.45+0.75*(2.75+2.3+2.75))*(10.764)</f>
        <v>444.5532</v>
      </c>
      <c r="E141" s="54">
        <v>0</v>
      </c>
      <c r="F141" s="54">
        <f t="shared" si="5"/>
        <v>666.82979999999998</v>
      </c>
      <c r="G141" s="194"/>
      <c r="H141" s="195"/>
      <c r="I141" s="36">
        <f t="shared" si="4"/>
        <v>2467270.2599999998</v>
      </c>
      <c r="J141" s="56">
        <f>4.5*2.75+2.75*2.3+3.35*2.75+1.2*0.97+1.5*1.23+2.3*0.9+1.23*0.8+0.75*(2.75+2.3+2.75)</f>
        <v>39.825500000000005</v>
      </c>
      <c r="K141" s="36"/>
    </row>
    <row r="142" spans="1:14" s="56" customFormat="1" ht="15.75" customHeight="1" x14ac:dyDescent="0.35">
      <c r="A142" s="89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to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104 to 704</v>
      </c>
      <c r="B142" s="90"/>
      <c r="C142" s="53">
        <v>1</v>
      </c>
      <c r="D142" s="57">
        <f>(35.45+0.75*(2.75+2.3+2.75))*(10.764)</f>
        <v>444.5532</v>
      </c>
      <c r="E142" s="54">
        <v>0</v>
      </c>
      <c r="F142" s="54">
        <f t="shared" si="5"/>
        <v>666.82979999999998</v>
      </c>
      <c r="G142" s="194"/>
      <c r="H142" s="195"/>
      <c r="I142" s="36">
        <f t="shared" si="4"/>
        <v>2467270.2599999998</v>
      </c>
      <c r="K142" s="36"/>
    </row>
    <row r="143" spans="1:14" s="56" customFormat="1" ht="15.75" customHeight="1" x14ac:dyDescent="0.35">
      <c r="A143" s="89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105 to 705</v>
      </c>
      <c r="B143" s="90"/>
      <c r="C143" s="53">
        <v>1</v>
      </c>
      <c r="D143" s="57">
        <f>(34.16+0.75*(2.75+2.3+2.75))*(10.764)</f>
        <v>430.66763999999995</v>
      </c>
      <c r="E143" s="54">
        <v>0</v>
      </c>
      <c r="F143" s="54">
        <f t="shared" si="5"/>
        <v>646.00145999999995</v>
      </c>
      <c r="G143" s="194"/>
      <c r="H143" s="195"/>
      <c r="I143" s="36">
        <f t="shared" si="4"/>
        <v>2390205.4019999998</v>
      </c>
    </row>
    <row r="144" spans="1:14" s="56" customFormat="1" ht="15.75" customHeight="1" x14ac:dyDescent="0.35">
      <c r="A144" s="89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106 to 706</v>
      </c>
      <c r="B144" s="90"/>
      <c r="C144" s="53">
        <v>1</v>
      </c>
      <c r="D144" s="57">
        <f>(35.45+0.75*(2.75+2.3+2.75))*(10.764)</f>
        <v>444.5532</v>
      </c>
      <c r="E144" s="54">
        <v>0</v>
      </c>
      <c r="F144" s="54">
        <f t="shared" si="5"/>
        <v>666.82979999999998</v>
      </c>
      <c r="G144" s="196"/>
      <c r="H144" s="197"/>
      <c r="I144" s="36">
        <f t="shared" si="4"/>
        <v>2467270.2599999998</v>
      </c>
    </row>
    <row r="145" spans="1:14" s="56" customFormat="1" x14ac:dyDescent="0.35">
      <c r="A145" s="99" t="s">
        <v>210</v>
      </c>
      <c r="B145" s="100"/>
      <c r="C145" s="100"/>
      <c r="D145" s="100"/>
      <c r="E145" s="100"/>
      <c r="F145" s="100"/>
      <c r="G145" s="100"/>
      <c r="H145" s="101"/>
      <c r="I145" s="36">
        <f t="shared" si="4"/>
        <v>0</v>
      </c>
      <c r="J145" s="36"/>
    </row>
    <row r="146" spans="1:14" s="56" customFormat="1" x14ac:dyDescent="0.35">
      <c r="A146" s="99" t="s">
        <v>208</v>
      </c>
      <c r="B146" s="100"/>
      <c r="C146" s="100"/>
      <c r="D146" s="100"/>
      <c r="E146" s="100"/>
      <c r="F146" s="100"/>
      <c r="G146" s="100"/>
      <c r="H146" s="101"/>
      <c r="I146" s="36">
        <f t="shared" si="4"/>
        <v>0</v>
      </c>
      <c r="J146" s="36"/>
    </row>
    <row r="147" spans="1:14" s="56" customFormat="1" ht="15.75" customHeight="1" x14ac:dyDescent="0.35">
      <c r="A147" s="89">
        <v>1</v>
      </c>
      <c r="B147" s="90"/>
      <c r="C147" s="53">
        <v>1</v>
      </c>
      <c r="D147" s="57">
        <f>(35.45)*(10.764)</f>
        <v>381.5838</v>
      </c>
      <c r="E147" s="54">
        <v>0</v>
      </c>
      <c r="F147" s="54">
        <f>D147*(($F$133)+1)+(IF(E147&lt;101,E147,IF(E147&lt;201,E147/2,IF(E147&lt;=301,E147/3,E147/4))))</f>
        <v>572.37570000000005</v>
      </c>
      <c r="G147" s="192" t="str">
        <f>A146</f>
        <v>Ground Floor For Parking &amp; Part Residential</v>
      </c>
      <c r="H147" s="193"/>
      <c r="I147" s="36">
        <f t="shared" si="4"/>
        <v>2117790.0900000003</v>
      </c>
      <c r="L147" s="102"/>
      <c r="M147" s="102"/>
      <c r="N147" s="36"/>
    </row>
    <row r="148" spans="1:14" s="56" customFormat="1" ht="15.75" customHeight="1" x14ac:dyDescent="0.35">
      <c r="A148" s="89">
        <f t="shared" ref="A148:A149" si="6">A147+1</f>
        <v>2</v>
      </c>
      <c r="B148" s="90"/>
      <c r="C148" s="53">
        <v>1</v>
      </c>
      <c r="D148" s="57">
        <f>(35.45)*(10.764)</f>
        <v>381.5838</v>
      </c>
      <c r="E148" s="54">
        <v>0</v>
      </c>
      <c r="F148" s="54">
        <f>D148*(($F$133)+1)+(IF(E148&lt;101,E148,IF(E148&lt;201,E148/2,IF(E148&lt;=301,E148/3,E148/4))))</f>
        <v>572.37570000000005</v>
      </c>
      <c r="G148" s="194"/>
      <c r="H148" s="195"/>
      <c r="I148" s="36">
        <f t="shared" si="4"/>
        <v>2117790.0900000003</v>
      </c>
      <c r="L148" s="102"/>
      <c r="M148" s="102"/>
      <c r="N148" s="36"/>
    </row>
    <row r="149" spans="1:14" s="56" customFormat="1" ht="15.75" customHeight="1" x14ac:dyDescent="0.35">
      <c r="A149" s="89">
        <f t="shared" si="6"/>
        <v>3</v>
      </c>
      <c r="B149" s="90"/>
      <c r="C149" s="53">
        <v>1</v>
      </c>
      <c r="D149" s="57">
        <f>(35.45)*(10.764)</f>
        <v>381.5838</v>
      </c>
      <c r="E149" s="54">
        <v>0</v>
      </c>
      <c r="F149" s="54">
        <f>D149*(($F$133)+1)+(IF(E149&lt;101,E149,IF(E149&lt;201,E149/2,IF(E149&lt;=301,E149/3,E149/4))))</f>
        <v>572.37570000000005</v>
      </c>
      <c r="G149" s="196"/>
      <c r="H149" s="197"/>
      <c r="I149" s="36">
        <f t="shared" si="4"/>
        <v>2117790.0900000003</v>
      </c>
      <c r="L149" s="102"/>
      <c r="M149" s="102"/>
      <c r="N149" s="36"/>
    </row>
    <row r="150" spans="1:14" s="56" customFormat="1" x14ac:dyDescent="0.35">
      <c r="A150" s="99" t="s">
        <v>212</v>
      </c>
      <c r="B150" s="100"/>
      <c r="C150" s="100"/>
      <c r="D150" s="100"/>
      <c r="E150" s="100"/>
      <c r="F150" s="100"/>
      <c r="G150" s="100"/>
      <c r="H150" s="101"/>
      <c r="I150" s="36">
        <f t="shared" si="4"/>
        <v>0</v>
      </c>
    </row>
    <row r="151" spans="1:14" s="56" customFormat="1" ht="15.75" customHeight="1" x14ac:dyDescent="0.35">
      <c r="A151" s="89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10^ROW(INDIRECT("1:"&amp;LEN((LEFT(A150,SUM(LEN(A150)-LEN(SUBSTITUTE(A150,{"0","1","2"},""))))))))/10))*100+1&amp;""&amp;" to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",LEN(A150))),LEN(A150)))))))/10))*100+1</f>
        <v>101 to 701</v>
      </c>
      <c r="B151" s="90"/>
      <c r="C151" s="53">
        <v>1</v>
      </c>
      <c r="D151" s="57">
        <f>(35.45+0.75*(2.75+2.3+2.75))*(10.764)</f>
        <v>444.5532</v>
      </c>
      <c r="E151" s="54">
        <v>0</v>
      </c>
      <c r="F151" s="54">
        <f t="shared" ref="F151:F157" si="7">D151*(($F$133)+1)+(IF(E151&lt;101,E151,IF(E151&lt;201,E151/2,IF(E151&lt;=301,E151/3,E151/4))))</f>
        <v>666.82979999999998</v>
      </c>
      <c r="G151" s="192" t="str">
        <f>A150</f>
        <v>1st to 7th Floor For Residential</v>
      </c>
      <c r="H151" s="193"/>
      <c r="I151" s="36">
        <f t="shared" si="4"/>
        <v>2467270.2599999998</v>
      </c>
    </row>
    <row r="152" spans="1:14" s="56" customFormat="1" ht="15.75" customHeight="1" x14ac:dyDescent="0.35">
      <c r="A152" s="89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to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102 to 702</v>
      </c>
      <c r="B152" s="90"/>
      <c r="C152" s="53">
        <v>1</v>
      </c>
      <c r="D152" s="57">
        <f>(35.45+0.75*(2.75+2.3+2.75))*(10.764)</f>
        <v>444.5532</v>
      </c>
      <c r="E152" s="54">
        <v>0</v>
      </c>
      <c r="F152" s="54">
        <f t="shared" si="7"/>
        <v>666.82979999999998</v>
      </c>
      <c r="G152" s="194"/>
      <c r="H152" s="195"/>
      <c r="I152" s="36">
        <f t="shared" si="4"/>
        <v>2467270.2599999998</v>
      </c>
    </row>
    <row r="153" spans="1:14" s="56" customFormat="1" ht="15.75" customHeight="1" x14ac:dyDescent="0.35">
      <c r="A153" s="89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to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103 to 703</v>
      </c>
      <c r="B153" s="90"/>
      <c r="C153" s="53">
        <v>1</v>
      </c>
      <c r="D153" s="57">
        <f>(35.45+0.75*(2.75+2.3+2.75))*(10.764)</f>
        <v>444.5532</v>
      </c>
      <c r="E153" s="54">
        <v>0</v>
      </c>
      <c r="F153" s="54">
        <f t="shared" si="7"/>
        <v>666.82979999999998</v>
      </c>
      <c r="G153" s="194"/>
      <c r="H153" s="195"/>
      <c r="I153" s="36">
        <f t="shared" si="4"/>
        <v>2467270.2599999998</v>
      </c>
    </row>
    <row r="154" spans="1:14" s="56" customFormat="1" ht="15.75" customHeight="1" x14ac:dyDescent="0.35">
      <c r="A154" s="89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104 to 704</v>
      </c>
      <c r="B154" s="90"/>
      <c r="C154" s="53">
        <v>1</v>
      </c>
      <c r="D154" s="57">
        <f>(35.45+0.75*(2.75+2.3+2.75))*(10.764)</f>
        <v>444.5532</v>
      </c>
      <c r="E154" s="54">
        <v>0</v>
      </c>
      <c r="F154" s="54">
        <f t="shared" si="7"/>
        <v>666.82979999999998</v>
      </c>
      <c r="G154" s="194"/>
      <c r="H154" s="195"/>
      <c r="I154" s="36">
        <f t="shared" si="4"/>
        <v>2467270.2599999998</v>
      </c>
      <c r="J154" s="56">
        <f>3500000/F155</f>
        <v>3744.0641807053967</v>
      </c>
    </row>
    <row r="155" spans="1:14" s="56" customFormat="1" ht="15.75" customHeight="1" x14ac:dyDescent="0.35">
      <c r="A155" s="89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105 to 705</v>
      </c>
      <c r="B155" s="90"/>
      <c r="C155" s="53">
        <v>2</v>
      </c>
      <c r="D155" s="57">
        <f>(49.91+0.75*(2.75+2.3+2.75+2.85))*(10.764)</f>
        <v>623.20868999999993</v>
      </c>
      <c r="E155" s="54">
        <v>0</v>
      </c>
      <c r="F155" s="54">
        <f t="shared" si="7"/>
        <v>934.8130349999999</v>
      </c>
      <c r="G155" s="194"/>
      <c r="H155" s="195"/>
      <c r="I155" s="36">
        <f t="shared" si="4"/>
        <v>3458808.2294999994</v>
      </c>
    </row>
    <row r="156" spans="1:14" s="56" customFormat="1" ht="15.75" customHeight="1" x14ac:dyDescent="0.35">
      <c r="A156" s="89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106 to 706</v>
      </c>
      <c r="B156" s="90"/>
      <c r="C156" s="53">
        <v>2</v>
      </c>
      <c r="D156" s="57">
        <f>(47.6+0.75*(2.75+2.3+2.75+2.9))*(10.764)</f>
        <v>598.74749999999995</v>
      </c>
      <c r="E156" s="54">
        <v>0</v>
      </c>
      <c r="F156" s="54">
        <f t="shared" si="7"/>
        <v>898.12124999999992</v>
      </c>
      <c r="G156" s="194"/>
      <c r="H156" s="195"/>
      <c r="I156" s="36">
        <f t="shared" si="4"/>
        <v>3323048.6249999995</v>
      </c>
    </row>
    <row r="157" spans="1:14" s="56" customFormat="1" ht="15.75" customHeight="1" x14ac:dyDescent="0.35">
      <c r="A157" s="89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107 to 707</v>
      </c>
      <c r="B157" s="90"/>
      <c r="C157" s="53">
        <v>1</v>
      </c>
      <c r="D157" s="57">
        <f>(35.45+0.75*(2.75+2.3+2.75))*(10.764)</f>
        <v>444.5532</v>
      </c>
      <c r="E157" s="54">
        <v>0</v>
      </c>
      <c r="F157" s="54">
        <f t="shared" si="7"/>
        <v>666.82979999999998</v>
      </c>
      <c r="G157" s="196"/>
      <c r="H157" s="197"/>
      <c r="I157" s="36">
        <f t="shared" si="4"/>
        <v>2467270.2599999998</v>
      </c>
    </row>
    <row r="158" spans="1:14" s="37" customFormat="1" hidden="1" x14ac:dyDescent="0.35">
      <c r="A158" s="99" t="s">
        <v>208</v>
      </c>
      <c r="B158" s="100"/>
      <c r="C158" s="100"/>
      <c r="D158" s="100"/>
      <c r="E158" s="100"/>
      <c r="F158" s="100"/>
      <c r="G158" s="100"/>
      <c r="H158" s="101"/>
      <c r="J158" s="36"/>
    </row>
    <row r="159" spans="1:14" s="37" customFormat="1" hidden="1" x14ac:dyDescent="0.35">
      <c r="A159" s="89">
        <v>1</v>
      </c>
      <c r="B159" s="90"/>
      <c r="C159" s="53"/>
      <c r="D159" s="42"/>
      <c r="E159" s="42">
        <v>0</v>
      </c>
      <c r="F159" s="42">
        <f>D159*(($F$133)+1)+(IF(E159&lt;101,E159,IF(E159&lt;201,E159/2,IF(E159&lt;=301,E159/3,E159/4))))</f>
        <v>0</v>
      </c>
      <c r="G159" s="89" t="str">
        <f>A158</f>
        <v>Ground Floor For Parking &amp; Part Residential</v>
      </c>
      <c r="H159" s="90"/>
      <c r="I159" s="36"/>
      <c r="L159" s="102"/>
      <c r="M159" s="102"/>
      <c r="N159" s="36"/>
    </row>
    <row r="160" spans="1:14" s="37" customFormat="1" hidden="1" x14ac:dyDescent="0.35">
      <c r="A160" s="89">
        <f t="shared" ref="A160:A162" si="8">A159+1</f>
        <v>2</v>
      </c>
      <c r="B160" s="90"/>
      <c r="C160" s="53"/>
      <c r="D160" s="42"/>
      <c r="E160" s="42">
        <v>0</v>
      </c>
      <c r="F160" s="42">
        <f>D160*(($F$133)+1)+(IF(E160&lt;101,E160,IF(E160&lt;201,E160/2,IF(E160&lt;=301,E160/3,E160/4))))</f>
        <v>0</v>
      </c>
      <c r="G160" s="89" t="str">
        <f t="shared" ref="G160:G162" si="9">G159</f>
        <v>Ground Floor For Parking &amp; Part Residential</v>
      </c>
      <c r="H160" s="90"/>
      <c r="I160" s="36"/>
      <c r="L160" s="102"/>
      <c r="M160" s="102"/>
      <c r="N160" s="36"/>
    </row>
    <row r="161" spans="1:14" s="37" customFormat="1" hidden="1" x14ac:dyDescent="0.35">
      <c r="A161" s="89">
        <f t="shared" si="8"/>
        <v>3</v>
      </c>
      <c r="B161" s="90"/>
      <c r="C161" s="53"/>
      <c r="D161" s="42"/>
      <c r="E161" s="42">
        <v>0</v>
      </c>
      <c r="F161" s="42">
        <f>D161*(($F$133)+1)+(IF(E161&lt;101,E161,IF(E161&lt;201,E161/2,IF(E161&lt;=301,E161/3,E161/4))))</f>
        <v>0</v>
      </c>
      <c r="G161" s="89" t="str">
        <f t="shared" si="9"/>
        <v>Ground Floor For Parking &amp; Part Residential</v>
      </c>
      <c r="H161" s="90"/>
      <c r="I161" s="36"/>
      <c r="L161" s="102"/>
      <c r="M161" s="102"/>
      <c r="N161" s="36"/>
    </row>
    <row r="162" spans="1:14" s="37" customFormat="1" hidden="1" x14ac:dyDescent="0.35">
      <c r="A162" s="89">
        <f t="shared" si="8"/>
        <v>4</v>
      </c>
      <c r="B162" s="90"/>
      <c r="C162" s="53"/>
      <c r="D162" s="42"/>
      <c r="E162" s="42">
        <v>0</v>
      </c>
      <c r="F162" s="42">
        <f>D162*(($F$133)+1)+(IF(E162&lt;101,E162,IF(E162&lt;201,E162/2,IF(E162&lt;=301,E162/3,E162/4))))</f>
        <v>0</v>
      </c>
      <c r="G162" s="89" t="str">
        <f t="shared" si="9"/>
        <v>Ground Floor For Parking &amp; Part Residential</v>
      </c>
      <c r="H162" s="90"/>
      <c r="I162" s="36"/>
      <c r="L162" s="102"/>
      <c r="M162" s="102"/>
      <c r="N162" s="36"/>
    </row>
    <row r="163" spans="1:14" s="37" customFormat="1" hidden="1" x14ac:dyDescent="0.35">
      <c r="A163" s="168" t="s">
        <v>124</v>
      </c>
      <c r="B163" s="168"/>
      <c r="C163" s="168"/>
      <c r="D163" s="168"/>
      <c r="E163" s="168"/>
      <c r="F163" s="168"/>
      <c r="G163" s="168"/>
      <c r="H163" s="168"/>
      <c r="I163" s="36"/>
      <c r="L163" s="102"/>
      <c r="M163" s="102"/>
    </row>
    <row r="164" spans="1:14" s="37" customFormat="1" hidden="1" x14ac:dyDescent="0.35">
      <c r="A164" s="91">
        <f>LEFT(A163,SUM(LEN(A163)-LEN(SUBSTITUTE(A163,{"0","1","2","3","4","5","6","7","8","9"},""))))*100+1</f>
        <v>201</v>
      </c>
      <c r="B164" s="91"/>
      <c r="C164" s="53"/>
      <c r="D164" s="42"/>
      <c r="E164" s="42">
        <v>0</v>
      </c>
      <c r="F164" s="42">
        <f t="shared" ref="F164:F165" si="10">D164*(($F$133)+1)+(IF(E164&lt;101,E164,IF(E164&lt;201,E164/2,IF(E164&lt;=301,E164/3,E164/4))))</f>
        <v>0</v>
      </c>
      <c r="G164" s="91" t="str">
        <f>A163</f>
        <v>2nd Floor</v>
      </c>
      <c r="H164" s="91"/>
      <c r="I164" s="36"/>
      <c r="N164" s="36"/>
    </row>
    <row r="165" spans="1:14" s="37" customFormat="1" hidden="1" x14ac:dyDescent="0.35">
      <c r="A165" s="91">
        <f>A164+1</f>
        <v>202</v>
      </c>
      <c r="B165" s="91"/>
      <c r="C165" s="53"/>
      <c r="D165" s="42"/>
      <c r="E165" s="42">
        <v>0</v>
      </c>
      <c r="F165" s="42">
        <f t="shared" si="10"/>
        <v>0</v>
      </c>
      <c r="G165" s="91" t="str">
        <f>G164</f>
        <v>2nd Floor</v>
      </c>
      <c r="H165" s="91"/>
      <c r="I165" s="36"/>
      <c r="N165" s="36"/>
    </row>
    <row r="166" spans="1:14" s="37" customFormat="1" hidden="1" x14ac:dyDescent="0.35">
      <c r="A166" s="91">
        <f>A165+1</f>
        <v>203</v>
      </c>
      <c r="B166" s="91"/>
      <c r="C166" s="53"/>
      <c r="D166" s="42"/>
      <c r="E166" s="42">
        <v>0</v>
      </c>
      <c r="F166" s="42">
        <f>D166*(($F$133)+1)+(IF(E166&lt;101,E166,IF(E166&lt;201,E166/2,IF(E166&lt;=301,E166/3,E166/4))))</f>
        <v>0</v>
      </c>
      <c r="G166" s="91" t="str">
        <f>G165</f>
        <v>2nd Floor</v>
      </c>
      <c r="H166" s="91"/>
      <c r="I166" s="36"/>
      <c r="N166" s="36"/>
    </row>
    <row r="167" spans="1:14" s="37" customFormat="1" hidden="1" x14ac:dyDescent="0.35">
      <c r="A167" s="91">
        <f>A166+1</f>
        <v>204</v>
      </c>
      <c r="B167" s="91"/>
      <c r="C167" s="53"/>
      <c r="D167" s="42"/>
      <c r="E167" s="42">
        <v>0</v>
      </c>
      <c r="F167" s="42">
        <f>D167*(($F$133)+1)+(IF(E167&lt;101,E167,IF(E167&lt;201,E167/2,IF(E167&lt;=301,E167/3,E167/4))))</f>
        <v>0</v>
      </c>
      <c r="G167" s="91" t="str">
        <f>G166</f>
        <v>2nd Floor</v>
      </c>
      <c r="H167" s="91"/>
      <c r="I167" s="36"/>
      <c r="N167" s="36"/>
    </row>
    <row r="168" spans="1:14" s="37" customFormat="1" hidden="1" x14ac:dyDescent="0.35">
      <c r="A168" s="91">
        <f>A167+1</f>
        <v>205</v>
      </c>
      <c r="B168" s="91"/>
      <c r="C168" s="53"/>
      <c r="D168" s="42"/>
      <c r="E168" s="42">
        <v>0</v>
      </c>
      <c r="F168" s="42">
        <f>D168*(($F$133)+1)+(IF(E168&lt;101,E168,IF(E168&lt;201,E168/2,IF(E168&lt;=301,E168/3,E168/4))))</f>
        <v>0</v>
      </c>
      <c r="G168" s="91" t="str">
        <f>G167</f>
        <v>2nd Floor</v>
      </c>
      <c r="H168" s="91"/>
      <c r="I168" s="36"/>
      <c r="N168" s="36"/>
    </row>
    <row r="169" spans="1:14" s="37" customFormat="1" ht="15.75" hidden="1" customHeight="1" x14ac:dyDescent="0.35">
      <c r="A169" s="99" t="s">
        <v>159</v>
      </c>
      <c r="B169" s="100"/>
      <c r="C169" s="100"/>
      <c r="D169" s="100"/>
      <c r="E169" s="100"/>
      <c r="F169" s="100"/>
      <c r="G169" s="100"/>
      <c r="H169" s="101"/>
      <c r="I169" s="36"/>
    </row>
    <row r="170" spans="1:14" s="37" customFormat="1" hidden="1" x14ac:dyDescent="0.35">
      <c r="A170" s="89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301 ,.., 1501</v>
      </c>
      <c r="B170" s="90"/>
      <c r="C170" s="53"/>
      <c r="D170" s="42"/>
      <c r="E170" s="42">
        <v>0</v>
      </c>
      <c r="F170" s="42">
        <f>D170*(($F$133)+1)+(IF(E170&lt;101,E170,IF(E170&lt;201,E170/2,IF(E170&lt;=301,E170/3,E170/4))))</f>
        <v>0</v>
      </c>
      <c r="G170" s="89" t="str">
        <f>A169</f>
        <v>3rd, 5th, 7th, 9th, 11th, 13th, 15th Floor</v>
      </c>
      <c r="H170" s="90"/>
      <c r="I170" s="36"/>
    </row>
    <row r="171" spans="1:14" s="37" customFormat="1" hidden="1" x14ac:dyDescent="0.35">
      <c r="A171" s="89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302 ,.., 1502</v>
      </c>
      <c r="B171" s="90"/>
      <c r="C171" s="53"/>
      <c r="D171" s="42"/>
      <c r="E171" s="42">
        <v>0</v>
      </c>
      <c r="F171" s="42">
        <f>D171*(($F$133)+1)+(IF(E171&lt;101,E171,IF(E171&lt;201,E171/2,IF(E171&lt;=301,E171/3,E171/4))))</f>
        <v>0</v>
      </c>
      <c r="G171" s="89" t="str">
        <f>G170</f>
        <v>3rd, 5th, 7th, 9th, 11th, 13th, 15th Floor</v>
      </c>
      <c r="H171" s="90"/>
      <c r="I171" s="36"/>
    </row>
    <row r="172" spans="1:14" s="37" customFormat="1" ht="15.75" hidden="1" customHeight="1" x14ac:dyDescent="0.35">
      <c r="A172" s="89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303 ,.., 1503</v>
      </c>
      <c r="B172" s="90"/>
      <c r="C172" s="53"/>
      <c r="D172" s="42"/>
      <c r="E172" s="42">
        <v>0</v>
      </c>
      <c r="F172" s="42">
        <f>D172*(($F$133)+1)+(IF(E172&lt;101,E172,IF(E172&lt;201,E172/2,IF(E172&lt;=301,E172/3,E172/4))))</f>
        <v>0</v>
      </c>
      <c r="G172" s="89" t="str">
        <f>G171</f>
        <v>3rd, 5th, 7th, 9th, 11th, 13th, 15th Floor</v>
      </c>
      <c r="H172" s="90"/>
      <c r="I172" s="36"/>
    </row>
    <row r="173" spans="1:14" s="37" customFormat="1" ht="15.75" hidden="1" customHeight="1" x14ac:dyDescent="0.35">
      <c r="A173" s="89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304 ,.., 1504</v>
      </c>
      <c r="B173" s="90"/>
      <c r="C173" s="53"/>
      <c r="D173" s="42"/>
      <c r="E173" s="42">
        <v>0</v>
      </c>
      <c r="F173" s="42">
        <f>D173*(($F$133)+1)+(IF(E173&lt;101,E173,IF(E173&lt;201,E173/2,IF(E173&lt;=301,E173/3,E173/4))))</f>
        <v>0</v>
      </c>
      <c r="G173" s="89" t="str">
        <f>G172</f>
        <v>3rd, 5th, 7th, 9th, 11th, 13th, 15th Floor</v>
      </c>
      <c r="H173" s="90"/>
      <c r="I173" s="36"/>
    </row>
    <row r="174" spans="1:14" s="37" customFormat="1" ht="15.75" hidden="1" customHeight="1" x14ac:dyDescent="0.35">
      <c r="A174" s="89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305 ,.., 1505</v>
      </c>
      <c r="B174" s="90"/>
      <c r="C174" s="53"/>
      <c r="D174" s="42"/>
      <c r="E174" s="42">
        <v>0</v>
      </c>
      <c r="F174" s="42">
        <f>D174*(($F$133)+1)+(IF(E174&lt;101,E174,IF(E174&lt;201,E174/2,IF(E174&lt;=301,E174/3,E174/4))))</f>
        <v>0</v>
      </c>
      <c r="G174" s="89" t="str">
        <f>G173</f>
        <v>3rd, 5th, 7th, 9th, 11th, 13th, 15th Floor</v>
      </c>
      <c r="H174" s="90"/>
      <c r="I174" s="36"/>
    </row>
    <row r="175" spans="1:14" s="37" customFormat="1" hidden="1" x14ac:dyDescent="0.35">
      <c r="A175" s="99" t="s">
        <v>153</v>
      </c>
      <c r="B175" s="100"/>
      <c r="C175" s="100"/>
      <c r="D175" s="100"/>
      <c r="E175" s="100"/>
      <c r="F175" s="100"/>
      <c r="G175" s="100"/>
      <c r="H175" s="101"/>
      <c r="I175" s="36"/>
    </row>
    <row r="176" spans="1:14" s="37" customFormat="1" hidden="1" x14ac:dyDescent="0.35">
      <c r="A176" s="89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201 to 501</v>
      </c>
      <c r="B176" s="90"/>
      <c r="C176" s="53"/>
      <c r="D176" s="42"/>
      <c r="E176" s="42">
        <v>0</v>
      </c>
      <c r="F176" s="42">
        <f>D176*(($F$133)+1)+(IF(E176&lt;101,E176,IF(E176&lt;201,E176/2,IF(E176&lt;=301,E176/3,E176/4))))</f>
        <v>0</v>
      </c>
      <c r="G176" s="89" t="str">
        <f>A175</f>
        <v>2nd to 5th Floor</v>
      </c>
      <c r="H176" s="90"/>
      <c r="I176" s="36"/>
    </row>
    <row r="177" spans="1:9" s="37" customFormat="1" hidden="1" x14ac:dyDescent="0.35">
      <c r="A177" s="89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202 to 502</v>
      </c>
      <c r="B177" s="90"/>
      <c r="C177" s="53"/>
      <c r="D177" s="42"/>
      <c r="E177" s="42">
        <v>0</v>
      </c>
      <c r="F177" s="42">
        <f>D177*(($F$133)+1)+(IF(E177&lt;101,E177,IF(E177&lt;201,E177/2,IF(E177&lt;=301,E177/3,E177/4))))</f>
        <v>0</v>
      </c>
      <c r="G177" s="89" t="str">
        <f>G176</f>
        <v>2nd to 5th Floor</v>
      </c>
      <c r="H177" s="90"/>
      <c r="I177" s="36"/>
    </row>
    <row r="178" spans="1:9" s="37" customFormat="1" hidden="1" x14ac:dyDescent="0.35">
      <c r="A178" s="89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203 to 503</v>
      </c>
      <c r="B178" s="90"/>
      <c r="C178" s="53"/>
      <c r="D178" s="42"/>
      <c r="E178" s="42">
        <v>0</v>
      </c>
      <c r="F178" s="42">
        <f>D178*(($F$133)+1)+(IF(E178&lt;101,E178,IF(E178&lt;201,E178/2,IF(E178&lt;=301,E178/3,E178/4))))</f>
        <v>0</v>
      </c>
      <c r="G178" s="89" t="str">
        <f>G177</f>
        <v>2nd to 5th Floor</v>
      </c>
      <c r="H178" s="90"/>
      <c r="I178" s="36"/>
    </row>
    <row r="179" spans="1:9" s="37" customFormat="1" hidden="1" x14ac:dyDescent="0.35">
      <c r="A179" s="89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204 to 504</v>
      </c>
      <c r="B179" s="90"/>
      <c r="C179" s="53"/>
      <c r="D179" s="42"/>
      <c r="E179" s="42">
        <v>0</v>
      </c>
      <c r="F179" s="42">
        <f>D179*(($F$133)+1)+(IF(E179&lt;101,E179,IF(E179&lt;201,E179/2,IF(E179&lt;=301,E179/3,E179/4))))</f>
        <v>0</v>
      </c>
      <c r="G179" s="89" t="str">
        <f>G178</f>
        <v>2nd to 5th Floor</v>
      </c>
      <c r="H179" s="90"/>
      <c r="I179" s="36"/>
    </row>
    <row r="180" spans="1:9" s="37" customFormat="1" hidden="1" x14ac:dyDescent="0.35">
      <c r="A180" s="89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205 to 505</v>
      </c>
      <c r="B180" s="90"/>
      <c r="C180" s="53"/>
      <c r="D180" s="42"/>
      <c r="E180" s="42">
        <v>0</v>
      </c>
      <c r="F180" s="42">
        <f>D180*(($F$133)+1)+(IF(E180&lt;101,E180,IF(E180&lt;201,E180/2,IF(E180&lt;=301,E180/3,E180/4))))</f>
        <v>0</v>
      </c>
      <c r="G180" s="89" t="str">
        <f>G179</f>
        <v>2nd to 5th Floor</v>
      </c>
      <c r="H180" s="90"/>
      <c r="I180" s="36"/>
    </row>
    <row r="181" spans="1:9" s="37" customFormat="1" hidden="1" x14ac:dyDescent="0.35">
      <c r="A181" s="99" t="s">
        <v>154</v>
      </c>
      <c r="B181" s="100"/>
      <c r="C181" s="100"/>
      <c r="D181" s="100"/>
      <c r="E181" s="100"/>
      <c r="F181" s="100"/>
      <c r="G181" s="100"/>
      <c r="H181" s="101"/>
      <c r="I181" s="36"/>
    </row>
    <row r="182" spans="1:9" s="37" customFormat="1" hidden="1" x14ac:dyDescent="0.35">
      <c r="A182" s="89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201 &amp; 501</v>
      </c>
      <c r="B182" s="90"/>
      <c r="C182" s="53"/>
      <c r="D182" s="42"/>
      <c r="E182" s="42">
        <v>0</v>
      </c>
      <c r="F182" s="42">
        <f>D182*(($F$133)+1)+(IF(E182&lt;101,E182,IF(E182&lt;201,E182/2,IF(E182&lt;=301,E182/3,E182/4))))</f>
        <v>0</v>
      </c>
      <c r="G182" s="89" t="str">
        <f>A181</f>
        <v>2nd &amp; 5th Floor</v>
      </c>
      <c r="H182" s="90"/>
      <c r="I182" s="36"/>
    </row>
    <row r="183" spans="1:9" s="37" customFormat="1" hidden="1" x14ac:dyDescent="0.35">
      <c r="A183" s="89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202 &amp; 502</v>
      </c>
      <c r="B183" s="90"/>
      <c r="C183" s="53"/>
      <c r="D183" s="42"/>
      <c r="E183" s="42">
        <v>0</v>
      </c>
      <c r="F183" s="42">
        <f>D183*(($F$133)+1)+(IF(E183&lt;101,E183,IF(E183&lt;201,E183/2,IF(E183&lt;=301,E183/3,E183/4))))</f>
        <v>0</v>
      </c>
      <c r="G183" s="89" t="str">
        <f t="shared" ref="G183:G186" si="11">G182</f>
        <v>2nd &amp; 5th Floor</v>
      </c>
      <c r="H183" s="90"/>
      <c r="I183" s="36"/>
    </row>
    <row r="184" spans="1:9" s="37" customFormat="1" hidden="1" x14ac:dyDescent="0.35">
      <c r="A184" s="89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203 &amp; 503</v>
      </c>
      <c r="B184" s="90"/>
      <c r="C184" s="53"/>
      <c r="D184" s="42"/>
      <c r="E184" s="42">
        <v>0</v>
      </c>
      <c r="F184" s="42">
        <f>D184*(($F$133)+1)+(IF(E184&lt;101,E184,IF(E184&lt;201,E184/2,IF(E184&lt;=301,E184/3,E184/4))))</f>
        <v>0</v>
      </c>
      <c r="G184" s="89" t="str">
        <f t="shared" si="11"/>
        <v>2nd &amp; 5th Floor</v>
      </c>
      <c r="H184" s="90"/>
      <c r="I184" s="36"/>
    </row>
    <row r="185" spans="1:9" s="37" customFormat="1" hidden="1" x14ac:dyDescent="0.35">
      <c r="A185" s="89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204 &amp; 504</v>
      </c>
      <c r="B185" s="90"/>
      <c r="C185" s="53"/>
      <c r="D185" s="42"/>
      <c r="E185" s="42">
        <v>0</v>
      </c>
      <c r="F185" s="42">
        <f>D185*(($F$133)+1)+(IF(E185&lt;101,E185,IF(E185&lt;201,E185/2,IF(E185&lt;=301,E185/3,E185/4))))</f>
        <v>0</v>
      </c>
      <c r="G185" s="89" t="str">
        <f t="shared" si="11"/>
        <v>2nd &amp; 5th Floor</v>
      </c>
      <c r="H185" s="90"/>
      <c r="I185" s="36"/>
    </row>
    <row r="186" spans="1:9" s="37" customFormat="1" hidden="1" x14ac:dyDescent="0.35">
      <c r="A186" s="89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205 &amp; 505</v>
      </c>
      <c r="B186" s="90"/>
      <c r="C186" s="53"/>
      <c r="D186" s="42"/>
      <c r="E186" s="42">
        <v>0</v>
      </c>
      <c r="F186" s="42">
        <f>D186*(($F$133)+1)+(IF(E186&lt;101,E186,IF(E186&lt;201,E186/2,IF(E186&lt;=301,E186/3,E186/4))))</f>
        <v>0</v>
      </c>
      <c r="G186" s="89" t="str">
        <f t="shared" si="11"/>
        <v>2nd &amp; 5th Floor</v>
      </c>
      <c r="H186" s="90"/>
      <c r="I186" s="36"/>
    </row>
    <row r="187" spans="1:9" s="35" customFormat="1" x14ac:dyDescent="0.35">
      <c r="A187" s="96" t="s">
        <v>70</v>
      </c>
      <c r="B187" s="96"/>
      <c r="C187" s="96"/>
      <c r="D187" s="96"/>
      <c r="E187" s="96"/>
      <c r="F187" s="96"/>
      <c r="G187" s="96"/>
      <c r="H187" s="96"/>
    </row>
    <row r="188" spans="1:9" s="35" customFormat="1" ht="31" customHeight="1" x14ac:dyDescent="0.35">
      <c r="A188" s="47" t="s">
        <v>163</v>
      </c>
      <c r="B188" s="170" t="s">
        <v>232</v>
      </c>
      <c r="C188" s="171"/>
      <c r="D188" s="171"/>
      <c r="E188" s="171"/>
      <c r="F188" s="171"/>
      <c r="G188" s="171"/>
      <c r="H188" s="172"/>
    </row>
    <row r="189" spans="1:9" s="35" customFormat="1" x14ac:dyDescent="0.35">
      <c r="A189" s="47" t="s">
        <v>163</v>
      </c>
      <c r="B189" s="170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189" s="171"/>
      <c r="D189" s="171"/>
      <c r="E189" s="171"/>
      <c r="F189" s="171"/>
      <c r="G189" s="171"/>
      <c r="H189" s="172"/>
    </row>
    <row r="190" spans="1:9" s="35" customFormat="1" hidden="1" x14ac:dyDescent="0.35">
      <c r="A190" s="47" t="s">
        <v>163</v>
      </c>
      <c r="B190" s="170" t="str">
        <f>(IF(F124="Saleable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0" s="171"/>
      <c r="D190" s="171"/>
      <c r="E190" s="171"/>
      <c r="F190" s="171"/>
      <c r="G190" s="171"/>
      <c r="H190" s="172"/>
    </row>
    <row r="191" spans="1:9" s="35" customFormat="1" x14ac:dyDescent="0.35">
      <c r="A191" s="47" t="s">
        <v>163</v>
      </c>
      <c r="B191" s="72" t="s">
        <v>130</v>
      </c>
      <c r="C191" s="73"/>
      <c r="D191" s="73"/>
      <c r="E191" s="73"/>
      <c r="F191" s="73"/>
      <c r="G191" s="73"/>
      <c r="H191" s="74"/>
    </row>
    <row r="192" spans="1:9" s="35" customFormat="1" x14ac:dyDescent="0.35">
      <c r="A192" s="47" t="s">
        <v>163</v>
      </c>
      <c r="B192" s="72" t="s">
        <v>213</v>
      </c>
      <c r="C192" s="73"/>
      <c r="D192" s="73"/>
      <c r="E192" s="73"/>
      <c r="F192" s="73"/>
      <c r="G192" s="73"/>
      <c r="H192" s="74"/>
    </row>
    <row r="193" spans="1:8" s="35" customFormat="1" x14ac:dyDescent="0.35">
      <c r="A193" s="47" t="s">
        <v>163</v>
      </c>
      <c r="B193" s="72" t="s">
        <v>162</v>
      </c>
      <c r="C193" s="73"/>
      <c r="D193" s="73"/>
      <c r="E193" s="73"/>
      <c r="F193" s="73"/>
      <c r="G193" s="73"/>
      <c r="H193" s="74"/>
    </row>
    <row r="194" spans="1:8" s="35" customFormat="1" x14ac:dyDescent="0.35">
      <c r="A194" s="47" t="s">
        <v>163</v>
      </c>
      <c r="B194" s="72" t="s">
        <v>131</v>
      </c>
      <c r="C194" s="73"/>
      <c r="D194" s="73"/>
      <c r="E194" s="73"/>
      <c r="F194" s="73"/>
      <c r="G194" s="73"/>
      <c r="H194" s="74"/>
    </row>
    <row r="195" spans="1:8" s="35" customFormat="1" ht="34.5" customHeight="1" x14ac:dyDescent="0.35">
      <c r="A195" s="47" t="s">
        <v>163</v>
      </c>
      <c r="B195" s="72" t="s">
        <v>164</v>
      </c>
      <c r="C195" s="73"/>
      <c r="D195" s="73"/>
      <c r="E195" s="73"/>
      <c r="F195" s="73"/>
      <c r="G195" s="73"/>
      <c r="H195" s="74"/>
    </row>
    <row r="196" spans="1:8" s="35" customFormat="1" x14ac:dyDescent="0.35">
      <c r="A196" s="47" t="s">
        <v>163</v>
      </c>
      <c r="B196" s="72" t="s">
        <v>132</v>
      </c>
      <c r="C196" s="73"/>
      <c r="D196" s="73"/>
      <c r="E196" s="73"/>
      <c r="F196" s="73"/>
      <c r="G196" s="73"/>
      <c r="H196" s="74"/>
    </row>
    <row r="197" spans="1:8" x14ac:dyDescent="0.35">
      <c r="A197" s="169" t="s">
        <v>63</v>
      </c>
      <c r="B197" s="169"/>
      <c r="C197" s="169"/>
      <c r="D197" s="169"/>
      <c r="E197" s="169"/>
      <c r="F197" s="169"/>
      <c r="G197" s="169"/>
      <c r="H197" s="169"/>
    </row>
    <row r="198" spans="1:8" x14ac:dyDescent="0.35">
      <c r="A198" s="69" t="s">
        <v>64</v>
      </c>
      <c r="B198" s="69"/>
      <c r="C198" s="69"/>
      <c r="D198" s="69"/>
      <c r="E198" s="69"/>
      <c r="F198" s="69"/>
      <c r="G198" s="69"/>
      <c r="H198" s="69"/>
    </row>
    <row r="199" spans="1:8" ht="15.75" customHeight="1" x14ac:dyDescent="0.35">
      <c r="A199" s="190" t="s">
        <v>65</v>
      </c>
      <c r="B199" s="190"/>
      <c r="C199" s="190"/>
      <c r="D199" s="190"/>
      <c r="E199" s="190"/>
      <c r="F199" s="190"/>
      <c r="G199" s="190"/>
      <c r="H199" s="190"/>
    </row>
    <row r="200" spans="1:8" x14ac:dyDescent="0.35">
      <c r="A200" s="69" t="s">
        <v>66</v>
      </c>
      <c r="B200" s="69"/>
      <c r="C200" s="69"/>
      <c r="D200" s="69"/>
      <c r="E200" s="69"/>
      <c r="F200" s="69"/>
      <c r="G200" s="69"/>
      <c r="H200" s="69"/>
    </row>
    <row r="201" spans="1:8" x14ac:dyDescent="0.35">
      <c r="A201" s="69" t="s">
        <v>67</v>
      </c>
      <c r="B201" s="69"/>
      <c r="C201" s="69"/>
      <c r="D201" s="69"/>
      <c r="E201" s="69"/>
      <c r="F201" s="69"/>
      <c r="G201" s="69"/>
      <c r="H201" s="69"/>
    </row>
    <row r="202" spans="1:8" x14ac:dyDescent="0.35">
      <c r="A202" s="69" t="s">
        <v>133</v>
      </c>
      <c r="B202" s="69"/>
      <c r="C202" s="69"/>
      <c r="D202" s="69"/>
      <c r="E202" s="69"/>
      <c r="F202" s="69"/>
      <c r="G202" s="69"/>
      <c r="H202" s="69"/>
    </row>
    <row r="203" spans="1:8" x14ac:dyDescent="0.35">
      <c r="A203" s="138" t="s">
        <v>134</v>
      </c>
      <c r="B203" s="138"/>
      <c r="C203" s="138"/>
      <c r="D203" s="138"/>
      <c r="E203" s="138"/>
      <c r="F203" s="138"/>
      <c r="G203" s="138"/>
      <c r="H203" s="138"/>
    </row>
    <row r="204" spans="1:8" x14ac:dyDescent="0.35">
      <c r="A204" s="167" t="s">
        <v>80</v>
      </c>
      <c r="B204" s="167"/>
      <c r="C204" s="167" t="s">
        <v>229</v>
      </c>
      <c r="D204" s="167"/>
      <c r="E204" s="167" t="s">
        <v>110</v>
      </c>
      <c r="F204" s="167"/>
      <c r="G204" s="167" t="s">
        <v>233</v>
      </c>
      <c r="H204" s="167"/>
    </row>
    <row r="205" spans="1:8" x14ac:dyDescent="0.35">
      <c r="A205" s="166" t="s">
        <v>82</v>
      </c>
      <c r="B205" s="166"/>
      <c r="C205" s="166"/>
      <c r="D205" s="166"/>
      <c r="E205" s="166"/>
      <c r="F205" s="166"/>
      <c r="G205" s="166"/>
      <c r="H205" s="166"/>
    </row>
    <row r="206" spans="1:8" x14ac:dyDescent="0.35">
      <c r="A206" s="166"/>
      <c r="B206" s="166"/>
      <c r="C206" s="166"/>
      <c r="D206" s="166"/>
      <c r="E206" s="166"/>
      <c r="F206" s="166"/>
      <c r="G206" s="166"/>
      <c r="H206" s="166"/>
    </row>
    <row r="207" spans="1:8" x14ac:dyDescent="0.35">
      <c r="A207" s="166"/>
      <c r="B207" s="166"/>
      <c r="C207" s="166"/>
      <c r="D207" s="166"/>
      <c r="E207" s="166"/>
      <c r="F207" s="166"/>
      <c r="G207" s="166"/>
      <c r="H207" s="166"/>
    </row>
    <row r="208" spans="1:8" x14ac:dyDescent="0.35">
      <c r="A208" s="166"/>
      <c r="B208" s="166"/>
      <c r="C208" s="166"/>
      <c r="D208" s="166"/>
      <c r="E208" s="166"/>
      <c r="F208" s="166"/>
      <c r="G208" s="166"/>
      <c r="H208" s="166"/>
    </row>
    <row r="209" spans="1:8" x14ac:dyDescent="0.35">
      <c r="A209" s="38" t="s">
        <v>68</v>
      </c>
      <c r="B209" s="39"/>
      <c r="C209" s="39"/>
      <c r="D209" s="38" t="str">
        <f>E8</f>
        <v>Shivam Homes Wing A and B</v>
      </c>
      <c r="F209" s="39"/>
      <c r="G209" s="39"/>
      <c r="H209" s="39"/>
    </row>
    <row r="210" spans="1:8" x14ac:dyDescent="0.35">
      <c r="A210" s="39"/>
      <c r="B210" s="39"/>
      <c r="C210" s="39"/>
      <c r="D210" s="39"/>
      <c r="E210" s="39"/>
      <c r="F210" s="39"/>
      <c r="G210" s="39"/>
      <c r="H210" s="39"/>
    </row>
    <row r="211" spans="1:8" x14ac:dyDescent="0.35">
      <c r="A211" s="39"/>
      <c r="B211" s="39"/>
      <c r="C211" s="39"/>
      <c r="D211" s="39"/>
      <c r="E211" s="39"/>
      <c r="F211" s="39"/>
      <c r="G211" s="39"/>
      <c r="H211" s="39"/>
    </row>
    <row r="212" spans="1:8" ht="15" customHeight="1" x14ac:dyDescent="0.35"/>
    <row r="253" spans="1:1" x14ac:dyDescent="0.35">
      <c r="A253" s="41" t="s">
        <v>176</v>
      </c>
    </row>
    <row r="297" spans="1:1" x14ac:dyDescent="0.35">
      <c r="A297" s="41" t="s">
        <v>69</v>
      </c>
    </row>
  </sheetData>
  <mergeCells count="390">
    <mergeCell ref="A62:C62"/>
    <mergeCell ref="E73:F82"/>
    <mergeCell ref="G73:H82"/>
    <mergeCell ref="A81:B81"/>
    <mergeCell ref="A82:B82"/>
    <mergeCell ref="D62:H62"/>
    <mergeCell ref="A86:B86"/>
    <mergeCell ref="A134:H134"/>
    <mergeCell ref="G136:H137"/>
    <mergeCell ref="A145:H145"/>
    <mergeCell ref="A146:H146"/>
    <mergeCell ref="A147:B147"/>
    <mergeCell ref="A70:B70"/>
    <mergeCell ref="C70:D70"/>
    <mergeCell ref="E70:F70"/>
    <mergeCell ref="G70:H70"/>
    <mergeCell ref="F105:H105"/>
    <mergeCell ref="C112:D112"/>
    <mergeCell ref="A73:B73"/>
    <mergeCell ref="G72:H72"/>
    <mergeCell ref="A96:B96"/>
    <mergeCell ref="A121:B121"/>
    <mergeCell ref="C121:D121"/>
    <mergeCell ref="E121:F121"/>
    <mergeCell ref="G121:H121"/>
    <mergeCell ref="E41:H41"/>
    <mergeCell ref="A41:D41"/>
    <mergeCell ref="A202:H202"/>
    <mergeCell ref="A199:H199"/>
    <mergeCell ref="G179:H179"/>
    <mergeCell ref="A164:B164"/>
    <mergeCell ref="A117:B117"/>
    <mergeCell ref="D132:D133"/>
    <mergeCell ref="E132:E133"/>
    <mergeCell ref="G132:H133"/>
    <mergeCell ref="A91:B91"/>
    <mergeCell ref="A92:B92"/>
    <mergeCell ref="A93:B93"/>
    <mergeCell ref="A83:B83"/>
    <mergeCell ref="C83:H83"/>
    <mergeCell ref="A78:B78"/>
    <mergeCell ref="F98:H98"/>
    <mergeCell ref="G113:H113"/>
    <mergeCell ref="A48:B48"/>
    <mergeCell ref="A137:B137"/>
    <mergeCell ref="G48:H48"/>
    <mergeCell ref="G50:H50"/>
    <mergeCell ref="D56:H56"/>
    <mergeCell ref="C50:E50"/>
    <mergeCell ref="A59:C60"/>
    <mergeCell ref="D59:H59"/>
    <mergeCell ref="D60:H60"/>
    <mergeCell ref="C49:E49"/>
    <mergeCell ref="A54:B54"/>
    <mergeCell ref="C54:E54"/>
    <mergeCell ref="A49:B49"/>
    <mergeCell ref="A55:H55"/>
    <mergeCell ref="A56:C56"/>
    <mergeCell ref="A57:C57"/>
    <mergeCell ref="D57:H57"/>
    <mergeCell ref="G54:H54"/>
    <mergeCell ref="C51:H51"/>
    <mergeCell ref="A52:B53"/>
    <mergeCell ref="C52:E52"/>
    <mergeCell ref="G52:H52"/>
    <mergeCell ref="C53:H53"/>
    <mergeCell ref="G177:H177"/>
    <mergeCell ref="F108:H108"/>
    <mergeCell ref="F106:H106"/>
    <mergeCell ref="A171:B171"/>
    <mergeCell ref="A123:H123"/>
    <mergeCell ref="G112:H112"/>
    <mergeCell ref="A107:E107"/>
    <mergeCell ref="C113:D113"/>
    <mergeCell ref="E113:F113"/>
    <mergeCell ref="G165:H165"/>
    <mergeCell ref="B124:B125"/>
    <mergeCell ref="A124:A125"/>
    <mergeCell ref="C132:C133"/>
    <mergeCell ref="C120:D120"/>
    <mergeCell ref="A158:H158"/>
    <mergeCell ref="A173:B173"/>
    <mergeCell ref="A170:B170"/>
    <mergeCell ref="G162:H162"/>
    <mergeCell ref="F107:H107"/>
    <mergeCell ref="E112:F112"/>
    <mergeCell ref="A112:B112"/>
    <mergeCell ref="A114:B114"/>
    <mergeCell ref="G174:H174"/>
    <mergeCell ref="G173:H173"/>
    <mergeCell ref="A198:H198"/>
    <mergeCell ref="E117:F117"/>
    <mergeCell ref="B196:H196"/>
    <mergeCell ref="G129:H129"/>
    <mergeCell ref="G127:H127"/>
    <mergeCell ref="G128:H128"/>
    <mergeCell ref="G130:H130"/>
    <mergeCell ref="B194:H194"/>
    <mergeCell ref="B190:H190"/>
    <mergeCell ref="A184:B184"/>
    <mergeCell ref="G184:H184"/>
    <mergeCell ref="G183:H183"/>
    <mergeCell ref="A181:H181"/>
    <mergeCell ref="A182:B182"/>
    <mergeCell ref="A183:B183"/>
    <mergeCell ref="A186:B186"/>
    <mergeCell ref="G186:H186"/>
    <mergeCell ref="A185:B185"/>
    <mergeCell ref="A122:H122"/>
    <mergeCell ref="G166:H166"/>
    <mergeCell ref="G185:H185"/>
    <mergeCell ref="B188:H188"/>
    <mergeCell ref="B189:H189"/>
    <mergeCell ref="A176:B176"/>
    <mergeCell ref="A205:H208"/>
    <mergeCell ref="A204:B204"/>
    <mergeCell ref="E204:F204"/>
    <mergeCell ref="C204:D204"/>
    <mergeCell ref="G204:H204"/>
    <mergeCell ref="A111:H111"/>
    <mergeCell ref="A109:E109"/>
    <mergeCell ref="F109:H109"/>
    <mergeCell ref="A110:E110"/>
    <mergeCell ref="F110:H110"/>
    <mergeCell ref="A163:H163"/>
    <mergeCell ref="A118:B118"/>
    <mergeCell ref="A172:B172"/>
    <mergeCell ref="A113:B113"/>
    <mergeCell ref="A200:H200"/>
    <mergeCell ref="A116:H116"/>
    <mergeCell ref="A203:H203"/>
    <mergeCell ref="A201:H201"/>
    <mergeCell ref="A197:H197"/>
    <mergeCell ref="G119:H119"/>
    <mergeCell ref="A177:B177"/>
    <mergeCell ref="A178:B178"/>
    <mergeCell ref="A167:B167"/>
    <mergeCell ref="G168:H168"/>
    <mergeCell ref="A79:B79"/>
    <mergeCell ref="A72:B72"/>
    <mergeCell ref="A75:B75"/>
    <mergeCell ref="A71:B71"/>
    <mergeCell ref="A68:B68"/>
    <mergeCell ref="C68:H68"/>
    <mergeCell ref="A77:B77"/>
    <mergeCell ref="A63:C63"/>
    <mergeCell ref="D63:H63"/>
    <mergeCell ref="C71:H71"/>
    <mergeCell ref="A74:B74"/>
    <mergeCell ref="A76:B76"/>
    <mergeCell ref="E72:F72"/>
    <mergeCell ref="A64:C64"/>
    <mergeCell ref="D64:H64"/>
    <mergeCell ref="A67:C67"/>
    <mergeCell ref="D67:H67"/>
    <mergeCell ref="A65:C65"/>
    <mergeCell ref="D65:H65"/>
    <mergeCell ref="A66:C66"/>
    <mergeCell ref="D66:H66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D61:H61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8:H58"/>
    <mergeCell ref="A58:C58"/>
    <mergeCell ref="G49:H49"/>
    <mergeCell ref="A50:B51"/>
    <mergeCell ref="C48:E48"/>
    <mergeCell ref="E86:F86"/>
    <mergeCell ref="C117:D117"/>
    <mergeCell ref="G117:H117"/>
    <mergeCell ref="A37:B37"/>
    <mergeCell ref="C37:H37"/>
    <mergeCell ref="A44:D44"/>
    <mergeCell ref="L130:M130"/>
    <mergeCell ref="L129:M129"/>
    <mergeCell ref="L128:M128"/>
    <mergeCell ref="L127:M127"/>
    <mergeCell ref="A80:B80"/>
    <mergeCell ref="C118:D118"/>
    <mergeCell ref="E118:F118"/>
    <mergeCell ref="G118:H118"/>
    <mergeCell ref="F104:H104"/>
    <mergeCell ref="A98:E98"/>
    <mergeCell ref="A126:H126"/>
    <mergeCell ref="E124:E125"/>
    <mergeCell ref="G124:H125"/>
    <mergeCell ref="A87:B87"/>
    <mergeCell ref="E87:F96"/>
    <mergeCell ref="A94:B94"/>
    <mergeCell ref="A95:B95"/>
    <mergeCell ref="A85:B85"/>
    <mergeCell ref="C85:H85"/>
    <mergeCell ref="B191:H191"/>
    <mergeCell ref="G176:H176"/>
    <mergeCell ref="A174:B174"/>
    <mergeCell ref="F97:H97"/>
    <mergeCell ref="F102:H102"/>
    <mergeCell ref="L163:M163"/>
    <mergeCell ref="A131:H131"/>
    <mergeCell ref="A132:A133"/>
    <mergeCell ref="A168:B168"/>
    <mergeCell ref="A165:B165"/>
    <mergeCell ref="A166:B166"/>
    <mergeCell ref="A108:E108"/>
    <mergeCell ref="G120:H120"/>
    <mergeCell ref="C114:D114"/>
    <mergeCell ref="E114:F114"/>
    <mergeCell ref="G114:H114"/>
    <mergeCell ref="A115:B115"/>
    <mergeCell ref="C115:D115"/>
    <mergeCell ref="E115:F115"/>
    <mergeCell ref="G115:H115"/>
    <mergeCell ref="A119:B119"/>
    <mergeCell ref="C119:D119"/>
    <mergeCell ref="E119:F119"/>
    <mergeCell ref="A129:B129"/>
    <mergeCell ref="G159:H159"/>
    <mergeCell ref="L159:M159"/>
    <mergeCell ref="A160:B160"/>
    <mergeCell ref="G160:H160"/>
    <mergeCell ref="L160:M160"/>
    <mergeCell ref="A161:B161"/>
    <mergeCell ref="G161:H161"/>
    <mergeCell ref="L161:M161"/>
    <mergeCell ref="L147:M147"/>
    <mergeCell ref="L148:M148"/>
    <mergeCell ref="L137:M137"/>
    <mergeCell ref="L149:M149"/>
    <mergeCell ref="A157:B157"/>
    <mergeCell ref="G151:H157"/>
    <mergeCell ref="G147:H149"/>
    <mergeCell ref="A144:B144"/>
    <mergeCell ref="G139:H144"/>
    <mergeCell ref="A150:H150"/>
    <mergeCell ref="A151:B151"/>
    <mergeCell ref="A152:B152"/>
    <mergeCell ref="A153:B153"/>
    <mergeCell ref="A154:B154"/>
    <mergeCell ref="A155:B155"/>
    <mergeCell ref="L162:M162"/>
    <mergeCell ref="A138:H138"/>
    <mergeCell ref="A140:B140"/>
    <mergeCell ref="A141:B141"/>
    <mergeCell ref="A142:B142"/>
    <mergeCell ref="A143:B143"/>
    <mergeCell ref="A135:H135"/>
    <mergeCell ref="A136:B136"/>
    <mergeCell ref="L136:M136"/>
    <mergeCell ref="A156:B156"/>
    <mergeCell ref="A149:B149"/>
    <mergeCell ref="A139:B139"/>
    <mergeCell ref="A148:B148"/>
    <mergeCell ref="A104:E104"/>
    <mergeCell ref="A106:E106"/>
    <mergeCell ref="F100:H100"/>
    <mergeCell ref="A105:E105"/>
    <mergeCell ref="A100:E100"/>
    <mergeCell ref="A97:E97"/>
    <mergeCell ref="F101:H101"/>
    <mergeCell ref="A102:E102"/>
    <mergeCell ref="B192:H192"/>
    <mergeCell ref="G182:H182"/>
    <mergeCell ref="G180:H180"/>
    <mergeCell ref="A187:H187"/>
    <mergeCell ref="A179:B179"/>
    <mergeCell ref="A180:B180"/>
    <mergeCell ref="G178:H178"/>
    <mergeCell ref="C124:C125"/>
    <mergeCell ref="B132:B133"/>
    <mergeCell ref="A175:H175"/>
    <mergeCell ref="A169:H169"/>
    <mergeCell ref="A162:B162"/>
    <mergeCell ref="G172:H172"/>
    <mergeCell ref="G170:H170"/>
    <mergeCell ref="A159:B159"/>
    <mergeCell ref="A130:B130"/>
    <mergeCell ref="A120:B120"/>
    <mergeCell ref="E120:F120"/>
    <mergeCell ref="A38:B38"/>
    <mergeCell ref="C38:H38"/>
    <mergeCell ref="B195:H195"/>
    <mergeCell ref="A47:B47"/>
    <mergeCell ref="C47:H47"/>
    <mergeCell ref="B193:H193"/>
    <mergeCell ref="G87:H96"/>
    <mergeCell ref="A88:B88"/>
    <mergeCell ref="A89:B89"/>
    <mergeCell ref="A90:B90"/>
    <mergeCell ref="F99:H99"/>
    <mergeCell ref="A99:E99"/>
    <mergeCell ref="G171:H171"/>
    <mergeCell ref="G167:H167"/>
    <mergeCell ref="G164:H164"/>
    <mergeCell ref="D124:D125"/>
    <mergeCell ref="A101:E101"/>
    <mergeCell ref="A127:B127"/>
    <mergeCell ref="A128:B128"/>
    <mergeCell ref="G86:H86"/>
    <mergeCell ref="A103:E103"/>
    <mergeCell ref="F103:H103"/>
  </mergeCells>
  <hyperlinks>
    <hyperlink ref="C38" r:id="rId1"/>
    <hyperlink ref="I132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82" max="16383" man="1"/>
    <brk id="208" max="16383" man="1"/>
    <brk id="252" max="16383" man="1"/>
    <brk id="296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3" zoomScale="85" zoomScaleNormal="85" workbookViewId="0">
      <selection activeCell="J29" sqref="J29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1" t="s">
        <v>111</v>
      </c>
      <c r="C3" s="211"/>
      <c r="D3" s="211"/>
      <c r="E3" s="211"/>
      <c r="F3" s="211"/>
      <c r="G3" s="211"/>
      <c r="H3" s="211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2025-06-05T10:14:00Z</cp:lastPrinted>
  <dcterms:created xsi:type="dcterms:W3CDTF">2019-07-16T09:29:46Z</dcterms:created>
  <dcterms:modified xsi:type="dcterms:W3CDTF">2025-09-19T05:51:45Z</dcterms:modified>
</cp:coreProperties>
</file>