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6" i="1" l="1"/>
  <c r="D201" i="1"/>
  <c r="J162" i="1"/>
  <c r="J161" i="1"/>
  <c r="J160" i="1"/>
  <c r="I162" i="1"/>
  <c r="E161" i="1"/>
  <c r="I161" i="1"/>
  <c r="E160" i="1"/>
  <c r="I160" i="1"/>
  <c r="I159" i="1"/>
  <c r="J159" i="1"/>
  <c r="I156" i="1"/>
  <c r="K161" i="1"/>
  <c r="E145" i="1"/>
  <c r="D206" i="1" l="1"/>
  <c r="F206" i="1" s="1"/>
  <c r="D205" i="1"/>
  <c r="F205" i="1" s="1"/>
  <c r="D204" i="1"/>
  <c r="F204" i="1" s="1"/>
  <c r="D203" i="1"/>
  <c r="F203" i="1" s="1"/>
  <c r="D202" i="1"/>
  <c r="F202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4" i="1"/>
  <c r="D183" i="1"/>
  <c r="F183" i="1" s="1"/>
  <c r="D182" i="1"/>
  <c r="F182" i="1" s="1"/>
  <c r="D180" i="1"/>
  <c r="F180" i="1" s="1"/>
  <c r="D179" i="1"/>
  <c r="F179" i="1" s="1"/>
  <c r="D178" i="1"/>
  <c r="D177" i="1"/>
  <c r="F177" i="1" s="1"/>
  <c r="I177" i="1" s="1"/>
  <c r="D176" i="1"/>
  <c r="F176" i="1" s="1"/>
  <c r="D175" i="1"/>
  <c r="F175" i="1" s="1"/>
  <c r="D174" i="1"/>
  <c r="F174" i="1" s="1"/>
  <c r="J174" i="1" s="1"/>
  <c r="D173" i="1"/>
  <c r="F173" i="1" s="1"/>
  <c r="D172" i="1"/>
  <c r="F172" i="1" s="1"/>
  <c r="I172" i="1" s="1"/>
  <c r="D171" i="1"/>
  <c r="F171" i="1" s="1"/>
  <c r="D170" i="1"/>
  <c r="D169" i="1"/>
  <c r="F169" i="1" s="1"/>
  <c r="E162" i="1"/>
  <c r="E159" i="1"/>
  <c r="D167" i="1"/>
  <c r="F167" i="1" s="1"/>
  <c r="I167" i="1" s="1"/>
  <c r="D166" i="1"/>
  <c r="D165" i="1"/>
  <c r="F165" i="1" s="1"/>
  <c r="D164" i="1"/>
  <c r="F164" i="1" s="1"/>
  <c r="D163" i="1"/>
  <c r="F163" i="1" s="1"/>
  <c r="J164" i="1" s="1"/>
  <c r="D162" i="1"/>
  <c r="D161" i="1"/>
  <c r="D160" i="1"/>
  <c r="D159" i="1"/>
  <c r="D158" i="1"/>
  <c r="D157" i="1"/>
  <c r="F157" i="1" s="1"/>
  <c r="D156" i="1"/>
  <c r="F156" i="1" s="1"/>
  <c r="D145" i="1"/>
  <c r="E144" i="1"/>
  <c r="D144" i="1"/>
  <c r="E143" i="1"/>
  <c r="D143" i="1"/>
  <c r="E142" i="1"/>
  <c r="D142" i="1"/>
  <c r="F142" i="1" s="1"/>
  <c r="I142" i="1" s="1"/>
  <c r="E141" i="1"/>
  <c r="D141" i="1"/>
  <c r="E140" i="1"/>
  <c r="D140" i="1"/>
  <c r="E139" i="1"/>
  <c r="D139" i="1"/>
  <c r="E138" i="1"/>
  <c r="D138" i="1"/>
  <c r="F138" i="1" s="1"/>
  <c r="I138" i="1" s="1"/>
  <c r="E137" i="1"/>
  <c r="F137" i="1" s="1"/>
  <c r="I137" i="1" s="1"/>
  <c r="D137" i="1"/>
  <c r="E136" i="1"/>
  <c r="D136" i="1"/>
  <c r="E135" i="1"/>
  <c r="D135" i="1"/>
  <c r="J134" i="1"/>
  <c r="F201" i="1"/>
  <c r="J203" i="1"/>
  <c r="K203" i="1"/>
  <c r="K204" i="1" s="1"/>
  <c r="J201" i="1"/>
  <c r="K201" i="1" s="1"/>
  <c r="J200" i="1"/>
  <c r="K200" i="1" s="1"/>
  <c r="L200" i="1" s="1"/>
  <c r="A196" i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G195" i="1"/>
  <c r="F184" i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G182" i="1"/>
  <c r="F178" i="1"/>
  <c r="F170" i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G169" i="1"/>
  <c r="F158" i="1"/>
  <c r="F166" i="1"/>
  <c r="K156" i="1"/>
  <c r="J157" i="1"/>
  <c r="J156" i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G156" i="1"/>
  <c r="K136" i="1"/>
  <c r="K137" i="1" s="1"/>
  <c r="L135" i="1"/>
  <c r="J137" i="1"/>
  <c r="J136" i="1"/>
  <c r="J135" i="1"/>
  <c r="A136" i="1"/>
  <c r="A137" i="1" s="1"/>
  <c r="A138" i="1" s="1"/>
  <c r="A139" i="1" s="1"/>
  <c r="A140" i="1" s="1"/>
  <c r="A141" i="1" s="1"/>
  <c r="A142" i="1" s="1"/>
  <c r="A143" i="1" s="1"/>
  <c r="A144" i="1" s="1"/>
  <c r="G135" i="1"/>
  <c r="F139" i="1" l="1"/>
  <c r="I139" i="1" s="1"/>
  <c r="F141" i="1"/>
  <c r="I141" i="1" s="1"/>
  <c r="F143" i="1"/>
  <c r="I143" i="1" s="1"/>
  <c r="C123" i="1"/>
  <c r="F140" i="1"/>
  <c r="I140" i="1" s="1"/>
  <c r="F144" i="1"/>
  <c r="I144" i="1" s="1"/>
  <c r="F135" i="1"/>
  <c r="I135" i="1" s="1"/>
  <c r="F159" i="1"/>
  <c r="F145" i="1"/>
  <c r="G124" i="1" s="1"/>
  <c r="E124" i="1"/>
  <c r="C128" i="1"/>
  <c r="E128" i="1"/>
  <c r="C124" i="1"/>
  <c r="E123" i="1"/>
  <c r="F162" i="1"/>
  <c r="F161" i="1"/>
  <c r="F160" i="1"/>
  <c r="F136" i="1"/>
  <c r="C14" i="1"/>
  <c r="K135" i="1" l="1"/>
  <c r="I145" i="1"/>
  <c r="C125" i="1"/>
  <c r="G128" i="1"/>
  <c r="E125" i="1"/>
  <c r="J128" i="1" s="1"/>
  <c r="I136" i="1"/>
  <c r="G123" i="1"/>
  <c r="G125" i="1" s="1"/>
  <c r="E29" i="1"/>
  <c r="F209" i="1" l="1"/>
  <c r="F210" i="1"/>
  <c r="F211" i="1"/>
  <c r="F208" i="1"/>
  <c r="A209" i="1"/>
  <c r="A210" i="1" s="1"/>
  <c r="A211" i="1" s="1"/>
  <c r="G208" i="1"/>
  <c r="F120" i="1" l="1"/>
  <c r="F148" i="1" l="1"/>
  <c r="I148" i="1" s="1"/>
  <c r="F149" i="1"/>
  <c r="I149" i="1" s="1"/>
  <c r="F150" i="1"/>
  <c r="I150" i="1" s="1"/>
  <c r="F147" i="1"/>
  <c r="I147" i="1" s="1"/>
  <c r="B238" i="1" l="1"/>
  <c r="A231" i="1"/>
  <c r="A225" i="1"/>
  <c r="A219" i="1"/>
  <c r="F235" i="1" l="1"/>
  <c r="F234" i="1"/>
  <c r="F233" i="1"/>
  <c r="F232" i="1"/>
  <c r="F231" i="1"/>
  <c r="F229" i="1"/>
  <c r="F228" i="1"/>
  <c r="F227" i="1"/>
  <c r="F226" i="1"/>
  <c r="F225" i="1"/>
  <c r="F223" i="1"/>
  <c r="F222" i="1"/>
  <c r="F221" i="1"/>
  <c r="F220" i="1"/>
  <c r="F219" i="1"/>
  <c r="F217" i="1"/>
  <c r="F216" i="1"/>
  <c r="F214" i="1"/>
  <c r="F213" i="1"/>
  <c r="F215" i="1"/>
  <c r="A232" i="1"/>
  <c r="A226" i="1"/>
  <c r="A220" i="1"/>
  <c r="B239" i="1" l="1"/>
  <c r="A227" i="1"/>
  <c r="A221" i="1"/>
  <c r="A23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9" i="1"/>
  <c r="G231" i="1"/>
  <c r="G225" i="1"/>
  <c r="G219" i="1"/>
  <c r="G213" i="1"/>
  <c r="A213" i="1"/>
  <c r="A214" i="1" s="1"/>
  <c r="A215" i="1" s="1"/>
  <c r="A216" i="1" s="1"/>
  <c r="A217" i="1" s="1"/>
  <c r="A148" i="1"/>
  <c r="A149" i="1" s="1"/>
  <c r="A150" i="1" s="1"/>
  <c r="G147" i="1"/>
  <c r="J104" i="1"/>
  <c r="J103" i="1"/>
  <c r="J102" i="1"/>
  <c r="J101" i="1"/>
  <c r="C93" i="1"/>
  <c r="J90" i="1"/>
  <c r="J89" i="1"/>
  <c r="J88" i="1"/>
  <c r="J87" i="1"/>
  <c r="C79" i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H94" i="1"/>
  <c r="A222" i="1"/>
  <c r="A234" i="1"/>
  <c r="A228" i="1"/>
  <c r="H80" i="1"/>
  <c r="H66" i="1"/>
  <c r="D59" i="1" l="1"/>
  <c r="D90" i="1"/>
  <c r="D91" i="1"/>
  <c r="D92" i="1"/>
  <c r="D86" i="1"/>
  <c r="D87" i="1"/>
  <c r="D88" i="1"/>
  <c r="D89" i="1"/>
  <c r="C85" i="1"/>
  <c r="J79" i="1" s="1"/>
  <c r="J81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C99" i="1"/>
  <c r="J93" i="1" s="1"/>
  <c r="J95" i="1" s="1"/>
  <c r="J97" i="1"/>
  <c r="D106" i="1"/>
  <c r="D104" i="1"/>
  <c r="D102" i="1"/>
  <c r="D100" i="1"/>
  <c r="J98" i="1"/>
  <c r="C97" i="1" s="1"/>
  <c r="J96" i="1"/>
  <c r="J99" i="1"/>
  <c r="J100" i="1" s="1"/>
  <c r="J105" i="1" s="1"/>
  <c r="J106" i="1" s="1"/>
  <c r="C98" i="1" s="1"/>
  <c r="D105" i="1"/>
  <c r="D103" i="1"/>
  <c r="D101" i="1"/>
  <c r="J85" i="1"/>
  <c r="J86" i="1" s="1"/>
  <c r="J91" i="1" s="1"/>
  <c r="J92" i="1" s="1"/>
  <c r="C84" i="1" s="1"/>
  <c r="J83" i="1"/>
  <c r="J84" i="1"/>
  <c r="C83" i="1" s="1"/>
  <c r="J82" i="1"/>
  <c r="A229" i="1"/>
  <c r="A223" i="1"/>
  <c r="A235" i="1"/>
  <c r="J78" i="1" l="1"/>
  <c r="C70" i="1" s="1"/>
  <c r="D70" i="1" s="1"/>
  <c r="D99" i="1"/>
  <c r="D97" i="1"/>
  <c r="D85" i="1"/>
  <c r="D71" i="1"/>
  <c r="J67" i="1"/>
  <c r="D69" i="1"/>
  <c r="E83" i="1"/>
  <c r="D84" i="1"/>
  <c r="G83" i="1"/>
  <c r="D83" i="1"/>
  <c r="J80" i="1" s="1"/>
  <c r="E97" i="1"/>
  <c r="D98" i="1"/>
  <c r="G97" i="1"/>
  <c r="G69" i="1" l="1"/>
  <c r="D63" i="1" s="1"/>
  <c r="D64" i="1" s="1"/>
  <c r="E69" i="1"/>
  <c r="I66" i="1"/>
  <c r="J66" i="1"/>
  <c r="I94" i="1"/>
  <c r="J94" i="1"/>
  <c r="I80" i="1"/>
  <c r="F64" i="1" l="1"/>
  <c r="I67" i="1"/>
  <c r="I65" i="1" s="1"/>
  <c r="C67" i="1" s="1"/>
  <c r="I95" i="1"/>
  <c r="I93" i="1" s="1"/>
  <c r="C95" i="1" s="1"/>
  <c r="I81" i="1"/>
  <c r="I79" i="1" s="1"/>
  <c r="C81" i="1" s="1"/>
</calcChain>
</file>

<file path=xl/sharedStrings.xml><?xml version="1.0" encoding="utf-8"?>
<sst xmlns="http://schemas.openxmlformats.org/spreadsheetml/2006/main" count="364" uniqueCount="235">
  <si>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</si>
  <si>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</si>
  <si>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</si>
  <si>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</si>
  <si>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</si>
  <si>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</si>
  <si>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</si>
  <si>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</si>
  <si>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</si>
  <si>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</si>
  <si>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</si>
  <si>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</si>
  <si>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</si>
  <si>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</si>
  <si>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</si>
  <si>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</si>
  <si>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</si>
  <si>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</si>
  <si>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</si>
  <si>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</si>
  <si>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</si>
  <si>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</si>
  <si>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</si>
  <si>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</si>
  <si>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</si>
  <si>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</si>
  <si>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</si>
  <si>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</si>
  <si>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</si>
  <si>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</si>
  <si>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</si>
  <si>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</si>
  <si>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</si>
  <si>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</si>
  <si>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</si>
  <si>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</si>
  <si>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</si>
  <si>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</si>
  <si>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</si>
  <si>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</si>
  <si>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</si>
  <si>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</si>
  <si>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</si>
  <si>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</si>
  <si>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</si>
  <si>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</si>
  <si>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</si>
  <si>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</si>
  <si>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</si>
  <si>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</si>
  <si>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</si>
  <si>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</si>
  <si>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</si>
  <si>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</si>
  <si>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</si>
  <si>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</si>
  <si>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</si>
  <si>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</si>
  <si>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</si>
  <si>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</si>
  <si>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</si>
  <si>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</si>
  <si>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</si>
  <si>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</si>
  <si>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</si>
  <si>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</si>
  <si>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</si>
  <si>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</si>
  <si>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</si>
  <si>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</si>
  <si>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</si>
  <si>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</si>
  <si>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</si>
  <si>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</si>
  <si>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</si>
  <si>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</si>
  <si>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</si>
  <si>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</si>
  <si>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</si>
  <si>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</si>
  <si>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</si>
  <si>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</si>
  <si>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</si>
  <si>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</si>
  <si>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</si>
  <si>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</si>
  <si>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</si>
  <si>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</si>
  <si>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</si>
  <si>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</si>
  <si>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</si>
  <si>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</si>
  <si>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</si>
  <si>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</si>
  <si>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</si>
  <si>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</si>
  <si>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</si>
  <si>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</si>
  <si>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</si>
  <si>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</si>
  <si>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</si>
  <si>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</si>
  <si>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</si>
  <si>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</si>
  <si>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</si>
  <si>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</si>
  <si>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</si>
  <si>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</si>
  <si>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</si>
  <si>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</si>
  <si>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</si>
  <si>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</si>
  <si>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</si>
  <si>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</si>
  <si>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</si>
  <si>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</si>
  <si>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</si>
  <si>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</si>
  <si>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</si>
  <si>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</si>
  <si>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</si>
  <si>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</si>
  <si>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</si>
  <si>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</si>
  <si>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</si>
  <si>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</si>
  <si>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</si>
  <si>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</si>
  <si>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</si>
  <si>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</si>
  <si>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</si>
  <si>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</si>
  <si>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</si>
  <si>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</si>
  <si>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</si>
  <si>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</si>
  <si>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</si>
  <si>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</si>
  <si>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</si>
  <si>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</si>
  <si>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</si>
  <si>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</si>
  <si>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</si>
  <si>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</si>
  <si>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</si>
  <si>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</si>
  <si>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</si>
  <si>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</si>
  <si>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</si>
  <si>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</si>
  <si>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</si>
  <si>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</si>
  <si>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</si>
  <si>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</si>
  <si>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</si>
  <si>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</si>
  <si>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</si>
  <si>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</si>
  <si>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</si>
  <si>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</si>
  <si>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</si>
  <si>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</si>
  <si>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</si>
  <si>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</si>
  <si>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</si>
  <si>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</si>
  <si>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</si>
  <si>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</si>
  <si>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</si>
  <si>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</si>
  <si>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</si>
  <si>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</si>
  <si>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</si>
  <si>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</si>
  <si>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Badlapur</t>
  </si>
  <si>
    <t>Shivshakti Genesis</t>
  </si>
  <si>
    <t>Shivshakti Oasis</t>
  </si>
  <si>
    <t>9004075972/7021104170</t>
  </si>
  <si>
    <t>Mr.Tapaswi 7021104170</t>
  </si>
  <si>
    <t>Wing A</t>
  </si>
  <si>
    <t>Approved Plans, CC, Sale Plans, Cost Sheet</t>
  </si>
  <si>
    <t>P51700046768</t>
  </si>
  <si>
    <t>Survey No</t>
  </si>
  <si>
    <t>71 H.No.5</t>
  </si>
  <si>
    <t>https://goo.gl/maps/1uJhDzQquRHbvwYi7</t>
  </si>
  <si>
    <t>Satyam Shila</t>
  </si>
  <si>
    <t>Open Plot</t>
  </si>
  <si>
    <t>Kulgaon Badlapur Municipal Council</t>
  </si>
  <si>
    <t>KBNP/NRV/BD/5193-28</t>
  </si>
  <si>
    <t>KBNP/NRV/BP/5193/2022-23 Unique No.28</t>
  </si>
  <si>
    <t>Wing A= Gr + 1st to 12th Floor</t>
  </si>
  <si>
    <t>A Wing = G + 1st to 12th Floor</t>
  </si>
  <si>
    <t>As per RERA - 31/12/2026</t>
  </si>
  <si>
    <t>MIDC Water Connection</t>
  </si>
  <si>
    <t>Grill Charges</t>
  </si>
  <si>
    <t>Shop</t>
  </si>
  <si>
    <t>Office</t>
  </si>
  <si>
    <t>1st Floor For Residential</t>
  </si>
  <si>
    <t>2nd to 7th &amp; 9th to 11th Floor</t>
  </si>
  <si>
    <t>8th Floor (Part Refuge Area)</t>
  </si>
  <si>
    <t>Refuge Area</t>
  </si>
  <si>
    <t>12th Floor</t>
  </si>
  <si>
    <t xml:space="preserve">6th </t>
  </si>
  <si>
    <t>We considered Gross carpet area = Net carpet + Enclose balcony + A.P Area</t>
  </si>
  <si>
    <t>duilding details Floor Wise</t>
  </si>
  <si>
    <t>Flats - 143, Shops - 10, Office - 1</t>
  </si>
  <si>
    <t>Builder</t>
  </si>
  <si>
    <t>Panvelkar Estate</t>
  </si>
  <si>
    <t>Ambarnath</t>
  </si>
  <si>
    <t>Thane</t>
  </si>
  <si>
    <t>Shirgaon</t>
  </si>
  <si>
    <t>Internal Road</t>
  </si>
  <si>
    <t>Badlapur East</t>
  </si>
  <si>
    <t>3.4 KM from Badlapur Railway Station</t>
  </si>
  <si>
    <t xml:space="preserve">mis </t>
  </si>
  <si>
    <t>4000-4500</t>
  </si>
  <si>
    <t>Panvelkars Group</t>
  </si>
  <si>
    <t>1 Building</t>
  </si>
  <si>
    <t>Layout Plan :</t>
  </si>
  <si>
    <t>Ground Floor For Commercial &amp; Parking</t>
  </si>
  <si>
    <t>rate sheet</t>
  </si>
  <si>
    <t>cost sheet</t>
  </si>
  <si>
    <t>Maintenance Charges</t>
  </si>
  <si>
    <t xml:space="preserve">Wing A </t>
  </si>
  <si>
    <t>Shops</t>
  </si>
  <si>
    <t>Offices</t>
  </si>
  <si>
    <t>visitor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</si>
  <si>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</si>
  <si>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Latitude,Longitude</t>
  </si>
  <si>
    <t>19.148428,73.2359705</t>
  </si>
  <si>
    <t>Sudhir Bhosale</t>
  </si>
  <si>
    <t>Recommended Rates/Other Charges of the Property have been revised on 11/09/2024.</t>
  </si>
  <si>
    <t>RATE 4100 RUSHIKESH VERBAL   11/09/2024</t>
  </si>
  <si>
    <t>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</si>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</sst>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4" xfId="0" applyFont="1" applyFill="1" applyBorder="1"/>
    <xf numFmtId="0" fontId="25" fillId="0" borderId="25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14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/>
    <xf numFmtId="0" fontId="25" fillId="0" borderId="6" xfId="0" applyFont="1" applyFill="1" applyBorder="1"/>
    <xf numFmtId="0" fontId="24" fillId="2" borderId="12" xfId="0" applyFont="1" applyFill="1" applyBorder="1"/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255492</xdr:colOff>
      <xdr:row>345</xdr:row>
      <xdr:rowOff>112058</xdr:rowOff>
    </xdr:from>
    <xdr:to>
      <xdr:col>6</xdr:col>
      <xdr:colOff>675808</xdr:colOff>
      <xdr:row>366</xdr:row>
      <xdr:rowOff>12035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3521" y="58886911"/>
          <a:ext cx="4891463" cy="4135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235321</xdr:colOff>
      <xdr:row>366</xdr:row>
      <xdr:rowOff>96369</xdr:rowOff>
    </xdr:from>
    <xdr:to>
      <xdr:col>7</xdr:col>
      <xdr:colOff>673567</xdr:colOff>
      <xdr:row>385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321" y="61532619"/>
          <a:ext cx="6413596" cy="38342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157480</xdr:colOff>
      <xdr:row>319</xdr:row>
      <xdr:rowOff>147921</xdr:rowOff>
    </xdr:from>
    <xdr:to>
      <xdr:col>7</xdr:col>
      <xdr:colOff>6010</xdr:colOff>
      <xdr:row>342</xdr:row>
      <xdr:rowOff>139701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7580" y="52332221"/>
          <a:ext cx="5023780" cy="45193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392207</xdr:colOff>
      <xdr:row>302</xdr:row>
      <xdr:rowOff>190502</xdr:rowOff>
    </xdr:from>
    <xdr:to>
      <xdr:col>7</xdr:col>
      <xdr:colOff>528189</xdr:colOff>
      <xdr:row>318</xdr:row>
      <xdr:rowOff>167208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07" y="50090296"/>
          <a:ext cx="6265600" cy="3204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504265</xdr:colOff>
      <xdr:row>308</xdr:row>
      <xdr:rowOff>156883</xdr:rowOff>
    </xdr:from>
    <xdr:to>
      <xdr:col>7</xdr:col>
      <xdr:colOff>134470</xdr:colOff>
      <xdr:row>315</xdr:row>
      <xdr:rowOff>22411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112559" y="51266912"/>
          <a:ext cx="2151529" cy="12774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425824</xdr:colOff>
      <xdr:row>307</xdr:row>
      <xdr:rowOff>22412</xdr:rowOff>
    </xdr:from>
    <xdr:ext cx="650306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874559" y="50930736"/>
          <a:ext cx="650306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twoCellAnchor>
    <xdr:from>
      <xdr:col>8</xdr:col>
      <xdr:colOff>352426</xdr:colOff>
      <xdr:row>258</xdr:row>
      <xdr:rowOff>9525</xdr:rowOff>
    </xdr:from>
    <xdr:to>
      <xdr:col>14</xdr:col>
      <xdr:colOff>649194</xdr:colOff>
      <xdr:row>299</xdr:row>
      <xdr:rowOff>120482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1A70E42-C088-4030-B100-40846F871CD6}"/>
            </a:ext>
          </a:extLst>
        </xdr:cNvPr>
        <xdr:cNvGrpSpPr/>
      </xdr:nvGrpSpPr>
      <xdr:grpSpPr>
        <a:xfrm>
          <a:off x="7197726" y="40192325"/>
          <a:ext cx="5491068" cy="8175457"/>
          <a:chOff x="476251" y="40947975"/>
          <a:chExt cx="5259293" cy="8302457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4EE2B11D-E139-4BF3-A114-0079F5113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487" y="40947975"/>
            <a:ext cx="4320000" cy="325652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D135E98D-AB4F-4C5D-90B1-4B588096AF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487" y="44329298"/>
            <a:ext cx="262660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5DB1B446-7D93-4261-BE62-4230CEA909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34890" y="44329298"/>
            <a:ext cx="1489142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A8600303-591E-4C70-B10F-070FD72325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0187" y="46434098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836FA76D-34B8-4F08-8659-4E9AE2A775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17155" y="46424573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9740D5C8-A30B-490B-B645-D9378B14E4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3219" y="46434098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8565177F-980B-4381-85C6-36E491E976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51" y="46434098"/>
            <a:ext cx="1218389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5D64964-CECF-482F-A48E-171F5FA432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2558" y="48170432"/>
            <a:ext cx="1438000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435EC4C8-8CD3-43B2-B4E9-DBB8B3702B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2644" y="48160907"/>
            <a:ext cx="1432694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317500</xdr:colOff>
      <xdr:row>259</xdr:row>
      <xdr:rowOff>139700</xdr:rowOff>
    </xdr:from>
    <xdr:to>
      <xdr:col>7</xdr:col>
      <xdr:colOff>444479</xdr:colOff>
      <xdr:row>291</xdr:row>
      <xdr:rowOff>82897</xdr:rowOff>
    </xdr:to>
    <xdr:grpSp>
      <xdr:nvGrpSpPr>
        <xdr:cNvPr id="5" name="Group 4"/>
        <xdr:cNvGrpSpPr/>
      </xdr:nvGrpSpPr>
      <xdr:grpSpPr>
        <a:xfrm>
          <a:off x="317500" y="40519350"/>
          <a:ext cx="6102329" cy="6236047"/>
          <a:chOff x="317500" y="40519350"/>
          <a:chExt cx="6102329" cy="6236047"/>
        </a:xfrm>
      </xdr:grpSpPr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1544" y="4051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00" y="405193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69017" y="44595397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80163" y="4459539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5751</xdr:rowOff>
    </xdr:from>
    <xdr:to>
      <xdr:col>6</xdr:col>
      <xdr:colOff>4566</xdr:colOff>
      <xdr:row>52</xdr:row>
      <xdr:rowOff>176751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493957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uJhDzQquRHbvwYi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45"/>
  <sheetViews>
    <sheetView tabSelected="1" view="pageBreakPreview" topLeftCell="A6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2.453125" style="43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47" t="s">
        <v>227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35">
      <c r="A3" s="114" t="s">
        <v>1</v>
      </c>
      <c r="B3" s="114"/>
      <c r="C3" s="114"/>
      <c r="D3" s="114"/>
      <c r="E3" s="114" t="str">
        <f ca="1">TEXT(TODAY(),"DD/MM/YYYY")</f>
        <v>13/09/2025</v>
      </c>
      <c r="F3" s="114"/>
      <c r="G3" s="114"/>
      <c r="H3" s="114"/>
    </row>
    <row r="4" spans="1:8" ht="15" customHeight="1" x14ac:dyDescent="0.35">
      <c r="A4" s="114" t="s">
        <v>2</v>
      </c>
      <c r="B4" s="114"/>
      <c r="C4" s="114"/>
      <c r="D4" s="114"/>
      <c r="E4" s="114" t="s">
        <v>174</v>
      </c>
      <c r="F4" s="114"/>
      <c r="G4" s="114"/>
      <c r="H4" s="114"/>
    </row>
    <row r="5" spans="1:8" x14ac:dyDescent="0.35">
      <c r="A5" s="114" t="s">
        <v>3</v>
      </c>
      <c r="B5" s="114"/>
      <c r="C5" s="114"/>
      <c r="D5" s="114"/>
      <c r="E5" s="146">
        <v>45906</v>
      </c>
      <c r="F5" s="114"/>
      <c r="G5" s="114"/>
      <c r="H5" s="114"/>
    </row>
    <row r="6" spans="1:8" ht="16.5" customHeight="1" x14ac:dyDescent="0.35">
      <c r="A6" s="114" t="s">
        <v>4</v>
      </c>
      <c r="B6" s="114"/>
      <c r="C6" s="114"/>
      <c r="D6" s="114"/>
      <c r="E6" s="114" t="s">
        <v>175</v>
      </c>
      <c r="F6" s="114"/>
      <c r="G6" s="114"/>
      <c r="H6" s="114"/>
    </row>
    <row r="7" spans="1:8" ht="15" customHeight="1" x14ac:dyDescent="0.35">
      <c r="A7" s="114" t="s">
        <v>5</v>
      </c>
      <c r="B7" s="114"/>
      <c r="C7" s="114"/>
      <c r="D7" s="114"/>
      <c r="E7" s="114" t="str">
        <f>E6</f>
        <v>Shivshakti Genesis</v>
      </c>
      <c r="F7" s="114"/>
      <c r="G7" s="114"/>
      <c r="H7" s="114"/>
    </row>
    <row r="8" spans="1:8" x14ac:dyDescent="0.35">
      <c r="A8" s="114" t="s">
        <v>6</v>
      </c>
      <c r="B8" s="114"/>
      <c r="C8" s="114"/>
      <c r="D8" s="114"/>
      <c r="E8" s="98" t="s">
        <v>176</v>
      </c>
      <c r="F8" s="98"/>
      <c r="G8" s="98"/>
      <c r="H8" s="98"/>
    </row>
    <row r="9" spans="1:8" x14ac:dyDescent="0.35">
      <c r="A9" s="114" t="s">
        <v>172</v>
      </c>
      <c r="B9" s="114"/>
      <c r="C9" s="114"/>
      <c r="D9" s="114"/>
      <c r="E9" s="114" t="s">
        <v>177</v>
      </c>
      <c r="F9" s="114"/>
      <c r="G9" s="114"/>
      <c r="H9" s="114"/>
    </row>
    <row r="10" spans="1:8" hidden="1" x14ac:dyDescent="0.35">
      <c r="A10" s="114" t="s">
        <v>173</v>
      </c>
      <c r="B10" s="114"/>
      <c r="C10" s="114"/>
      <c r="D10" s="114"/>
      <c r="E10" s="114" t="s">
        <v>178</v>
      </c>
      <c r="F10" s="114"/>
      <c r="G10" s="114"/>
      <c r="H10" s="114"/>
    </row>
    <row r="11" spans="1:8" x14ac:dyDescent="0.35">
      <c r="A11" s="114" t="s">
        <v>7</v>
      </c>
      <c r="B11" s="114"/>
      <c r="C11" s="114"/>
      <c r="D11" s="114"/>
      <c r="E11" s="114" t="s">
        <v>179</v>
      </c>
      <c r="F11" s="114"/>
      <c r="G11" s="114"/>
      <c r="H11" s="114"/>
    </row>
    <row r="12" spans="1:8" x14ac:dyDescent="0.35">
      <c r="A12" s="114" t="s">
        <v>8</v>
      </c>
      <c r="B12" s="114"/>
      <c r="C12" s="114"/>
      <c r="D12" s="114"/>
      <c r="E12" s="125" t="s">
        <v>180</v>
      </c>
      <c r="F12" s="125"/>
      <c r="G12" s="125"/>
      <c r="H12" s="125"/>
    </row>
    <row r="13" spans="1:8" x14ac:dyDescent="0.35">
      <c r="A13" s="114" t="s">
        <v>9</v>
      </c>
      <c r="B13" s="114"/>
      <c r="C13" s="114"/>
      <c r="D13" s="114"/>
      <c r="E13" s="125" t="s">
        <v>181</v>
      </c>
      <c r="F13" s="114"/>
      <c r="G13" s="114"/>
      <c r="H13" s="114"/>
    </row>
    <row r="14" spans="1:8" ht="33.75" customHeight="1" x14ac:dyDescent="0.35">
      <c r="A14" s="125" t="s">
        <v>10</v>
      </c>
      <c r="B14" s="125"/>
      <c r="C14" s="12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Shivshakti Oasis, Survey No.71 H.No.5, near Panvelkar Estate, Internal Road, Shirgaon, Shirgaon, Badlapur East, Ambarnath, Thane - 421503.</v>
      </c>
      <c r="D14" s="125"/>
      <c r="E14" s="125"/>
      <c r="F14" s="125"/>
      <c r="G14" s="125"/>
      <c r="H14" s="125"/>
    </row>
    <row r="15" spans="1:8" x14ac:dyDescent="0.35">
      <c r="A15" s="125" t="s">
        <v>182</v>
      </c>
      <c r="B15" s="125"/>
      <c r="C15" s="125" t="s">
        <v>183</v>
      </c>
      <c r="D15" s="125"/>
      <c r="E15" s="125"/>
      <c r="F15" s="125"/>
      <c r="G15" s="125"/>
      <c r="H15" s="125"/>
    </row>
    <row r="16" spans="1:8" ht="15.75" customHeight="1" x14ac:dyDescent="0.35">
      <c r="A16" s="125" t="s">
        <v>171</v>
      </c>
      <c r="B16" s="125"/>
      <c r="C16" s="125" t="s">
        <v>210</v>
      </c>
      <c r="D16" s="125"/>
      <c r="E16" s="125"/>
      <c r="F16" s="125"/>
      <c r="G16" s="125"/>
      <c r="H16" s="125"/>
    </row>
    <row r="17" spans="1:8" ht="15.75" customHeight="1" x14ac:dyDescent="0.35">
      <c r="A17" s="110" t="s">
        <v>11</v>
      </c>
      <c r="B17" s="110"/>
      <c r="C17" s="114" t="s">
        <v>211</v>
      </c>
      <c r="D17" s="114"/>
      <c r="E17" s="110" t="s">
        <v>74</v>
      </c>
      <c r="F17" s="110"/>
      <c r="G17" s="125" t="s">
        <v>210</v>
      </c>
      <c r="H17" s="125"/>
    </row>
    <row r="18" spans="1:8" x14ac:dyDescent="0.35">
      <c r="A18" s="91" t="s">
        <v>13</v>
      </c>
      <c r="B18" s="91"/>
      <c r="C18" s="125" t="s">
        <v>212</v>
      </c>
      <c r="D18" s="125"/>
      <c r="E18" s="110" t="s">
        <v>12</v>
      </c>
      <c r="F18" s="110"/>
      <c r="G18" s="145" t="s">
        <v>209</v>
      </c>
      <c r="H18" s="145"/>
    </row>
    <row r="19" spans="1:8" x14ac:dyDescent="0.35">
      <c r="A19" s="91" t="s">
        <v>75</v>
      </c>
      <c r="B19" s="91"/>
      <c r="C19" s="125" t="s">
        <v>208</v>
      </c>
      <c r="D19" s="125"/>
      <c r="E19" s="110" t="s">
        <v>14</v>
      </c>
      <c r="F19" s="110"/>
      <c r="G19" s="125">
        <v>421503</v>
      </c>
      <c r="H19" s="125"/>
    </row>
    <row r="20" spans="1:8" ht="32.25" customHeight="1" x14ac:dyDescent="0.35">
      <c r="A20" s="91" t="s">
        <v>125</v>
      </c>
      <c r="B20" s="91"/>
      <c r="C20" s="125" t="s">
        <v>207</v>
      </c>
      <c r="D20" s="125"/>
      <c r="E20" s="110" t="s">
        <v>15</v>
      </c>
      <c r="F20" s="110"/>
      <c r="G20" s="125" t="s">
        <v>213</v>
      </c>
      <c r="H20" s="125"/>
    </row>
    <row r="21" spans="1:8" ht="15" customHeight="1" x14ac:dyDescent="0.35">
      <c r="A21" s="110" t="s">
        <v>78</v>
      </c>
      <c r="B21" s="110"/>
      <c r="C21" s="110"/>
      <c r="D21" s="110"/>
      <c r="E21" s="114" t="s">
        <v>16</v>
      </c>
      <c r="F21" s="114"/>
      <c r="G21" s="114"/>
      <c r="H21" s="114"/>
    </row>
    <row r="22" spans="1:8" ht="18.75" customHeight="1" x14ac:dyDescent="0.35">
      <c r="A22" s="110"/>
      <c r="B22" s="110"/>
      <c r="C22" s="110"/>
      <c r="D22" s="110"/>
      <c r="E22" s="114"/>
      <c r="F22" s="114"/>
      <c r="G22" s="114"/>
      <c r="H22" s="114"/>
    </row>
    <row r="23" spans="1:8" ht="15" customHeight="1" x14ac:dyDescent="0.35">
      <c r="A23" s="110" t="s">
        <v>17</v>
      </c>
      <c r="B23" s="110"/>
      <c r="C23" s="110"/>
      <c r="D23" s="110"/>
      <c r="E23" s="125" t="s">
        <v>18</v>
      </c>
      <c r="F23" s="125"/>
      <c r="G23" s="125"/>
      <c r="H23" s="125"/>
    </row>
    <row r="24" spans="1:8" ht="15" customHeight="1" x14ac:dyDescent="0.35">
      <c r="A24" s="91" t="s">
        <v>19</v>
      </c>
      <c r="B24" s="91"/>
      <c r="C24" s="91"/>
      <c r="D24" s="91"/>
      <c r="E24" s="125" t="str">
        <f>IF(AND(G18="Mumbai"),"Upper Class","Middle Class")</f>
        <v>Middle Class</v>
      </c>
      <c r="F24" s="125"/>
      <c r="G24" s="125"/>
      <c r="H24" s="125"/>
    </row>
    <row r="25" spans="1:8" x14ac:dyDescent="0.35">
      <c r="A25" s="91" t="s">
        <v>20</v>
      </c>
      <c r="B25" s="91"/>
      <c r="C25" s="91"/>
      <c r="D25" s="91"/>
      <c r="E25" s="125" t="s">
        <v>21</v>
      </c>
      <c r="F25" s="125"/>
      <c r="G25" s="125"/>
      <c r="H25" s="125"/>
    </row>
    <row r="26" spans="1:8" ht="15.75" customHeight="1" x14ac:dyDescent="0.35">
      <c r="A26" s="91" t="s">
        <v>22</v>
      </c>
      <c r="B26" s="91"/>
      <c r="C26" s="91"/>
      <c r="D26" s="91"/>
      <c r="E26" s="125" t="str">
        <f>IF(AND(G18="Mumbai"),"Developed","Developing")</f>
        <v>Developing</v>
      </c>
      <c r="F26" s="125"/>
      <c r="G26" s="125"/>
      <c r="H26" s="125"/>
    </row>
    <row r="27" spans="1:8" x14ac:dyDescent="0.35">
      <c r="A27" s="91" t="s">
        <v>23</v>
      </c>
      <c r="B27" s="91"/>
      <c r="C27" s="91"/>
      <c r="D27" s="91"/>
      <c r="E27" s="125" t="s">
        <v>24</v>
      </c>
      <c r="F27" s="125"/>
      <c r="G27" s="125"/>
      <c r="H27" s="125"/>
    </row>
    <row r="28" spans="1:8" ht="15.75" customHeight="1" x14ac:dyDescent="0.35">
      <c r="A28" s="91" t="s">
        <v>83</v>
      </c>
      <c r="B28" s="91"/>
      <c r="C28" s="91"/>
      <c r="D28" s="91"/>
      <c r="E28" s="125" t="s">
        <v>84</v>
      </c>
      <c r="F28" s="125"/>
      <c r="G28" s="125"/>
      <c r="H28" s="125"/>
    </row>
    <row r="29" spans="1:8" ht="15" customHeight="1" x14ac:dyDescent="0.35">
      <c r="A29" s="91" t="s">
        <v>33</v>
      </c>
      <c r="B29" s="91"/>
      <c r="C29" s="91"/>
      <c r="D29" s="91"/>
      <c r="E29" s="12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5"/>
      <c r="G29" s="125"/>
      <c r="H29" s="125"/>
    </row>
    <row r="30" spans="1:8" ht="15.75" customHeight="1" x14ac:dyDescent="0.35">
      <c r="A30" s="91" t="s">
        <v>95</v>
      </c>
      <c r="B30" s="91"/>
      <c r="C30" s="91"/>
      <c r="D30" s="91"/>
      <c r="E30" s="125" t="s">
        <v>34</v>
      </c>
      <c r="F30" s="125"/>
      <c r="G30" s="125"/>
      <c r="H30" s="125"/>
    </row>
    <row r="31" spans="1:8" s="24" customFormat="1" x14ac:dyDescent="0.35">
      <c r="A31" s="144" t="s">
        <v>96</v>
      </c>
      <c r="B31" s="144"/>
      <c r="C31" s="143" t="s">
        <v>29</v>
      </c>
      <c r="D31" s="143"/>
      <c r="E31" s="143"/>
      <c r="F31" s="143" t="s">
        <v>31</v>
      </c>
      <c r="G31" s="143"/>
      <c r="H31" s="143"/>
    </row>
    <row r="32" spans="1:8" s="24" customFormat="1" x14ac:dyDescent="0.35">
      <c r="A32" s="120" t="s">
        <v>25</v>
      </c>
      <c r="B32" s="120" t="s">
        <v>30</v>
      </c>
      <c r="C32" s="121" t="s">
        <v>30</v>
      </c>
      <c r="D32" s="121"/>
      <c r="E32" s="121"/>
      <c r="F32" s="121" t="s">
        <v>216</v>
      </c>
      <c r="G32" s="121"/>
      <c r="H32" s="121"/>
    </row>
    <row r="33" spans="1:10" x14ac:dyDescent="0.35">
      <c r="A33" s="120" t="s">
        <v>26</v>
      </c>
      <c r="B33" s="120" t="s">
        <v>30</v>
      </c>
      <c r="C33" s="121" t="s">
        <v>30</v>
      </c>
      <c r="D33" s="121"/>
      <c r="E33" s="121"/>
      <c r="F33" s="121" t="s">
        <v>185</v>
      </c>
      <c r="G33" s="121"/>
      <c r="H33" s="121"/>
    </row>
    <row r="34" spans="1:10" s="24" customFormat="1" x14ac:dyDescent="0.35">
      <c r="A34" s="120" t="s">
        <v>28</v>
      </c>
      <c r="B34" s="120" t="s">
        <v>30</v>
      </c>
      <c r="C34" s="121" t="s">
        <v>30</v>
      </c>
      <c r="D34" s="121"/>
      <c r="E34" s="121"/>
      <c r="F34" s="121" t="s">
        <v>186</v>
      </c>
      <c r="G34" s="121"/>
      <c r="H34" s="121"/>
    </row>
    <row r="35" spans="1:10" x14ac:dyDescent="0.35">
      <c r="A35" s="120" t="s">
        <v>27</v>
      </c>
      <c r="B35" s="120" t="s">
        <v>30</v>
      </c>
      <c r="C35" s="121" t="s">
        <v>30</v>
      </c>
      <c r="D35" s="121"/>
      <c r="E35" s="121"/>
      <c r="F35" s="121" t="s">
        <v>186</v>
      </c>
      <c r="G35" s="121"/>
      <c r="H35" s="121"/>
    </row>
    <row r="36" spans="1:10" x14ac:dyDescent="0.35">
      <c r="A36" s="91" t="s">
        <v>32</v>
      </c>
      <c r="B36" s="91"/>
      <c r="C36" s="91"/>
      <c r="D36" s="91"/>
      <c r="E36" s="91"/>
      <c r="F36" s="91"/>
      <c r="G36" s="91"/>
      <c r="H36" s="91"/>
    </row>
    <row r="37" spans="1:10" ht="15.75" customHeight="1" x14ac:dyDescent="0.35">
      <c r="A37" s="91" t="s">
        <v>228</v>
      </c>
      <c r="B37" s="91"/>
      <c r="C37" s="173" t="s">
        <v>229</v>
      </c>
      <c r="D37" s="173"/>
      <c r="E37" s="173"/>
      <c r="F37" s="173"/>
      <c r="G37" s="173"/>
      <c r="H37" s="173"/>
    </row>
    <row r="38" spans="1:10" x14ac:dyDescent="0.35">
      <c r="A38" s="91" t="s">
        <v>170</v>
      </c>
      <c r="B38" s="91"/>
      <c r="C38" s="124" t="s">
        <v>184</v>
      </c>
      <c r="D38" s="125"/>
      <c r="E38" s="125"/>
      <c r="F38" s="125"/>
      <c r="G38" s="125"/>
      <c r="H38" s="125"/>
      <c r="J38" s="174"/>
    </row>
    <row r="39" spans="1:10" x14ac:dyDescent="0.35">
      <c r="A39" s="123" t="s">
        <v>35</v>
      </c>
      <c r="B39" s="123"/>
      <c r="C39" s="123"/>
      <c r="D39" s="123"/>
      <c r="E39" s="123"/>
      <c r="F39" s="123"/>
      <c r="G39" s="123"/>
      <c r="H39" s="123"/>
    </row>
    <row r="40" spans="1:10" x14ac:dyDescent="0.35">
      <c r="A40" s="91" t="s">
        <v>36</v>
      </c>
      <c r="B40" s="91"/>
      <c r="C40" s="91"/>
      <c r="D40" s="91"/>
      <c r="E40" s="122">
        <v>4790</v>
      </c>
      <c r="F40" s="122"/>
      <c r="G40" s="122"/>
      <c r="H40" s="122"/>
    </row>
    <row r="41" spans="1:10" x14ac:dyDescent="0.35">
      <c r="A41" s="91" t="s">
        <v>37</v>
      </c>
      <c r="B41" s="91"/>
      <c r="C41" s="91"/>
      <c r="D41" s="91"/>
      <c r="E41" s="112">
        <v>1.1000000000000001</v>
      </c>
      <c r="F41" s="112"/>
      <c r="G41" s="112"/>
      <c r="H41" s="112"/>
    </row>
    <row r="42" spans="1:10" x14ac:dyDescent="0.35">
      <c r="A42" s="91" t="s">
        <v>38</v>
      </c>
      <c r="B42" s="91"/>
      <c r="C42" s="91"/>
      <c r="D42" s="91"/>
      <c r="E42" s="112">
        <f>E44/E40-E41</f>
        <v>0.49206889352818362</v>
      </c>
      <c r="F42" s="112"/>
      <c r="G42" s="112"/>
      <c r="H42" s="112"/>
    </row>
    <row r="43" spans="1:10" x14ac:dyDescent="0.35">
      <c r="A43" s="91" t="s">
        <v>39</v>
      </c>
      <c r="B43" s="91"/>
      <c r="C43" s="91"/>
      <c r="D43" s="91"/>
      <c r="E43" s="112">
        <f>E41+E42</f>
        <v>1.5920688935281837</v>
      </c>
      <c r="F43" s="112"/>
      <c r="G43" s="112"/>
      <c r="H43" s="112"/>
    </row>
    <row r="44" spans="1:10" x14ac:dyDescent="0.35">
      <c r="A44" s="91" t="s">
        <v>94</v>
      </c>
      <c r="B44" s="91"/>
      <c r="C44" s="91"/>
      <c r="D44" s="91"/>
      <c r="E44" s="113">
        <v>7626.01</v>
      </c>
      <c r="F44" s="113"/>
      <c r="G44" s="113"/>
      <c r="H44" s="113"/>
    </row>
    <row r="45" spans="1:10" x14ac:dyDescent="0.35">
      <c r="A45" s="114" t="s">
        <v>40</v>
      </c>
      <c r="B45" s="114"/>
      <c r="C45" s="114"/>
      <c r="D45" s="114"/>
      <c r="E45" s="114" t="s">
        <v>217</v>
      </c>
      <c r="F45" s="114"/>
      <c r="G45" s="114"/>
      <c r="H45" s="114"/>
    </row>
    <row r="46" spans="1:10" x14ac:dyDescent="0.35">
      <c r="A46" s="123" t="s">
        <v>41</v>
      </c>
      <c r="B46" s="123"/>
      <c r="C46" s="123"/>
      <c r="D46" s="123"/>
      <c r="E46" s="123"/>
      <c r="F46" s="123"/>
      <c r="G46" s="123"/>
      <c r="H46" s="123"/>
    </row>
    <row r="47" spans="1:10" ht="33.75" customHeight="1" x14ac:dyDescent="0.35">
      <c r="A47" s="137" t="s">
        <v>158</v>
      </c>
      <c r="B47" s="138"/>
      <c r="C47" s="139" t="s">
        <v>187</v>
      </c>
      <c r="D47" s="140"/>
      <c r="E47" s="140"/>
      <c r="F47" s="140"/>
      <c r="G47" s="140"/>
      <c r="H47" s="141"/>
    </row>
    <row r="48" spans="1:10" ht="15.75" customHeight="1" x14ac:dyDescent="0.35">
      <c r="A48" s="137" t="s">
        <v>42</v>
      </c>
      <c r="B48" s="138"/>
      <c r="C48" s="137" t="s">
        <v>188</v>
      </c>
      <c r="D48" s="142"/>
      <c r="E48" s="138"/>
      <c r="F48" s="21" t="s">
        <v>43</v>
      </c>
      <c r="G48" s="131">
        <v>44732</v>
      </c>
      <c r="H48" s="138"/>
    </row>
    <row r="49" spans="1:14" x14ac:dyDescent="0.35">
      <c r="A49" s="137" t="s">
        <v>44</v>
      </c>
      <c r="B49" s="138"/>
      <c r="C49" s="137" t="str">
        <f>C48</f>
        <v>KBNP/NRV/BD/5193-28</v>
      </c>
      <c r="D49" s="142"/>
      <c r="E49" s="138"/>
      <c r="F49" s="21" t="s">
        <v>43</v>
      </c>
      <c r="G49" s="131">
        <f>G48</f>
        <v>44732</v>
      </c>
      <c r="H49" s="132"/>
    </row>
    <row r="50" spans="1:14" s="25" customFormat="1" ht="32.25" customHeight="1" x14ac:dyDescent="0.35">
      <c r="A50" s="133" t="s">
        <v>162</v>
      </c>
      <c r="B50" s="134"/>
      <c r="C50" s="137" t="s">
        <v>189</v>
      </c>
      <c r="D50" s="142"/>
      <c r="E50" s="138"/>
      <c r="F50" s="21" t="s">
        <v>43</v>
      </c>
      <c r="G50" s="131">
        <f>G49</f>
        <v>44732</v>
      </c>
      <c r="H50" s="132"/>
    </row>
    <row r="51" spans="1:14" s="25" customFormat="1" ht="16.5" customHeight="1" x14ac:dyDescent="0.35">
      <c r="A51" s="135"/>
      <c r="B51" s="136"/>
      <c r="C51" s="137" t="s">
        <v>190</v>
      </c>
      <c r="D51" s="142"/>
      <c r="E51" s="142"/>
      <c r="F51" s="142"/>
      <c r="G51" s="142"/>
      <c r="H51" s="138"/>
    </row>
    <row r="52" spans="1:14" x14ac:dyDescent="0.35">
      <c r="A52" s="163" t="s">
        <v>45</v>
      </c>
      <c r="B52" s="164"/>
      <c r="C52" s="163" t="s">
        <v>105</v>
      </c>
      <c r="D52" s="165"/>
      <c r="E52" s="164"/>
      <c r="F52" s="47" t="s">
        <v>43</v>
      </c>
      <c r="G52" s="166" t="s">
        <v>30</v>
      </c>
      <c r="H52" s="167"/>
    </row>
    <row r="53" spans="1:14" x14ac:dyDescent="0.35">
      <c r="A53" s="157" t="s">
        <v>47</v>
      </c>
      <c r="B53" s="157"/>
      <c r="C53" s="157"/>
      <c r="D53" s="157"/>
      <c r="E53" s="157"/>
      <c r="F53" s="157"/>
      <c r="G53" s="157"/>
      <c r="H53" s="157"/>
    </row>
    <row r="54" spans="1:14" x14ac:dyDescent="0.35">
      <c r="A54" s="110" t="s">
        <v>93</v>
      </c>
      <c r="B54" s="110"/>
      <c r="C54" s="110"/>
      <c r="D54" s="91">
        <f>E44</f>
        <v>7626.01</v>
      </c>
      <c r="E54" s="91"/>
      <c r="F54" s="91"/>
      <c r="G54" s="91"/>
      <c r="H54" s="91"/>
    </row>
    <row r="55" spans="1:14" x14ac:dyDescent="0.35">
      <c r="A55" s="125" t="s">
        <v>48</v>
      </c>
      <c r="B55" s="114"/>
      <c r="C55" s="114"/>
      <c r="D55" s="114" t="s">
        <v>205</v>
      </c>
      <c r="E55" s="114"/>
      <c r="F55" s="114"/>
      <c r="G55" s="114"/>
      <c r="H55" s="114"/>
      <c r="I55" s="26"/>
    </row>
    <row r="56" spans="1:14" x14ac:dyDescent="0.35">
      <c r="A56" s="128" t="s">
        <v>49</v>
      </c>
      <c r="B56" s="129"/>
      <c r="C56" s="130"/>
      <c r="D56" s="126" t="s">
        <v>191</v>
      </c>
      <c r="E56" s="127"/>
      <c r="F56" s="127"/>
      <c r="G56" s="127"/>
      <c r="H56" s="127"/>
      <c r="I56" s="27"/>
    </row>
    <row r="57" spans="1:14" ht="15.75" customHeight="1" x14ac:dyDescent="0.35">
      <c r="A57" s="128" t="s">
        <v>91</v>
      </c>
      <c r="B57" s="129"/>
      <c r="C57" s="129"/>
      <c r="D57" s="126" t="s">
        <v>191</v>
      </c>
      <c r="E57" s="127"/>
      <c r="F57" s="127"/>
      <c r="G57" s="127"/>
      <c r="H57" s="127"/>
      <c r="I57" s="27"/>
    </row>
    <row r="58" spans="1:14" ht="15.75" customHeight="1" x14ac:dyDescent="0.35">
      <c r="A58" s="91" t="s">
        <v>46</v>
      </c>
      <c r="B58" s="91"/>
      <c r="C58" s="91"/>
      <c r="D58" s="110" t="s">
        <v>192</v>
      </c>
      <c r="E58" s="110"/>
      <c r="F58" s="110"/>
      <c r="G58" s="110"/>
      <c r="H58" s="110"/>
      <c r="J58" s="28"/>
      <c r="K58" s="26"/>
      <c r="N58" s="26"/>
    </row>
    <row r="59" spans="1:14" ht="15.75" customHeight="1" x14ac:dyDescent="0.35">
      <c r="A59" s="91" t="s">
        <v>89</v>
      </c>
      <c r="B59" s="91"/>
      <c r="C59" s="91"/>
      <c r="D59" s="111" t="str">
        <f>(IF(G52="NA","60 Years After Completion",IF(G52&lt;&gt;"NA",""&amp;60-ROUNDDOWN((E3-G52)/360,0)&amp;" Years"," ")))</f>
        <v>60 Years After Completion</v>
      </c>
      <c r="E59" s="111"/>
      <c r="F59" s="111"/>
      <c r="G59" s="111"/>
      <c r="H59" s="111"/>
      <c r="N59" s="26"/>
    </row>
    <row r="60" spans="1:14" ht="15.75" customHeight="1" x14ac:dyDescent="0.35">
      <c r="A60" s="91" t="s">
        <v>90</v>
      </c>
      <c r="B60" s="91"/>
      <c r="C60" s="91"/>
      <c r="D60" s="110" t="s">
        <v>24</v>
      </c>
      <c r="E60" s="110"/>
      <c r="F60" s="110"/>
      <c r="G60" s="110"/>
      <c r="H60" s="110"/>
      <c r="J60" s="29"/>
      <c r="K60" s="29"/>
    </row>
    <row r="61" spans="1:14" ht="15" hidden="1" customHeight="1" x14ac:dyDescent="0.35">
      <c r="A61" s="91" t="s">
        <v>76</v>
      </c>
      <c r="B61" s="91"/>
      <c r="C61" s="91"/>
      <c r="D61" s="149" t="s">
        <v>153</v>
      </c>
      <c r="E61" s="149"/>
      <c r="F61" s="149"/>
      <c r="G61" s="149"/>
      <c r="H61" s="149"/>
    </row>
    <row r="62" spans="1:14" x14ac:dyDescent="0.35">
      <c r="A62" s="110" t="s">
        <v>154</v>
      </c>
      <c r="B62" s="110"/>
      <c r="C62" s="110"/>
      <c r="D62" s="110" t="s">
        <v>30</v>
      </c>
      <c r="E62" s="110"/>
      <c r="F62" s="110"/>
      <c r="G62" s="110"/>
      <c r="H62" s="110"/>
      <c r="I62" s="30"/>
      <c r="J62" s="30"/>
      <c r="K62" s="30"/>
      <c r="L62" s="30"/>
      <c r="M62" s="30"/>
      <c r="N62" s="30"/>
    </row>
    <row r="63" spans="1:14" ht="15.75" customHeight="1" x14ac:dyDescent="0.35">
      <c r="A63" s="151" t="s">
        <v>88</v>
      </c>
      <c r="B63" s="151"/>
      <c r="C63" s="151"/>
      <c r="D63" s="126" t="str">
        <f ca="1">(IF(G69&gt;95%,"Nothing",IF(G69&gt;0%,"Cement, Aggregate, Steel, etc",IF(G69=0%,"Work not yet Started"))))</f>
        <v>Cement, Aggregate, Steel, etc</v>
      </c>
      <c r="E63" s="126"/>
      <c r="F63" s="126"/>
      <c r="G63" s="126"/>
      <c r="H63" s="126"/>
      <c r="J63" s="29"/>
    </row>
    <row r="64" spans="1:14" ht="33.75" customHeight="1" thickBot="1" x14ac:dyDescent="0.4">
      <c r="A64" s="150" t="s">
        <v>118</v>
      </c>
      <c r="B64" s="150"/>
      <c r="C64" s="150"/>
      <c r="D64" s="126" t="str">
        <f ca="1">(IF(D63="Nothing","Yes",IF(D63="Cement, Aggregate, Steel, etc","Under Construction",IF(D63="Work not yet Started","Work not yet Started"))))</f>
        <v>Under Construction</v>
      </c>
      <c r="E64" s="126"/>
      <c r="F64" s="126" t="str">
        <f ca="1">(IF(D63="Nothing","Yes",IF(D63="Cement, Aggregate, Steel, etc","Under Construction",IF(D63="Work not yet Started","Work not yet Started"))))</f>
        <v>Under Construction</v>
      </c>
      <c r="G64" s="126"/>
      <c r="H64" s="126"/>
    </row>
    <row r="65" spans="1:10" ht="15.75" customHeight="1" x14ac:dyDescent="0.35">
      <c r="A65" s="115" t="s">
        <v>143</v>
      </c>
      <c r="B65" s="116"/>
      <c r="C65" s="117" t="str">
        <f>D57</f>
        <v>A Wing = G + 1st to 12th Floor</v>
      </c>
      <c r="D65" s="118"/>
      <c r="E65" s="118"/>
      <c r="F65" s="118"/>
      <c r="G65" s="118"/>
      <c r="H65" s="119"/>
      <c r="I65" s="51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Painting upto 8 Floor Completed</v>
      </c>
      <c r="J65" s="5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Painting upto 8 Floor</v>
      </c>
    </row>
    <row r="66" spans="1:10" x14ac:dyDescent="0.35">
      <c r="A66" s="19" t="s">
        <v>145</v>
      </c>
      <c r="B66" s="59">
        <v>0</v>
      </c>
      <c r="C66" s="59" t="s">
        <v>73</v>
      </c>
      <c r="D66" s="59">
        <v>1</v>
      </c>
      <c r="E66" s="59" t="s">
        <v>72</v>
      </c>
      <c r="F66" s="59">
        <v>0</v>
      </c>
      <c r="G66" s="59" t="s">
        <v>82</v>
      </c>
      <c r="H66" s="20">
        <f ca="1">--TRIM(RIGHT(SUBSTITUTE(LEFT(C65,_xlfn.AGGREGATE(16,6,FIND({0,1,2,3,4,5,6,7,8,9},C65,ROW(INDIRECT("1:"&amp;LEN(C65)))),1))," ",REPT(" ",LEN(C65))),LEN(C65)))</f>
        <v>12</v>
      </c>
      <c r="I66" s="5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1.5" customHeight="1" x14ac:dyDescent="0.35">
      <c r="A67" s="98" t="s">
        <v>92</v>
      </c>
      <c r="B67" s="98"/>
      <c r="C67" s="96" t="str">
        <f ca="1">I65</f>
        <v>Excavation, Plinth, RCC Slab, Brickwork, Internal Plaster, External Plaster Completed, Painting upto 8 Floor Completed</v>
      </c>
      <c r="D67" s="96"/>
      <c r="E67" s="96"/>
      <c r="F67" s="96"/>
      <c r="G67" s="96"/>
      <c r="H67" s="96"/>
      <c r="I67" s="175" t="str">
        <f ca="1">IF(I66&lt;&gt;""," Completed","")</f>
        <v xml:space="preserve"> Completed</v>
      </c>
      <c r="J67" s="54" t="str">
        <f ca="1">IF(J65&lt;&gt;"","Completed","")</f>
        <v>Completed</v>
      </c>
    </row>
    <row r="68" spans="1:10" ht="15.75" customHeight="1" x14ac:dyDescent="0.35">
      <c r="A68" s="104" t="s">
        <v>50</v>
      </c>
      <c r="B68" s="104"/>
      <c r="C68" s="68" t="s">
        <v>142</v>
      </c>
      <c r="D68" s="68" t="s">
        <v>85</v>
      </c>
      <c r="E68" s="104" t="s">
        <v>87</v>
      </c>
      <c r="F68" s="104"/>
      <c r="G68" s="104" t="s">
        <v>86</v>
      </c>
      <c r="H68" s="104"/>
      <c r="I68" s="16" t="s">
        <v>144</v>
      </c>
      <c r="J68" s="31">
        <f ca="1">H66*25%</f>
        <v>3</v>
      </c>
    </row>
    <row r="69" spans="1:10" x14ac:dyDescent="0.35">
      <c r="A69" s="104" t="s">
        <v>131</v>
      </c>
      <c r="B69" s="104"/>
      <c r="C69" s="68">
        <f ca="1">J70</f>
        <v>12</v>
      </c>
      <c r="D69" s="62">
        <f ca="1">((100/H66)*C69)/100</f>
        <v>1</v>
      </c>
      <c r="E69" s="177">
        <f ca="1">(((C70/H66*10)+(40/(D66+F66+H66)*C71)+(7.5/(H66)*C72)+(7.5/(H66)*C73)+(10/H66*C74)+(10/H66*C75)+(5/H66*C76)+(5/H66*C77)+(5/H66*C78))/100)</f>
        <v>0.78333333333333333</v>
      </c>
      <c r="F69" s="177"/>
      <c r="G69" s="177">
        <f ca="1">((((C69/H66)*20)+((C70/H66)*25)+(30/(H66+F66+D66)*C71)+(5/H66*C72)+(5/H66*C73)+(5/H66*C74)+(5/H66*C75)+(0/H66*C76)+(0/H66*C77)+(5/H66*C78))/100)</f>
        <v>0.9</v>
      </c>
      <c r="H69" s="177"/>
      <c r="I69" s="16" t="s">
        <v>100</v>
      </c>
      <c r="J69" s="32">
        <f ca="1">H66*50%</f>
        <v>6</v>
      </c>
    </row>
    <row r="70" spans="1:10" x14ac:dyDescent="0.35">
      <c r="A70" s="104" t="s">
        <v>51</v>
      </c>
      <c r="B70" s="104"/>
      <c r="C70" s="63">
        <f ca="1">J78</f>
        <v>12</v>
      </c>
      <c r="D70" s="62">
        <f ca="1">((100/H66)*C70)/100</f>
        <v>1</v>
      </c>
      <c r="E70" s="177"/>
      <c r="F70" s="177"/>
      <c r="G70" s="177"/>
      <c r="H70" s="177"/>
      <c r="I70" s="16" t="s">
        <v>101</v>
      </c>
      <c r="J70" s="32">
        <f ca="1">H66</f>
        <v>12</v>
      </c>
    </row>
    <row r="71" spans="1:10" ht="15.75" customHeight="1" x14ac:dyDescent="0.35">
      <c r="A71" s="104" t="s">
        <v>132</v>
      </c>
      <c r="B71" s="104"/>
      <c r="C71" s="68">
        <v>13</v>
      </c>
      <c r="D71" s="62">
        <f ca="1">((100/(D66+F66+H66))*C71)/100</f>
        <v>1</v>
      </c>
      <c r="E71" s="177"/>
      <c r="F71" s="177"/>
      <c r="G71" s="177"/>
      <c r="H71" s="177"/>
      <c r="I71" s="16" t="s">
        <v>102</v>
      </c>
      <c r="J71" s="33">
        <f ca="1">(IF(B66&gt;1,(H66/(B66+2)),H66/4))</f>
        <v>3</v>
      </c>
    </row>
    <row r="72" spans="1:10" ht="15.75" customHeight="1" x14ac:dyDescent="0.35">
      <c r="A72" s="104" t="s">
        <v>139</v>
      </c>
      <c r="B72" s="104" t="s">
        <v>133</v>
      </c>
      <c r="C72" s="68">
        <v>12</v>
      </c>
      <c r="D72" s="62">
        <f ca="1">((100/H66)*C72)/100</f>
        <v>1</v>
      </c>
      <c r="E72" s="177"/>
      <c r="F72" s="177"/>
      <c r="G72" s="177"/>
      <c r="H72" s="177"/>
      <c r="I72" s="16" t="s">
        <v>103</v>
      </c>
      <c r="J72" s="33">
        <f ca="1">(IF(B66&gt;1,(H66/(B66+2)+J71),H66/4+J71))</f>
        <v>6</v>
      </c>
    </row>
    <row r="73" spans="1:10" ht="15.75" customHeight="1" x14ac:dyDescent="0.35">
      <c r="A73" s="104" t="s">
        <v>140</v>
      </c>
      <c r="B73" s="104" t="s">
        <v>133</v>
      </c>
      <c r="C73" s="68">
        <v>12</v>
      </c>
      <c r="D73" s="62">
        <f ca="1">((100/H66)*C73)/100</f>
        <v>1</v>
      </c>
      <c r="E73" s="177"/>
      <c r="F73" s="177"/>
      <c r="G73" s="177"/>
      <c r="H73" s="177"/>
      <c r="I73" s="16" t="s">
        <v>151</v>
      </c>
      <c r="J73" s="33">
        <f>(IF(B66&gt;1,(H66/(B66+2)+J72),0))</f>
        <v>0</v>
      </c>
    </row>
    <row r="74" spans="1:10" ht="15" customHeight="1" x14ac:dyDescent="0.35">
      <c r="A74" s="104" t="s">
        <v>138</v>
      </c>
      <c r="B74" s="104" t="s">
        <v>135</v>
      </c>
      <c r="C74" s="68">
        <v>12</v>
      </c>
      <c r="D74" s="62">
        <f ca="1">((100/(H66))*C74)/100</f>
        <v>1</v>
      </c>
      <c r="E74" s="177"/>
      <c r="F74" s="177"/>
      <c r="G74" s="177"/>
      <c r="H74" s="177"/>
      <c r="I74" s="16" t="s">
        <v>146</v>
      </c>
      <c r="J74" s="33">
        <f>(IF(B66&gt;2,(H66/(B66+2)+J73),0))</f>
        <v>0</v>
      </c>
    </row>
    <row r="75" spans="1:10" ht="15.75" customHeight="1" x14ac:dyDescent="0.35">
      <c r="A75" s="104" t="s">
        <v>134</v>
      </c>
      <c r="B75" s="104" t="s">
        <v>134</v>
      </c>
      <c r="C75" s="68">
        <v>0</v>
      </c>
      <c r="D75" s="62">
        <f ca="1">((100/H66)*C75)/100</f>
        <v>0</v>
      </c>
      <c r="E75" s="177"/>
      <c r="F75" s="177"/>
      <c r="G75" s="177"/>
      <c r="H75" s="177"/>
      <c r="I75" s="16" t="s">
        <v>147</v>
      </c>
      <c r="J75" s="34">
        <f>(IF(B66&gt;3,(H66/(B66+2)+J74),0))</f>
        <v>0</v>
      </c>
    </row>
    <row r="76" spans="1:10" ht="15.75" customHeight="1" x14ac:dyDescent="0.35">
      <c r="A76" s="104" t="s">
        <v>141</v>
      </c>
      <c r="B76" s="104"/>
      <c r="C76" s="68">
        <v>8</v>
      </c>
      <c r="D76" s="62">
        <f ca="1">((100/H66)*C76)/100</f>
        <v>0.66666666666666674</v>
      </c>
      <c r="E76" s="177"/>
      <c r="F76" s="177"/>
      <c r="G76" s="177"/>
      <c r="H76" s="177"/>
      <c r="I76" s="16" t="s">
        <v>148</v>
      </c>
      <c r="J76" s="33">
        <f>(IF(B66&gt;4,(H66/(B66+2)+J75),0))</f>
        <v>0</v>
      </c>
    </row>
    <row r="77" spans="1:10" ht="15.75" customHeight="1" x14ac:dyDescent="0.35">
      <c r="A77" s="104" t="s">
        <v>136</v>
      </c>
      <c r="B77" s="104" t="s">
        <v>136</v>
      </c>
      <c r="C77" s="68">
        <v>0</v>
      </c>
      <c r="D77" s="62">
        <f ca="1">((100/(H66))*C77)/100</f>
        <v>0</v>
      </c>
      <c r="E77" s="177"/>
      <c r="F77" s="177"/>
      <c r="G77" s="177"/>
      <c r="H77" s="177"/>
      <c r="I77" s="16" t="s">
        <v>152</v>
      </c>
      <c r="J77" s="33">
        <f ca="1">(IF(B66=1,(H66/(B66+3)+J72),IF(B66=0,(H66/4+J72),IF(B66&gt;1,0))))</f>
        <v>9</v>
      </c>
    </row>
    <row r="78" spans="1:10" ht="16" thickBot="1" x14ac:dyDescent="0.4">
      <c r="A78" s="104" t="s">
        <v>137</v>
      </c>
      <c r="B78" s="104"/>
      <c r="C78" s="68">
        <v>0</v>
      </c>
      <c r="D78" s="62">
        <f ca="1">((100/(H66))*C78)/100</f>
        <v>0</v>
      </c>
      <c r="E78" s="177"/>
      <c r="F78" s="177"/>
      <c r="G78" s="177"/>
      <c r="H78" s="177"/>
      <c r="I78" s="18" t="s">
        <v>104</v>
      </c>
      <c r="J78" s="35">
        <f ca="1">(IF(B66&gt;1.5,(H66/(B66+2)+J72+MAX(0,J73-J72)+MAX(0,J74-J73)+MAX(0,J75-J74)+MAX(0,J76-J75)+MAX(0,J77-J76)),IF(B66=1,(H66/(B66+3)+J77),IF(B66=0,H66/4+J77))))</f>
        <v>12</v>
      </c>
    </row>
    <row r="79" spans="1:10" ht="15.75" hidden="1" customHeight="1" x14ac:dyDescent="0.35">
      <c r="A79" s="178" t="s">
        <v>143</v>
      </c>
      <c r="B79" s="178"/>
      <c r="C79" s="178" t="e">
        <f>#REF!</f>
        <v>#REF!</v>
      </c>
      <c r="D79" s="178"/>
      <c r="E79" s="178"/>
      <c r="F79" s="178"/>
      <c r="G79" s="178"/>
      <c r="H79" s="178"/>
      <c r="I79" s="176" t="e">
        <f ca="1">IF(D92=100%,"All work Completed. Possession granted to the Building.",IF(D91=100%,"All work Completed, Waiting for OC",I80&amp;""&amp;I81&amp;""&amp;J80&amp;""&amp;J79&amp;" "&amp;J81))</f>
        <v>#REF!</v>
      </c>
      <c r="J79" s="52" t="e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#REF!</v>
      </c>
    </row>
    <row r="80" spans="1:10" hidden="1" x14ac:dyDescent="0.35">
      <c r="A80" s="69" t="s">
        <v>145</v>
      </c>
      <c r="B80" s="17">
        <v>0</v>
      </c>
      <c r="C80" s="69" t="s">
        <v>73</v>
      </c>
      <c r="D80" s="69">
        <v>1</v>
      </c>
      <c r="E80" s="69" t="s">
        <v>72</v>
      </c>
      <c r="F80" s="17">
        <v>0</v>
      </c>
      <c r="G80" s="49" t="s">
        <v>82</v>
      </c>
      <c r="H80" s="69" t="e">
        <f ca="1">--TRIM(RIGHT(SUBSTITUTE(LEFT(C79,_xlfn.AGGREGATE(16,6,FIND({0,1,2,3,4,5,6,7,8,9},C79,ROW(INDIRECT("1:"&amp;LEN(C79)))),1))," ",REPT(" ",LEN(C79))),LEN(C79)))</f>
        <v>#REF!</v>
      </c>
      <c r="I80" s="175" t="e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#REF!</v>
      </c>
      <c r="J80" s="54" t="e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#REF!</v>
      </c>
    </row>
    <row r="81" spans="1:10" ht="33.75" hidden="1" customHeight="1" x14ac:dyDescent="0.35">
      <c r="A81" s="98" t="s">
        <v>92</v>
      </c>
      <c r="B81" s="98"/>
      <c r="C81" s="96" t="e">
        <f ca="1">(IF($G$52="NA",I79,"All work Completed. OC Received."))</f>
        <v>#REF!</v>
      </c>
      <c r="D81" s="96"/>
      <c r="E81" s="96"/>
      <c r="F81" s="96"/>
      <c r="G81" s="96"/>
      <c r="H81" s="96"/>
      <c r="I81" s="175" t="e">
        <f ca="1">IF(I80&lt;&gt;""," Completed","")</f>
        <v>#REF!</v>
      </c>
      <c r="J81" s="54" t="e">
        <f ca="1">IF(J79&lt;&gt;"","Completed","")</f>
        <v>#REF!</v>
      </c>
    </row>
    <row r="82" spans="1:10" ht="15.75" hidden="1" customHeight="1" x14ac:dyDescent="0.35">
      <c r="A82" s="89" t="s">
        <v>50</v>
      </c>
      <c r="B82" s="89"/>
      <c r="C82" s="67" t="s">
        <v>142</v>
      </c>
      <c r="D82" s="67" t="s">
        <v>85</v>
      </c>
      <c r="E82" s="89" t="s">
        <v>87</v>
      </c>
      <c r="F82" s="89"/>
      <c r="G82" s="89" t="s">
        <v>86</v>
      </c>
      <c r="H82" s="89"/>
      <c r="I82" s="16" t="s">
        <v>144</v>
      </c>
      <c r="J82" s="31" t="e">
        <f ca="1">H80*25%</f>
        <v>#REF!</v>
      </c>
    </row>
    <row r="83" spans="1:10" hidden="1" x14ac:dyDescent="0.35">
      <c r="A83" s="89" t="s">
        <v>131</v>
      </c>
      <c r="B83" s="89"/>
      <c r="C83" s="67" t="e">
        <f ca="1">J84</f>
        <v>#REF!</v>
      </c>
      <c r="D83" s="22" t="e">
        <f ca="1">((100/H80)*C83)/100</f>
        <v>#REF!</v>
      </c>
      <c r="E83" s="179" t="e">
        <f ca="1">(((C84/H80*10)+(40/(D80+F80+H80)*C85)+(7.5/(H80)*C86)+(7.5/(H80)*C87)+(10/H80*C88)+(10/H80*C89)+(5/H80*C90)+(5/H80*C91)+(5/H80*C92))/100)</f>
        <v>#REF!</v>
      </c>
      <c r="F83" s="179"/>
      <c r="G83" s="179" t="e">
        <f ca="1">((((C83/H80)*20)+((C84/H80)*25)+(30/(H80+F80+D80)*C85)+(5/H80*C86)+(5/H80*C87)+(5/H80*C88)+(5/H80*C89)+(0/H80*C90)+(0/H80*C91)+(5/H80*C92))/100)</f>
        <v>#REF!</v>
      </c>
      <c r="H83" s="179"/>
      <c r="I83" s="16" t="s">
        <v>100</v>
      </c>
      <c r="J83" s="32" t="e">
        <f ca="1">H80*50%</f>
        <v>#REF!</v>
      </c>
    </row>
    <row r="84" spans="1:10" hidden="1" x14ac:dyDescent="0.35">
      <c r="A84" s="89" t="s">
        <v>51</v>
      </c>
      <c r="B84" s="89"/>
      <c r="C84" s="67" t="e">
        <f ca="1">J92</f>
        <v>#REF!</v>
      </c>
      <c r="D84" s="22" t="e">
        <f ca="1">((100/H80)*C84)/100</f>
        <v>#REF!</v>
      </c>
      <c r="E84" s="179"/>
      <c r="F84" s="179"/>
      <c r="G84" s="179"/>
      <c r="H84" s="179"/>
      <c r="I84" s="16" t="s">
        <v>101</v>
      </c>
      <c r="J84" s="32" t="e">
        <f ca="1">H80</f>
        <v>#REF!</v>
      </c>
    </row>
    <row r="85" spans="1:10" ht="15.75" hidden="1" customHeight="1" x14ac:dyDescent="0.35">
      <c r="A85" s="89" t="s">
        <v>132</v>
      </c>
      <c r="B85" s="89"/>
      <c r="C85" s="67" t="e">
        <f ca="1">D80+H80</f>
        <v>#REF!</v>
      </c>
      <c r="D85" s="22" t="e">
        <f ca="1">((100/(D80+F80+H80))*C85)/100</f>
        <v>#REF!</v>
      </c>
      <c r="E85" s="179"/>
      <c r="F85" s="179"/>
      <c r="G85" s="179"/>
      <c r="H85" s="179"/>
      <c r="I85" s="16" t="s">
        <v>102</v>
      </c>
      <c r="J85" s="33" t="e">
        <f ca="1">(IF(B80&gt;1,(H80/(B80+2)),H80/4))</f>
        <v>#REF!</v>
      </c>
    </row>
    <row r="86" spans="1:10" ht="15.75" hidden="1" customHeight="1" x14ac:dyDescent="0.35">
      <c r="A86" s="89" t="s">
        <v>139</v>
      </c>
      <c r="B86" s="89" t="s">
        <v>133</v>
      </c>
      <c r="C86" s="67">
        <v>0</v>
      </c>
      <c r="D86" s="22" t="e">
        <f ca="1">((100/H80)*C86)/100</f>
        <v>#REF!</v>
      </c>
      <c r="E86" s="179"/>
      <c r="F86" s="179"/>
      <c r="G86" s="179"/>
      <c r="H86" s="179"/>
      <c r="I86" s="16" t="s">
        <v>103</v>
      </c>
      <c r="J86" s="33" t="e">
        <f ca="1">(IF(B80&gt;1,(H80/(B80+2)+J85),H80/4+J85))</f>
        <v>#REF!</v>
      </c>
    </row>
    <row r="87" spans="1:10" ht="15.75" hidden="1" customHeight="1" x14ac:dyDescent="0.35">
      <c r="A87" s="89" t="s">
        <v>140</v>
      </c>
      <c r="B87" s="89" t="s">
        <v>133</v>
      </c>
      <c r="C87" s="67">
        <v>0</v>
      </c>
      <c r="D87" s="22" t="e">
        <f ca="1">((100/H80)*C87)/100</f>
        <v>#REF!</v>
      </c>
      <c r="E87" s="179"/>
      <c r="F87" s="179"/>
      <c r="G87" s="179"/>
      <c r="H87" s="179"/>
      <c r="I87" s="16" t="s">
        <v>151</v>
      </c>
      <c r="J87" s="33">
        <f>(IF(B80&gt;1,(H80/(B80+2)+J86),0))</f>
        <v>0</v>
      </c>
    </row>
    <row r="88" spans="1:10" ht="15" hidden="1" customHeight="1" x14ac:dyDescent="0.35">
      <c r="A88" s="89" t="s">
        <v>138</v>
      </c>
      <c r="B88" s="89" t="s">
        <v>135</v>
      </c>
      <c r="C88" s="67">
        <v>0</v>
      </c>
      <c r="D88" s="22" t="e">
        <f ca="1">((100/(H80))*C88)/100</f>
        <v>#REF!</v>
      </c>
      <c r="E88" s="179"/>
      <c r="F88" s="179"/>
      <c r="G88" s="179"/>
      <c r="H88" s="179"/>
      <c r="I88" s="16" t="s">
        <v>146</v>
      </c>
      <c r="J88" s="33">
        <f>(IF(B80&gt;2,(H80/(B80+2)+J87),0))</f>
        <v>0</v>
      </c>
    </row>
    <row r="89" spans="1:10" ht="15.75" hidden="1" customHeight="1" x14ac:dyDescent="0.35">
      <c r="A89" s="89" t="s">
        <v>134</v>
      </c>
      <c r="B89" s="89" t="s">
        <v>134</v>
      </c>
      <c r="C89" s="67">
        <v>0</v>
      </c>
      <c r="D89" s="22" t="e">
        <f ca="1">((100/H80)*C89)/100</f>
        <v>#REF!</v>
      </c>
      <c r="E89" s="179"/>
      <c r="F89" s="179"/>
      <c r="G89" s="179"/>
      <c r="H89" s="179"/>
      <c r="I89" s="16" t="s">
        <v>147</v>
      </c>
      <c r="J89" s="34">
        <f>(IF(B80&gt;3,(H80/(B80+2)+J88),0))</f>
        <v>0</v>
      </c>
    </row>
    <row r="90" spans="1:10" ht="15.75" hidden="1" customHeight="1" x14ac:dyDescent="0.35">
      <c r="A90" s="89" t="s">
        <v>141</v>
      </c>
      <c r="B90" s="89"/>
      <c r="C90" s="67">
        <v>0</v>
      </c>
      <c r="D90" s="22" t="e">
        <f ca="1">((100/H80)*C90)/100</f>
        <v>#REF!</v>
      </c>
      <c r="E90" s="179"/>
      <c r="F90" s="179"/>
      <c r="G90" s="179"/>
      <c r="H90" s="179"/>
      <c r="I90" s="16" t="s">
        <v>148</v>
      </c>
      <c r="J90" s="33">
        <f>(IF(B80&gt;4,(H80/(B80+2)+J89),0))</f>
        <v>0</v>
      </c>
    </row>
    <row r="91" spans="1:10" ht="15.75" hidden="1" customHeight="1" x14ac:dyDescent="0.35">
      <c r="A91" s="89" t="s">
        <v>136</v>
      </c>
      <c r="B91" s="89" t="s">
        <v>136</v>
      </c>
      <c r="C91" s="67">
        <v>0</v>
      </c>
      <c r="D91" s="22" t="e">
        <f ca="1">((100/(H80))*C91)/100</f>
        <v>#REF!</v>
      </c>
      <c r="E91" s="179"/>
      <c r="F91" s="179"/>
      <c r="G91" s="179"/>
      <c r="H91" s="179"/>
      <c r="I91" s="16" t="s">
        <v>152</v>
      </c>
      <c r="J91" s="33" t="e">
        <f ca="1">(IF(B80=1,(H80/(B80+3)+J86),IF(B80=0,(H80/4+J86),IF(B80&gt;1,0))))</f>
        <v>#REF!</v>
      </c>
    </row>
    <row r="92" spans="1:10" ht="16" hidden="1" thickBot="1" x14ac:dyDescent="0.4">
      <c r="A92" s="89" t="s">
        <v>137</v>
      </c>
      <c r="B92" s="89"/>
      <c r="C92" s="67">
        <v>0</v>
      </c>
      <c r="D92" s="22" t="e">
        <f ca="1">((100/(H80))*C92)/100</f>
        <v>#REF!</v>
      </c>
      <c r="E92" s="179"/>
      <c r="F92" s="179"/>
      <c r="G92" s="179"/>
      <c r="H92" s="179"/>
      <c r="I92" s="18" t="s">
        <v>104</v>
      </c>
      <c r="J92" s="35" t="e">
        <f ca="1">(IF(B80&gt;1.5,(H80/(B80+2)+J86+MAX(0,J87-J86)+MAX(0,J88-J87)+MAX(0,J89-J88)+MAX(0,J90-J89)+MAX(0,J91-J90)),IF(B80=1,(H80/(B80+3)+J91),IF(B80=0,H80/4+J91))))</f>
        <v>#REF!</v>
      </c>
    </row>
    <row r="93" spans="1:10" ht="15.75" hidden="1" customHeight="1" x14ac:dyDescent="0.35">
      <c r="A93" s="178" t="s">
        <v>143</v>
      </c>
      <c r="B93" s="178"/>
      <c r="C93" s="178" t="e">
        <f>#REF!</f>
        <v>#REF!</v>
      </c>
      <c r="D93" s="178"/>
      <c r="E93" s="178"/>
      <c r="F93" s="178"/>
      <c r="G93" s="178"/>
      <c r="H93" s="178"/>
      <c r="I93" s="176" t="e">
        <f ca="1">IF(D106=100%,"All work Completed. Possession granted to the Building.",IF(D105=100%,"All work Completed, Waiting for OC",I94&amp;""&amp;I95&amp;""&amp;J94&amp;""&amp;J93&amp;" "&amp;J95))</f>
        <v>#REF!</v>
      </c>
      <c r="J93" s="52" t="e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#REF!</v>
      </c>
    </row>
    <row r="94" spans="1:10" hidden="1" x14ac:dyDescent="0.35">
      <c r="A94" s="69" t="s">
        <v>145</v>
      </c>
      <c r="B94" s="17">
        <v>0</v>
      </c>
      <c r="C94" s="69" t="s">
        <v>73</v>
      </c>
      <c r="D94" s="69">
        <v>1</v>
      </c>
      <c r="E94" s="69" t="s">
        <v>72</v>
      </c>
      <c r="F94" s="17">
        <v>0</v>
      </c>
      <c r="G94" s="49" t="s">
        <v>82</v>
      </c>
      <c r="H94" s="69" t="e">
        <f ca="1">--TRIM(RIGHT(SUBSTITUTE(LEFT(C93,_xlfn.AGGREGATE(16,6,FIND({0,1,2,3,4,5,6,7,8,9},C93,ROW(INDIRECT("1:"&amp;LEN(C93)))),1))," ",REPT(" ",LEN(C93))),LEN(C93)))</f>
        <v>#REF!</v>
      </c>
      <c r="I94" s="175" t="e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#REF!</v>
      </c>
      <c r="J94" s="54" t="e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#REF!</v>
      </c>
    </row>
    <row r="95" spans="1:10" ht="33" hidden="1" customHeight="1" x14ac:dyDescent="0.35">
      <c r="A95" s="98" t="s">
        <v>92</v>
      </c>
      <c r="B95" s="98"/>
      <c r="C95" s="96" t="e">
        <f ca="1">(IF($G$52="NA",I93,"All work Completed. OC Received."))</f>
        <v>#REF!</v>
      </c>
      <c r="D95" s="96"/>
      <c r="E95" s="96"/>
      <c r="F95" s="96"/>
      <c r="G95" s="96"/>
      <c r="H95" s="96"/>
      <c r="I95" s="175" t="e">
        <f ca="1">IF(I94&lt;&gt;""," Completed","")</f>
        <v>#REF!</v>
      </c>
      <c r="J95" s="54" t="e">
        <f ca="1">IF(J93&lt;&gt;"","Completed","")</f>
        <v>#REF!</v>
      </c>
    </row>
    <row r="96" spans="1:10" ht="15.75" hidden="1" customHeight="1" x14ac:dyDescent="0.35">
      <c r="A96" s="89" t="s">
        <v>50</v>
      </c>
      <c r="B96" s="89"/>
      <c r="C96" s="67" t="s">
        <v>142</v>
      </c>
      <c r="D96" s="67" t="s">
        <v>85</v>
      </c>
      <c r="E96" s="89" t="s">
        <v>87</v>
      </c>
      <c r="F96" s="89"/>
      <c r="G96" s="89" t="s">
        <v>86</v>
      </c>
      <c r="H96" s="89"/>
      <c r="I96" s="16" t="s">
        <v>144</v>
      </c>
      <c r="J96" s="31" t="e">
        <f ca="1">H94*25%</f>
        <v>#REF!</v>
      </c>
    </row>
    <row r="97" spans="1:12" hidden="1" x14ac:dyDescent="0.35">
      <c r="A97" s="89" t="s">
        <v>131</v>
      </c>
      <c r="B97" s="89"/>
      <c r="C97" s="67" t="e">
        <f ca="1">J98</f>
        <v>#REF!</v>
      </c>
      <c r="D97" s="22" t="e">
        <f ca="1">((100/H94)*C97)/100</f>
        <v>#REF!</v>
      </c>
      <c r="E97" s="179" t="e">
        <f ca="1">(((C98/H94*10)+(40/(D94+F94+H94)*C99)+(7.5/(H94)*C100)+(7.5/(H94)*C101)+(10/H94*C102)+(10/H94*C103)+(5/H94*C104)+(5/H94*C105)+(5/H94*C106))/100)</f>
        <v>#REF!</v>
      </c>
      <c r="F97" s="179"/>
      <c r="G97" s="179" t="e">
        <f ca="1">((((C97/H94)*20)+((C98/H94)*25)+(30/(H94+F94+D94)*C99)+(5/H94*C100)+(5/H94*C101)+(5/H94*C102)+(5/H94*C103)+(0/H94*C104)+(0/H94*C105)+(5/H94*C106))/100)</f>
        <v>#REF!</v>
      </c>
      <c r="H97" s="179"/>
      <c r="I97" s="16" t="s">
        <v>100</v>
      </c>
      <c r="J97" s="32" t="e">
        <f ca="1">H94*50%</f>
        <v>#REF!</v>
      </c>
    </row>
    <row r="98" spans="1:12" hidden="1" x14ac:dyDescent="0.35">
      <c r="A98" s="89" t="s">
        <v>51</v>
      </c>
      <c r="B98" s="89"/>
      <c r="C98" s="67" t="e">
        <f ca="1">J106</f>
        <v>#REF!</v>
      </c>
      <c r="D98" s="22" t="e">
        <f ca="1">((100/H94)*C98)/100</f>
        <v>#REF!</v>
      </c>
      <c r="E98" s="179"/>
      <c r="F98" s="179"/>
      <c r="G98" s="179"/>
      <c r="H98" s="179"/>
      <c r="I98" s="16" t="s">
        <v>101</v>
      </c>
      <c r="J98" s="32" t="e">
        <f ca="1">H94</f>
        <v>#REF!</v>
      </c>
    </row>
    <row r="99" spans="1:12" ht="15.75" hidden="1" customHeight="1" x14ac:dyDescent="0.35">
      <c r="A99" s="89" t="s">
        <v>132</v>
      </c>
      <c r="B99" s="89"/>
      <c r="C99" s="67" t="e">
        <f ca="1">D94+H94</f>
        <v>#REF!</v>
      </c>
      <c r="D99" s="22" t="e">
        <f ca="1">((100/(D94+F94+H94))*C99)/100</f>
        <v>#REF!</v>
      </c>
      <c r="E99" s="179"/>
      <c r="F99" s="179"/>
      <c r="G99" s="179"/>
      <c r="H99" s="179"/>
      <c r="I99" s="16" t="s">
        <v>102</v>
      </c>
      <c r="J99" s="33" t="e">
        <f ca="1">(IF(B94&gt;1,(H94/(B94+2)),H94/4))</f>
        <v>#REF!</v>
      </c>
    </row>
    <row r="100" spans="1:12" ht="15.75" hidden="1" customHeight="1" x14ac:dyDescent="0.35">
      <c r="A100" s="89" t="s">
        <v>139</v>
      </c>
      <c r="B100" s="89" t="s">
        <v>133</v>
      </c>
      <c r="C100" s="67">
        <v>0</v>
      </c>
      <c r="D100" s="22" t="e">
        <f ca="1">((100/H94)*C100)/100</f>
        <v>#REF!</v>
      </c>
      <c r="E100" s="179"/>
      <c r="F100" s="179"/>
      <c r="G100" s="179"/>
      <c r="H100" s="179"/>
      <c r="I100" s="16" t="s">
        <v>103</v>
      </c>
      <c r="J100" s="33" t="e">
        <f ca="1">(IF(B94&gt;1,(H94/(B94+2)+J99),H94/4+J99))</f>
        <v>#REF!</v>
      </c>
    </row>
    <row r="101" spans="1:12" ht="15.75" hidden="1" customHeight="1" x14ac:dyDescent="0.35">
      <c r="A101" s="89" t="s">
        <v>140</v>
      </c>
      <c r="B101" s="89" t="s">
        <v>133</v>
      </c>
      <c r="C101" s="67">
        <v>0</v>
      </c>
      <c r="D101" s="22" t="e">
        <f ca="1">((100/H94)*C101)/100</f>
        <v>#REF!</v>
      </c>
      <c r="E101" s="179"/>
      <c r="F101" s="179"/>
      <c r="G101" s="179"/>
      <c r="H101" s="179"/>
      <c r="I101" s="16" t="s">
        <v>151</v>
      </c>
      <c r="J101" s="33">
        <f>(IF(B94&gt;1,(H94/(B94+2)+J100),0))</f>
        <v>0</v>
      </c>
    </row>
    <row r="102" spans="1:12" ht="15" hidden="1" customHeight="1" x14ac:dyDescent="0.35">
      <c r="A102" s="89" t="s">
        <v>138</v>
      </c>
      <c r="B102" s="89" t="s">
        <v>135</v>
      </c>
      <c r="C102" s="67">
        <v>0</v>
      </c>
      <c r="D102" s="22" t="e">
        <f ca="1">((100/(H94))*C102)/100</f>
        <v>#REF!</v>
      </c>
      <c r="E102" s="179"/>
      <c r="F102" s="179"/>
      <c r="G102" s="179"/>
      <c r="H102" s="179"/>
      <c r="I102" s="16" t="s">
        <v>146</v>
      </c>
      <c r="J102" s="33">
        <f>(IF(B94&gt;2,(H94/(B94+2)+J101),0))</f>
        <v>0</v>
      </c>
    </row>
    <row r="103" spans="1:12" ht="15.75" hidden="1" customHeight="1" x14ac:dyDescent="0.35">
      <c r="A103" s="89" t="s">
        <v>134</v>
      </c>
      <c r="B103" s="89" t="s">
        <v>134</v>
      </c>
      <c r="C103" s="67">
        <v>0</v>
      </c>
      <c r="D103" s="22" t="e">
        <f ca="1">((100/H94)*C103)/100</f>
        <v>#REF!</v>
      </c>
      <c r="E103" s="179"/>
      <c r="F103" s="179"/>
      <c r="G103" s="179"/>
      <c r="H103" s="179"/>
      <c r="I103" s="16" t="s">
        <v>147</v>
      </c>
      <c r="J103" s="34">
        <f>(IF(B94&gt;3,(H94/(B94+2)+J102),0))</f>
        <v>0</v>
      </c>
    </row>
    <row r="104" spans="1:12" ht="15.75" hidden="1" customHeight="1" x14ac:dyDescent="0.35">
      <c r="A104" s="89" t="s">
        <v>141</v>
      </c>
      <c r="B104" s="89"/>
      <c r="C104" s="67">
        <v>0</v>
      </c>
      <c r="D104" s="22" t="e">
        <f ca="1">((100/H94)*C104)/100</f>
        <v>#REF!</v>
      </c>
      <c r="E104" s="179"/>
      <c r="F104" s="179"/>
      <c r="G104" s="179"/>
      <c r="H104" s="179"/>
      <c r="I104" s="16" t="s">
        <v>148</v>
      </c>
      <c r="J104" s="33">
        <f>(IF(B94&gt;4,(H94/(B94+2)+J103),0))</f>
        <v>0</v>
      </c>
    </row>
    <row r="105" spans="1:12" ht="15.75" hidden="1" customHeight="1" x14ac:dyDescent="0.35">
      <c r="A105" s="89" t="s">
        <v>136</v>
      </c>
      <c r="B105" s="89" t="s">
        <v>136</v>
      </c>
      <c r="C105" s="67">
        <v>0</v>
      </c>
      <c r="D105" s="22" t="e">
        <f ca="1">((100/(H94))*C105)/100</f>
        <v>#REF!</v>
      </c>
      <c r="E105" s="179"/>
      <c r="F105" s="179"/>
      <c r="G105" s="179"/>
      <c r="H105" s="179"/>
      <c r="I105" s="16" t="s">
        <v>152</v>
      </c>
      <c r="J105" s="33" t="e">
        <f ca="1">(IF(B94=1,(H94/(B94+3)+J100),IF(B94=0,(H94/4+J100),IF(B94&gt;1,0))))</f>
        <v>#REF!</v>
      </c>
    </row>
    <row r="106" spans="1:12" ht="16" hidden="1" thickBot="1" x14ac:dyDescent="0.4">
      <c r="A106" s="89" t="s">
        <v>137</v>
      </c>
      <c r="B106" s="89"/>
      <c r="C106" s="67">
        <v>0</v>
      </c>
      <c r="D106" s="22" t="e">
        <f ca="1">((100/(H94))*C106)/100</f>
        <v>#REF!</v>
      </c>
      <c r="E106" s="179"/>
      <c r="F106" s="179"/>
      <c r="G106" s="179"/>
      <c r="H106" s="179"/>
      <c r="I106" s="18" t="s">
        <v>104</v>
      </c>
      <c r="J106" s="35" t="e">
        <f ca="1">(IF(B94&gt;1.5,(H94/(B94+2)+J100+MAX(0,J101-J100)+MAX(0,J102-J101)+MAX(0,J103-J102)+MAX(0,J104-J103)+MAX(0,J105-J104)),IF(B94=1,(H94/(B94+3)+J105),IF(B94=0,H94/4+J105))))</f>
        <v>#REF!</v>
      </c>
    </row>
    <row r="107" spans="1:12" x14ac:dyDescent="0.35">
      <c r="A107" s="123" t="s">
        <v>164</v>
      </c>
      <c r="B107" s="123"/>
      <c r="C107" s="123"/>
      <c r="D107" s="123"/>
      <c r="E107" s="123"/>
      <c r="F107" s="148" t="s">
        <v>168</v>
      </c>
      <c r="G107" s="148"/>
      <c r="H107" s="148"/>
    </row>
    <row r="108" spans="1:12" x14ac:dyDescent="0.35">
      <c r="A108" s="91" t="s">
        <v>166</v>
      </c>
      <c r="B108" s="91"/>
      <c r="C108" s="91"/>
      <c r="D108" s="91"/>
      <c r="E108" s="91"/>
      <c r="F108" s="90">
        <v>4100</v>
      </c>
      <c r="G108" s="90"/>
      <c r="H108" s="90"/>
      <c r="J108" s="23" t="s">
        <v>206</v>
      </c>
      <c r="K108" s="23" t="s">
        <v>214</v>
      </c>
      <c r="L108" s="23" t="s">
        <v>232</v>
      </c>
    </row>
    <row r="109" spans="1:12" x14ac:dyDescent="0.35">
      <c r="A109" s="91" t="s">
        <v>165</v>
      </c>
      <c r="B109" s="91"/>
      <c r="C109" s="91"/>
      <c r="D109" s="91"/>
      <c r="E109" s="91"/>
      <c r="F109" s="90">
        <v>8000</v>
      </c>
      <c r="G109" s="90"/>
      <c r="H109" s="90"/>
      <c r="J109" s="23">
        <v>3800</v>
      </c>
      <c r="K109" s="23" t="s">
        <v>215</v>
      </c>
    </row>
    <row r="110" spans="1:12" x14ac:dyDescent="0.35">
      <c r="A110" s="91" t="s">
        <v>167</v>
      </c>
      <c r="B110" s="91"/>
      <c r="C110" s="91"/>
      <c r="D110" s="91"/>
      <c r="E110" s="91"/>
      <c r="F110" s="90">
        <v>7000</v>
      </c>
      <c r="G110" s="90"/>
      <c r="H110" s="90"/>
    </row>
    <row r="111" spans="1:12" s="36" customFormat="1" x14ac:dyDescent="0.3">
      <c r="A111" s="91" t="s">
        <v>194</v>
      </c>
      <c r="B111" s="91"/>
      <c r="C111" s="91"/>
      <c r="D111" s="91"/>
      <c r="E111" s="91"/>
      <c r="F111" s="90">
        <v>100000</v>
      </c>
      <c r="G111" s="90"/>
      <c r="H111" s="90"/>
    </row>
    <row r="112" spans="1:12" s="36" customFormat="1" x14ac:dyDescent="0.3">
      <c r="A112" s="91" t="s">
        <v>97</v>
      </c>
      <c r="B112" s="91"/>
      <c r="C112" s="91"/>
      <c r="D112" s="91"/>
      <c r="E112" s="91"/>
      <c r="F112" s="90">
        <v>250000</v>
      </c>
      <c r="G112" s="90"/>
      <c r="H112" s="90"/>
    </row>
    <row r="113" spans="1:11" s="36" customFormat="1" hidden="1" x14ac:dyDescent="0.3">
      <c r="A113" s="91" t="s">
        <v>169</v>
      </c>
      <c r="B113" s="91"/>
      <c r="C113" s="91"/>
      <c r="D113" s="91"/>
      <c r="E113" s="91"/>
      <c r="F113" s="97"/>
      <c r="G113" s="97"/>
      <c r="H113" s="97"/>
    </row>
    <row r="114" spans="1:11" s="36" customFormat="1" hidden="1" x14ac:dyDescent="0.3">
      <c r="A114" s="91" t="s">
        <v>169</v>
      </c>
      <c r="B114" s="91"/>
      <c r="C114" s="91"/>
      <c r="D114" s="91"/>
      <c r="E114" s="91"/>
      <c r="F114" s="90">
        <v>10000</v>
      </c>
      <c r="G114" s="90"/>
      <c r="H114" s="90"/>
    </row>
    <row r="115" spans="1:11" s="36" customFormat="1" hidden="1" x14ac:dyDescent="0.3">
      <c r="A115" s="91" t="s">
        <v>98</v>
      </c>
      <c r="B115" s="91"/>
      <c r="C115" s="91"/>
      <c r="D115" s="91"/>
      <c r="E115" s="91"/>
      <c r="F115" s="97"/>
      <c r="G115" s="97"/>
      <c r="H115" s="97"/>
    </row>
    <row r="116" spans="1:11" s="36" customFormat="1" x14ac:dyDescent="0.3">
      <c r="A116" s="91" t="s">
        <v>193</v>
      </c>
      <c r="B116" s="91"/>
      <c r="C116" s="91"/>
      <c r="D116" s="91"/>
      <c r="E116" s="91"/>
      <c r="F116" s="90">
        <v>100000</v>
      </c>
      <c r="G116" s="90"/>
      <c r="H116" s="90"/>
    </row>
    <row r="117" spans="1:11" s="36" customFormat="1" hidden="1" x14ac:dyDescent="0.3">
      <c r="A117" s="91" t="s">
        <v>99</v>
      </c>
      <c r="B117" s="91"/>
      <c r="C117" s="91"/>
      <c r="D117" s="91"/>
      <c r="E117" s="91"/>
      <c r="F117" s="97"/>
      <c r="G117" s="97"/>
      <c r="H117" s="97"/>
    </row>
    <row r="118" spans="1:11" s="36" customFormat="1" x14ac:dyDescent="0.3">
      <c r="A118" s="91" t="s">
        <v>222</v>
      </c>
      <c r="B118" s="91"/>
      <c r="C118" s="91"/>
      <c r="D118" s="91"/>
      <c r="E118" s="91"/>
      <c r="F118" s="90">
        <v>30000</v>
      </c>
      <c r="G118" s="90"/>
      <c r="H118" s="90"/>
    </row>
    <row r="119" spans="1:11" x14ac:dyDescent="0.35">
      <c r="A119" s="91" t="s">
        <v>52</v>
      </c>
      <c r="B119" s="91"/>
      <c r="C119" s="91"/>
      <c r="D119" s="91"/>
      <c r="E119" s="91"/>
      <c r="F119" s="90">
        <v>100000</v>
      </c>
      <c r="G119" s="90"/>
      <c r="H119" s="90"/>
    </row>
    <row r="120" spans="1:11" s="37" customFormat="1" x14ac:dyDescent="0.35">
      <c r="A120" s="123" t="s">
        <v>53</v>
      </c>
      <c r="B120" s="123"/>
      <c r="C120" s="123"/>
      <c r="D120" s="123"/>
      <c r="E120" s="123"/>
      <c r="F120" s="90">
        <f>F108*0.8</f>
        <v>3280</v>
      </c>
      <c r="G120" s="90"/>
      <c r="H120" s="90"/>
    </row>
    <row r="121" spans="1:11" s="38" customFormat="1" ht="15.75" customHeight="1" x14ac:dyDescent="0.35">
      <c r="A121" s="154" t="s">
        <v>77</v>
      </c>
      <c r="B121" s="154"/>
      <c r="C121" s="154"/>
      <c r="D121" s="154"/>
      <c r="E121" s="154"/>
      <c r="F121" s="154"/>
      <c r="G121" s="154"/>
      <c r="H121" s="154"/>
    </row>
    <row r="122" spans="1:11" s="38" customFormat="1" ht="15.75" customHeight="1" x14ac:dyDescent="0.35">
      <c r="A122" s="109" t="s">
        <v>54</v>
      </c>
      <c r="B122" s="109"/>
      <c r="C122" s="101" t="s">
        <v>80</v>
      </c>
      <c r="D122" s="101"/>
      <c r="E122" s="158" t="s">
        <v>55</v>
      </c>
      <c r="F122" s="158"/>
      <c r="G122" s="109" t="s">
        <v>56</v>
      </c>
      <c r="H122" s="109"/>
    </row>
    <row r="123" spans="1:11" s="38" customFormat="1" ht="15.75" customHeight="1" x14ac:dyDescent="0.35">
      <c r="A123" s="170" t="s">
        <v>223</v>
      </c>
      <c r="B123" s="58" t="s">
        <v>224</v>
      </c>
      <c r="C123" s="94">
        <f>COUNT(D135:D144)</f>
        <v>10</v>
      </c>
      <c r="D123" s="95"/>
      <c r="E123" s="94">
        <f>SUM(D135:D144)</f>
        <v>2239.1272799999997</v>
      </c>
      <c r="F123" s="95"/>
      <c r="G123" s="94">
        <f>SUM(F135:F144)</f>
        <v>5236.5155251499991</v>
      </c>
      <c r="H123" s="95"/>
      <c r="J123" s="38" t="s">
        <v>220</v>
      </c>
    </row>
    <row r="124" spans="1:11" s="38" customFormat="1" ht="15.75" customHeight="1" x14ac:dyDescent="0.35">
      <c r="A124" s="171"/>
      <c r="B124" s="58" t="s">
        <v>225</v>
      </c>
      <c r="C124" s="94">
        <f>COUNT(D145)</f>
        <v>1</v>
      </c>
      <c r="D124" s="95"/>
      <c r="E124" s="94">
        <f>SUM(D145)</f>
        <v>472.10903999999999</v>
      </c>
      <c r="F124" s="95"/>
      <c r="G124" s="94">
        <f>SUM(F145)</f>
        <v>1005.890418</v>
      </c>
      <c r="H124" s="95"/>
      <c r="J124" s="38" t="s">
        <v>221</v>
      </c>
      <c r="K124" s="38" t="s">
        <v>226</v>
      </c>
    </row>
    <row r="125" spans="1:11" s="38" customFormat="1" x14ac:dyDescent="0.35">
      <c r="A125" s="154" t="s">
        <v>157</v>
      </c>
      <c r="B125" s="154"/>
      <c r="C125" s="168">
        <f>SUM(C123:C124)</f>
        <v>11</v>
      </c>
      <c r="D125" s="101"/>
      <c r="E125" s="162">
        <f>SUM(E123:E124)</f>
        <v>2711.2363199999995</v>
      </c>
      <c r="F125" s="158"/>
      <c r="G125" s="109">
        <f>SUM(G123:G124)</f>
        <v>6242.4059431499991</v>
      </c>
      <c r="H125" s="109"/>
      <c r="J125" s="38">
        <v>3900</v>
      </c>
      <c r="K125" s="38">
        <v>3800</v>
      </c>
    </row>
    <row r="126" spans="1:11" s="38" customFormat="1" x14ac:dyDescent="0.35">
      <c r="A126" s="154" t="s">
        <v>71</v>
      </c>
      <c r="B126" s="154"/>
      <c r="C126" s="154"/>
      <c r="D126" s="154"/>
      <c r="E126" s="154"/>
      <c r="F126" s="154"/>
      <c r="G126" s="154"/>
      <c r="H126" s="154"/>
    </row>
    <row r="127" spans="1:11" s="38" customFormat="1" ht="15.75" customHeight="1" x14ac:dyDescent="0.35">
      <c r="A127" s="109" t="s">
        <v>54</v>
      </c>
      <c r="B127" s="109"/>
      <c r="C127" s="101" t="s">
        <v>80</v>
      </c>
      <c r="D127" s="101"/>
      <c r="E127" s="158" t="s">
        <v>55</v>
      </c>
      <c r="F127" s="158"/>
      <c r="G127" s="109" t="s">
        <v>56</v>
      </c>
      <c r="H127" s="109"/>
    </row>
    <row r="128" spans="1:11" s="38" customFormat="1" x14ac:dyDescent="0.35">
      <c r="A128" s="156" t="s">
        <v>223</v>
      </c>
      <c r="B128" s="156"/>
      <c r="C128" s="95">
        <f>COUNT(D156:D167)+COUNT(D169:D180)*9+COUNT(D182:D184,D186:D193)+COUNT(D195:D206)</f>
        <v>143</v>
      </c>
      <c r="D128" s="95"/>
      <c r="E128" s="94">
        <f>SUM(D156:D167)+SUM(D169:D180)*9+SUM(D182:D184,D186:D193)+SUM(D195:D206)</f>
        <v>67981.952609999993</v>
      </c>
      <c r="F128" s="94"/>
      <c r="G128" s="94">
        <f>SUM(F156:F167)+SUM(F169:F180)*9+SUM(F182:F184,F186:F193)+SUM(F195:F206)</f>
        <v>102423.65796000001</v>
      </c>
      <c r="H128" s="94"/>
      <c r="J128" s="65">
        <f>SUM(E125,E128)</f>
        <v>70693.188929999989</v>
      </c>
    </row>
    <row r="129" spans="1:14" s="37" customFormat="1" x14ac:dyDescent="0.35">
      <c r="A129" s="148" t="s">
        <v>204</v>
      </c>
      <c r="B129" s="148"/>
      <c r="C129" s="148"/>
      <c r="D129" s="148"/>
      <c r="E129" s="148"/>
      <c r="F129" s="148"/>
      <c r="G129" s="148"/>
      <c r="H129" s="148"/>
    </row>
    <row r="130" spans="1:14" x14ac:dyDescent="0.35">
      <c r="A130" s="148" t="s">
        <v>57</v>
      </c>
      <c r="B130" s="148"/>
      <c r="C130" s="148"/>
      <c r="D130" s="148"/>
      <c r="E130" s="148"/>
      <c r="F130" s="148"/>
      <c r="G130" s="148"/>
      <c r="H130" s="148"/>
    </row>
    <row r="131" spans="1:14" ht="47.25" customHeight="1" x14ac:dyDescent="0.35">
      <c r="A131" s="92" t="s">
        <v>122</v>
      </c>
      <c r="B131" s="92" t="s">
        <v>121</v>
      </c>
      <c r="C131" s="92" t="s">
        <v>58</v>
      </c>
      <c r="D131" s="92" t="s">
        <v>59</v>
      </c>
      <c r="E131" s="105" t="s">
        <v>163</v>
      </c>
      <c r="F131" s="46" t="s">
        <v>155</v>
      </c>
      <c r="G131" s="99" t="s">
        <v>61</v>
      </c>
      <c r="H131" s="107"/>
    </row>
    <row r="132" spans="1:14" s="50" customFormat="1" x14ac:dyDescent="0.35">
      <c r="A132" s="93"/>
      <c r="B132" s="93"/>
      <c r="C132" s="93"/>
      <c r="D132" s="93"/>
      <c r="E132" s="106"/>
      <c r="F132" s="15">
        <v>0.55000000000000004</v>
      </c>
      <c r="G132" s="100"/>
      <c r="H132" s="108"/>
    </row>
    <row r="133" spans="1:14" s="56" customFormat="1" x14ac:dyDescent="0.35">
      <c r="A133" s="86" t="s">
        <v>179</v>
      </c>
      <c r="B133" s="87"/>
      <c r="C133" s="87"/>
      <c r="D133" s="87"/>
      <c r="E133" s="87"/>
      <c r="F133" s="87"/>
      <c r="G133" s="87"/>
      <c r="H133" s="88"/>
      <c r="J133" s="39"/>
    </row>
    <row r="134" spans="1:14" s="56" customFormat="1" x14ac:dyDescent="0.35">
      <c r="A134" s="86" t="s">
        <v>219</v>
      </c>
      <c r="B134" s="87"/>
      <c r="C134" s="87"/>
      <c r="D134" s="87"/>
      <c r="E134" s="87"/>
      <c r="F134" s="87"/>
      <c r="G134" s="87"/>
      <c r="H134" s="88"/>
      <c r="J134" s="60">
        <f>10.764</f>
        <v>10.763999999999999</v>
      </c>
    </row>
    <row r="135" spans="1:14" s="56" customFormat="1" ht="15.75" customHeight="1" x14ac:dyDescent="0.35">
      <c r="A135" s="73">
        <v>1</v>
      </c>
      <c r="B135" s="74"/>
      <c r="C135" s="57" t="s">
        <v>195</v>
      </c>
      <c r="D135" s="60">
        <f>(12.11)*(10.764)</f>
        <v>130.35203999999999</v>
      </c>
      <c r="E135" s="60">
        <f>(2.15*2.82)*(10.764)</f>
        <v>65.262131999999994</v>
      </c>
      <c r="F135" s="57">
        <f>(D135+E135)*(($F$132)+1)</f>
        <v>303.20196659999999</v>
      </c>
      <c r="G135" s="77" t="str">
        <f>A134</f>
        <v>Ground Floor For Commercial &amp; Parking</v>
      </c>
      <c r="H135" s="78"/>
      <c r="I135" s="39">
        <f>8000*F135</f>
        <v>2425615.7327999999</v>
      </c>
      <c r="J135" s="56">
        <f>2.15*5.63</f>
        <v>12.1045</v>
      </c>
      <c r="K135" s="56">
        <f>3200000/F135</f>
        <v>10554.021254821242</v>
      </c>
      <c r="L135" s="75">
        <f>2.75*8.05+1.2*1</f>
        <v>23.337500000000002</v>
      </c>
      <c r="M135" s="75"/>
      <c r="N135" s="39"/>
    </row>
    <row r="136" spans="1:14" s="56" customFormat="1" ht="15.75" customHeight="1" x14ac:dyDescent="0.35">
      <c r="A136" s="73">
        <f t="shared" ref="A136:A144" si="0">A135+1</f>
        <v>2</v>
      </c>
      <c r="B136" s="74"/>
      <c r="C136" s="57" t="s">
        <v>195</v>
      </c>
      <c r="D136" s="60">
        <f>(16.91)*(10.764)</f>
        <v>182.01924</v>
      </c>
      <c r="E136" s="60">
        <f>(2.75*3.075)*(10.764)</f>
        <v>91.023075000000006</v>
      </c>
      <c r="F136" s="57">
        <f t="shared" ref="F136:F138" si="1">(D136+E136)*(($F$132)+1)</f>
        <v>423.21558825000005</v>
      </c>
      <c r="G136" s="79"/>
      <c r="H136" s="80"/>
      <c r="I136" s="39">
        <f t="shared" ref="I136:I150" si="2">8000*F136</f>
        <v>3385724.7060000002</v>
      </c>
      <c r="J136" s="56">
        <f>2.75*11.15</f>
        <v>30.662500000000001</v>
      </c>
      <c r="K136" s="56">
        <f>9+10.2</f>
        <v>19.2</v>
      </c>
      <c r="L136" s="75"/>
      <c r="M136" s="75"/>
      <c r="N136" s="39"/>
    </row>
    <row r="137" spans="1:14" s="56" customFormat="1" ht="15.75" customHeight="1" x14ac:dyDescent="0.35">
      <c r="A137" s="73">
        <f t="shared" si="0"/>
        <v>3</v>
      </c>
      <c r="B137" s="74"/>
      <c r="C137" s="57" t="s">
        <v>195</v>
      </c>
      <c r="D137" s="60">
        <f>(18.45)*(10.764)</f>
        <v>198.59579999999997</v>
      </c>
      <c r="E137" s="60">
        <f>(3*3.075)*(10.764)</f>
        <v>99.297900000000013</v>
      </c>
      <c r="F137" s="57">
        <f t="shared" si="1"/>
        <v>461.73523499999999</v>
      </c>
      <c r="G137" s="79"/>
      <c r="H137" s="80"/>
      <c r="I137" s="39">
        <f t="shared" si="2"/>
        <v>3693881.88</v>
      </c>
      <c r="J137" s="56">
        <f>2.2*6.28+1.15*1.5</f>
        <v>15.541000000000002</v>
      </c>
      <c r="K137" s="56">
        <f>K136/2</f>
        <v>9.6</v>
      </c>
      <c r="L137" s="75"/>
      <c r="M137" s="75"/>
      <c r="N137" s="39"/>
    </row>
    <row r="138" spans="1:14" s="56" customFormat="1" ht="15.75" customHeight="1" x14ac:dyDescent="0.35">
      <c r="A138" s="73">
        <f t="shared" si="0"/>
        <v>4</v>
      </c>
      <c r="B138" s="74"/>
      <c r="C138" s="57" t="s">
        <v>195</v>
      </c>
      <c r="D138" s="60">
        <f>(32.89)*(10.764)</f>
        <v>354.02796000000001</v>
      </c>
      <c r="E138" s="60">
        <f>(2.75*5.83)*(10.764)</f>
        <v>172.57382999999999</v>
      </c>
      <c r="F138" s="57">
        <f t="shared" si="1"/>
        <v>816.23277449999989</v>
      </c>
      <c r="G138" s="79"/>
      <c r="H138" s="80"/>
      <c r="I138" s="39">
        <f t="shared" si="2"/>
        <v>6529862.1959999995</v>
      </c>
      <c r="L138" s="75"/>
      <c r="M138" s="75"/>
      <c r="N138" s="39"/>
    </row>
    <row r="139" spans="1:14" s="56" customFormat="1" ht="15.75" customHeight="1" x14ac:dyDescent="0.35">
      <c r="A139" s="73">
        <f t="shared" si="0"/>
        <v>5</v>
      </c>
      <c r="B139" s="74"/>
      <c r="C139" s="57" t="s">
        <v>195</v>
      </c>
      <c r="D139" s="60">
        <f>(21.64)*(10.764)</f>
        <v>232.93295999999998</v>
      </c>
      <c r="E139" s="60">
        <f>(2.15*4.465+1.25*1)*(10.764)</f>
        <v>116.78670899999997</v>
      </c>
      <c r="F139" s="57">
        <f t="shared" ref="F139:F142" si="3">(D139+E139)*(($F$132)+1)</f>
        <v>542.06548694999992</v>
      </c>
      <c r="G139" s="79"/>
      <c r="H139" s="80"/>
      <c r="I139" s="39">
        <f t="shared" si="2"/>
        <v>4336523.8955999995</v>
      </c>
      <c r="L139" s="75"/>
      <c r="M139" s="75"/>
      <c r="N139" s="39"/>
    </row>
    <row r="140" spans="1:14" s="56" customFormat="1" ht="15.75" customHeight="1" x14ac:dyDescent="0.35">
      <c r="A140" s="73">
        <f t="shared" si="0"/>
        <v>6</v>
      </c>
      <c r="B140" s="74"/>
      <c r="C140" s="57" t="s">
        <v>195</v>
      </c>
      <c r="D140" s="60">
        <f>(23.92)*(10.764)</f>
        <v>257.47487999999998</v>
      </c>
      <c r="E140" s="60">
        <f>(2.75*4.02+1.2*1)*(10.764)</f>
        <v>131.91281999999998</v>
      </c>
      <c r="F140" s="57">
        <f t="shared" si="3"/>
        <v>603.55093499999998</v>
      </c>
      <c r="G140" s="79"/>
      <c r="H140" s="80"/>
      <c r="I140" s="39">
        <f t="shared" si="2"/>
        <v>4828407.4799999995</v>
      </c>
      <c r="L140" s="75"/>
      <c r="M140" s="75"/>
      <c r="N140" s="39"/>
    </row>
    <row r="141" spans="1:14" s="56" customFormat="1" ht="15.75" customHeight="1" x14ac:dyDescent="0.35">
      <c r="A141" s="73">
        <f t="shared" si="0"/>
        <v>7</v>
      </c>
      <c r="B141" s="74"/>
      <c r="C141" s="57" t="s">
        <v>195</v>
      </c>
      <c r="D141" s="60">
        <f>(26.59)*(10.764)</f>
        <v>286.21475999999996</v>
      </c>
      <c r="E141" s="60">
        <f>(2.75*4.75)*(10.764)</f>
        <v>140.60475</v>
      </c>
      <c r="F141" s="57">
        <f t="shared" si="3"/>
        <v>661.57024049999995</v>
      </c>
      <c r="G141" s="79"/>
      <c r="H141" s="80"/>
      <c r="I141" s="39">
        <f t="shared" si="2"/>
        <v>5292561.9239999996</v>
      </c>
      <c r="L141" s="75"/>
      <c r="M141" s="75"/>
      <c r="N141" s="39"/>
    </row>
    <row r="142" spans="1:14" s="56" customFormat="1" ht="15.75" customHeight="1" x14ac:dyDescent="0.35">
      <c r="A142" s="73">
        <f t="shared" si="0"/>
        <v>8</v>
      </c>
      <c r="B142" s="74"/>
      <c r="C142" s="57" t="s">
        <v>195</v>
      </c>
      <c r="D142" s="60">
        <f>(16.81)*(10.764)</f>
        <v>180.94283999999996</v>
      </c>
      <c r="E142" s="60">
        <f>(2.75*3.315+1.15*1.5)*(10.764)</f>
        <v>116.69521499999998</v>
      </c>
      <c r="F142" s="57">
        <f t="shared" si="3"/>
        <v>461.33898524999995</v>
      </c>
      <c r="G142" s="79"/>
      <c r="H142" s="80"/>
      <c r="I142" s="39">
        <f t="shared" si="2"/>
        <v>3690711.8819999998</v>
      </c>
      <c r="L142" s="75"/>
      <c r="M142" s="75"/>
      <c r="N142" s="39"/>
    </row>
    <row r="143" spans="1:14" s="56" customFormat="1" ht="15.75" customHeight="1" x14ac:dyDescent="0.35">
      <c r="A143" s="73">
        <f t="shared" si="0"/>
        <v>9</v>
      </c>
      <c r="B143" s="74"/>
      <c r="C143" s="57" t="s">
        <v>195</v>
      </c>
      <c r="D143" s="60">
        <f>(19.86)*(10.764)</f>
        <v>213.77303999999998</v>
      </c>
      <c r="E143" s="60">
        <f>(2.75*3.53)*(10.764)</f>
        <v>104.49152999999998</v>
      </c>
      <c r="F143" s="57">
        <f t="shared" ref="F143:F145" si="4">(D143+E143)*(($F$132)+1)</f>
        <v>493.31008349999991</v>
      </c>
      <c r="G143" s="79"/>
      <c r="H143" s="80"/>
      <c r="I143" s="39">
        <f t="shared" si="2"/>
        <v>3946480.6679999991</v>
      </c>
      <c r="L143" s="75"/>
      <c r="M143" s="75"/>
      <c r="N143" s="39"/>
    </row>
    <row r="144" spans="1:14" s="56" customFormat="1" ht="15.75" customHeight="1" x14ac:dyDescent="0.35">
      <c r="A144" s="73">
        <f t="shared" si="0"/>
        <v>10</v>
      </c>
      <c r="B144" s="74"/>
      <c r="C144" s="57" t="s">
        <v>195</v>
      </c>
      <c r="D144" s="60">
        <f>(18.84)*(10.764)</f>
        <v>202.79375999999999</v>
      </c>
      <c r="E144" s="60">
        <f>(3.28*2.85)*(10.764)</f>
        <v>100.62187199999998</v>
      </c>
      <c r="F144" s="57">
        <f t="shared" si="4"/>
        <v>470.29422959999994</v>
      </c>
      <c r="G144" s="79"/>
      <c r="H144" s="80"/>
      <c r="I144" s="39">
        <f t="shared" si="2"/>
        <v>3762353.8367999997</v>
      </c>
      <c r="L144" s="75"/>
      <c r="M144" s="75"/>
      <c r="N144" s="39"/>
    </row>
    <row r="145" spans="1:14" s="56" customFormat="1" ht="15.75" customHeight="1" x14ac:dyDescent="0.35">
      <c r="A145" s="73">
        <v>1</v>
      </c>
      <c r="B145" s="74"/>
      <c r="C145" s="57" t="s">
        <v>196</v>
      </c>
      <c r="D145" s="60">
        <f>(43.86)*(10.764)</f>
        <v>472.10903999999999</v>
      </c>
      <c r="E145" s="60">
        <f>(8.2*1.4+2.75*1.8)*10.764</f>
        <v>176.85252</v>
      </c>
      <c r="F145" s="57">
        <f t="shared" si="4"/>
        <v>1005.890418</v>
      </c>
      <c r="G145" s="81"/>
      <c r="H145" s="82"/>
      <c r="I145" s="39">
        <f t="shared" si="2"/>
        <v>8047123.3439999996</v>
      </c>
      <c r="L145" s="75"/>
      <c r="M145" s="75"/>
      <c r="N145" s="39"/>
    </row>
    <row r="146" spans="1:14" s="50" customFormat="1" hidden="1" x14ac:dyDescent="0.35">
      <c r="A146" s="86" t="s">
        <v>119</v>
      </c>
      <c r="B146" s="87"/>
      <c r="C146" s="87"/>
      <c r="D146" s="87"/>
      <c r="E146" s="87"/>
      <c r="F146" s="87"/>
      <c r="G146" s="87"/>
      <c r="H146" s="88"/>
      <c r="I146" s="39">
        <f t="shared" si="2"/>
        <v>0</v>
      </c>
      <c r="J146" s="39"/>
    </row>
    <row r="147" spans="1:14" s="50" customFormat="1" ht="15.75" hidden="1" customHeight="1" x14ac:dyDescent="0.35">
      <c r="A147" s="73">
        <v>1</v>
      </c>
      <c r="B147" s="74"/>
      <c r="C147" s="45"/>
      <c r="D147" s="45"/>
      <c r="E147" s="45">
        <v>0</v>
      </c>
      <c r="F147" s="45">
        <f>(D147+E147)*(($F$132)+1)</f>
        <v>0</v>
      </c>
      <c r="G147" s="77" t="str">
        <f>A146</f>
        <v>Ground Floor</v>
      </c>
      <c r="H147" s="78"/>
      <c r="I147" s="39">
        <f t="shared" si="2"/>
        <v>0</v>
      </c>
      <c r="L147" s="75"/>
      <c r="M147" s="75"/>
      <c r="N147" s="39"/>
    </row>
    <row r="148" spans="1:14" s="50" customFormat="1" ht="15.75" hidden="1" customHeight="1" x14ac:dyDescent="0.35">
      <c r="A148" s="73">
        <f t="shared" ref="A148:A150" si="5">A147+1</f>
        <v>2</v>
      </c>
      <c r="B148" s="74"/>
      <c r="C148" s="45"/>
      <c r="D148" s="45"/>
      <c r="E148" s="45">
        <v>0</v>
      </c>
      <c r="F148" s="45">
        <f t="shared" ref="F148:F150" si="6">(D148+E148)*(($F$132)+1)</f>
        <v>0</v>
      </c>
      <c r="G148" s="79"/>
      <c r="H148" s="80"/>
      <c r="I148" s="39">
        <f t="shared" si="2"/>
        <v>0</v>
      </c>
      <c r="L148" s="75"/>
      <c r="M148" s="75"/>
      <c r="N148" s="39"/>
    </row>
    <row r="149" spans="1:14" s="50" customFormat="1" ht="15.75" hidden="1" customHeight="1" x14ac:dyDescent="0.35">
      <c r="A149" s="73">
        <f t="shared" si="5"/>
        <v>3</v>
      </c>
      <c r="B149" s="74"/>
      <c r="C149" s="45"/>
      <c r="D149" s="45"/>
      <c r="E149" s="45">
        <v>0</v>
      </c>
      <c r="F149" s="45">
        <f t="shared" si="6"/>
        <v>0</v>
      </c>
      <c r="G149" s="79"/>
      <c r="H149" s="80"/>
      <c r="I149" s="39">
        <f t="shared" si="2"/>
        <v>0</v>
      </c>
      <c r="L149" s="75"/>
      <c r="M149" s="75"/>
      <c r="N149" s="39"/>
    </row>
    <row r="150" spans="1:14" s="50" customFormat="1" ht="15.75" hidden="1" customHeight="1" x14ac:dyDescent="0.35">
      <c r="A150" s="73">
        <f t="shared" si="5"/>
        <v>4</v>
      </c>
      <c r="B150" s="74"/>
      <c r="C150" s="45"/>
      <c r="D150" s="45"/>
      <c r="E150" s="45">
        <v>0</v>
      </c>
      <c r="F150" s="45">
        <f t="shared" si="6"/>
        <v>0</v>
      </c>
      <c r="G150" s="81"/>
      <c r="H150" s="82"/>
      <c r="I150" s="39">
        <f t="shared" si="2"/>
        <v>0</v>
      </c>
      <c r="L150" s="75"/>
      <c r="M150" s="75"/>
      <c r="N150" s="39"/>
    </row>
    <row r="151" spans="1:14" s="50" customFormat="1" x14ac:dyDescent="0.35">
      <c r="A151" s="73"/>
      <c r="B151" s="102"/>
      <c r="C151" s="102"/>
      <c r="D151" s="102"/>
      <c r="E151" s="102"/>
      <c r="F151" s="102"/>
      <c r="G151" s="102"/>
      <c r="H151" s="74"/>
      <c r="I151" s="39"/>
      <c r="N151" s="39"/>
    </row>
    <row r="152" spans="1:14" ht="47.25" customHeight="1" x14ac:dyDescent="0.35">
      <c r="A152" s="99" t="s">
        <v>123</v>
      </c>
      <c r="B152" s="99" t="s">
        <v>124</v>
      </c>
      <c r="C152" s="92" t="s">
        <v>58</v>
      </c>
      <c r="D152" s="92" t="s">
        <v>59</v>
      </c>
      <c r="E152" s="105" t="s">
        <v>60</v>
      </c>
      <c r="F152" s="46" t="s">
        <v>155</v>
      </c>
      <c r="G152" s="99" t="s">
        <v>61</v>
      </c>
      <c r="H152" s="107"/>
      <c r="I152" s="39"/>
    </row>
    <row r="153" spans="1:14" s="50" customFormat="1" x14ac:dyDescent="0.35">
      <c r="A153" s="100"/>
      <c r="B153" s="100"/>
      <c r="C153" s="93"/>
      <c r="D153" s="93"/>
      <c r="E153" s="106"/>
      <c r="F153" s="15">
        <v>0.5</v>
      </c>
      <c r="G153" s="100"/>
      <c r="H153" s="108"/>
      <c r="I153" s="39"/>
    </row>
    <row r="154" spans="1:14" s="61" customFormat="1" x14ac:dyDescent="0.35">
      <c r="A154" s="86" t="s">
        <v>179</v>
      </c>
      <c r="B154" s="87"/>
      <c r="C154" s="87"/>
      <c r="D154" s="87"/>
      <c r="E154" s="87"/>
      <c r="F154" s="87"/>
      <c r="G154" s="87"/>
      <c r="H154" s="88"/>
      <c r="J154" s="39"/>
    </row>
    <row r="155" spans="1:14" s="56" customFormat="1" x14ac:dyDescent="0.35">
      <c r="A155" s="86" t="s">
        <v>197</v>
      </c>
      <c r="B155" s="87"/>
      <c r="C155" s="87"/>
      <c r="D155" s="87"/>
      <c r="E155" s="87"/>
      <c r="F155" s="87"/>
      <c r="G155" s="87"/>
      <c r="H155" s="88"/>
      <c r="J155" s="39"/>
    </row>
    <row r="156" spans="1:14" s="56" customFormat="1" ht="15.75" customHeight="1" x14ac:dyDescent="0.35">
      <c r="A156" s="73">
        <v>1</v>
      </c>
      <c r="B156" s="74"/>
      <c r="C156" s="55">
        <v>1</v>
      </c>
      <c r="D156" s="60">
        <f>(34.59+0.75*(2.75+2.2+2.75))*(10.764)</f>
        <v>434.48885999999999</v>
      </c>
      <c r="E156" s="57">
        <v>0</v>
      </c>
      <c r="F156" s="57">
        <f t="shared" ref="F156:F167" si="7">D156*(($F$153)+1)+(IF(E156&lt;101,E156,IF(E156&lt;201,E156/2,IF(E156&lt;=301,E156/3,E156/4))))</f>
        <v>651.73329000000001</v>
      </c>
      <c r="G156" s="77" t="str">
        <f>A155</f>
        <v>1st Floor For Residential</v>
      </c>
      <c r="H156" s="78"/>
      <c r="I156" s="39">
        <f>(2.75*4.27+2.2*2.45+2.75*3.35+1.8*1.2+1.2*1.8+2.2*0.9)</f>
        <v>32.644999999999996</v>
      </c>
      <c r="J156" s="56">
        <f>2.75*4.27+2.2*2.45+2.75*3.35+1.8*1.2+1.2*1.8+2.2*0.9</f>
        <v>32.644999999999996</v>
      </c>
      <c r="K156" s="56">
        <f>3*4.27+2.15*2.45+2.75*3.35+2*(1.8*1.2)+2.15*0.9+2.5*3.3</f>
        <v>41.795000000000002</v>
      </c>
      <c r="L156" s="75"/>
      <c r="M156" s="75"/>
      <c r="N156" s="39"/>
    </row>
    <row r="157" spans="1:14" s="56" customFormat="1" ht="15.75" customHeight="1" x14ac:dyDescent="0.35">
      <c r="A157" s="73">
        <f t="shared" ref="A157:A167" si="8">A156+1</f>
        <v>2</v>
      </c>
      <c r="B157" s="74"/>
      <c r="C157" s="55">
        <v>1</v>
      </c>
      <c r="D157" s="60">
        <f>(33.21+0.75*(2.75+2.15+2.75))*(10.764)</f>
        <v>419.23089000000004</v>
      </c>
      <c r="E157" s="57">
        <v>0</v>
      </c>
      <c r="F157" s="57">
        <f t="shared" si="7"/>
        <v>628.84633500000007</v>
      </c>
      <c r="G157" s="79"/>
      <c r="H157" s="80"/>
      <c r="I157" s="39"/>
      <c r="J157" s="56">
        <f>0.75*(2.75+2.2+2.75)</f>
        <v>5.7750000000000004</v>
      </c>
      <c r="L157" s="75"/>
      <c r="M157" s="75"/>
      <c r="N157" s="39"/>
    </row>
    <row r="158" spans="1:14" s="56" customFormat="1" ht="15.75" customHeight="1" x14ac:dyDescent="0.35">
      <c r="A158" s="73">
        <f t="shared" si="8"/>
        <v>3</v>
      </c>
      <c r="B158" s="74"/>
      <c r="C158" s="55">
        <v>2</v>
      </c>
      <c r="D158" s="60">
        <f>(46.04+0.75*(2.75+2.75+2.15+2.75))*(10.764)</f>
        <v>579.53376000000003</v>
      </c>
      <c r="E158" s="57">
        <v>0</v>
      </c>
      <c r="F158" s="57">
        <f t="shared" si="7"/>
        <v>869.30064000000004</v>
      </c>
      <c r="G158" s="79"/>
      <c r="H158" s="80"/>
      <c r="I158" s="39"/>
      <c r="L158" s="75"/>
      <c r="M158" s="75"/>
      <c r="N158" s="39"/>
    </row>
    <row r="159" spans="1:14" s="56" customFormat="1" ht="15.75" customHeight="1" x14ac:dyDescent="0.35">
      <c r="A159" s="73">
        <f t="shared" si="8"/>
        <v>4</v>
      </c>
      <c r="B159" s="74"/>
      <c r="C159" s="55">
        <v>2</v>
      </c>
      <c r="D159" s="60">
        <f>(44.08+0.75*(3+2.75+2.15+2.5))*(10.764)</f>
        <v>558.43631999999991</v>
      </c>
      <c r="E159" s="60">
        <f>(7.4*8.1+3*1)*(10.764)</f>
        <v>677.48615999999993</v>
      </c>
      <c r="F159" s="57">
        <f t="shared" si="7"/>
        <v>1007.0260199999999</v>
      </c>
      <c r="G159" s="79"/>
      <c r="H159" s="80"/>
      <c r="I159" s="39">
        <f>(8*7.4+3*1.2)*10.764</f>
        <v>675.97919999999999</v>
      </c>
      <c r="J159" s="56">
        <f>(66.93)*10.764</f>
        <v>720.43452000000002</v>
      </c>
      <c r="L159" s="75"/>
      <c r="M159" s="75"/>
      <c r="N159" s="39"/>
    </row>
    <row r="160" spans="1:14" s="56" customFormat="1" ht="15.75" customHeight="1" x14ac:dyDescent="0.35">
      <c r="A160" s="73">
        <f t="shared" si="8"/>
        <v>5</v>
      </c>
      <c r="B160" s="74"/>
      <c r="C160" s="55">
        <v>1</v>
      </c>
      <c r="D160" s="60">
        <f>(35.3+0.75*(3+2.15+2.75))*(10.764)</f>
        <v>443.74589999999989</v>
      </c>
      <c r="E160" s="60">
        <f>(5.7*8.65+3*1)*10.764</f>
        <v>563.01102000000003</v>
      </c>
      <c r="F160" s="57">
        <f t="shared" si="7"/>
        <v>806.37160499999982</v>
      </c>
      <c r="G160" s="79"/>
      <c r="H160" s="80"/>
      <c r="I160" s="39">
        <f>(5.7*8.65+3*1)*10.764</f>
        <v>563.01102000000003</v>
      </c>
      <c r="J160" s="56">
        <f>(55.07)*10.764</f>
        <v>592.77347999999995</v>
      </c>
      <c r="L160" s="75"/>
      <c r="M160" s="75"/>
      <c r="N160" s="39"/>
    </row>
    <row r="161" spans="1:14" s="56" customFormat="1" ht="15.75" customHeight="1" x14ac:dyDescent="0.35">
      <c r="A161" s="73">
        <f t="shared" si="8"/>
        <v>6</v>
      </c>
      <c r="B161" s="74"/>
      <c r="C161" s="55">
        <v>2</v>
      </c>
      <c r="D161" s="60">
        <f>(44.3+2.75*1+0.75*(2.75+2.2+2.85))*(10.764)</f>
        <v>569.41559999999993</v>
      </c>
      <c r="E161" s="60">
        <f>(7*3.2*0.5+3*0.75+3.5*2.35+3.15*0.75)*10.764</f>
        <v>258.73964999999998</v>
      </c>
      <c r="F161" s="57">
        <f t="shared" si="7"/>
        <v>940.3699499999999</v>
      </c>
      <c r="G161" s="79"/>
      <c r="H161" s="80"/>
      <c r="I161" s="39">
        <f>(7*3.2*0.5+3*0.75+3.5*2.35+3.15*0.75)*10.764</f>
        <v>258.73964999999998</v>
      </c>
      <c r="J161" s="56">
        <f>(32.77)*10.764</f>
        <v>352.73628000000002</v>
      </c>
      <c r="K161" s="56">
        <f>(0.5*8.3*4.5+(3.3*2.5)+3.15*0.9)</f>
        <v>29.76</v>
      </c>
      <c r="L161" s="75"/>
      <c r="M161" s="75"/>
      <c r="N161" s="39"/>
    </row>
    <row r="162" spans="1:14" s="56" customFormat="1" ht="15.75" customHeight="1" x14ac:dyDescent="0.35">
      <c r="A162" s="73">
        <f t="shared" si="8"/>
        <v>7</v>
      </c>
      <c r="B162" s="74"/>
      <c r="C162" s="55">
        <v>2</v>
      </c>
      <c r="D162" s="60">
        <f>(47.46+0.75*(2.75+2.2+2.75+2.85))*(10.764)</f>
        <v>596.02958999999998</v>
      </c>
      <c r="E162" s="60">
        <f>(1.5*5.4+2*1)*(10.764)</f>
        <v>108.71640000000001</v>
      </c>
      <c r="F162" s="57">
        <f t="shared" si="7"/>
        <v>948.40258499999993</v>
      </c>
      <c r="G162" s="79"/>
      <c r="H162" s="80"/>
      <c r="I162" s="39">
        <f>(5.3*1.5+0.9*2.1)*10.764</f>
        <v>105.91775999999999</v>
      </c>
      <c r="J162" s="56">
        <f>(13.23)*10.764</f>
        <v>142.40771999999998</v>
      </c>
      <c r="L162" s="75"/>
      <c r="M162" s="75"/>
      <c r="N162" s="39"/>
    </row>
    <row r="163" spans="1:14" s="56" customFormat="1" ht="15.75" customHeight="1" x14ac:dyDescent="0.35">
      <c r="A163" s="73">
        <f t="shared" si="8"/>
        <v>8</v>
      </c>
      <c r="B163" s="74"/>
      <c r="C163" s="55">
        <v>1</v>
      </c>
      <c r="D163" s="60">
        <f>(34.23+0.75*(2.75+2.15+2.75))*(10.764)</f>
        <v>430.21017000000001</v>
      </c>
      <c r="E163" s="57">
        <v>0</v>
      </c>
      <c r="F163" s="57">
        <f t="shared" si="7"/>
        <v>645.31525499999998</v>
      </c>
      <c r="G163" s="79"/>
      <c r="H163" s="80"/>
      <c r="I163" s="39"/>
      <c r="L163" s="75"/>
      <c r="M163" s="75"/>
      <c r="N163" s="39"/>
    </row>
    <row r="164" spans="1:14" s="56" customFormat="1" ht="15.75" customHeight="1" x14ac:dyDescent="0.35">
      <c r="A164" s="73">
        <f t="shared" si="8"/>
        <v>9</v>
      </c>
      <c r="B164" s="74"/>
      <c r="C164" s="55">
        <v>1</v>
      </c>
      <c r="D164" s="60">
        <f>(33.21+0.75*(2.75+2.15+2.75))*(10.764)</f>
        <v>419.23089000000004</v>
      </c>
      <c r="E164" s="57">
        <v>0</v>
      </c>
      <c r="F164" s="57">
        <f t="shared" si="7"/>
        <v>628.84633500000007</v>
      </c>
      <c r="G164" s="79"/>
      <c r="H164" s="80"/>
      <c r="I164" s="39"/>
      <c r="J164" s="56">
        <f>2500000/F163</f>
        <v>3874.0754702908739</v>
      </c>
      <c r="L164" s="75"/>
      <c r="M164" s="75"/>
      <c r="N164" s="39"/>
    </row>
    <row r="165" spans="1:14" s="56" customFormat="1" ht="15.75" customHeight="1" x14ac:dyDescent="0.35">
      <c r="A165" s="73">
        <f t="shared" si="8"/>
        <v>10</v>
      </c>
      <c r="B165" s="74"/>
      <c r="C165" s="55">
        <v>1</v>
      </c>
      <c r="D165" s="60">
        <f>(33.25+0.75*(2.75+2.15+2.75))*(10.764)</f>
        <v>419.66144999999995</v>
      </c>
      <c r="E165" s="57">
        <v>0</v>
      </c>
      <c r="F165" s="57">
        <f t="shared" si="7"/>
        <v>629.49217499999986</v>
      </c>
      <c r="G165" s="79"/>
      <c r="H165" s="80"/>
      <c r="I165" s="39"/>
      <c r="L165" s="75"/>
      <c r="M165" s="75"/>
      <c r="N165" s="39"/>
    </row>
    <row r="166" spans="1:14" s="56" customFormat="1" ht="15.75" customHeight="1" x14ac:dyDescent="0.35">
      <c r="A166" s="73">
        <f t="shared" si="8"/>
        <v>11</v>
      </c>
      <c r="B166" s="74"/>
      <c r="C166" s="55">
        <v>1</v>
      </c>
      <c r="D166" s="60">
        <f>(33.21+0.75*(2.75+2.15+2.75))*(10.764)</f>
        <v>419.23089000000004</v>
      </c>
      <c r="E166" s="57">
        <v>0</v>
      </c>
      <c r="F166" s="57">
        <f t="shared" si="7"/>
        <v>628.84633500000007</v>
      </c>
      <c r="G166" s="79"/>
      <c r="H166" s="80"/>
      <c r="I166" s="39"/>
      <c r="L166" s="75"/>
      <c r="M166" s="75"/>
      <c r="N166" s="39"/>
    </row>
    <row r="167" spans="1:14" s="56" customFormat="1" ht="15.75" customHeight="1" x14ac:dyDescent="0.35">
      <c r="A167" s="73">
        <f t="shared" si="8"/>
        <v>12</v>
      </c>
      <c r="B167" s="74"/>
      <c r="C167" s="55">
        <v>1</v>
      </c>
      <c r="D167" s="60">
        <f>(34.59+0.75*(2.75+2.2+2.75))*(10.764)</f>
        <v>434.48885999999999</v>
      </c>
      <c r="E167" s="57">
        <v>0</v>
      </c>
      <c r="F167" s="57">
        <f t="shared" si="7"/>
        <v>651.73329000000001</v>
      </c>
      <c r="G167" s="81"/>
      <c r="H167" s="82"/>
      <c r="I167" s="39">
        <f>2519400/F167</f>
        <v>3865.6917463890786</v>
      </c>
      <c r="L167" s="75"/>
      <c r="M167" s="75"/>
      <c r="N167" s="39"/>
    </row>
    <row r="168" spans="1:14" s="56" customFormat="1" x14ac:dyDescent="0.35">
      <c r="A168" s="86" t="s">
        <v>198</v>
      </c>
      <c r="B168" s="87"/>
      <c r="C168" s="87"/>
      <c r="D168" s="87"/>
      <c r="E168" s="87"/>
      <c r="F168" s="87"/>
      <c r="G168" s="87"/>
      <c r="H168" s="88"/>
      <c r="J168" s="39"/>
    </row>
    <row r="169" spans="1:14" s="56" customFormat="1" ht="15.75" customHeight="1" x14ac:dyDescent="0.35">
      <c r="A169" s="73">
        <v>1</v>
      </c>
      <c r="B169" s="74"/>
      <c r="C169" s="55">
        <v>1</v>
      </c>
      <c r="D169" s="60">
        <f>(34.59+0.75*(2.75+2.2+2.75))*(10.764)</f>
        <v>434.48885999999999</v>
      </c>
      <c r="E169" s="57">
        <v>0</v>
      </c>
      <c r="F169" s="57">
        <f t="shared" ref="F169:F180" si="9">D169*(($F$153)+1)+(IF(E169&lt;101,E169,IF(E169&lt;201,E169/2,IF(E169&lt;=301,E169/3,E169/4))))</f>
        <v>651.73329000000001</v>
      </c>
      <c r="G169" s="77" t="str">
        <f>A168</f>
        <v>2nd to 7th &amp; 9th to 11th Floor</v>
      </c>
      <c r="H169" s="78"/>
      <c r="I169" s="39"/>
      <c r="L169" s="75"/>
      <c r="M169" s="75"/>
      <c r="N169" s="39"/>
    </row>
    <row r="170" spans="1:14" s="56" customFormat="1" ht="15.75" customHeight="1" x14ac:dyDescent="0.35">
      <c r="A170" s="73">
        <f t="shared" ref="A170:A180" si="10">A169+1</f>
        <v>2</v>
      </c>
      <c r="B170" s="74"/>
      <c r="C170" s="55">
        <v>1</v>
      </c>
      <c r="D170" s="60">
        <f>(33.21+0.75*(2.75+2.15+2.75))*(10.764)</f>
        <v>419.23089000000004</v>
      </c>
      <c r="E170" s="57">
        <v>0</v>
      </c>
      <c r="F170" s="57">
        <f t="shared" si="9"/>
        <v>628.84633500000007</v>
      </c>
      <c r="G170" s="79"/>
      <c r="H170" s="80"/>
      <c r="I170" s="39"/>
      <c r="L170" s="75"/>
      <c r="M170" s="75"/>
      <c r="N170" s="39"/>
    </row>
    <row r="171" spans="1:14" s="56" customFormat="1" ht="15.75" customHeight="1" x14ac:dyDescent="0.35">
      <c r="A171" s="73">
        <f t="shared" si="10"/>
        <v>3</v>
      </c>
      <c r="B171" s="74"/>
      <c r="C171" s="55">
        <v>2</v>
      </c>
      <c r="D171" s="60">
        <f>(46.04+0.75*(2.75+2.75+2.15+2.75))*(10.764)</f>
        <v>579.53376000000003</v>
      </c>
      <c r="E171" s="57">
        <v>0</v>
      </c>
      <c r="F171" s="57">
        <f t="shared" si="9"/>
        <v>869.30064000000004</v>
      </c>
      <c r="G171" s="79"/>
      <c r="H171" s="80"/>
      <c r="I171" s="39"/>
      <c r="L171" s="75"/>
      <c r="M171" s="75"/>
      <c r="N171" s="39"/>
    </row>
    <row r="172" spans="1:14" s="56" customFormat="1" ht="15.75" customHeight="1" x14ac:dyDescent="0.35">
      <c r="A172" s="73">
        <f t="shared" si="10"/>
        <v>4</v>
      </c>
      <c r="B172" s="74"/>
      <c r="C172" s="55">
        <v>2</v>
      </c>
      <c r="D172" s="60">
        <f>(44.08+0.75*(3+2.75+2.15+2.5))*(10.764)</f>
        <v>558.43631999999991</v>
      </c>
      <c r="E172" s="57">
        <v>0</v>
      </c>
      <c r="F172" s="57">
        <f t="shared" si="9"/>
        <v>837.65447999999992</v>
      </c>
      <c r="G172" s="79"/>
      <c r="H172" s="80"/>
      <c r="I172" s="39">
        <f>3268000/F172</f>
        <v>3901.3699299978675</v>
      </c>
      <c r="L172" s="75"/>
      <c r="M172" s="75"/>
      <c r="N172" s="39"/>
    </row>
    <row r="173" spans="1:14" s="56" customFormat="1" ht="15.75" customHeight="1" x14ac:dyDescent="0.35">
      <c r="A173" s="73">
        <f t="shared" si="10"/>
        <v>5</v>
      </c>
      <c r="B173" s="74"/>
      <c r="C173" s="55">
        <v>1</v>
      </c>
      <c r="D173" s="60">
        <f>(35.3+0.75*(3+2.15+2.75))*(10.764)</f>
        <v>443.74589999999989</v>
      </c>
      <c r="E173" s="57">
        <v>0</v>
      </c>
      <c r="F173" s="57">
        <f t="shared" si="9"/>
        <v>665.61884999999984</v>
      </c>
      <c r="G173" s="79"/>
      <c r="H173" s="80"/>
      <c r="I173" s="39"/>
      <c r="L173" s="75"/>
      <c r="M173" s="75"/>
      <c r="N173" s="39"/>
    </row>
    <row r="174" spans="1:14" s="56" customFormat="1" ht="15.75" customHeight="1" x14ac:dyDescent="0.35">
      <c r="A174" s="73">
        <f t="shared" si="10"/>
        <v>6</v>
      </c>
      <c r="B174" s="74"/>
      <c r="C174" s="55">
        <v>2</v>
      </c>
      <c r="D174" s="60">
        <f>(44.3+2.75*1+0.75*(2.75+2.2+2.85))*(10.764)</f>
        <v>569.41559999999993</v>
      </c>
      <c r="E174" s="57">
        <v>0</v>
      </c>
      <c r="F174" s="57">
        <f t="shared" si="9"/>
        <v>854.12339999999995</v>
      </c>
      <c r="G174" s="79"/>
      <c r="H174" s="80"/>
      <c r="I174" s="39"/>
      <c r="J174" s="56">
        <f>3300000/F174</f>
        <v>3863.6103401452297</v>
      </c>
      <c r="L174" s="75"/>
      <c r="M174" s="75"/>
      <c r="N174" s="39"/>
    </row>
    <row r="175" spans="1:14" s="56" customFormat="1" ht="15.75" customHeight="1" x14ac:dyDescent="0.35">
      <c r="A175" s="73">
        <f t="shared" si="10"/>
        <v>7</v>
      </c>
      <c r="B175" s="74"/>
      <c r="C175" s="55">
        <v>2</v>
      </c>
      <c r="D175" s="60">
        <f>(47.46+0.75*(2.75+2.2+2.75+2.85))*(10.764)</f>
        <v>596.02958999999998</v>
      </c>
      <c r="E175" s="57">
        <v>0</v>
      </c>
      <c r="F175" s="57">
        <f t="shared" si="9"/>
        <v>894.04438499999992</v>
      </c>
      <c r="G175" s="79"/>
      <c r="H175" s="80"/>
      <c r="I175" s="39"/>
      <c r="L175" s="75"/>
      <c r="M175" s="75"/>
      <c r="N175" s="39"/>
    </row>
    <row r="176" spans="1:14" s="56" customFormat="1" ht="15.75" customHeight="1" x14ac:dyDescent="0.35">
      <c r="A176" s="73">
        <f t="shared" si="10"/>
        <v>8</v>
      </c>
      <c r="B176" s="74"/>
      <c r="C176" s="55">
        <v>1</v>
      </c>
      <c r="D176" s="60">
        <f>(34.23+0.75*(2.75+2.15+2.75))*(10.764)</f>
        <v>430.21017000000001</v>
      </c>
      <c r="E176" s="57">
        <v>0</v>
      </c>
      <c r="F176" s="57">
        <f t="shared" si="9"/>
        <v>645.31525499999998</v>
      </c>
      <c r="G176" s="79"/>
      <c r="H176" s="80"/>
      <c r="I176" s="39"/>
      <c r="L176" s="75"/>
      <c r="M176" s="75"/>
      <c r="N176" s="39"/>
    </row>
    <row r="177" spans="1:14" s="56" customFormat="1" ht="15.75" customHeight="1" x14ac:dyDescent="0.35">
      <c r="A177" s="73">
        <f t="shared" si="10"/>
        <v>9</v>
      </c>
      <c r="B177" s="74"/>
      <c r="C177" s="55">
        <v>1</v>
      </c>
      <c r="D177" s="60">
        <f>(33.21+0.75*(2.75+2.15+2.75))*(10.764)</f>
        <v>419.23089000000004</v>
      </c>
      <c r="E177" s="57">
        <v>0</v>
      </c>
      <c r="F177" s="57">
        <f t="shared" si="9"/>
        <v>628.84633500000007</v>
      </c>
      <c r="G177" s="79"/>
      <c r="H177" s="80"/>
      <c r="I177" s="39">
        <f>2451000/F177</f>
        <v>3897.6135561003148</v>
      </c>
      <c r="L177" s="75"/>
      <c r="M177" s="75"/>
      <c r="N177" s="39"/>
    </row>
    <row r="178" spans="1:14" s="56" customFormat="1" ht="15.75" customHeight="1" x14ac:dyDescent="0.35">
      <c r="A178" s="73">
        <f t="shared" si="10"/>
        <v>10</v>
      </c>
      <c r="B178" s="74"/>
      <c r="C178" s="55">
        <v>1</v>
      </c>
      <c r="D178" s="60">
        <f>(33.25+0.75*(2.75+2.15+2.75))*(10.764)</f>
        <v>419.66144999999995</v>
      </c>
      <c r="E178" s="57">
        <v>0</v>
      </c>
      <c r="F178" s="57">
        <f t="shared" si="9"/>
        <v>629.49217499999986</v>
      </c>
      <c r="G178" s="79"/>
      <c r="H178" s="80"/>
      <c r="I178" s="39"/>
      <c r="L178" s="75"/>
      <c r="M178" s="75"/>
      <c r="N178" s="39"/>
    </row>
    <row r="179" spans="1:14" s="56" customFormat="1" ht="15.75" customHeight="1" x14ac:dyDescent="0.35">
      <c r="A179" s="73">
        <f t="shared" si="10"/>
        <v>11</v>
      </c>
      <c r="B179" s="74"/>
      <c r="C179" s="55">
        <v>1</v>
      </c>
      <c r="D179" s="60">
        <f>(33.21+0.75*(2.75+2.15+2.75))*(10.764)</f>
        <v>419.23089000000004</v>
      </c>
      <c r="E179" s="57">
        <v>0</v>
      </c>
      <c r="F179" s="57">
        <f t="shared" si="9"/>
        <v>628.84633500000007</v>
      </c>
      <c r="G179" s="79"/>
      <c r="H179" s="80"/>
      <c r="I179" s="39"/>
      <c r="L179" s="75"/>
      <c r="M179" s="75"/>
      <c r="N179" s="39"/>
    </row>
    <row r="180" spans="1:14" s="56" customFormat="1" ht="15.75" customHeight="1" x14ac:dyDescent="0.35">
      <c r="A180" s="73">
        <f t="shared" si="10"/>
        <v>12</v>
      </c>
      <c r="B180" s="74"/>
      <c r="C180" s="55">
        <v>1</v>
      </c>
      <c r="D180" s="60">
        <f>(34.59+0.75*(2.75+2.2+2.75))*(10.764)</f>
        <v>434.48885999999999</v>
      </c>
      <c r="E180" s="57">
        <v>0</v>
      </c>
      <c r="F180" s="57">
        <f t="shared" si="9"/>
        <v>651.73329000000001</v>
      </c>
      <c r="G180" s="81"/>
      <c r="H180" s="82"/>
      <c r="I180" s="39"/>
      <c r="L180" s="75"/>
      <c r="M180" s="75"/>
      <c r="N180" s="39"/>
    </row>
    <row r="181" spans="1:14" s="56" customFormat="1" x14ac:dyDescent="0.35">
      <c r="A181" s="86" t="s">
        <v>199</v>
      </c>
      <c r="B181" s="87"/>
      <c r="C181" s="87"/>
      <c r="D181" s="87"/>
      <c r="E181" s="87"/>
      <c r="F181" s="87"/>
      <c r="G181" s="87"/>
      <c r="H181" s="88"/>
      <c r="J181" s="39"/>
    </row>
    <row r="182" spans="1:14" s="56" customFormat="1" ht="15.75" customHeight="1" x14ac:dyDescent="0.35">
      <c r="A182" s="73">
        <v>1</v>
      </c>
      <c r="B182" s="74"/>
      <c r="C182" s="55">
        <v>1</v>
      </c>
      <c r="D182" s="60">
        <f>(34.59+0.75*(2.75+2.2+2.75))*(10.764)</f>
        <v>434.48885999999999</v>
      </c>
      <c r="E182" s="57">
        <v>0</v>
      </c>
      <c r="F182" s="57">
        <f>D182*(($F$153)+1)+(IF(E182&lt;101,E182,IF(E182&lt;201,E182/2,IF(E182&lt;=301,E182/3,E182/4))))</f>
        <v>651.73329000000001</v>
      </c>
      <c r="G182" s="77" t="str">
        <f>A181</f>
        <v>8th Floor (Part Refuge Area)</v>
      </c>
      <c r="H182" s="78"/>
      <c r="I182" s="39"/>
      <c r="L182" s="75"/>
      <c r="M182" s="75"/>
      <c r="N182" s="39"/>
    </row>
    <row r="183" spans="1:14" s="56" customFormat="1" ht="15.75" customHeight="1" x14ac:dyDescent="0.35">
      <c r="A183" s="73">
        <f t="shared" ref="A183:A193" si="11">A182+1</f>
        <v>2</v>
      </c>
      <c r="B183" s="74"/>
      <c r="C183" s="55">
        <v>1</v>
      </c>
      <c r="D183" s="60">
        <f>(33.21+0.75*(2.75+2.15+2.75))*(10.764)</f>
        <v>419.23089000000004</v>
      </c>
      <c r="E183" s="57">
        <v>0</v>
      </c>
      <c r="F183" s="57">
        <f>D183*(($F$153)+1)+(IF(E183&lt;101,E183,IF(E183&lt;201,E183/2,IF(E183&lt;=301,E183/3,E183/4))))</f>
        <v>628.84633500000007</v>
      </c>
      <c r="G183" s="79"/>
      <c r="H183" s="80"/>
      <c r="I183" s="39"/>
      <c r="L183" s="75"/>
      <c r="M183" s="75"/>
      <c r="N183" s="39"/>
    </row>
    <row r="184" spans="1:14" s="56" customFormat="1" ht="15.75" customHeight="1" x14ac:dyDescent="0.35">
      <c r="A184" s="73">
        <f t="shared" si="11"/>
        <v>3</v>
      </c>
      <c r="B184" s="74"/>
      <c r="C184" s="55">
        <v>2</v>
      </c>
      <c r="D184" s="60">
        <f>(46.04+0.75*(2.75+2.75+2.15+2.75))*(10.764)</f>
        <v>579.53376000000003</v>
      </c>
      <c r="E184" s="57">
        <v>0</v>
      </c>
      <c r="F184" s="57">
        <f>D184*(($F$153)+1)+(IF(E184&lt;101,E184,IF(E184&lt;201,E184/2,IF(E184&lt;=301,E184/3,E184/4))))</f>
        <v>869.30064000000004</v>
      </c>
      <c r="G184" s="79"/>
      <c r="H184" s="80"/>
      <c r="I184" s="39"/>
      <c r="L184" s="75"/>
      <c r="M184" s="75"/>
      <c r="N184" s="39"/>
    </row>
    <row r="185" spans="1:14" s="56" customFormat="1" ht="15.75" customHeight="1" x14ac:dyDescent="0.35">
      <c r="A185" s="73">
        <f t="shared" si="11"/>
        <v>4</v>
      </c>
      <c r="B185" s="74"/>
      <c r="C185" s="83" t="s">
        <v>200</v>
      </c>
      <c r="D185" s="84"/>
      <c r="E185" s="84"/>
      <c r="F185" s="85"/>
      <c r="G185" s="79"/>
      <c r="H185" s="80"/>
      <c r="I185" s="39"/>
      <c r="L185" s="75"/>
      <c r="M185" s="75"/>
      <c r="N185" s="39"/>
    </row>
    <row r="186" spans="1:14" s="56" customFormat="1" ht="15.75" customHeight="1" x14ac:dyDescent="0.35">
      <c r="A186" s="73">
        <f t="shared" si="11"/>
        <v>5</v>
      </c>
      <c r="B186" s="74"/>
      <c r="C186" s="55">
        <v>2</v>
      </c>
      <c r="D186" s="60">
        <f>(43.89+0.75*(3+2.15+2.75+2.5))*(10.764)</f>
        <v>556.3911599999999</v>
      </c>
      <c r="E186" s="57">
        <v>0</v>
      </c>
      <c r="F186" s="57">
        <f t="shared" ref="F186:F193" si="12">D186*(($F$153)+1)+(IF(E186&lt;101,E186,IF(E186&lt;201,E186/2,IF(E186&lt;=301,E186/3,E186/4))))</f>
        <v>834.58673999999985</v>
      </c>
      <c r="G186" s="79"/>
      <c r="H186" s="80"/>
      <c r="I186" s="39"/>
      <c r="L186" s="75"/>
      <c r="M186" s="75"/>
      <c r="N186" s="39"/>
    </row>
    <row r="187" spans="1:14" s="56" customFormat="1" ht="15.75" customHeight="1" x14ac:dyDescent="0.35">
      <c r="A187" s="73">
        <f t="shared" si="11"/>
        <v>6</v>
      </c>
      <c r="B187" s="74"/>
      <c r="C187" s="55">
        <v>2</v>
      </c>
      <c r="D187" s="60">
        <f>(44.3+2.75*1+0.75*(2.75+2.2+2.85))*(10.764)</f>
        <v>569.41559999999993</v>
      </c>
      <c r="E187" s="57">
        <v>0</v>
      </c>
      <c r="F187" s="57">
        <f t="shared" si="12"/>
        <v>854.12339999999995</v>
      </c>
      <c r="G187" s="79"/>
      <c r="H187" s="80"/>
      <c r="I187" s="39"/>
      <c r="L187" s="75"/>
      <c r="M187" s="75"/>
      <c r="N187" s="39"/>
    </row>
    <row r="188" spans="1:14" s="56" customFormat="1" ht="15.75" customHeight="1" x14ac:dyDescent="0.35">
      <c r="A188" s="73">
        <f t="shared" si="11"/>
        <v>7</v>
      </c>
      <c r="B188" s="74"/>
      <c r="C188" s="55">
        <v>2</v>
      </c>
      <c r="D188" s="60">
        <f>(47.46+0.75*(2.75+2.2+2.75+2.85))*(10.764)</f>
        <v>596.02958999999998</v>
      </c>
      <c r="E188" s="57">
        <v>0</v>
      </c>
      <c r="F188" s="57">
        <f t="shared" si="12"/>
        <v>894.04438499999992</v>
      </c>
      <c r="G188" s="79"/>
      <c r="H188" s="80"/>
      <c r="I188" s="39"/>
      <c r="L188" s="75"/>
      <c r="M188" s="75"/>
      <c r="N188" s="39"/>
    </row>
    <row r="189" spans="1:14" s="56" customFormat="1" ht="15.75" customHeight="1" x14ac:dyDescent="0.35">
      <c r="A189" s="73">
        <f t="shared" si="11"/>
        <v>8</v>
      </c>
      <c r="B189" s="74"/>
      <c r="C189" s="55">
        <v>1</v>
      </c>
      <c r="D189" s="60">
        <f>(34.23+0.75*(2.75+2.15+2.75))*(10.764)</f>
        <v>430.21017000000001</v>
      </c>
      <c r="E189" s="57">
        <v>0</v>
      </c>
      <c r="F189" s="57">
        <f t="shared" si="12"/>
        <v>645.31525499999998</v>
      </c>
      <c r="G189" s="79"/>
      <c r="H189" s="80"/>
      <c r="I189" s="39"/>
      <c r="L189" s="75"/>
      <c r="M189" s="75"/>
      <c r="N189" s="39"/>
    </row>
    <row r="190" spans="1:14" s="56" customFormat="1" ht="15.75" customHeight="1" x14ac:dyDescent="0.35">
      <c r="A190" s="73">
        <f t="shared" si="11"/>
        <v>9</v>
      </c>
      <c r="B190" s="74"/>
      <c r="C190" s="55">
        <v>1</v>
      </c>
      <c r="D190" s="60">
        <f>(33.21+0.75*(2.75+2.15+2.75))*(10.764)</f>
        <v>419.23089000000004</v>
      </c>
      <c r="E190" s="57">
        <v>0</v>
      </c>
      <c r="F190" s="57">
        <f t="shared" si="12"/>
        <v>628.84633500000007</v>
      </c>
      <c r="G190" s="79"/>
      <c r="H190" s="80"/>
      <c r="I190" s="39"/>
      <c r="L190" s="75"/>
      <c r="M190" s="75"/>
      <c r="N190" s="39"/>
    </row>
    <row r="191" spans="1:14" s="56" customFormat="1" ht="15.75" customHeight="1" x14ac:dyDescent="0.35">
      <c r="A191" s="73">
        <f t="shared" si="11"/>
        <v>10</v>
      </c>
      <c r="B191" s="74"/>
      <c r="C191" s="55">
        <v>1</v>
      </c>
      <c r="D191" s="60">
        <f>(33.25+0.75*(2.75+2.15+2.75))*(10.764)</f>
        <v>419.66144999999995</v>
      </c>
      <c r="E191" s="57">
        <v>0</v>
      </c>
      <c r="F191" s="57">
        <f t="shared" si="12"/>
        <v>629.49217499999986</v>
      </c>
      <c r="G191" s="79"/>
      <c r="H191" s="80"/>
      <c r="I191" s="39"/>
      <c r="L191" s="75"/>
      <c r="M191" s="75"/>
      <c r="N191" s="39"/>
    </row>
    <row r="192" spans="1:14" s="56" customFormat="1" ht="15.75" customHeight="1" x14ac:dyDescent="0.35">
      <c r="A192" s="73">
        <f t="shared" si="11"/>
        <v>11</v>
      </c>
      <c r="B192" s="74"/>
      <c r="C192" s="55">
        <v>1</v>
      </c>
      <c r="D192" s="60">
        <f>(33.21+0.75*(2.75+2.15+2.75))*(10.764)</f>
        <v>419.23089000000004</v>
      </c>
      <c r="E192" s="57">
        <v>0</v>
      </c>
      <c r="F192" s="57">
        <f t="shared" si="12"/>
        <v>628.84633500000007</v>
      </c>
      <c r="G192" s="79"/>
      <c r="H192" s="80"/>
      <c r="I192" s="39"/>
      <c r="L192" s="75"/>
      <c r="M192" s="75"/>
      <c r="N192" s="39"/>
    </row>
    <row r="193" spans="1:14" s="56" customFormat="1" ht="15.75" customHeight="1" x14ac:dyDescent="0.35">
      <c r="A193" s="73">
        <f t="shared" si="11"/>
        <v>12</v>
      </c>
      <c r="B193" s="74"/>
      <c r="C193" s="55">
        <v>1</v>
      </c>
      <c r="D193" s="60">
        <f>(34.59+0.75*(2.75+2.2+2.75))*(10.764)</f>
        <v>434.48885999999999</v>
      </c>
      <c r="E193" s="57">
        <v>0</v>
      </c>
      <c r="F193" s="57">
        <f t="shared" si="12"/>
        <v>651.73329000000001</v>
      </c>
      <c r="G193" s="81"/>
      <c r="H193" s="82"/>
      <c r="I193" s="39"/>
      <c r="L193" s="75"/>
      <c r="M193" s="75"/>
      <c r="N193" s="39"/>
    </row>
    <row r="194" spans="1:14" s="56" customFormat="1" x14ac:dyDescent="0.35">
      <c r="A194" s="86" t="s">
        <v>201</v>
      </c>
      <c r="B194" s="87"/>
      <c r="C194" s="87"/>
      <c r="D194" s="87"/>
      <c r="E194" s="87"/>
      <c r="F194" s="87"/>
      <c r="G194" s="87"/>
      <c r="H194" s="88"/>
      <c r="J194" s="39"/>
    </row>
    <row r="195" spans="1:14" s="56" customFormat="1" ht="15.75" customHeight="1" x14ac:dyDescent="0.35">
      <c r="A195" s="73">
        <v>1</v>
      </c>
      <c r="B195" s="74"/>
      <c r="C195" s="55">
        <v>1</v>
      </c>
      <c r="D195" s="60">
        <f>(34.59+0.75*(2.75+2.2+2.75))*(10.764)</f>
        <v>434.48885999999999</v>
      </c>
      <c r="E195" s="57">
        <v>0</v>
      </c>
      <c r="F195" s="57">
        <f t="shared" ref="F195:F206" si="13">D195*(($F$153)+1)+(IF(E195&lt;101,E195,IF(E195&lt;201,E195/2,IF(E195&lt;=301,E195/3,E195/4))))</f>
        <v>651.73329000000001</v>
      </c>
      <c r="G195" s="77" t="str">
        <f>A194</f>
        <v>12th Floor</v>
      </c>
      <c r="H195" s="78"/>
      <c r="I195" s="39"/>
      <c r="L195" s="75"/>
      <c r="M195" s="75"/>
      <c r="N195" s="39"/>
    </row>
    <row r="196" spans="1:14" s="56" customFormat="1" ht="15.75" customHeight="1" x14ac:dyDescent="0.35">
      <c r="A196" s="73">
        <f t="shared" ref="A196:A206" si="14">A195+1</f>
        <v>2</v>
      </c>
      <c r="B196" s="74"/>
      <c r="C196" s="55">
        <v>1</v>
      </c>
      <c r="D196" s="60">
        <f>(33.21+0.75*(2.75+2.15+2.75))*(10.764)</f>
        <v>419.23089000000004</v>
      </c>
      <c r="E196" s="57">
        <v>0</v>
      </c>
      <c r="F196" s="57">
        <f t="shared" si="13"/>
        <v>628.84633500000007</v>
      </c>
      <c r="G196" s="79"/>
      <c r="H196" s="80"/>
      <c r="I196" s="39"/>
      <c r="L196" s="75"/>
      <c r="M196" s="75"/>
      <c r="N196" s="39"/>
    </row>
    <row r="197" spans="1:14" s="56" customFormat="1" ht="15.75" customHeight="1" x14ac:dyDescent="0.35">
      <c r="A197" s="73">
        <f t="shared" si="14"/>
        <v>3</v>
      </c>
      <c r="B197" s="74"/>
      <c r="C197" s="55">
        <v>2</v>
      </c>
      <c r="D197" s="60">
        <f>(46.04+0.75*(2.75+2.75+2.15+2.75))*(10.764)</f>
        <v>579.53376000000003</v>
      </c>
      <c r="E197" s="57">
        <v>0</v>
      </c>
      <c r="F197" s="57">
        <f t="shared" si="13"/>
        <v>869.30064000000004</v>
      </c>
      <c r="G197" s="79"/>
      <c r="H197" s="80"/>
      <c r="I197" s="39"/>
      <c r="L197" s="75"/>
      <c r="M197" s="75"/>
      <c r="N197" s="39"/>
    </row>
    <row r="198" spans="1:14" s="56" customFormat="1" ht="15.75" customHeight="1" x14ac:dyDescent="0.35">
      <c r="A198" s="73">
        <f t="shared" si="14"/>
        <v>4</v>
      </c>
      <c r="B198" s="74"/>
      <c r="C198" s="55">
        <v>2</v>
      </c>
      <c r="D198" s="60">
        <f>(44.08+0.75*(3+2.75+2.15+2.5))*(10.764)</f>
        <v>558.43631999999991</v>
      </c>
      <c r="E198" s="57">
        <v>0</v>
      </c>
      <c r="F198" s="57">
        <f t="shared" si="13"/>
        <v>837.65447999999992</v>
      </c>
      <c r="G198" s="79"/>
      <c r="H198" s="80"/>
      <c r="I198" s="39"/>
      <c r="L198" s="75"/>
      <c r="M198" s="75"/>
      <c r="N198" s="39"/>
    </row>
    <row r="199" spans="1:14" s="56" customFormat="1" ht="15.75" customHeight="1" x14ac:dyDescent="0.35">
      <c r="A199" s="73">
        <f t="shared" si="14"/>
        <v>5</v>
      </c>
      <c r="B199" s="74"/>
      <c r="C199" s="55">
        <v>1</v>
      </c>
      <c r="D199" s="60">
        <f>(35.3+0.75*(3+2.15+2.75))*(10.764)</f>
        <v>443.74589999999989</v>
      </c>
      <c r="E199" s="57">
        <v>0</v>
      </c>
      <c r="F199" s="57">
        <f t="shared" si="13"/>
        <v>665.61884999999984</v>
      </c>
      <c r="G199" s="79"/>
      <c r="H199" s="80"/>
      <c r="I199" s="39"/>
      <c r="J199" s="56" t="s">
        <v>202</v>
      </c>
      <c r="L199" s="75"/>
      <c r="M199" s="75"/>
      <c r="N199" s="39"/>
    </row>
    <row r="200" spans="1:14" s="56" customFormat="1" ht="15.75" customHeight="1" x14ac:dyDescent="0.35">
      <c r="A200" s="73">
        <f t="shared" si="14"/>
        <v>6</v>
      </c>
      <c r="B200" s="74"/>
      <c r="C200" s="55">
        <v>2</v>
      </c>
      <c r="D200" s="60">
        <f>(44.3+2.75*1+0.75*(2.75+2.2+2.85))*(10.764)</f>
        <v>569.41559999999993</v>
      </c>
      <c r="E200" s="57">
        <v>0</v>
      </c>
      <c r="F200" s="57">
        <f t="shared" si="13"/>
        <v>854.12339999999995</v>
      </c>
      <c r="G200" s="79"/>
      <c r="H200" s="80"/>
      <c r="I200" s="39"/>
      <c r="J200" s="56">
        <f>2.75*4.5+2.2*2.65+2.75*1.75+3.35*2.85+2*(1.2*1.8)+2.8*0.9+2.8*0.7</f>
        <v>41.365000000000002</v>
      </c>
      <c r="K200" s="56">
        <f>J200+2.75</f>
        <v>44.115000000000002</v>
      </c>
      <c r="L200" s="75">
        <f>K200+0.75*(2.75+2.2+2.85)</f>
        <v>49.965000000000003</v>
      </c>
      <c r="M200" s="75"/>
      <c r="N200" s="39"/>
    </row>
    <row r="201" spans="1:14" s="56" customFormat="1" ht="15.75" customHeight="1" x14ac:dyDescent="0.35">
      <c r="A201" s="73">
        <f t="shared" si="14"/>
        <v>7</v>
      </c>
      <c r="B201" s="74"/>
      <c r="C201" s="55">
        <v>2</v>
      </c>
      <c r="D201" s="64">
        <f>(2.75*4.5+1.8*0.7+2.2*3.55+2.75*3.05+3.35*2.85+2*(1.2*1.8)+1*0.9+0.75*(2.75+2.85))*(10.764)</f>
        <v>525.28319999999997</v>
      </c>
      <c r="E201" s="57">
        <v>0</v>
      </c>
      <c r="F201" s="57">
        <f t="shared" si="13"/>
        <v>787.9248</v>
      </c>
      <c r="G201" s="79"/>
      <c r="H201" s="80"/>
      <c r="I201" s="39"/>
      <c r="J201" s="56">
        <f>44.3+2.34</f>
        <v>46.64</v>
      </c>
      <c r="K201" s="56">
        <f>J201+0.75*(2.75+2.2+2.85)</f>
        <v>52.49</v>
      </c>
      <c r="L201" s="75"/>
      <c r="M201" s="75"/>
      <c r="N201" s="39"/>
    </row>
    <row r="202" spans="1:14" s="56" customFormat="1" ht="15.75" customHeight="1" x14ac:dyDescent="0.35">
      <c r="A202" s="73">
        <f t="shared" si="14"/>
        <v>8</v>
      </c>
      <c r="B202" s="74"/>
      <c r="C202" s="55">
        <v>1</v>
      </c>
      <c r="D202" s="64">
        <f>(2.75*4.27+2.15*3.35+2.75*3.35+2*(1.2*1.8)+0.75*(2.75+2.75))*(10.764)</f>
        <v>393.98930999999999</v>
      </c>
      <c r="E202" s="57">
        <v>0</v>
      </c>
      <c r="F202" s="57">
        <f t="shared" si="13"/>
        <v>590.98396500000001</v>
      </c>
      <c r="G202" s="79"/>
      <c r="H202" s="80"/>
      <c r="I202" s="39"/>
      <c r="L202" s="75"/>
      <c r="M202" s="75"/>
      <c r="N202" s="39"/>
    </row>
    <row r="203" spans="1:14" s="56" customFormat="1" ht="15.75" customHeight="1" x14ac:dyDescent="0.35">
      <c r="A203" s="73">
        <f t="shared" si="14"/>
        <v>9</v>
      </c>
      <c r="B203" s="74"/>
      <c r="C203" s="55">
        <v>1</v>
      </c>
      <c r="D203" s="64">
        <f>(2.75*4.27+2.15*3.35+2.75*3.35+1.2*0.9+1.2*1.5+1.2*0.3+0.75*(2.75+2.75))*(10.764)</f>
        <v>382.36418999999989</v>
      </c>
      <c r="E203" s="57">
        <v>0</v>
      </c>
      <c r="F203" s="57">
        <f t="shared" si="13"/>
        <v>573.5462849999999</v>
      </c>
      <c r="G203" s="79"/>
      <c r="H203" s="80"/>
      <c r="I203" s="39"/>
      <c r="J203" s="56">
        <f>2.75*4.27+2.15*3.35+2.75*3.35+1.2*0.9+1.2*1.5+1.2*0.3</f>
        <v>31.397499999999997</v>
      </c>
      <c r="K203" s="56">
        <f>2.75*0.75</f>
        <v>2.0625</v>
      </c>
      <c r="L203" s="75"/>
      <c r="M203" s="75"/>
      <c r="N203" s="39"/>
    </row>
    <row r="204" spans="1:14" s="56" customFormat="1" ht="15.75" customHeight="1" x14ac:dyDescent="0.35">
      <c r="A204" s="73">
        <f t="shared" si="14"/>
        <v>10</v>
      </c>
      <c r="B204" s="74"/>
      <c r="C204" s="55">
        <v>1</v>
      </c>
      <c r="D204" s="64">
        <f>(2.75*4.27+2.15*3.35+2.75*3.35+1.2*0.9+1.2*1.5+1.2*0.3+0.75*(2.75+2.75))*(10.764)</f>
        <v>382.36418999999989</v>
      </c>
      <c r="E204" s="57">
        <v>0</v>
      </c>
      <c r="F204" s="57">
        <f t="shared" si="13"/>
        <v>573.5462849999999</v>
      </c>
      <c r="G204" s="79"/>
      <c r="H204" s="80"/>
      <c r="I204" s="39"/>
      <c r="K204" s="56">
        <f>K203*2</f>
        <v>4.125</v>
      </c>
      <c r="L204" s="75"/>
      <c r="M204" s="75"/>
      <c r="N204" s="39"/>
    </row>
    <row r="205" spans="1:14" s="56" customFormat="1" ht="15.75" customHeight="1" x14ac:dyDescent="0.35">
      <c r="A205" s="73">
        <f t="shared" si="14"/>
        <v>11</v>
      </c>
      <c r="B205" s="74"/>
      <c r="C205" s="55">
        <v>1</v>
      </c>
      <c r="D205" s="64">
        <f>(2.75*4.27+2.15*3.35+2.75*3.35+1.2*0.9+1.2*1.5+1.2*0.3+0.75*(2.75+2.75))*(10.764)</f>
        <v>382.36418999999989</v>
      </c>
      <c r="E205" s="57">
        <v>0</v>
      </c>
      <c r="F205" s="57">
        <f t="shared" si="13"/>
        <v>573.5462849999999</v>
      </c>
      <c r="G205" s="79"/>
      <c r="H205" s="80"/>
      <c r="I205" s="39"/>
      <c r="L205" s="75"/>
      <c r="M205" s="75"/>
      <c r="N205" s="39"/>
    </row>
    <row r="206" spans="1:14" s="56" customFormat="1" ht="15.75" customHeight="1" x14ac:dyDescent="0.35">
      <c r="A206" s="73">
        <f t="shared" si="14"/>
        <v>12</v>
      </c>
      <c r="B206" s="74"/>
      <c r="C206" s="55">
        <v>1</v>
      </c>
      <c r="D206" s="64">
        <f>(2.75*4.27+2.2*3.35+2.75*3.35+2*(1.2*1.8)+0.75*(2.75+2.75))*(10.764)</f>
        <v>395.79228000000001</v>
      </c>
      <c r="E206" s="57">
        <v>0</v>
      </c>
      <c r="F206" s="57">
        <f t="shared" si="13"/>
        <v>593.68841999999995</v>
      </c>
      <c r="G206" s="81"/>
      <c r="H206" s="82"/>
      <c r="I206" s="39"/>
      <c r="L206" s="75"/>
      <c r="M206" s="75"/>
      <c r="N206" s="39"/>
    </row>
    <row r="207" spans="1:14" s="50" customFormat="1" hidden="1" x14ac:dyDescent="0.35">
      <c r="A207" s="86" t="s">
        <v>119</v>
      </c>
      <c r="B207" s="87"/>
      <c r="C207" s="87"/>
      <c r="D207" s="87"/>
      <c r="E207" s="87"/>
      <c r="F207" s="87"/>
      <c r="G207" s="87"/>
      <c r="H207" s="88"/>
      <c r="J207" s="39"/>
    </row>
    <row r="208" spans="1:14" s="50" customFormat="1" ht="15.75" hidden="1" customHeight="1" x14ac:dyDescent="0.35">
      <c r="A208" s="73">
        <v>1</v>
      </c>
      <c r="B208" s="74"/>
      <c r="C208" s="55"/>
      <c r="D208" s="45"/>
      <c r="E208" s="45">
        <v>0</v>
      </c>
      <c r="F208" s="45">
        <f>D208*(($F$153)+1)+(IF(E208&lt;101,E208,IF(E208&lt;201,E208/2,IF(E208&lt;=301,E208/3,E208/4))))</f>
        <v>0</v>
      </c>
      <c r="G208" s="77" t="str">
        <f>A207</f>
        <v>Ground Floor</v>
      </c>
      <c r="H208" s="78"/>
      <c r="I208" s="39"/>
      <c r="L208" s="75"/>
      <c r="M208" s="75"/>
      <c r="N208" s="39"/>
    </row>
    <row r="209" spans="1:16" s="50" customFormat="1" ht="15.75" hidden="1" customHeight="1" x14ac:dyDescent="0.35">
      <c r="A209" s="73">
        <f t="shared" ref="A209:A211" si="15">A208+1</f>
        <v>2</v>
      </c>
      <c r="B209" s="74"/>
      <c r="C209" s="55"/>
      <c r="D209" s="45"/>
      <c r="E209" s="45">
        <v>0</v>
      </c>
      <c r="F209" s="45">
        <f>D209*(($F$153)+1)+(IF(E209&lt;101,E209,IF(E209&lt;201,E209/2,IF(E209&lt;=301,E209/3,E209/4))))</f>
        <v>0</v>
      </c>
      <c r="G209" s="79"/>
      <c r="H209" s="80"/>
      <c r="I209" s="39"/>
      <c r="L209" s="75"/>
      <c r="M209" s="75"/>
      <c r="N209" s="39"/>
    </row>
    <row r="210" spans="1:16" s="50" customFormat="1" ht="15.75" hidden="1" customHeight="1" x14ac:dyDescent="0.35">
      <c r="A210" s="73">
        <f t="shared" si="15"/>
        <v>3</v>
      </c>
      <c r="B210" s="74"/>
      <c r="C210" s="55"/>
      <c r="D210" s="45"/>
      <c r="E210" s="45">
        <v>0</v>
      </c>
      <c r="F210" s="45">
        <f>D210*(($F$153)+1)+(IF(E210&lt;101,E210,IF(E210&lt;201,E210/2,IF(E210&lt;=301,E210/3,E210/4))))</f>
        <v>0</v>
      </c>
      <c r="G210" s="79"/>
      <c r="H210" s="80"/>
      <c r="I210" s="39"/>
      <c r="L210" s="75"/>
      <c r="M210" s="75"/>
      <c r="N210" s="39"/>
    </row>
    <row r="211" spans="1:16" s="50" customFormat="1" ht="15.75" hidden="1" customHeight="1" x14ac:dyDescent="0.35">
      <c r="A211" s="73">
        <f t="shared" si="15"/>
        <v>4</v>
      </c>
      <c r="B211" s="74"/>
      <c r="C211" s="55"/>
      <c r="D211" s="45"/>
      <c r="E211" s="45">
        <v>0</v>
      </c>
      <c r="F211" s="45">
        <f>D211*(($F$153)+1)+(IF(E211&lt;101,E211,IF(E211&lt;201,E211/2,IF(E211&lt;=301,E211/3,E211/4))))</f>
        <v>0</v>
      </c>
      <c r="G211" s="81"/>
      <c r="H211" s="82"/>
      <c r="I211" s="39"/>
      <c r="L211" s="75"/>
      <c r="M211" s="75"/>
      <c r="N211" s="39"/>
    </row>
    <row r="212" spans="1:16" s="50" customFormat="1" hidden="1" x14ac:dyDescent="0.35">
      <c r="A212" s="155" t="s">
        <v>120</v>
      </c>
      <c r="B212" s="155"/>
      <c r="C212" s="155"/>
      <c r="D212" s="155"/>
      <c r="E212" s="155"/>
      <c r="F212" s="155"/>
      <c r="G212" s="155"/>
      <c r="H212" s="155"/>
      <c r="I212" s="39"/>
      <c r="L212" s="75"/>
      <c r="M212" s="75"/>
    </row>
    <row r="213" spans="1:16" s="50" customFormat="1" hidden="1" x14ac:dyDescent="0.35">
      <c r="A213" s="103">
        <f>LEFT(A212,SUM(LEN(A212)-LEN(SUBSTITUTE(A212,{"0","1","2","3","4","5","6","7","8","9"},""))))*100+1</f>
        <v>201</v>
      </c>
      <c r="B213" s="103"/>
      <c r="C213" s="55"/>
      <c r="D213" s="45"/>
      <c r="E213" s="45">
        <v>0</v>
      </c>
      <c r="F213" s="45">
        <f t="shared" ref="F213:F214" si="16">D213*(($F$153)+1)+(IF(E213&lt;101,E213,IF(E213&lt;201,E213/2,IF(E213&lt;=301,E213/3,E213/4))))</f>
        <v>0</v>
      </c>
      <c r="G213" s="77" t="str">
        <f>A212</f>
        <v>2nd Floor</v>
      </c>
      <c r="H213" s="78"/>
      <c r="I213" s="39"/>
      <c r="N213" s="39"/>
    </row>
    <row r="214" spans="1:16" s="50" customFormat="1" hidden="1" x14ac:dyDescent="0.35">
      <c r="A214" s="103">
        <f>A213+1</f>
        <v>202</v>
      </c>
      <c r="B214" s="103"/>
      <c r="C214" s="55"/>
      <c r="D214" s="45"/>
      <c r="E214" s="45">
        <v>0</v>
      </c>
      <c r="F214" s="45">
        <f t="shared" si="16"/>
        <v>0</v>
      </c>
      <c r="G214" s="79"/>
      <c r="H214" s="80"/>
      <c r="I214" s="39"/>
      <c r="N214" s="39"/>
    </row>
    <row r="215" spans="1:16" s="50" customFormat="1" hidden="1" x14ac:dyDescent="0.35">
      <c r="A215" s="103">
        <f>A214+1</f>
        <v>203</v>
      </c>
      <c r="B215" s="103"/>
      <c r="C215" s="55"/>
      <c r="D215" s="45"/>
      <c r="E215" s="45">
        <v>0</v>
      </c>
      <c r="F215" s="45">
        <f>D215*(($F$153)+1)+(IF(E215&lt;101,E215,IF(E215&lt;201,E215/2,IF(E215&lt;=301,E215/3,E215/4))))</f>
        <v>0</v>
      </c>
      <c r="G215" s="79"/>
      <c r="H215" s="80"/>
      <c r="I215" s="39"/>
      <c r="N215" s="39"/>
    </row>
    <row r="216" spans="1:16" s="50" customFormat="1" hidden="1" x14ac:dyDescent="0.35">
      <c r="A216" s="103">
        <f>A215+1</f>
        <v>204</v>
      </c>
      <c r="B216" s="103"/>
      <c r="C216" s="55"/>
      <c r="D216" s="45"/>
      <c r="E216" s="45">
        <v>0</v>
      </c>
      <c r="F216" s="45">
        <f>D216*(($F$153)+1)+(IF(E216&lt;101,E216,IF(E216&lt;201,E216/2,IF(E216&lt;=301,E216/3,E216/4))))</f>
        <v>0</v>
      </c>
      <c r="G216" s="79"/>
      <c r="H216" s="80"/>
      <c r="I216" s="39"/>
      <c r="N216" s="39"/>
    </row>
    <row r="217" spans="1:16" s="50" customFormat="1" hidden="1" x14ac:dyDescent="0.35">
      <c r="A217" s="103">
        <f>A216+1</f>
        <v>205</v>
      </c>
      <c r="B217" s="103"/>
      <c r="C217" s="55"/>
      <c r="D217" s="45"/>
      <c r="E217" s="45">
        <v>0</v>
      </c>
      <c r="F217" s="45">
        <f>D217*(($F$153)+1)+(IF(E217&lt;101,E217,IF(E217&lt;201,E217/2,IF(E217&lt;=301,E217/3,E217/4))))</f>
        <v>0</v>
      </c>
      <c r="G217" s="81"/>
      <c r="H217" s="82"/>
      <c r="I217" s="39"/>
      <c r="N217" s="39"/>
    </row>
    <row r="218" spans="1:16" s="50" customFormat="1" ht="15.75" hidden="1" customHeight="1" x14ac:dyDescent="0.35">
      <c r="A218" s="86" t="s">
        <v>156</v>
      </c>
      <c r="B218" s="87"/>
      <c r="C218" s="87"/>
      <c r="D218" s="87"/>
      <c r="E218" s="87"/>
      <c r="F218" s="87"/>
      <c r="G218" s="87"/>
      <c r="H218" s="88"/>
      <c r="I218" s="39"/>
      <c r="P218" s="40"/>
    </row>
    <row r="219" spans="1:16" s="50" customFormat="1" ht="15.75" hidden="1" customHeight="1" x14ac:dyDescent="0.35">
      <c r="A219" s="73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10^ROW(INDIRECT("1:"&amp;LEN((LEFT(A218,SUM(LEN(A218)-LEN(SUBSTITUTE(A218,{"0","1","2"},""))))))))/10))*100+1&amp;""&amp;" ,..,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301 ,.., 1501</v>
      </c>
      <c r="B219" s="74"/>
      <c r="C219" s="55"/>
      <c r="D219" s="45"/>
      <c r="E219" s="45">
        <v>0</v>
      </c>
      <c r="F219" s="45">
        <f>D219*(($F$153)+1)+(IF(E219&lt;101,E219,IF(E219&lt;201,E219/2,IF(E219&lt;=301,E219/3,E219/4))))</f>
        <v>0</v>
      </c>
      <c r="G219" s="77" t="str">
        <f>A218</f>
        <v>3rd, 5th, 7th, 9th, 11th, 13th, 15th Floor</v>
      </c>
      <c r="H219" s="78"/>
      <c r="I219" s="39"/>
    </row>
    <row r="220" spans="1:16" s="50" customFormat="1" ht="15.75" hidden="1" customHeight="1" x14ac:dyDescent="0.35">
      <c r="A220" s="73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,..,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302 ,.., 1502</v>
      </c>
      <c r="B220" s="74"/>
      <c r="C220" s="55"/>
      <c r="D220" s="45"/>
      <c r="E220" s="45">
        <v>0</v>
      </c>
      <c r="F220" s="45">
        <f>D220*(($F$153)+1)+(IF(E220&lt;101,E220,IF(E220&lt;201,E220/2,IF(E220&lt;=301,E220/3,E220/4))))</f>
        <v>0</v>
      </c>
      <c r="G220" s="79"/>
      <c r="H220" s="80"/>
      <c r="I220" s="39"/>
    </row>
    <row r="221" spans="1:16" s="50" customFormat="1" ht="15.75" hidden="1" customHeight="1" x14ac:dyDescent="0.35">
      <c r="A221" s="73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,..,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303 ,.., 1503</v>
      </c>
      <c r="B221" s="74"/>
      <c r="C221" s="55"/>
      <c r="D221" s="45"/>
      <c r="E221" s="45">
        <v>0</v>
      </c>
      <c r="F221" s="45">
        <f>D221*(($F$153)+1)+(IF(E221&lt;101,E221,IF(E221&lt;201,E221/2,IF(E221&lt;=301,E221/3,E221/4))))</f>
        <v>0</v>
      </c>
      <c r="G221" s="79"/>
      <c r="H221" s="80"/>
      <c r="I221" s="39"/>
    </row>
    <row r="222" spans="1:16" s="50" customFormat="1" ht="15.75" hidden="1" customHeight="1" x14ac:dyDescent="0.35">
      <c r="A222" s="73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,..,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304 ,.., 1504</v>
      </c>
      <c r="B222" s="74"/>
      <c r="C222" s="55"/>
      <c r="D222" s="45"/>
      <c r="E222" s="45">
        <v>0</v>
      </c>
      <c r="F222" s="45">
        <f>D222*(($F$153)+1)+(IF(E222&lt;101,E222,IF(E222&lt;201,E222/2,IF(E222&lt;=301,E222/3,E222/4))))</f>
        <v>0</v>
      </c>
      <c r="G222" s="79"/>
      <c r="H222" s="80"/>
      <c r="I222" s="39"/>
    </row>
    <row r="223" spans="1:16" s="50" customFormat="1" ht="15.75" hidden="1" customHeight="1" x14ac:dyDescent="0.35">
      <c r="A223" s="73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,..,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305 ,.., 1505</v>
      </c>
      <c r="B223" s="74"/>
      <c r="C223" s="55"/>
      <c r="D223" s="45"/>
      <c r="E223" s="45">
        <v>0</v>
      </c>
      <c r="F223" s="45">
        <f>D223*(($F$153)+1)+(IF(E223&lt;101,E223,IF(E223&lt;201,E223/2,IF(E223&lt;=301,E223/3,E223/4))))</f>
        <v>0</v>
      </c>
      <c r="G223" s="81"/>
      <c r="H223" s="82"/>
      <c r="I223" s="39"/>
    </row>
    <row r="224" spans="1:16" s="50" customFormat="1" hidden="1" x14ac:dyDescent="0.35">
      <c r="A224" s="86" t="s">
        <v>149</v>
      </c>
      <c r="B224" s="87"/>
      <c r="C224" s="87"/>
      <c r="D224" s="87"/>
      <c r="E224" s="87"/>
      <c r="F224" s="87"/>
      <c r="G224" s="87"/>
      <c r="H224" s="88"/>
      <c r="I224" s="39"/>
      <c r="P224" s="40"/>
    </row>
    <row r="225" spans="1:16" s="50" customFormat="1" ht="15.75" hidden="1" customHeight="1" x14ac:dyDescent="0.35">
      <c r="A225" s="73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to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201 to 501</v>
      </c>
      <c r="B225" s="74"/>
      <c r="C225" s="55"/>
      <c r="D225" s="45"/>
      <c r="E225" s="45">
        <v>0</v>
      </c>
      <c r="F225" s="45">
        <f>D225*(($F$153)+1)+(IF(E225&lt;101,E225,IF(E225&lt;201,E225/2,IF(E225&lt;=301,E225/3,E225/4))))</f>
        <v>0</v>
      </c>
      <c r="G225" s="77" t="str">
        <f>A224</f>
        <v>2nd to 5th Floor</v>
      </c>
      <c r="H225" s="78"/>
      <c r="I225" s="39"/>
    </row>
    <row r="226" spans="1:16" s="50" customFormat="1" ht="15.75" hidden="1" customHeight="1" x14ac:dyDescent="0.35">
      <c r="A226" s="73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to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202 to 502</v>
      </c>
      <c r="B226" s="74"/>
      <c r="C226" s="55"/>
      <c r="D226" s="45"/>
      <c r="E226" s="45">
        <v>0</v>
      </c>
      <c r="F226" s="45">
        <f>D226*(($F$153)+1)+(IF(E226&lt;101,E226,IF(E226&lt;201,E226/2,IF(E226&lt;=301,E226/3,E226/4))))</f>
        <v>0</v>
      </c>
      <c r="G226" s="79"/>
      <c r="H226" s="80"/>
      <c r="I226" s="39"/>
    </row>
    <row r="227" spans="1:16" s="50" customFormat="1" ht="15.75" hidden="1" customHeight="1" x14ac:dyDescent="0.35">
      <c r="A227" s="73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to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203 to 503</v>
      </c>
      <c r="B227" s="74"/>
      <c r="C227" s="55"/>
      <c r="D227" s="45"/>
      <c r="E227" s="45">
        <v>0</v>
      </c>
      <c r="F227" s="45">
        <f>D227*(($F$153)+1)+(IF(E227&lt;101,E227,IF(E227&lt;201,E227/2,IF(E227&lt;=301,E227/3,E227/4))))</f>
        <v>0</v>
      </c>
      <c r="G227" s="79"/>
      <c r="H227" s="80"/>
      <c r="I227" s="39"/>
    </row>
    <row r="228" spans="1:16" s="50" customFormat="1" ht="15.75" hidden="1" customHeight="1" x14ac:dyDescent="0.35">
      <c r="A228" s="73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to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204 to 504</v>
      </c>
      <c r="B228" s="74"/>
      <c r="C228" s="55"/>
      <c r="D228" s="45"/>
      <c r="E228" s="45">
        <v>0</v>
      </c>
      <c r="F228" s="45">
        <f>D228*(($F$153)+1)+(IF(E228&lt;101,E228,IF(E228&lt;201,E228/2,IF(E228&lt;=301,E228/3,E228/4))))</f>
        <v>0</v>
      </c>
      <c r="G228" s="79"/>
      <c r="H228" s="80"/>
      <c r="I228" s="39"/>
    </row>
    <row r="229" spans="1:16" s="50" customFormat="1" ht="15.75" hidden="1" customHeight="1" x14ac:dyDescent="0.35">
      <c r="A229" s="73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205 to 505</v>
      </c>
      <c r="B229" s="74"/>
      <c r="C229" s="55"/>
      <c r="D229" s="45"/>
      <c r="E229" s="45">
        <v>0</v>
      </c>
      <c r="F229" s="45">
        <f>D229*(($F$153)+1)+(IF(E229&lt;101,E229,IF(E229&lt;201,E229/2,IF(E229&lt;=301,E229/3,E229/4))))</f>
        <v>0</v>
      </c>
      <c r="G229" s="81"/>
      <c r="H229" s="82"/>
      <c r="I229" s="39"/>
    </row>
    <row r="230" spans="1:16" s="50" customFormat="1" hidden="1" x14ac:dyDescent="0.35">
      <c r="A230" s="86" t="s">
        <v>150</v>
      </c>
      <c r="B230" s="87"/>
      <c r="C230" s="87"/>
      <c r="D230" s="87"/>
      <c r="E230" s="87"/>
      <c r="F230" s="87"/>
      <c r="G230" s="87"/>
      <c r="H230" s="88"/>
      <c r="I230" s="39"/>
      <c r="P230" s="40"/>
    </row>
    <row r="231" spans="1:16" s="50" customFormat="1" ht="15.75" hidden="1" customHeight="1" x14ac:dyDescent="0.35">
      <c r="A231" s="73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10^ROW(INDIRECT("1:"&amp;LEN((LEFT(A230,SUM(LEN(A230)-LEN(SUBSTITUTE(A230,{"0","1","2"},""))))))))/10))*100+1&amp;""&amp;" &amp;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201 &amp; 501</v>
      </c>
      <c r="B231" s="74"/>
      <c r="C231" s="55"/>
      <c r="D231" s="45"/>
      <c r="E231" s="45">
        <v>0</v>
      </c>
      <c r="F231" s="45">
        <f>D231*(($F$153)+1)+(IF(E231&lt;101,E231,IF(E231&lt;201,E231/2,IF(E231&lt;=301,E231/3,E231/4))))</f>
        <v>0</v>
      </c>
      <c r="G231" s="77" t="str">
        <f>A230</f>
        <v>2nd &amp; 5th Floor</v>
      </c>
      <c r="H231" s="78"/>
      <c r="I231" s="39"/>
    </row>
    <row r="232" spans="1:16" s="50" customFormat="1" ht="15.75" hidden="1" customHeight="1" x14ac:dyDescent="0.35">
      <c r="A232" s="73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&amp;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202 &amp; 502</v>
      </c>
      <c r="B232" s="74"/>
      <c r="C232" s="55"/>
      <c r="D232" s="45"/>
      <c r="E232" s="45">
        <v>0</v>
      </c>
      <c r="F232" s="45">
        <f>D232*(($F$153)+1)+(IF(E232&lt;101,E232,IF(E232&lt;201,E232/2,IF(E232&lt;=301,E232/3,E232/4))))</f>
        <v>0</v>
      </c>
      <c r="G232" s="79"/>
      <c r="H232" s="80"/>
      <c r="I232" s="39"/>
    </row>
    <row r="233" spans="1:16" s="50" customFormat="1" ht="15.75" hidden="1" customHeight="1" x14ac:dyDescent="0.35">
      <c r="A233" s="73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203 &amp; 503</v>
      </c>
      <c r="B233" s="74"/>
      <c r="C233" s="55"/>
      <c r="D233" s="45"/>
      <c r="E233" s="45">
        <v>0</v>
      </c>
      <c r="F233" s="45">
        <f>D233*(($F$153)+1)+(IF(E233&lt;101,E233,IF(E233&lt;201,E233/2,IF(E233&lt;=301,E233/3,E233/4))))</f>
        <v>0</v>
      </c>
      <c r="G233" s="79"/>
      <c r="H233" s="80"/>
      <c r="I233" s="39"/>
    </row>
    <row r="234" spans="1:16" s="50" customFormat="1" ht="15.75" hidden="1" customHeight="1" x14ac:dyDescent="0.35">
      <c r="A234" s="73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204 &amp; 504</v>
      </c>
      <c r="B234" s="74"/>
      <c r="C234" s="55"/>
      <c r="D234" s="45"/>
      <c r="E234" s="45">
        <v>0</v>
      </c>
      <c r="F234" s="45">
        <f>D234*(($F$153)+1)+(IF(E234&lt;101,E234,IF(E234&lt;201,E234/2,IF(E234&lt;=301,E234/3,E234/4))))</f>
        <v>0</v>
      </c>
      <c r="G234" s="79"/>
      <c r="H234" s="80"/>
      <c r="I234" s="39"/>
    </row>
    <row r="235" spans="1:16" s="50" customFormat="1" ht="15.75" hidden="1" customHeight="1" x14ac:dyDescent="0.35">
      <c r="A235" s="73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205 &amp; 505</v>
      </c>
      <c r="B235" s="74"/>
      <c r="C235" s="55"/>
      <c r="D235" s="45"/>
      <c r="E235" s="45">
        <v>0</v>
      </c>
      <c r="F235" s="45">
        <f>D235*(($F$153)+1)+(IF(E235&lt;101,E235,IF(E235&lt;201,E235/2,IF(E235&lt;=301,E235/3,E235/4))))</f>
        <v>0</v>
      </c>
      <c r="G235" s="81"/>
      <c r="H235" s="82"/>
      <c r="I235" s="39"/>
    </row>
    <row r="236" spans="1:16" s="38" customFormat="1" x14ac:dyDescent="0.35">
      <c r="A236" s="76" t="s">
        <v>69</v>
      </c>
      <c r="B236" s="76"/>
      <c r="C236" s="76"/>
      <c r="D236" s="76"/>
      <c r="E236" s="76"/>
      <c r="F236" s="76"/>
      <c r="G236" s="76"/>
      <c r="H236" s="76"/>
    </row>
    <row r="237" spans="1:16" s="38" customFormat="1" x14ac:dyDescent="0.35">
      <c r="A237" s="48" t="s">
        <v>160</v>
      </c>
      <c r="B237" s="159" t="s">
        <v>233</v>
      </c>
      <c r="C237" s="160"/>
      <c r="D237" s="160"/>
      <c r="E237" s="160"/>
      <c r="F237" s="160"/>
      <c r="G237" s="160"/>
      <c r="H237" s="161"/>
    </row>
    <row r="238" spans="1:16" s="38" customFormat="1" x14ac:dyDescent="0.35">
      <c r="A238" s="48" t="s">
        <v>160</v>
      </c>
      <c r="B238" s="159" t="str">
        <f>(IF(F152="Saleable area Loading :","We have considered Saleable area of Flats as per our Calculation.","We considered Saleable area of Flat as per Builder area Sheet."))</f>
        <v>We have considered Saleable area of Flats as per our Calculation.</v>
      </c>
      <c r="C238" s="160"/>
      <c r="D238" s="160"/>
      <c r="E238" s="160"/>
      <c r="F238" s="160"/>
      <c r="G238" s="160"/>
      <c r="H238" s="161"/>
    </row>
    <row r="239" spans="1:16" s="38" customFormat="1" x14ac:dyDescent="0.35">
      <c r="A239" s="48" t="s">
        <v>160</v>
      </c>
      <c r="B239" s="159" t="str">
        <f>(IF(F131="Saleable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9" s="160"/>
      <c r="D239" s="160"/>
      <c r="E239" s="160"/>
      <c r="F239" s="160"/>
      <c r="G239" s="160"/>
      <c r="H239" s="161"/>
    </row>
    <row r="240" spans="1:16" s="38" customFormat="1" x14ac:dyDescent="0.35">
      <c r="A240" s="48" t="s">
        <v>160</v>
      </c>
      <c r="B240" s="70" t="s">
        <v>126</v>
      </c>
      <c r="C240" s="71"/>
      <c r="D240" s="71"/>
      <c r="E240" s="71"/>
      <c r="F240" s="71"/>
      <c r="G240" s="71"/>
      <c r="H240" s="72"/>
    </row>
    <row r="241" spans="1:8" s="38" customFormat="1" x14ac:dyDescent="0.35">
      <c r="A241" s="48" t="s">
        <v>160</v>
      </c>
      <c r="B241" s="70" t="s">
        <v>203</v>
      </c>
      <c r="C241" s="71"/>
      <c r="D241" s="71"/>
      <c r="E241" s="71"/>
      <c r="F241" s="71"/>
      <c r="G241" s="71"/>
      <c r="H241" s="72"/>
    </row>
    <row r="242" spans="1:8" s="38" customFormat="1" x14ac:dyDescent="0.35">
      <c r="A242" s="48" t="s">
        <v>160</v>
      </c>
      <c r="B242" s="70" t="s">
        <v>159</v>
      </c>
      <c r="C242" s="71"/>
      <c r="D242" s="71"/>
      <c r="E242" s="71"/>
      <c r="F242" s="71"/>
      <c r="G242" s="71"/>
      <c r="H242" s="72"/>
    </row>
    <row r="243" spans="1:8" s="38" customFormat="1" x14ac:dyDescent="0.35">
      <c r="A243" s="48" t="s">
        <v>160</v>
      </c>
      <c r="B243" s="70" t="s">
        <v>127</v>
      </c>
      <c r="C243" s="71"/>
      <c r="D243" s="71"/>
      <c r="E243" s="71"/>
      <c r="F243" s="71"/>
      <c r="G243" s="71"/>
      <c r="H243" s="72"/>
    </row>
    <row r="244" spans="1:8" s="38" customFormat="1" ht="34.5" customHeight="1" x14ac:dyDescent="0.35">
      <c r="A244" s="48" t="s">
        <v>160</v>
      </c>
      <c r="B244" s="70" t="s">
        <v>161</v>
      </c>
      <c r="C244" s="71"/>
      <c r="D244" s="71"/>
      <c r="E244" s="71"/>
      <c r="F244" s="71"/>
      <c r="G244" s="71"/>
      <c r="H244" s="72"/>
    </row>
    <row r="245" spans="1:8" s="38" customFormat="1" x14ac:dyDescent="0.35">
      <c r="A245" s="48" t="s">
        <v>160</v>
      </c>
      <c r="B245" s="70" t="s">
        <v>128</v>
      </c>
      <c r="C245" s="71"/>
      <c r="D245" s="71"/>
      <c r="E245" s="71"/>
      <c r="F245" s="71"/>
      <c r="G245" s="71"/>
      <c r="H245" s="72"/>
    </row>
    <row r="246" spans="1:8" s="38" customFormat="1" x14ac:dyDescent="0.35">
      <c r="A246" s="66" t="s">
        <v>160</v>
      </c>
      <c r="B246" s="70" t="s">
        <v>231</v>
      </c>
      <c r="C246" s="71"/>
      <c r="D246" s="71"/>
      <c r="E246" s="71"/>
      <c r="F246" s="71"/>
      <c r="G246" s="71"/>
      <c r="H246" s="72"/>
    </row>
    <row r="247" spans="1:8" x14ac:dyDescent="0.35">
      <c r="A247" s="157" t="s">
        <v>62</v>
      </c>
      <c r="B247" s="157"/>
      <c r="C247" s="157"/>
      <c r="D247" s="157"/>
      <c r="E247" s="157"/>
      <c r="F247" s="157"/>
      <c r="G247" s="157"/>
      <c r="H247" s="157"/>
    </row>
    <row r="248" spans="1:8" x14ac:dyDescent="0.35">
      <c r="A248" s="91" t="s">
        <v>63</v>
      </c>
      <c r="B248" s="91"/>
      <c r="C248" s="91"/>
      <c r="D248" s="91"/>
      <c r="E248" s="91"/>
      <c r="F248" s="91"/>
      <c r="G248" s="91"/>
      <c r="H248" s="91"/>
    </row>
    <row r="249" spans="1:8" ht="15.75" customHeight="1" x14ac:dyDescent="0.35">
      <c r="A249" s="169" t="s">
        <v>64</v>
      </c>
      <c r="B249" s="169"/>
      <c r="C249" s="169"/>
      <c r="D249" s="169"/>
      <c r="E249" s="169"/>
      <c r="F249" s="169"/>
      <c r="G249" s="169"/>
      <c r="H249" s="169"/>
    </row>
    <row r="250" spans="1:8" x14ac:dyDescent="0.35">
      <c r="A250" s="91" t="s">
        <v>65</v>
      </c>
      <c r="B250" s="91"/>
      <c r="C250" s="91"/>
      <c r="D250" s="91"/>
      <c r="E250" s="91"/>
      <c r="F250" s="91"/>
      <c r="G250" s="91"/>
      <c r="H250" s="91"/>
    </row>
    <row r="251" spans="1:8" x14ac:dyDescent="0.35">
      <c r="A251" s="91" t="s">
        <v>66</v>
      </c>
      <c r="B251" s="91"/>
      <c r="C251" s="91"/>
      <c r="D251" s="91"/>
      <c r="E251" s="91"/>
      <c r="F251" s="91"/>
      <c r="G251" s="91"/>
      <c r="H251" s="91"/>
    </row>
    <row r="252" spans="1:8" x14ac:dyDescent="0.35">
      <c r="A252" s="91" t="s">
        <v>129</v>
      </c>
      <c r="B252" s="91"/>
      <c r="C252" s="91"/>
      <c r="D252" s="91"/>
      <c r="E252" s="91"/>
      <c r="F252" s="91"/>
      <c r="G252" s="91"/>
      <c r="H252" s="91"/>
    </row>
    <row r="253" spans="1:8" x14ac:dyDescent="0.35">
      <c r="A253" s="110" t="s">
        <v>130</v>
      </c>
      <c r="B253" s="110"/>
      <c r="C253" s="110"/>
      <c r="D253" s="110"/>
      <c r="E253" s="110"/>
      <c r="F253" s="110"/>
      <c r="G253" s="110"/>
      <c r="H253" s="110"/>
    </row>
    <row r="254" spans="1:8" x14ac:dyDescent="0.35">
      <c r="A254" s="153" t="s">
        <v>79</v>
      </c>
      <c r="B254" s="153"/>
      <c r="C254" s="153" t="s">
        <v>230</v>
      </c>
      <c r="D254" s="153"/>
      <c r="E254" s="153" t="s">
        <v>106</v>
      </c>
      <c r="F254" s="153"/>
      <c r="G254" s="153" t="s">
        <v>234</v>
      </c>
      <c r="H254" s="153"/>
    </row>
    <row r="255" spans="1:8" x14ac:dyDescent="0.35">
      <c r="A255" s="152" t="s">
        <v>81</v>
      </c>
      <c r="B255" s="152"/>
      <c r="C255" s="152"/>
      <c r="D255" s="152"/>
      <c r="E255" s="152"/>
      <c r="F255" s="152"/>
      <c r="G255" s="152"/>
      <c r="H255" s="152"/>
    </row>
    <row r="256" spans="1:8" x14ac:dyDescent="0.35">
      <c r="A256" s="152"/>
      <c r="B256" s="152"/>
      <c r="C256" s="152"/>
      <c r="D256" s="152"/>
      <c r="E256" s="152"/>
      <c r="F256" s="152"/>
      <c r="G256" s="152"/>
      <c r="H256" s="152"/>
    </row>
    <row r="257" spans="1:8" x14ac:dyDescent="0.35">
      <c r="A257" s="152"/>
      <c r="B257" s="152"/>
      <c r="C257" s="152"/>
      <c r="D257" s="152"/>
      <c r="E257" s="152"/>
      <c r="F257" s="152"/>
      <c r="G257" s="152"/>
      <c r="H257" s="152"/>
    </row>
    <row r="258" spans="1:8" x14ac:dyDescent="0.35">
      <c r="A258" s="152"/>
      <c r="B258" s="152"/>
      <c r="C258" s="152"/>
      <c r="D258" s="152"/>
      <c r="E258" s="152"/>
      <c r="F258" s="152"/>
      <c r="G258" s="152"/>
      <c r="H258" s="152"/>
    </row>
    <row r="259" spans="1:8" x14ac:dyDescent="0.35">
      <c r="A259" s="41" t="s">
        <v>67</v>
      </c>
      <c r="B259" s="42"/>
      <c r="C259" s="42"/>
      <c r="D259" s="41" t="str">
        <f>E8</f>
        <v>Shivshakti Oasis</v>
      </c>
      <c r="F259" s="42"/>
      <c r="G259" s="42"/>
      <c r="H259" s="42"/>
    </row>
    <row r="260" spans="1:8" x14ac:dyDescent="0.35">
      <c r="A260" s="42"/>
      <c r="B260" s="42"/>
      <c r="C260" s="42"/>
      <c r="D260" s="42"/>
      <c r="E260" s="42"/>
      <c r="F260" s="42"/>
      <c r="G260" s="42"/>
      <c r="H260" s="42"/>
    </row>
    <row r="261" spans="1:8" x14ac:dyDescent="0.35">
      <c r="A261" s="42"/>
      <c r="B261" s="42"/>
      <c r="C261" s="42"/>
      <c r="D261" s="42"/>
      <c r="E261" s="42"/>
      <c r="F261" s="42"/>
      <c r="G261" s="42"/>
      <c r="H261" s="42"/>
    </row>
    <row r="262" spans="1:8" ht="15" customHeight="1" x14ac:dyDescent="0.35"/>
    <row r="302" spans="1:1" x14ac:dyDescent="0.35">
      <c r="A302" s="44" t="s">
        <v>218</v>
      </c>
    </row>
    <row r="345" spans="1:1" x14ac:dyDescent="0.35">
      <c r="A345" s="44" t="s">
        <v>68</v>
      </c>
    </row>
  </sheetData>
  <mergeCells count="464">
    <mergeCell ref="A16:B16"/>
    <mergeCell ref="C16:H16"/>
    <mergeCell ref="E41:H41"/>
    <mergeCell ref="A41:D41"/>
    <mergeCell ref="A252:H252"/>
    <mergeCell ref="A249:H249"/>
    <mergeCell ref="A213:B213"/>
    <mergeCell ref="A127:B127"/>
    <mergeCell ref="D152:D153"/>
    <mergeCell ref="E152:E153"/>
    <mergeCell ref="G152:H153"/>
    <mergeCell ref="A87:B87"/>
    <mergeCell ref="A88:B88"/>
    <mergeCell ref="A89:B89"/>
    <mergeCell ref="A79:B79"/>
    <mergeCell ref="C79:H79"/>
    <mergeCell ref="A103:B103"/>
    <mergeCell ref="A74:B74"/>
    <mergeCell ref="F108:H108"/>
    <mergeCell ref="G123:H123"/>
    <mergeCell ref="A106:B106"/>
    <mergeCell ref="A48:B48"/>
    <mergeCell ref="C48:E48"/>
    <mergeCell ref="A123:A124"/>
    <mergeCell ref="C127:D127"/>
    <mergeCell ref="G127:H127"/>
    <mergeCell ref="A135:B135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E122:F122"/>
    <mergeCell ref="A122:B122"/>
    <mergeCell ref="E124:F124"/>
    <mergeCell ref="G124:H124"/>
    <mergeCell ref="A125:B125"/>
    <mergeCell ref="C125:D125"/>
    <mergeCell ref="E125:F125"/>
    <mergeCell ref="G125:H125"/>
    <mergeCell ref="A231:B231"/>
    <mergeCell ref="A232:B232"/>
    <mergeCell ref="A235:B235"/>
    <mergeCell ref="A234:B234"/>
    <mergeCell ref="A129:H129"/>
    <mergeCell ref="B237:H237"/>
    <mergeCell ref="B238:H238"/>
    <mergeCell ref="A220:B220"/>
    <mergeCell ref="A130:H130"/>
    <mergeCell ref="A222:B222"/>
    <mergeCell ref="A219:B219"/>
    <mergeCell ref="B131:B132"/>
    <mergeCell ref="A131:A132"/>
    <mergeCell ref="C152:C153"/>
    <mergeCell ref="A207:H207"/>
    <mergeCell ref="A155:H155"/>
    <mergeCell ref="A156:B156"/>
    <mergeCell ref="A167:B167"/>
    <mergeCell ref="A168:H168"/>
    <mergeCell ref="A169:B169"/>
    <mergeCell ref="G169:H180"/>
    <mergeCell ref="A174:B174"/>
    <mergeCell ref="A255:H258"/>
    <mergeCell ref="A254:B254"/>
    <mergeCell ref="E254:F254"/>
    <mergeCell ref="C254:D254"/>
    <mergeCell ref="G254:H254"/>
    <mergeCell ref="A121:H121"/>
    <mergeCell ref="A119:E119"/>
    <mergeCell ref="F119:H119"/>
    <mergeCell ref="A120:E120"/>
    <mergeCell ref="F120:H120"/>
    <mergeCell ref="A212:H212"/>
    <mergeCell ref="A128:B128"/>
    <mergeCell ref="A221:B221"/>
    <mergeCell ref="A250:H250"/>
    <mergeCell ref="A126:H126"/>
    <mergeCell ref="A253:H253"/>
    <mergeCell ref="A251:H251"/>
    <mergeCell ref="A247:H247"/>
    <mergeCell ref="A248:H248"/>
    <mergeCell ref="E127:F127"/>
    <mergeCell ref="B245:H245"/>
    <mergeCell ref="B243:H243"/>
    <mergeCell ref="B239:H239"/>
    <mergeCell ref="B240:H24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C37:H37"/>
    <mergeCell ref="A47:B47"/>
    <mergeCell ref="C47:H47"/>
    <mergeCell ref="C51:H51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6:B76"/>
    <mergeCell ref="C128:D128"/>
    <mergeCell ref="E128:F128"/>
    <mergeCell ref="F114:H114"/>
    <mergeCell ref="A108:E108"/>
    <mergeCell ref="A93:B93"/>
    <mergeCell ref="C93:H93"/>
    <mergeCell ref="A146:H146"/>
    <mergeCell ref="E131:E132"/>
    <mergeCell ref="G131:H132"/>
    <mergeCell ref="A83:B83"/>
    <mergeCell ref="E83:F92"/>
    <mergeCell ref="A90:B90"/>
    <mergeCell ref="A91:B91"/>
    <mergeCell ref="A92:B92"/>
    <mergeCell ref="A97:B97"/>
    <mergeCell ref="E97:F106"/>
    <mergeCell ref="F107:H107"/>
    <mergeCell ref="F112:H112"/>
    <mergeCell ref="G122:H122"/>
    <mergeCell ref="A117:E117"/>
    <mergeCell ref="C123:D123"/>
    <mergeCell ref="E123:F123"/>
    <mergeCell ref="F117:H117"/>
    <mergeCell ref="A230:H230"/>
    <mergeCell ref="A133:H133"/>
    <mergeCell ref="G97:H106"/>
    <mergeCell ref="F115:H115"/>
    <mergeCell ref="C122:D122"/>
    <mergeCell ref="F118:H118"/>
    <mergeCell ref="F116:H116"/>
    <mergeCell ref="L212:M212"/>
    <mergeCell ref="A151:H151"/>
    <mergeCell ref="A152:A153"/>
    <mergeCell ref="A217:B217"/>
    <mergeCell ref="A214:B214"/>
    <mergeCell ref="A215:B215"/>
    <mergeCell ref="A216:B216"/>
    <mergeCell ref="L211:M211"/>
    <mergeCell ref="L208:M208"/>
    <mergeCell ref="A209:B209"/>
    <mergeCell ref="L209:M209"/>
    <mergeCell ref="A210:B210"/>
    <mergeCell ref="L210:M210"/>
    <mergeCell ref="A160:B160"/>
    <mergeCell ref="L160:M160"/>
    <mergeCell ref="A161:B161"/>
    <mergeCell ref="L161:M161"/>
    <mergeCell ref="C131:C132"/>
    <mergeCell ref="B152:B153"/>
    <mergeCell ref="A224:H224"/>
    <mergeCell ref="A218:H218"/>
    <mergeCell ref="A211:B211"/>
    <mergeCell ref="A208:B208"/>
    <mergeCell ref="G147:H150"/>
    <mergeCell ref="G208:H211"/>
    <mergeCell ref="G213:H217"/>
    <mergeCell ref="G219:H223"/>
    <mergeCell ref="A223:B223"/>
    <mergeCell ref="A163:B163"/>
    <mergeCell ref="A162:B162"/>
    <mergeCell ref="A200:B200"/>
    <mergeCell ref="C81:H81"/>
    <mergeCell ref="A82:B82"/>
    <mergeCell ref="E82:F82"/>
    <mergeCell ref="G82:H82"/>
    <mergeCell ref="A113:E113"/>
    <mergeCell ref="F113:H113"/>
    <mergeCell ref="A114:E114"/>
    <mergeCell ref="A116:E116"/>
    <mergeCell ref="F110:H110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11:H111"/>
    <mergeCell ref="G96:H96"/>
    <mergeCell ref="A95:B95"/>
    <mergeCell ref="C95:H95"/>
    <mergeCell ref="A96:B96"/>
    <mergeCell ref="E96:F96"/>
    <mergeCell ref="A81:B81"/>
    <mergeCell ref="A143:B143"/>
    <mergeCell ref="A145:B145"/>
    <mergeCell ref="B242:H242"/>
    <mergeCell ref="A98:B98"/>
    <mergeCell ref="A99:B99"/>
    <mergeCell ref="G83:H92"/>
    <mergeCell ref="A84:B84"/>
    <mergeCell ref="A85:B85"/>
    <mergeCell ref="A86:B86"/>
    <mergeCell ref="F109:H109"/>
    <mergeCell ref="A109:E109"/>
    <mergeCell ref="D131:D132"/>
    <mergeCell ref="A111:E111"/>
    <mergeCell ref="A147:B147"/>
    <mergeCell ref="A148:B148"/>
    <mergeCell ref="A149:B149"/>
    <mergeCell ref="A150:B150"/>
    <mergeCell ref="A112:E112"/>
    <mergeCell ref="A118:E118"/>
    <mergeCell ref="G128:H128"/>
    <mergeCell ref="C124:D124"/>
    <mergeCell ref="A134:H134"/>
    <mergeCell ref="A154:H154"/>
    <mergeCell ref="A179:B179"/>
    <mergeCell ref="A165:B165"/>
    <mergeCell ref="L165:M165"/>
    <mergeCell ref="A166:B166"/>
    <mergeCell ref="L166:M166"/>
    <mergeCell ref="L156:M156"/>
    <mergeCell ref="A157:B157"/>
    <mergeCell ref="L157:M157"/>
    <mergeCell ref="A158:B158"/>
    <mergeCell ref="L158:M158"/>
    <mergeCell ref="A159:B159"/>
    <mergeCell ref="L159:M159"/>
    <mergeCell ref="L145:M145"/>
    <mergeCell ref="G135:H145"/>
    <mergeCell ref="L137:M137"/>
    <mergeCell ref="A138:B138"/>
    <mergeCell ref="L138:M138"/>
    <mergeCell ref="A139:B139"/>
    <mergeCell ref="L139:M139"/>
    <mergeCell ref="L150:M150"/>
    <mergeCell ref="L149:M149"/>
    <mergeCell ref="L148:M148"/>
    <mergeCell ref="L147:M147"/>
    <mergeCell ref="L143:M143"/>
    <mergeCell ref="A144:B144"/>
    <mergeCell ref="L144:M144"/>
    <mergeCell ref="L135:M135"/>
    <mergeCell ref="A136:B136"/>
    <mergeCell ref="L136:M136"/>
    <mergeCell ref="A137:B137"/>
    <mergeCell ref="A140:B140"/>
    <mergeCell ref="L140:M140"/>
    <mergeCell ref="A141:B141"/>
    <mergeCell ref="L141:M141"/>
    <mergeCell ref="A142:B142"/>
    <mergeCell ref="L142:M142"/>
    <mergeCell ref="L174:M174"/>
    <mergeCell ref="A175:B175"/>
    <mergeCell ref="L175:M175"/>
    <mergeCell ref="A176:B176"/>
    <mergeCell ref="L176:M176"/>
    <mergeCell ref="A177:B177"/>
    <mergeCell ref="L177:M177"/>
    <mergeCell ref="A178:B178"/>
    <mergeCell ref="L163:M163"/>
    <mergeCell ref="A164:B164"/>
    <mergeCell ref="L178:M178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L167:M167"/>
    <mergeCell ref="G156:H167"/>
    <mergeCell ref="L162:M162"/>
    <mergeCell ref="L164:M164"/>
    <mergeCell ref="L179:M179"/>
    <mergeCell ref="A180:B180"/>
    <mergeCell ref="L180:M180"/>
    <mergeCell ref="A181:H181"/>
    <mergeCell ref="A182:B182"/>
    <mergeCell ref="G182:H193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200:M200"/>
    <mergeCell ref="L190:M190"/>
    <mergeCell ref="A191:B191"/>
    <mergeCell ref="L191:M191"/>
    <mergeCell ref="A192:B192"/>
    <mergeCell ref="L192:M192"/>
    <mergeCell ref="A193:B193"/>
    <mergeCell ref="L193:M193"/>
    <mergeCell ref="C185:F185"/>
    <mergeCell ref="A194:H194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L199:M199"/>
    <mergeCell ref="A195:B195"/>
    <mergeCell ref="G195:H206"/>
    <mergeCell ref="B246:H246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B244:H244"/>
    <mergeCell ref="B241:H241"/>
    <mergeCell ref="A236:H236"/>
    <mergeCell ref="A228:B228"/>
    <mergeCell ref="A229:B229"/>
    <mergeCell ref="G225:H229"/>
    <mergeCell ref="G231:H235"/>
    <mergeCell ref="A225:B225"/>
    <mergeCell ref="A226:B226"/>
    <mergeCell ref="A227:B227"/>
    <mergeCell ref="A233:B23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16383" man="1"/>
    <brk id="151" max="16383" man="1"/>
    <brk id="258" max="16383" man="1"/>
    <brk id="301" max="16383" man="1"/>
    <brk id="34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1"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2" t="s">
        <v>107</v>
      </c>
      <c r="C3" s="172"/>
      <c r="D3" s="172"/>
      <c r="E3" s="172"/>
      <c r="F3" s="172"/>
      <c r="G3" s="172"/>
      <c r="H3" s="172"/>
    </row>
    <row r="4" spans="1:9" x14ac:dyDescent="0.35">
      <c r="A4" s="3"/>
      <c r="B4" s="4" t="s">
        <v>108</v>
      </c>
      <c r="C4" s="4" t="s">
        <v>109</v>
      </c>
      <c r="D4" s="4" t="s">
        <v>70</v>
      </c>
      <c r="E4" s="4" t="s">
        <v>110</v>
      </c>
      <c r="F4" s="4" t="s">
        <v>116</v>
      </c>
      <c r="G4" s="4" t="s">
        <v>117</v>
      </c>
      <c r="H4" s="4" t="s">
        <v>111</v>
      </c>
    </row>
    <row r="5" spans="1:9" ht="15" customHeight="1" x14ac:dyDescent="0.3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2025-06-05T10:38:00Z</cp:lastPrinted>
  <dcterms:created xsi:type="dcterms:W3CDTF">2019-07-16T09:29:46Z</dcterms:created>
  <dcterms:modified xsi:type="dcterms:W3CDTF">2025-09-13T10:55:22Z</dcterms:modified>
</cp:coreProperties>
</file>