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1" l="1"/>
  <c r="C132" i="1"/>
  <c r="C133" i="1" s="1"/>
  <c r="K179" i="1"/>
  <c r="K180" i="1"/>
  <c r="K181" i="1"/>
  <c r="K182" i="1"/>
  <c r="K183" i="1"/>
  <c r="K184" i="1"/>
  <c r="K178" i="1"/>
  <c r="J180" i="1"/>
  <c r="I130" i="1"/>
  <c r="I131" i="1"/>
  <c r="I132" i="1"/>
  <c r="E132" i="1"/>
  <c r="E133" i="1" s="1"/>
  <c r="C127" i="1"/>
  <c r="E127" i="1"/>
  <c r="G127" i="1"/>
  <c r="I192" i="1" l="1"/>
  <c r="D193" i="1"/>
  <c r="D192" i="1"/>
  <c r="D191" i="1"/>
  <c r="D190" i="1"/>
  <c r="D189" i="1"/>
  <c r="D188" i="1"/>
  <c r="F194" i="1" l="1"/>
  <c r="G132" i="1" s="1"/>
  <c r="G133" i="1" s="1"/>
  <c r="F193" i="1"/>
  <c r="F192" i="1"/>
  <c r="F191" i="1"/>
  <c r="F190" i="1"/>
  <c r="F189" i="1"/>
  <c r="A189" i="1"/>
  <c r="A190" i="1" s="1"/>
  <c r="A191" i="1" s="1"/>
  <c r="A192" i="1" s="1"/>
  <c r="G188" i="1"/>
  <c r="F188" i="1"/>
  <c r="D182" i="1"/>
  <c r="D173" i="1"/>
  <c r="D179" i="1"/>
  <c r="D178" i="1"/>
  <c r="D170" i="1"/>
  <c r="A179" i="1"/>
  <c r="A180" i="1" s="1"/>
  <c r="A181" i="1" s="1"/>
  <c r="A182" i="1" s="1"/>
  <c r="D156" i="1"/>
  <c r="D159" i="1"/>
  <c r="A163" i="1"/>
  <c r="A164" i="1" s="1"/>
  <c r="A165" i="1" s="1"/>
  <c r="A166" i="1" s="1"/>
  <c r="J144" i="1"/>
  <c r="I140" i="1"/>
  <c r="E42" i="1"/>
  <c r="J147" i="1" l="1"/>
  <c r="J141" i="1"/>
  <c r="J140" i="1"/>
  <c r="F173" i="1"/>
  <c r="D172" i="1"/>
  <c r="F172" i="1" s="1"/>
  <c r="D171" i="1"/>
  <c r="F171" i="1" s="1"/>
  <c r="D169" i="1"/>
  <c r="F169" i="1" s="1"/>
  <c r="D185" i="1"/>
  <c r="F185" i="1" s="1"/>
  <c r="D184" i="1"/>
  <c r="F184" i="1" s="1"/>
  <c r="D183" i="1"/>
  <c r="F183" i="1" s="1"/>
  <c r="F182" i="1"/>
  <c r="D181" i="1"/>
  <c r="F181" i="1" s="1"/>
  <c r="D180" i="1"/>
  <c r="F180" i="1" s="1"/>
  <c r="J182" i="1"/>
  <c r="L179" i="1"/>
  <c r="J179" i="1"/>
  <c r="F179" i="1"/>
  <c r="F178" i="1"/>
  <c r="L177" i="1"/>
  <c r="J177" i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D143" i="1"/>
  <c r="D142" i="1"/>
  <c r="D141" i="1"/>
  <c r="A142" i="1"/>
  <c r="A143" i="1" s="1"/>
  <c r="A144" i="1" s="1"/>
  <c r="A145" i="1" s="1"/>
  <c r="A146" i="1" s="1"/>
  <c r="A147" i="1" s="1"/>
  <c r="A148" i="1" s="1"/>
  <c r="A149" i="1" s="1"/>
  <c r="A150" i="1" s="1"/>
  <c r="I184" i="1"/>
  <c r="I183" i="1"/>
  <c r="I182" i="1"/>
  <c r="I181" i="1"/>
  <c r="I180" i="1"/>
  <c r="I179" i="1"/>
  <c r="I178" i="1"/>
  <c r="I177" i="1"/>
  <c r="I172" i="1"/>
  <c r="I171" i="1"/>
  <c r="I170" i="1"/>
  <c r="I169" i="1"/>
  <c r="I168" i="1"/>
  <c r="F170" i="1"/>
  <c r="I159" i="1"/>
  <c r="I158" i="1"/>
  <c r="I155" i="1"/>
  <c r="D160" i="1"/>
  <c r="J158" i="1"/>
  <c r="K159" i="1"/>
  <c r="J159" i="1"/>
  <c r="K158" i="1"/>
  <c r="K155" i="1"/>
  <c r="J155" i="1"/>
  <c r="L164" i="1"/>
  <c r="L163" i="1"/>
  <c r="L161" i="1"/>
  <c r="D166" i="1"/>
  <c r="D165" i="1"/>
  <c r="D164" i="1"/>
  <c r="D163" i="1"/>
  <c r="D162" i="1"/>
  <c r="J163" i="1"/>
  <c r="J164" i="1"/>
  <c r="J161" i="1"/>
  <c r="I161" i="1"/>
  <c r="K164" i="1"/>
  <c r="K163" i="1"/>
  <c r="K161" i="1"/>
  <c r="I165" i="1"/>
  <c r="I164" i="1"/>
  <c r="I163" i="1"/>
  <c r="I162" i="1"/>
  <c r="G178" i="1"/>
  <c r="A170" i="1"/>
  <c r="A171" i="1" s="1"/>
  <c r="A172" i="1" s="1"/>
  <c r="A173" i="1" s="1"/>
  <c r="G169" i="1"/>
  <c r="E130" i="1" l="1"/>
  <c r="C130" i="1"/>
  <c r="C126" i="1"/>
  <c r="E131" i="1"/>
  <c r="G131" i="1"/>
  <c r="C131" i="1"/>
  <c r="E126" i="1"/>
  <c r="C96" i="1"/>
  <c r="E134" i="1" l="1"/>
  <c r="C134" i="1"/>
  <c r="Z12" i="1"/>
  <c r="I14" i="1"/>
  <c r="F156" i="1" l="1"/>
  <c r="F141" i="1"/>
  <c r="E43" i="1" l="1"/>
  <c r="E44" i="1" s="1"/>
  <c r="C15" i="1" l="1"/>
  <c r="E30" i="1" l="1"/>
  <c r="F159" i="1" l="1"/>
  <c r="F160" i="1"/>
  <c r="A159" i="1"/>
  <c r="A160" i="1" s="1"/>
  <c r="G156" i="1"/>
  <c r="F123" i="1" l="1"/>
  <c r="F142" i="1" l="1"/>
  <c r="F143" i="1"/>
  <c r="F144" i="1"/>
  <c r="G126" i="1" l="1"/>
  <c r="B197" i="1"/>
  <c r="F166" i="1" l="1"/>
  <c r="F165" i="1"/>
  <c r="F163" i="1"/>
  <c r="F162" i="1"/>
  <c r="F164" i="1"/>
  <c r="G130" i="1" l="1"/>
  <c r="G134" i="1" s="1"/>
  <c r="B19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8" i="1"/>
  <c r="G162" i="1"/>
  <c r="G141" i="1"/>
  <c r="B97" i="1"/>
  <c r="C82" i="1"/>
  <c r="B83" i="1" s="1"/>
  <c r="C68" i="1"/>
  <c r="B69" i="1" s="1"/>
  <c r="D55" i="1"/>
  <c r="G50" i="1"/>
  <c r="G51" i="1" s="1"/>
  <c r="C50" i="1"/>
  <c r="C51" i="1" s="1"/>
  <c r="E27" i="1"/>
  <c r="E25" i="1"/>
  <c r="E7" i="1"/>
  <c r="E3" i="1"/>
  <c r="D62" i="1" l="1"/>
  <c r="J96" i="1"/>
  <c r="J98" i="1" s="1"/>
  <c r="J100" i="1"/>
  <c r="D109" i="1"/>
  <c r="D107" i="1"/>
  <c r="D105" i="1"/>
  <c r="D103" i="1"/>
  <c r="J101" i="1"/>
  <c r="C100" i="1" s="1"/>
  <c r="J99" i="1"/>
  <c r="J102" i="1"/>
  <c r="J103" i="1" s="1"/>
  <c r="J108" i="1" s="1"/>
  <c r="D108" i="1"/>
  <c r="D106" i="1"/>
  <c r="D104" i="1"/>
  <c r="H83" i="1"/>
  <c r="H69" i="1"/>
  <c r="J87" i="1" l="1"/>
  <c r="C86" i="1" s="1"/>
  <c r="J85" i="1"/>
  <c r="J88" i="1"/>
  <c r="J89" i="1" s="1"/>
  <c r="J94" i="1" s="1"/>
  <c r="J82" i="1"/>
  <c r="J84" i="1" s="1"/>
  <c r="D90" i="1"/>
  <c r="D92" i="1"/>
  <c r="D95" i="1"/>
  <c r="D89" i="1"/>
  <c r="D93" i="1"/>
  <c r="D94" i="1"/>
  <c r="D91" i="1"/>
  <c r="J86" i="1"/>
  <c r="D81" i="1"/>
  <c r="D79" i="1"/>
  <c r="D78" i="1"/>
  <c r="D75" i="1"/>
  <c r="D77" i="1"/>
  <c r="J74" i="1"/>
  <c r="J75" i="1" s="1"/>
  <c r="J80" i="1" s="1"/>
  <c r="D80" i="1"/>
  <c r="J68" i="1"/>
  <c r="J70" i="1" s="1"/>
  <c r="D76" i="1"/>
  <c r="J72" i="1"/>
  <c r="J73" i="1"/>
  <c r="J71" i="1"/>
  <c r="J104" i="1"/>
  <c r="J105" i="1" s="1"/>
  <c r="J106" i="1" s="1"/>
  <c r="J107" i="1" s="1"/>
  <c r="J109" i="1" s="1"/>
  <c r="C101" i="1" s="1"/>
  <c r="J90" i="1"/>
  <c r="J91" i="1" s="1"/>
  <c r="J92" i="1" s="1"/>
  <c r="J93" i="1" s="1"/>
  <c r="J76" i="1"/>
  <c r="J77" i="1" s="1"/>
  <c r="J78" i="1" s="1"/>
  <c r="J79" i="1" s="1"/>
  <c r="D102" i="1"/>
  <c r="D100" i="1"/>
  <c r="D88" i="1"/>
  <c r="D74" i="1"/>
  <c r="D86" i="1" l="1"/>
  <c r="C72" i="1"/>
  <c r="D72" i="1" s="1"/>
  <c r="J81" i="1"/>
  <c r="E100" i="1"/>
  <c r="G100" i="1"/>
  <c r="D101" i="1"/>
  <c r="I97" i="1" s="1"/>
  <c r="J95" i="1"/>
  <c r="C87" i="1" s="1"/>
  <c r="J97" i="1"/>
  <c r="J83" i="1" l="1"/>
  <c r="C73" i="1"/>
  <c r="G72" i="1" s="1"/>
  <c r="D66" i="1" s="1"/>
  <c r="D67" i="1" s="1"/>
  <c r="E86" i="1"/>
  <c r="G86" i="1"/>
  <c r="D87" i="1"/>
  <c r="I83" i="1" s="1"/>
  <c r="I84" i="1" s="1"/>
  <c r="I98" i="1"/>
  <c r="I96" i="1" s="1"/>
  <c r="C98" i="1" s="1"/>
  <c r="E72" i="1" l="1"/>
  <c r="D73" i="1"/>
  <c r="I69" i="1" s="1"/>
  <c r="I70" i="1" s="1"/>
  <c r="J69" i="1"/>
  <c r="F67" i="1"/>
  <c r="I82" i="1"/>
  <c r="C84" i="1" s="1"/>
  <c r="I68" i="1" l="1"/>
  <c r="C70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<sst xmlns="http://schemas.openxmlformats.org/spreadsheetml/2006/main" count="503" uniqueCount="289">
  <si>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</si>
  <si>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</si>
  <si>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</si>
  <si>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</si>
  <si>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</si>
  <si>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</si>
  <si>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</si>
  <si>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</si>
  <si>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</si>
  <si>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</si>
  <si>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</si>
  <si>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</si>
  <si>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</si>
  <si>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</si>
  <si>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</si>
  <si>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</si>
  <si>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</si>
  <si>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</si>
  <si>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</si>
  <si>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</si>
  <si>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</si>
  <si>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</si>
  <si>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</si>
  <si>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</si>
  <si>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</si>
  <si>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</si>
  <si>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</si>
  <si>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</si>
  <si>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</si>
  <si>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</si>
  <si>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</si>
  <si>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</si>
  <si>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</si>
  <si>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</si>
  <si>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</si>
  <si>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</si>
  <si>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</si>
  <si>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</si>
  <si>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</si>
  <si>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</si>
  <si>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</si>
  <si>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</si>
  <si>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</si>
  <si>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</si>
  <si>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</si>
  <si>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</si>
  <si>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</si>
  <si>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</si>
  <si>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</si>
  <si>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</si>
  <si>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</si>
  <si>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</si>
  <si>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</si>
  <si>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</si>
  <si>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</si>
  <si>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</si>
  <si>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</si>
  <si>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</si>
  <si>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</si>
  <si>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</si>
  <si>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</si>
  <si>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</si>
  <si>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</si>
  <si>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</si>
  <si>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</si>
  <si>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</si>
  <si>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</si>
  <si>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</si>
  <si>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</si>
  <si>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</si>
  <si>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</si>
  <si>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</si>
  <si>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</si>
  <si>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</si>
  <si>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</si>
  <si>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</si>
  <si>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</si>
  <si>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</si>
  <si>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</si>
  <si>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</si>
  <si>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</si>
  <si>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</si>
  <si>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</si>
  <si>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</si>
  <si>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</si>
  <si>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</si>
  <si>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</si>
  <si>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</si>
  <si>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</si>
  <si>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</si>
  <si>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</si>
  <si>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</si>
  <si>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</si>
  <si>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</si>
  <si>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</si>
  <si>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</si>
  <si>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</si>
  <si>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</si>
  <si>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</si>
  <si>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</si>
  <si>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</si>
  <si>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</si>
  <si>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</si>
  <si>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</si>
  <si>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</si>
  <si>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</si>
  <si>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</si>
  <si>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</si>
  <si>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</si>
  <si>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</si>
  <si>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</si>
  <si>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</si>
  <si>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</si>
  <si>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</si>
  <si>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</si>
  <si>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</si>
  <si>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</si>
  <si>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</si>
  <si>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</si>
  <si>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</si>
  <si>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</si>
  <si>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</si>
  <si>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</si>
  <si>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</si>
  <si>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</si>
  <si>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</si>
  <si>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</si>
  <si>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</si>
  <si>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</si>
  <si>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</si>
  <si>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</si>
  <si>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</si>
  <si>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</si>
  <si>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</si>
  <si>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</si>
  <si>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</si>
  <si>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</si>
  <si>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</si>
  <si>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</si>
  <si>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</si>
  <si>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</si>
  <si>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</si>
  <si>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</si>
  <si>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</si>
  <si>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</si>
  <si>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</si>
  <si>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</si>
  <si>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</si>
  <si>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</si>
  <si>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</si>
  <si>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</si>
  <si>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</si>
  <si>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</si>
  <si>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</si>
  <si>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</si>
  <si>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</si>
  <si>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</si>
  <si>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</si>
  <si>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</si>
  <si>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</si>
  <si>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</si>
  <si>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</si>
  <si>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</si>
  <si>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</si>
  <si>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</si>
  <si>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</si>
  <si>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</si>
  <si>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</si>
  <si>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</si>
  <si>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</si>
  <si>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</si>
  <si>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</si>
  <si>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</si>
  <si>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</si>
  <si>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</si>
  <si>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</si>
  <si>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</si>
  <si>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</si>
  <si>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</si>
  <si>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</si>
  <si>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</si>
  <si>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</si>
  <si>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</si>
  <si>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</si>
  <si>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</si>
  <si>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</si>
  <si>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</si>
  <si>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</si>
  <si>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</si>
  <si>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</si>
  <si>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</si>
  <si>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</si>
  <si>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</si>
  <si>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</si>
  <si>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</si>
  <si>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</si>
  <si>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</si>
  <si>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</si>
  <si>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</si>
  <si>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</si>
  <si>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</si>
  <si>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</si>
  <si>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</si>
  <si>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</si>
  <si>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</si>
  <si>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</si>
  <si>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</si>
  <si>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</si>
  <si>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</si>
  <si>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</si>
  <si>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</si>
  <si>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</si>
  <si>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</si>
  <si>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</si>
  <si>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</si>
  <si>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</si>
  <si>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</si>
  <si>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</si>
  <si>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</si>
  <si>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</si>
  <si>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</si>
  <si>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</si>
  <si>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</si>
  <si>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</si>
  <si>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</si>
  <si>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</si>
  <si>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</si>
  <si>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</si>
  <si>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</si>
  <si>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</si>
  <si>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Badlapur</t>
  </si>
  <si>
    <t>Shree Anandi Imperial</t>
  </si>
  <si>
    <t>Kalyan-Dombivli Municipal Corporation (KDMC)</t>
  </si>
  <si>
    <t>P51700048585</t>
  </si>
  <si>
    <t>Jai Malhar Builders &amp; Developers</t>
  </si>
  <si>
    <t>Mr. Pravin Sonavane 9323104701</t>
  </si>
  <si>
    <t>Wing A, B &amp; C</t>
  </si>
  <si>
    <t>Survey No</t>
  </si>
  <si>
    <t>As per RERA - 31/12/2026</t>
  </si>
  <si>
    <t>03 Wings</t>
  </si>
  <si>
    <t>Internal road</t>
  </si>
  <si>
    <t>Panchanand</t>
  </si>
  <si>
    <t>Dombivali East</t>
  </si>
  <si>
    <t>Gurukrupa Royal CHSL</t>
  </si>
  <si>
    <t>3.90 KM from Dombivali Railway Station</t>
  </si>
  <si>
    <t>Other Plot</t>
  </si>
  <si>
    <t>Building</t>
  </si>
  <si>
    <t>Jituraj CHS</t>
  </si>
  <si>
    <t>Internal Road</t>
  </si>
  <si>
    <t>Cross Nandivali Road</t>
  </si>
  <si>
    <t>Wing A</t>
  </si>
  <si>
    <t>1st to 7th Floor For Residential</t>
  </si>
  <si>
    <t>1BHK</t>
  </si>
  <si>
    <t>2BHK</t>
  </si>
  <si>
    <t>Wing B</t>
  </si>
  <si>
    <t>Ground Floor For Residential &amp; Parking</t>
  </si>
  <si>
    <t>Shop</t>
  </si>
  <si>
    <t>Wing C</t>
  </si>
  <si>
    <t>-</t>
  </si>
  <si>
    <t>Parking area</t>
  </si>
  <si>
    <t xml:space="preserve">Ground Floor For Residential &amp; Parking </t>
  </si>
  <si>
    <t>Approved Plans, CC, Sale Plans.</t>
  </si>
  <si>
    <t>19.196358,73.086491</t>
  </si>
  <si>
    <t>https://goo.gl/maps/xfEnj9G9Kk3mP1iw5</t>
  </si>
  <si>
    <t>In Plan for A wing 7th floor 706-707-708 flat not mentioned</t>
  </si>
  <si>
    <t>6, Hissa No.6 &amp; 10</t>
  </si>
  <si>
    <t>Nandivali Tarfe Panchanand</t>
  </si>
  <si>
    <t>Taken from builder sheet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</si>
  <si>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</si>
  <si>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 xml:space="preserve">KDMCC/RB/2025/APL/00162 </t>
  </si>
  <si>
    <t xml:space="preserve">Wing A, B &amp; C =  Gr/St + 1st to 7th Floor
</t>
  </si>
  <si>
    <t>Wing A, B &amp; C =  Gr/St + 1st to 7th Floor</t>
  </si>
  <si>
    <t>Wing A = Gr/St + 1st to 7th Floor</t>
  </si>
  <si>
    <t>Wing B = Gr/St + 1st to 7th Floor</t>
  </si>
  <si>
    <t>Wing C = Gr/St + 1st to 7th Floor</t>
  </si>
  <si>
    <t>6.00 M Wide Pathway</t>
  </si>
  <si>
    <t>Ground Floor For Commercial, Society Room, Driver Room &amp; Parking</t>
  </si>
  <si>
    <t>Building Details Floor Wise</t>
  </si>
  <si>
    <t>Vitrified tiles flooring, Granite Kitchen Platform, Decorative
Entrance, Lift, Storage Water Tank, Solar System etc.</t>
  </si>
  <si>
    <t>https://www.99acres.com/shree-anandi-imperial-dombivli-east-mumbai-beyond-thane-npxid-r406304#showModal</t>
  </si>
  <si>
    <t>Flats - 148, Shops - 10</t>
  </si>
  <si>
    <t>We have updated revised approved plan &amp; CC on 19/07/2025</t>
  </si>
  <si>
    <t>We considered Gross carpet area = Net carpet + Otla + Open Balcony + Chajja Area</t>
  </si>
  <si>
    <t>Gangaram</t>
  </si>
  <si>
    <t>Commercial Area Details : (Shop)</t>
  </si>
  <si>
    <t>Residential Area Details : (Flat)</t>
  </si>
  <si>
    <t>Ms. Anisha : 9892442464.</t>
  </si>
  <si>
    <t>Construction work is in process at the time of Visit.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</si>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</sst>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13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9" fontId="7" fillId="0" borderId="14" xfId="8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0" fontId="11" fillId="0" borderId="4" xfId="1" applyFont="1" applyBorder="1" applyAlignment="1" applyProtection="1">
      <alignment horizontal="center" vertical="top"/>
      <protection locked="0"/>
    </xf>
    <xf numFmtId="0" fontId="11" fillId="0" borderId="5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7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2" fillId="0" borderId="0" xfId="1" applyFont="1"/>
    <xf numFmtId="0" fontId="6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3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23" fillId="2" borderId="26" xfId="0" applyFont="1" applyFill="1" applyBorder="1"/>
    <xf numFmtId="0" fontId="24" fillId="0" borderId="27" xfId="0" applyFont="1" applyBorder="1"/>
    <xf numFmtId="0" fontId="24" fillId="0" borderId="1" xfId="0" applyFont="1" applyBorder="1"/>
    <xf numFmtId="0" fontId="24" fillId="0" borderId="5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" fontId="6" fillId="0" borderId="0" xfId="9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1" fontId="5" fillId="0" borderId="0" xfId="1" applyNumberFormat="1" applyFont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25" fillId="0" borderId="0" xfId="10"/>
    <xf numFmtId="0" fontId="28" fillId="0" borderId="0" xfId="1" applyFont="1"/>
    <xf numFmtId="0" fontId="9" fillId="0" borderId="0" xfId="1" applyFont="1" applyAlignment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1" fontId="12" fillId="0" borderId="19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8" xfId="1" applyNumberFormat="1" applyFont="1" applyBorder="1" applyAlignment="1" applyProtection="1">
      <alignment horizontal="center" vertical="center" wrapText="1"/>
      <protection locked="0"/>
    </xf>
    <xf numFmtId="1" fontId="11" fillId="0" borderId="9" xfId="1" applyNumberFormat="1" applyFont="1" applyBorder="1" applyAlignment="1" applyProtection="1">
      <alignment horizontal="center" vertical="center" wrapText="1"/>
      <protection locked="0"/>
    </xf>
    <xf numFmtId="1" fontId="11" fillId="0" borderId="15" xfId="1" applyNumberFormat="1" applyFont="1" applyBorder="1" applyAlignment="1" applyProtection="1">
      <alignment horizontal="center" vertical="center" wrapText="1"/>
      <protection locked="0"/>
    </xf>
    <xf numFmtId="1" fontId="11" fillId="0" borderId="16" xfId="1" applyNumberFormat="1" applyFont="1" applyBorder="1" applyAlignment="1" applyProtection="1">
      <alignment horizontal="center" vertical="center" wrapText="1"/>
      <protection locked="0"/>
    </xf>
    <xf numFmtId="1" fontId="11" fillId="0" borderId="21" xfId="1" applyNumberFormat="1" applyFont="1" applyBorder="1" applyAlignment="1" applyProtection="1">
      <alignment horizontal="center" vertical="center" wrapText="1"/>
      <protection locked="0"/>
    </xf>
    <xf numFmtId="1" fontId="11" fillId="0" borderId="22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15" xfId="1" applyNumberFormat="1" applyFont="1" applyBorder="1" applyAlignment="1" applyProtection="1">
      <alignment horizontal="center" vertical="center" wrapText="1"/>
      <protection locked="0"/>
    </xf>
    <xf numFmtId="1" fontId="5" fillId="0" borderId="20" xfId="1" applyNumberFormat="1" applyFont="1" applyBorder="1" applyAlignment="1" applyProtection="1">
      <alignment horizontal="center" vertical="center" wrapText="1"/>
      <protection locked="0"/>
    </xf>
    <xf numFmtId="1" fontId="5" fillId="0" borderId="21" xfId="1" applyNumberFormat="1" applyFont="1" applyBorder="1" applyAlignment="1" applyProtection="1">
      <alignment horizontal="center" vertical="center" wrapText="1"/>
      <protection locked="0"/>
    </xf>
    <xf numFmtId="1" fontId="5" fillId="0" borderId="0" xfId="1" applyNumberFormat="1" applyFont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22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11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14" fontId="5" fillId="0" borderId="9" xfId="1" applyNumberFormat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center" vertical="top"/>
      <protection locked="0"/>
    </xf>
    <xf numFmtId="0" fontId="11" fillId="0" borderId="19" xfId="1" applyFont="1" applyBorder="1" applyAlignment="1" applyProtection="1">
      <alignment horizontal="center" vertical="top"/>
      <protection locked="0"/>
    </xf>
    <xf numFmtId="0" fontId="11" fillId="0" borderId="9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7" fillId="0" borderId="3" xfId="1" applyNumberFormat="1" applyFont="1" applyBorder="1" applyAlignment="1" applyProtection="1">
      <alignment horizontal="center" vertical="top" wrapText="1"/>
      <protection locked="0"/>
    </xf>
    <xf numFmtId="1" fontId="7" fillId="0" borderId="14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0" fontId="11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11" fillId="0" borderId="14" xfId="1" applyFont="1" applyBorder="1" applyAlignment="1" applyProtection="1">
      <alignment horizontal="left" vertical="top" wrapText="1"/>
      <protection locked="0"/>
    </xf>
    <xf numFmtId="1" fontId="11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19" xfId="0" applyNumberFormat="1" applyFont="1" applyBorder="1" applyAlignment="1" applyProtection="1">
      <alignment vertical="top" wrapText="1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9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164" fontId="5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9" fontId="6" fillId="0" borderId="15" xfId="8" applyFont="1" applyFill="1" applyBorder="1" applyAlignment="1" applyProtection="1">
      <alignment horizontal="center" vertical="center" wrapText="1"/>
      <protection locked="0"/>
    </xf>
    <xf numFmtId="9" fontId="6" fillId="0" borderId="23" xfId="8" applyFont="1" applyFill="1" applyBorder="1" applyAlignment="1" applyProtection="1">
      <alignment horizontal="center" vertical="center" wrapText="1"/>
      <protection locked="0"/>
    </xf>
    <xf numFmtId="9" fontId="6" fillId="0" borderId="21" xfId="8" applyFont="1" applyFill="1" applyBorder="1" applyAlignment="1" applyProtection="1">
      <alignment horizontal="center" vertical="center" wrapText="1"/>
      <protection locked="0"/>
    </xf>
    <xf numFmtId="9" fontId="6" fillId="0" borderId="10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12" xfId="8" applyFont="1" applyFill="1" applyBorder="1" applyAlignment="1" applyProtection="1">
      <alignment horizontal="center" vertical="center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22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8" fillId="0" borderId="1" xfId="5" applyFont="1" applyBorder="1" applyAlignment="1">
      <alignment horizontal="left"/>
    </xf>
    <xf numFmtId="0" fontId="23" fillId="2" borderId="13" xfId="0" applyFont="1" applyFill="1" applyBorder="1"/>
    <xf numFmtId="0" fontId="24" fillId="0" borderId="9" xfId="0" applyFont="1" applyBorder="1"/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152151</xdr:colOff>
      <xdr:row>304</xdr:row>
      <xdr:rowOff>107620</xdr:rowOff>
    </xdr:from>
    <xdr:to>
      <xdr:col>6</xdr:col>
      <xdr:colOff>724060</xdr:colOff>
      <xdr:row>322</xdr:row>
      <xdr:rowOff>131646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4151" y="61911263"/>
          <a:ext cx="4708480" cy="36979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470648</xdr:colOff>
      <xdr:row>323</xdr:row>
      <xdr:rowOff>95251</xdr:rowOff>
    </xdr:from>
    <xdr:to>
      <xdr:col>7</xdr:col>
      <xdr:colOff>389005</xdr:colOff>
      <xdr:row>345</xdr:row>
      <xdr:rowOff>2708</xdr:rowOff>
    </xdr:to>
    <xdr:grpSp>
      <xdr:nvGrpSpPr>
        <xdr:cNvPr id="26" name="Group 25"/>
        <xdr:cNvGrpSpPr/>
      </xdr:nvGrpSpPr>
      <xdr:grpSpPr>
        <a:xfrm>
          <a:off x="470648" y="65474851"/>
          <a:ext cx="5874657" cy="4238157"/>
          <a:chOff x="775607" y="65817751"/>
          <a:chExt cx="4953000" cy="4397814"/>
        </a:xfrm>
      </xdr:grpSpPr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75607" y="65817751"/>
            <a:ext cx="4953000" cy="4397814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rot="21122778">
            <a:off x="2087426" y="67561282"/>
            <a:ext cx="1737940" cy="1262410"/>
          </a:xfrm>
          <a:prstGeom prst="rect">
            <a:avLst/>
          </a:prstGeom>
          <a:noFill/>
          <a:ln w="5715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oneCellAnchor>
    <xdr:from>
      <xdr:col>8</xdr:col>
      <xdr:colOff>640773</xdr:colOff>
      <xdr:row>211</xdr:row>
      <xdr:rowOff>17318</xdr:rowOff>
    </xdr:from>
    <xdr:ext cx="371192" cy="468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13864" y="44118068"/>
          <a:ext cx="37119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0000"/>
              </a:solidFill>
            </a:rPr>
            <a:t>A</a:t>
          </a:r>
        </a:p>
      </xdr:txBody>
    </xdr:sp>
    <xdr:clientData/>
  </xdr:oneCellAnchor>
  <xdr:oneCellAnchor>
    <xdr:from>
      <xdr:col>12</xdr:col>
      <xdr:colOff>31173</xdr:colOff>
      <xdr:row>210</xdr:row>
      <xdr:rowOff>5195</xdr:rowOff>
    </xdr:from>
    <xdr:ext cx="371192" cy="468013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729355" y="43906786"/>
          <a:ext cx="37119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0000"/>
              </a:solidFill>
            </a:rPr>
            <a:t>B</a:t>
          </a:r>
        </a:p>
      </xdr:txBody>
    </xdr:sp>
    <xdr:clientData/>
  </xdr:oneCellAnchor>
  <xdr:twoCellAnchor editAs="oneCell">
    <xdr:from>
      <xdr:col>8</xdr:col>
      <xdr:colOff>353786</xdr:colOff>
      <xdr:row>9</xdr:row>
      <xdr:rowOff>54428</xdr:rowOff>
    </xdr:from>
    <xdr:to>
      <xdr:col>15</xdr:col>
      <xdr:colOff>564150</xdr:colOff>
      <xdr:row>19</xdr:row>
      <xdr:rowOff>144591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9643" y="2245178"/>
          <a:ext cx="5830114" cy="2553056"/>
        </a:xfrm>
        <a:prstGeom prst="rect">
          <a:avLst/>
        </a:prstGeom>
      </xdr:spPr>
    </xdr:pic>
    <xdr:clientData/>
  </xdr:twoCellAnchor>
  <xdr:twoCellAnchor>
    <xdr:from>
      <xdr:col>0</xdr:col>
      <xdr:colOff>283348</xdr:colOff>
      <xdr:row>262</xdr:row>
      <xdr:rowOff>6403</xdr:rowOff>
    </xdr:from>
    <xdr:to>
      <xdr:col>7</xdr:col>
      <xdr:colOff>608773</xdr:colOff>
      <xdr:row>298</xdr:row>
      <xdr:rowOff>153683</xdr:rowOff>
    </xdr:to>
    <xdr:grpSp>
      <xdr:nvGrpSpPr>
        <xdr:cNvPr id="58" name="Group 57"/>
        <xdr:cNvGrpSpPr/>
      </xdr:nvGrpSpPr>
      <xdr:grpSpPr>
        <a:xfrm>
          <a:off x="283348" y="53378153"/>
          <a:ext cx="6281725" cy="7233880"/>
          <a:chOff x="283348" y="52842138"/>
          <a:chExt cx="6006807" cy="7408691"/>
        </a:xfrm>
      </xdr:grpSpPr>
      <xdr:grpSp>
        <xdr:nvGrpSpPr>
          <xdr:cNvPr id="54" name="Group 53"/>
          <xdr:cNvGrpSpPr/>
        </xdr:nvGrpSpPr>
        <xdr:grpSpPr>
          <a:xfrm>
            <a:off x="283348" y="52842138"/>
            <a:ext cx="6006807" cy="7408691"/>
            <a:chOff x="384201" y="52999021"/>
            <a:chExt cx="6006807" cy="7408691"/>
          </a:xfrm>
        </xdr:grpSpPr>
        <xdr:pic>
          <xdr:nvPicPr>
            <xdr:cNvPr id="27" name="Picture 2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 rot="10800000">
              <a:off x="384201" y="52999021"/>
              <a:ext cx="6006807" cy="3859625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pic>
          <xdr:nvPicPr>
            <xdr:cNvPr id="47" name="Picture 46"/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14721" y="56978711"/>
              <a:ext cx="5336282" cy="3429001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48" name="Rectangle 47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 rot="21167114">
              <a:off x="2689328" y="54787441"/>
              <a:ext cx="2221160" cy="789036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9" name="Rectangle 48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2943848" y="53631353"/>
              <a:ext cx="1940549" cy="920165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50" name="TextBox 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3577877" y="53155903"/>
              <a:ext cx="1094975" cy="3577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8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B</a:t>
              </a:r>
            </a:p>
          </xdr:txBody>
        </xdr:sp>
        <xdr:sp macro="" textlink="">
          <xdr:nvSpPr>
            <xdr:cNvPr id="51" name="TextBox 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3712347" y="55677227"/>
              <a:ext cx="1128593" cy="3577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8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A</a:t>
              </a:r>
            </a:p>
          </xdr:txBody>
        </xdr:sp>
        <xdr:sp macro="" textlink="">
          <xdr:nvSpPr>
            <xdr:cNvPr id="52" name="TextBox 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 rot="17824673">
              <a:off x="1548577" y="53855273"/>
              <a:ext cx="1139254" cy="3577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800" b="1">
                  <a:solidFill>
                    <a:srgbClr val="FF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Wing C</a:t>
              </a:r>
            </a:p>
          </xdr:txBody>
        </xdr:sp>
        <xdr:sp macro="" textlink="">
          <xdr:nvSpPr>
            <xdr:cNvPr id="53" name="Rectangle 52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 rot="6832267">
              <a:off x="1503085" y="54237825"/>
              <a:ext cx="1920251" cy="771997"/>
            </a:xfrm>
            <a:prstGeom prst="rect">
              <a:avLst/>
            </a:prstGeom>
            <a:noFill/>
            <a:ln w="38100"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  <xdr:grpSp>
        <xdr:nvGrpSpPr>
          <xdr:cNvPr id="55" name="Group 54"/>
          <xdr:cNvGrpSpPr/>
        </xdr:nvGrpSpPr>
        <xdr:grpSpPr>
          <a:xfrm rot="10800000">
            <a:off x="2300407" y="55755667"/>
            <a:ext cx="474784" cy="971636"/>
            <a:chOff x="808896" y="1402289"/>
            <a:chExt cx="474784" cy="971636"/>
          </a:xfrm>
        </xdr:grpSpPr>
        <xdr:sp macro="" textlink="">
          <xdr:nvSpPr>
            <xdr:cNvPr id="56" name="Right Arrow 55"/>
            <xdr:cNvSpPr/>
          </xdr:nvSpPr>
          <xdr:spPr>
            <a:xfrm rot="16200000">
              <a:off x="852857" y="2031024"/>
              <a:ext cx="386861" cy="298941"/>
            </a:xfrm>
            <a:prstGeom prst="rightArrow">
              <a:avLst/>
            </a:prstGeom>
            <a:solidFill>
              <a:schemeClr val="tx1"/>
            </a:solidFill>
            <a:ln w="381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 sz="1400"/>
            </a:p>
          </xdr:txBody>
        </xdr:sp>
        <xdr:sp macro="" textlink="">
          <xdr:nvSpPr>
            <xdr:cNvPr id="57" name="TextBox 44"/>
            <xdr:cNvSpPr txBox="1"/>
          </xdr:nvSpPr>
          <xdr:spPr>
            <a:xfrm>
              <a:off x="808896" y="1402289"/>
              <a:ext cx="474784" cy="58477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32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N</a:t>
              </a:r>
              <a:endParaRPr lang="en-IN" sz="32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  <xdr:twoCellAnchor editAs="oneCell">
    <xdr:from>
      <xdr:col>13</xdr:col>
      <xdr:colOff>627531</xdr:colOff>
      <xdr:row>176</xdr:row>
      <xdr:rowOff>56028</xdr:rowOff>
    </xdr:from>
    <xdr:to>
      <xdr:col>22</xdr:col>
      <xdr:colOff>178938</xdr:colOff>
      <xdr:row>191</xdr:row>
      <xdr:rowOff>78865</xdr:rowOff>
    </xdr:to>
    <xdr:pic>
      <xdr:nvPicPr>
        <xdr:cNvPr id="59" name="Picture 5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62766" y="37046646"/>
          <a:ext cx="5468113" cy="3048425"/>
        </a:xfrm>
        <a:prstGeom prst="rect">
          <a:avLst/>
        </a:prstGeom>
      </xdr:spPr>
    </xdr:pic>
    <xdr:clientData/>
  </xdr:twoCellAnchor>
  <xdr:twoCellAnchor editAs="oneCell">
    <xdr:from>
      <xdr:col>8</xdr:col>
      <xdr:colOff>470647</xdr:colOff>
      <xdr:row>55</xdr:row>
      <xdr:rowOff>33617</xdr:rowOff>
    </xdr:from>
    <xdr:to>
      <xdr:col>11</xdr:col>
      <xdr:colOff>457006</xdr:colOff>
      <xdr:row>66</xdr:row>
      <xdr:rowOff>389796</xdr:rowOff>
    </xdr:to>
    <xdr:pic>
      <xdr:nvPicPr>
        <xdr:cNvPr id="60" name="Picture 5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070912" y="12550588"/>
          <a:ext cx="2619741" cy="2810267"/>
        </a:xfrm>
        <a:prstGeom prst="rect">
          <a:avLst/>
        </a:prstGeom>
      </xdr:spPr>
    </xdr:pic>
    <xdr:clientData/>
  </xdr:twoCellAnchor>
  <xdr:twoCellAnchor editAs="oneCell">
    <xdr:from>
      <xdr:col>13</xdr:col>
      <xdr:colOff>283351</xdr:colOff>
      <xdr:row>157</xdr:row>
      <xdr:rowOff>116862</xdr:rowOff>
    </xdr:from>
    <xdr:to>
      <xdr:col>21</xdr:col>
      <xdr:colOff>389277</xdr:colOff>
      <xdr:row>176</xdr:row>
      <xdr:rowOff>154147</xdr:rowOff>
    </xdr:to>
    <xdr:pic>
      <xdr:nvPicPr>
        <xdr:cNvPr id="64" name="Picture 6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18586" y="33275068"/>
          <a:ext cx="5417515" cy="3869697"/>
        </a:xfrm>
        <a:prstGeom prst="rect">
          <a:avLst/>
        </a:prstGeom>
      </xdr:spPr>
    </xdr:pic>
    <xdr:clientData/>
  </xdr:twoCellAnchor>
  <xdr:twoCellAnchor editAs="oneCell">
    <xdr:from>
      <xdr:col>15</xdr:col>
      <xdr:colOff>56027</xdr:colOff>
      <xdr:row>173</xdr:row>
      <xdr:rowOff>100853</xdr:rowOff>
    </xdr:from>
    <xdr:to>
      <xdr:col>27</xdr:col>
      <xdr:colOff>198280</xdr:colOff>
      <xdr:row>184</xdr:row>
      <xdr:rowOff>111249</xdr:rowOff>
    </xdr:to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92851" y="36486353"/>
          <a:ext cx="7582958" cy="2229161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261937</xdr:colOff>
      <xdr:row>176</xdr:row>
      <xdr:rowOff>23812</xdr:rowOff>
    </xdr:from>
    <xdr:to>
      <xdr:col>27</xdr:col>
      <xdr:colOff>139364</xdr:colOff>
      <xdr:row>192</xdr:row>
      <xdr:rowOff>138553</xdr:rowOff>
    </xdr:to>
    <xdr:pic>
      <xdr:nvPicPr>
        <xdr:cNvPr id="66" name="Picture 6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49000" y="35433000"/>
          <a:ext cx="8973802" cy="3162741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218</xdr:row>
      <xdr:rowOff>107950</xdr:rowOff>
    </xdr:from>
    <xdr:to>
      <xdr:col>7</xdr:col>
      <xdr:colOff>668519</xdr:colOff>
      <xdr:row>258</xdr:row>
      <xdr:rowOff>108842</xdr:rowOff>
    </xdr:to>
    <xdr:grpSp>
      <xdr:nvGrpSpPr>
        <xdr:cNvPr id="3" name="Group 2"/>
        <xdr:cNvGrpSpPr/>
      </xdr:nvGrpSpPr>
      <xdr:grpSpPr>
        <a:xfrm>
          <a:off x="222250" y="44818300"/>
          <a:ext cx="6402569" cy="7874892"/>
          <a:chOff x="222250" y="44818300"/>
          <a:chExt cx="6402569" cy="7874892"/>
        </a:xfrm>
      </xdr:grpSpPr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51744" y="5053319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54216" y="5053319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9605" y="50533192"/>
            <a:ext cx="162506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3424" y="44818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190" y="44818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4956" y="44818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4956" y="476757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50" y="476757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9189" y="4767574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www.99acres.com/shree-anandi-imperial-dombivli-east-mumbai-beyond-thane-npxid-r406304" TargetMode="External"/><Relationship Id="rId1" Type="http://schemas.openxmlformats.org/officeDocument/2006/relationships/hyperlink" Target="https://goo.gl/maps/xfEnj9G9Kk3mP1iw5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04"/>
  <sheetViews>
    <sheetView tabSelected="1" view="pageBreakPreview" topLeftCell="A100" zoomScaleNormal="100" zoomScaleSheetLayoutView="100" zoomScalePageLayoutView="110" workbookViewId="0">
      <selection activeCell="F122" sqref="F122:H122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6" width="11.7265625" style="40" customWidth="1"/>
    <col min="7" max="7" width="11.453125" style="40" customWidth="1"/>
    <col min="8" max="8" width="13.81640625" style="40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0.54296875" style="2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26" ht="46.5" customHeight="1" x14ac:dyDescent="0.35">
      <c r="A1" s="164" t="s">
        <v>268</v>
      </c>
      <c r="B1" s="164"/>
      <c r="C1" s="164"/>
      <c r="D1" s="164"/>
      <c r="E1" s="164"/>
      <c r="F1" s="164"/>
      <c r="G1" s="164"/>
      <c r="H1" s="164"/>
    </row>
    <row r="2" spans="1:26" ht="16.5" customHeight="1" x14ac:dyDescent="0.35">
      <c r="A2" s="165" t="s">
        <v>0</v>
      </c>
      <c r="B2" s="165"/>
      <c r="C2" s="165"/>
      <c r="D2" s="165"/>
      <c r="E2" s="165"/>
      <c r="F2" s="165"/>
      <c r="G2" s="165"/>
      <c r="H2" s="165"/>
    </row>
    <row r="3" spans="1:26" x14ac:dyDescent="0.35">
      <c r="A3" s="103" t="s">
        <v>1</v>
      </c>
      <c r="B3" s="103"/>
      <c r="C3" s="103"/>
      <c r="D3" s="103"/>
      <c r="E3" s="103" t="str">
        <f ca="1">TEXT(TODAY(),"DD/MM/YYYY")</f>
        <v>19/09/2025</v>
      </c>
      <c r="F3" s="103"/>
      <c r="G3" s="103"/>
      <c r="H3" s="103"/>
    </row>
    <row r="4" spans="1:26" ht="15" customHeight="1" x14ac:dyDescent="0.35">
      <c r="A4" s="103" t="s">
        <v>2</v>
      </c>
      <c r="B4" s="103"/>
      <c r="C4" s="103"/>
      <c r="D4" s="103"/>
      <c r="E4" s="103" t="s">
        <v>230</v>
      </c>
      <c r="F4" s="103"/>
      <c r="G4" s="103"/>
      <c r="H4" s="103"/>
    </row>
    <row r="5" spans="1:26" x14ac:dyDescent="0.35">
      <c r="A5" s="103" t="s">
        <v>3</v>
      </c>
      <c r="B5" s="103"/>
      <c r="C5" s="103"/>
      <c r="D5" s="103"/>
      <c r="E5" s="166">
        <v>45906</v>
      </c>
      <c r="F5" s="103"/>
      <c r="G5" s="103"/>
      <c r="H5" s="103"/>
    </row>
    <row r="6" spans="1:26" ht="16.5" customHeight="1" x14ac:dyDescent="0.35">
      <c r="A6" s="103" t="s">
        <v>4</v>
      </c>
      <c r="B6" s="103"/>
      <c r="C6" s="103"/>
      <c r="D6" s="103"/>
      <c r="E6" s="103" t="s">
        <v>234</v>
      </c>
      <c r="F6" s="103"/>
      <c r="G6" s="103"/>
      <c r="H6" s="103"/>
    </row>
    <row r="7" spans="1:26" ht="15" customHeight="1" x14ac:dyDescent="0.35">
      <c r="A7" s="103" t="s">
        <v>5</v>
      </c>
      <c r="B7" s="103"/>
      <c r="C7" s="103"/>
      <c r="D7" s="103"/>
      <c r="E7" s="103" t="str">
        <f>E6</f>
        <v>Jai Malhar Builders &amp; Developers</v>
      </c>
      <c r="F7" s="103"/>
      <c r="G7" s="103"/>
      <c r="H7" s="103"/>
    </row>
    <row r="8" spans="1:26" x14ac:dyDescent="0.35">
      <c r="A8" s="103" t="s">
        <v>6</v>
      </c>
      <c r="B8" s="103"/>
      <c r="C8" s="103"/>
      <c r="D8" s="103"/>
      <c r="E8" s="151" t="s">
        <v>231</v>
      </c>
      <c r="F8" s="151"/>
      <c r="G8" s="151"/>
      <c r="H8" s="151"/>
    </row>
    <row r="9" spans="1:26" x14ac:dyDescent="0.35">
      <c r="A9" s="103" t="s">
        <v>164</v>
      </c>
      <c r="B9" s="103"/>
      <c r="C9" s="103"/>
      <c r="D9" s="103"/>
      <c r="E9" s="103" t="s">
        <v>235</v>
      </c>
      <c r="F9" s="103"/>
      <c r="G9" s="103"/>
      <c r="H9" s="103"/>
    </row>
    <row r="10" spans="1:26" x14ac:dyDescent="0.35">
      <c r="A10" s="103" t="s">
        <v>165</v>
      </c>
      <c r="B10" s="103"/>
      <c r="C10" s="103"/>
      <c r="D10" s="103"/>
      <c r="E10" s="103" t="s">
        <v>286</v>
      </c>
      <c r="F10" s="103"/>
      <c r="G10" s="103"/>
      <c r="H10" s="103"/>
    </row>
    <row r="11" spans="1:26" x14ac:dyDescent="0.35">
      <c r="A11" s="103" t="s">
        <v>7</v>
      </c>
      <c r="B11" s="103"/>
      <c r="C11" s="103"/>
      <c r="D11" s="103"/>
      <c r="E11" s="103" t="s">
        <v>236</v>
      </c>
      <c r="F11" s="103"/>
      <c r="G11" s="103"/>
      <c r="H11" s="103"/>
    </row>
    <row r="12" spans="1:26" x14ac:dyDescent="0.35">
      <c r="A12" s="103" t="s">
        <v>167</v>
      </c>
      <c r="B12" s="103"/>
      <c r="C12" s="103"/>
      <c r="D12" s="103"/>
      <c r="E12" s="103" t="s">
        <v>29</v>
      </c>
      <c r="F12" s="103"/>
      <c r="G12" s="103"/>
      <c r="H12" s="103"/>
      <c r="S12" s="55" t="s">
        <v>174</v>
      </c>
      <c r="T12" s="55" t="s">
        <v>184</v>
      </c>
      <c r="U12" s="55" t="s">
        <v>168</v>
      </c>
      <c r="V12" s="55" t="s">
        <v>189</v>
      </c>
      <c r="W12" s="55" t="s">
        <v>207</v>
      </c>
      <c r="X12"/>
      <c r="Y12" t="s">
        <v>189</v>
      </c>
      <c r="Z12" t="e">
        <f ca="1">OFFSET($S$12,1,MATCH($G19,$S$12:$W$12,0)-1,15,1)</f>
        <v>#VALUE!</v>
      </c>
    </row>
    <row r="13" spans="1:26" x14ac:dyDescent="0.35">
      <c r="A13" s="120" t="s">
        <v>8</v>
      </c>
      <c r="B13" s="120"/>
      <c r="C13" s="120"/>
      <c r="D13" s="120"/>
      <c r="E13" s="118" t="s">
        <v>261</v>
      </c>
      <c r="F13" s="167"/>
      <c r="G13" s="167"/>
      <c r="H13" s="167"/>
      <c r="S13" s="55" t="s">
        <v>175</v>
      </c>
      <c r="T13" s="55" t="s">
        <v>182</v>
      </c>
      <c r="U13" s="55" t="s">
        <v>204</v>
      </c>
      <c r="V13" s="55" t="s">
        <v>190</v>
      </c>
      <c r="W13" s="55" t="s">
        <v>208</v>
      </c>
      <c r="X13"/>
      <c r="Y13"/>
      <c r="Z13"/>
    </row>
    <row r="14" spans="1:26" x14ac:dyDescent="0.35">
      <c r="A14" s="120" t="s">
        <v>9</v>
      </c>
      <c r="B14" s="120"/>
      <c r="C14" s="120"/>
      <c r="D14" s="120"/>
      <c r="E14" s="118" t="s">
        <v>233</v>
      </c>
      <c r="F14" s="103"/>
      <c r="G14" s="103"/>
      <c r="H14" s="103"/>
      <c r="I14" s="102" t="e">
        <f ca="1">OFFSET($D$4,1,MATCH($J12,$D$4:$H$4,0)-1,15,1)</f>
        <v>#N/A</v>
      </c>
      <c r="J14" s="102"/>
      <c r="K14" s="102"/>
      <c r="L14" s="102"/>
      <c r="M14" s="102"/>
      <c r="N14" s="102"/>
      <c r="O14" s="102"/>
      <c r="P14" s="102"/>
      <c r="S14" s="55" t="s">
        <v>176</v>
      </c>
      <c r="T14" s="55" t="s">
        <v>183</v>
      </c>
      <c r="U14" s="55" t="s">
        <v>205</v>
      </c>
      <c r="V14" s="55" t="s">
        <v>191</v>
      </c>
      <c r="W14" s="55" t="s">
        <v>221</v>
      </c>
      <c r="X14"/>
      <c r="Y14"/>
      <c r="Z14"/>
    </row>
    <row r="15" spans="1:26" ht="48.75" customHeight="1" x14ac:dyDescent="0.35">
      <c r="A15" s="117" t="s">
        <v>10</v>
      </c>
      <c r="B15" s="117"/>
      <c r="C15" s="117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Shree Anandi Imperial, Survey No.6, Hissa No.6 &amp; 10, near Gurukrupa Royal CHSL, Internal road, Panchanand, Nandivali Tarfe Panchanand, Dombivali East, Thane, Thane  - 400612.</v>
      </c>
      <c r="D15" s="117"/>
      <c r="E15" s="117"/>
      <c r="F15" s="117"/>
      <c r="G15" s="117"/>
      <c r="H15" s="117"/>
      <c r="S15" s="55" t="s">
        <v>177</v>
      </c>
      <c r="T15" s="55" t="s">
        <v>185</v>
      </c>
      <c r="U15" s="55" t="s">
        <v>206</v>
      </c>
      <c r="V15" s="55" t="s">
        <v>192</v>
      </c>
      <c r="W15" s="55" t="s">
        <v>209</v>
      </c>
      <c r="X15"/>
      <c r="Y15"/>
      <c r="Z15"/>
    </row>
    <row r="16" spans="1:26" x14ac:dyDescent="0.35">
      <c r="A16" s="118" t="s">
        <v>237</v>
      </c>
      <c r="B16" s="118"/>
      <c r="C16" s="118" t="s">
        <v>265</v>
      </c>
      <c r="D16" s="118"/>
      <c r="E16" s="118"/>
      <c r="F16" s="118"/>
      <c r="G16" s="118"/>
      <c r="H16" s="118"/>
      <c r="S16" s="55" t="s">
        <v>178</v>
      </c>
      <c r="T16" s="55" t="s">
        <v>186</v>
      </c>
      <c r="U16" s="55"/>
      <c r="V16" s="55" t="s">
        <v>193</v>
      </c>
      <c r="W16" s="55" t="s">
        <v>210</v>
      </c>
      <c r="X16"/>
      <c r="Y16"/>
      <c r="Z16"/>
    </row>
    <row r="17" spans="1:26" ht="15.75" customHeight="1" x14ac:dyDescent="0.35">
      <c r="A17" s="118" t="s">
        <v>160</v>
      </c>
      <c r="B17" s="118"/>
      <c r="C17" s="118" t="s">
        <v>241</v>
      </c>
      <c r="D17" s="118"/>
      <c r="E17" s="118"/>
      <c r="F17" s="118"/>
      <c r="G17" s="118"/>
      <c r="H17" s="118"/>
      <c r="S17" s="55" t="s">
        <v>179</v>
      </c>
      <c r="T17" s="55" t="s">
        <v>184</v>
      </c>
      <c r="U17" s="55"/>
      <c r="V17" s="55" t="s">
        <v>194</v>
      </c>
      <c r="W17" s="55" t="s">
        <v>211</v>
      </c>
      <c r="X17"/>
      <c r="Y17"/>
      <c r="Z17"/>
    </row>
    <row r="18" spans="1:26" x14ac:dyDescent="0.35">
      <c r="A18" s="117" t="s">
        <v>11</v>
      </c>
      <c r="B18" s="117"/>
      <c r="C18" s="103" t="s">
        <v>240</v>
      </c>
      <c r="D18" s="103"/>
      <c r="E18" s="117" t="s">
        <v>71</v>
      </c>
      <c r="F18" s="117"/>
      <c r="G18" s="118" t="s">
        <v>266</v>
      </c>
      <c r="H18" s="118"/>
      <c r="S18" s="55" t="s">
        <v>180</v>
      </c>
      <c r="T18" s="55" t="s">
        <v>187</v>
      </c>
      <c r="U18" s="55"/>
      <c r="V18" s="55" t="s">
        <v>195</v>
      </c>
      <c r="W18" s="55" t="s">
        <v>212</v>
      </c>
      <c r="X18"/>
      <c r="Y18"/>
      <c r="Z18"/>
    </row>
    <row r="19" spans="1:26" x14ac:dyDescent="0.35">
      <c r="A19" s="120" t="s">
        <v>13</v>
      </c>
      <c r="B19" s="120"/>
      <c r="C19" s="118" t="s">
        <v>242</v>
      </c>
      <c r="D19" s="118"/>
      <c r="E19" s="117" t="s">
        <v>12</v>
      </c>
      <c r="F19" s="117"/>
      <c r="G19" s="119" t="s">
        <v>174</v>
      </c>
      <c r="H19" s="119"/>
      <c r="S19" s="55" t="s">
        <v>181</v>
      </c>
      <c r="T19" s="55" t="s">
        <v>188</v>
      </c>
      <c r="U19" s="55"/>
      <c r="V19" s="55" t="s">
        <v>196</v>
      </c>
      <c r="W19" s="55" t="s">
        <v>213</v>
      </c>
      <c r="X19"/>
      <c r="Y19"/>
      <c r="Z19"/>
    </row>
    <row r="20" spans="1:26" x14ac:dyDescent="0.35">
      <c r="A20" s="120" t="s">
        <v>72</v>
      </c>
      <c r="B20" s="120"/>
      <c r="C20" s="118" t="s">
        <v>175</v>
      </c>
      <c r="D20" s="118"/>
      <c r="E20" s="117" t="s">
        <v>14</v>
      </c>
      <c r="F20" s="117"/>
      <c r="G20" s="118">
        <v>400612</v>
      </c>
      <c r="H20" s="118"/>
      <c r="S20" s="55"/>
      <c r="T20" s="55"/>
      <c r="U20" s="55"/>
      <c r="V20" s="55" t="s">
        <v>197</v>
      </c>
      <c r="W20" s="55" t="s">
        <v>214</v>
      </c>
      <c r="X20"/>
      <c r="Y20"/>
      <c r="Z20"/>
    </row>
    <row r="21" spans="1:26" ht="47.25" customHeight="1" x14ac:dyDescent="0.35">
      <c r="A21" s="120" t="s">
        <v>119</v>
      </c>
      <c r="B21" s="120"/>
      <c r="C21" s="118" t="s">
        <v>243</v>
      </c>
      <c r="D21" s="118"/>
      <c r="E21" s="117" t="s">
        <v>15</v>
      </c>
      <c r="F21" s="117"/>
      <c r="G21" s="118" t="s">
        <v>244</v>
      </c>
      <c r="H21" s="118"/>
      <c r="S21" s="55"/>
      <c r="T21" s="55"/>
      <c r="U21" s="55"/>
      <c r="V21" s="55" t="s">
        <v>198</v>
      </c>
      <c r="W21" s="55" t="s">
        <v>215</v>
      </c>
      <c r="X21"/>
      <c r="Y21"/>
      <c r="Z21"/>
    </row>
    <row r="22" spans="1:26" ht="15" customHeight="1" x14ac:dyDescent="0.35">
      <c r="A22" s="117" t="s">
        <v>73</v>
      </c>
      <c r="B22" s="117"/>
      <c r="C22" s="117"/>
      <c r="D22" s="117"/>
      <c r="E22" s="103" t="s">
        <v>16</v>
      </c>
      <c r="F22" s="103"/>
      <c r="G22" s="103"/>
      <c r="H22" s="103"/>
      <c r="S22" s="55"/>
      <c r="T22" s="55"/>
      <c r="U22" s="55"/>
      <c r="V22" s="55" t="s">
        <v>199</v>
      </c>
      <c r="W22" s="55" t="s">
        <v>216</v>
      </c>
      <c r="X22"/>
      <c r="Y22"/>
      <c r="Z22"/>
    </row>
    <row r="23" spans="1:26" ht="18.75" customHeight="1" x14ac:dyDescent="0.35">
      <c r="A23" s="117"/>
      <c r="B23" s="117"/>
      <c r="C23" s="117"/>
      <c r="D23" s="117"/>
      <c r="E23" s="103"/>
      <c r="F23" s="103"/>
      <c r="G23" s="103"/>
      <c r="H23" s="103"/>
      <c r="S23" s="55"/>
      <c r="T23" s="55"/>
      <c r="U23" s="55"/>
      <c r="V23" s="55" t="s">
        <v>200</v>
      </c>
      <c r="W23" s="55" t="s">
        <v>217</v>
      </c>
      <c r="X23"/>
      <c r="Y23"/>
      <c r="Z23"/>
    </row>
    <row r="24" spans="1:26" ht="15" customHeight="1" x14ac:dyDescent="0.35">
      <c r="A24" s="117" t="s">
        <v>17</v>
      </c>
      <c r="B24" s="117"/>
      <c r="C24" s="117"/>
      <c r="D24" s="117"/>
      <c r="E24" s="118" t="s">
        <v>18</v>
      </c>
      <c r="F24" s="118"/>
      <c r="G24" s="118"/>
      <c r="H24" s="118"/>
      <c r="S24" s="55"/>
      <c r="T24" s="55"/>
      <c r="U24" s="55"/>
      <c r="V24" s="55" t="s">
        <v>201</v>
      </c>
      <c r="W24" s="55" t="s">
        <v>218</v>
      </c>
      <c r="X24"/>
      <c r="Y24"/>
      <c r="Z24"/>
    </row>
    <row r="25" spans="1:26" ht="15" customHeight="1" x14ac:dyDescent="0.35">
      <c r="A25" s="120" t="s">
        <v>19</v>
      </c>
      <c r="B25" s="120"/>
      <c r="C25" s="120"/>
      <c r="D25" s="120"/>
      <c r="E25" s="118" t="str">
        <f>IF(AND(G19="Mumbai"),"Upper Class","Middle Class")</f>
        <v>Middle Class</v>
      </c>
      <c r="F25" s="118"/>
      <c r="G25" s="118"/>
      <c r="H25" s="118"/>
      <c r="S25" s="55"/>
      <c r="T25" s="55"/>
      <c r="U25" s="55"/>
      <c r="V25" s="55" t="s">
        <v>202</v>
      </c>
      <c r="W25" s="55" t="s">
        <v>219</v>
      </c>
      <c r="X25"/>
      <c r="Y25"/>
      <c r="Z25"/>
    </row>
    <row r="26" spans="1:26" x14ac:dyDescent="0.35">
      <c r="A26" s="120" t="s">
        <v>20</v>
      </c>
      <c r="B26" s="120"/>
      <c r="C26" s="120"/>
      <c r="D26" s="120"/>
      <c r="E26" s="118" t="s">
        <v>21</v>
      </c>
      <c r="F26" s="118"/>
      <c r="G26" s="118"/>
      <c r="H26" s="118"/>
      <c r="S26" s="55"/>
      <c r="T26" s="55"/>
      <c r="U26" s="55"/>
      <c r="V26" s="55" t="s">
        <v>203</v>
      </c>
      <c r="W26" s="55" t="s">
        <v>220</v>
      </c>
      <c r="X26"/>
      <c r="Y26"/>
      <c r="Z26"/>
    </row>
    <row r="27" spans="1:26" ht="15.75" customHeight="1" x14ac:dyDescent="0.35">
      <c r="A27" s="120" t="s">
        <v>22</v>
      </c>
      <c r="B27" s="120"/>
      <c r="C27" s="120"/>
      <c r="D27" s="120"/>
      <c r="E27" s="118" t="str">
        <f>IF(AND(G19="Mumbai"),"Developed","Developing")</f>
        <v>Developing</v>
      </c>
      <c r="F27" s="118"/>
      <c r="G27" s="118"/>
      <c r="H27" s="118"/>
    </row>
    <row r="28" spans="1:26" x14ac:dyDescent="0.35">
      <c r="A28" s="120" t="s">
        <v>23</v>
      </c>
      <c r="B28" s="120"/>
      <c r="C28" s="120"/>
      <c r="D28" s="120"/>
      <c r="E28" s="118" t="s">
        <v>24</v>
      </c>
      <c r="F28" s="118"/>
      <c r="G28" s="118"/>
      <c r="H28" s="118"/>
    </row>
    <row r="29" spans="1:26" ht="15.75" customHeight="1" x14ac:dyDescent="0.35">
      <c r="A29" s="120" t="s">
        <v>78</v>
      </c>
      <c r="B29" s="120"/>
      <c r="C29" s="120"/>
      <c r="D29" s="120"/>
      <c r="E29" s="118" t="s">
        <v>79</v>
      </c>
      <c r="F29" s="118"/>
      <c r="G29" s="118"/>
      <c r="H29" s="118"/>
    </row>
    <row r="30" spans="1:26" ht="15" customHeight="1" x14ac:dyDescent="0.35">
      <c r="A30" s="120" t="s">
        <v>32</v>
      </c>
      <c r="B30" s="120"/>
      <c r="C30" s="120"/>
      <c r="D30" s="120"/>
      <c r="E30" s="11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18"/>
      <c r="G30" s="118"/>
      <c r="H30" s="118"/>
    </row>
    <row r="31" spans="1:26" ht="15.75" customHeight="1" x14ac:dyDescent="0.35">
      <c r="A31" s="120" t="s">
        <v>90</v>
      </c>
      <c r="B31" s="120"/>
      <c r="C31" s="120"/>
      <c r="D31" s="120"/>
      <c r="E31" s="118" t="s">
        <v>33</v>
      </c>
      <c r="F31" s="118"/>
      <c r="G31" s="118"/>
      <c r="H31" s="118"/>
    </row>
    <row r="32" spans="1:26" s="22" customFormat="1" x14ac:dyDescent="0.35">
      <c r="A32" s="171" t="s">
        <v>91</v>
      </c>
      <c r="B32" s="171"/>
      <c r="C32" s="168" t="s">
        <v>169</v>
      </c>
      <c r="D32" s="169"/>
      <c r="E32" s="170"/>
      <c r="F32" s="168" t="s">
        <v>30</v>
      </c>
      <c r="G32" s="169"/>
      <c r="H32" s="170"/>
    </row>
    <row r="33" spans="1:8" s="22" customFormat="1" x14ac:dyDescent="0.35">
      <c r="A33" s="123" t="s">
        <v>25</v>
      </c>
      <c r="B33" s="123" t="s">
        <v>29</v>
      </c>
      <c r="C33" s="114" t="s">
        <v>275</v>
      </c>
      <c r="D33" s="115"/>
      <c r="E33" s="116"/>
      <c r="F33" s="114" t="s">
        <v>248</v>
      </c>
      <c r="G33" s="115"/>
      <c r="H33" s="116"/>
    </row>
    <row r="34" spans="1:8" x14ac:dyDescent="0.35">
      <c r="A34" s="123" t="s">
        <v>26</v>
      </c>
      <c r="B34" s="123" t="s">
        <v>29</v>
      </c>
      <c r="C34" s="114" t="s">
        <v>245</v>
      </c>
      <c r="D34" s="115"/>
      <c r="E34" s="116"/>
      <c r="F34" s="114" t="s">
        <v>249</v>
      </c>
      <c r="G34" s="115"/>
      <c r="H34" s="116"/>
    </row>
    <row r="35" spans="1:8" s="22" customFormat="1" x14ac:dyDescent="0.35">
      <c r="A35" s="123" t="s">
        <v>28</v>
      </c>
      <c r="B35" s="123" t="s">
        <v>29</v>
      </c>
      <c r="C35" s="114" t="s">
        <v>245</v>
      </c>
      <c r="D35" s="115"/>
      <c r="E35" s="116"/>
      <c r="F35" s="114" t="s">
        <v>246</v>
      </c>
      <c r="G35" s="115"/>
      <c r="H35" s="116"/>
    </row>
    <row r="36" spans="1:8" x14ac:dyDescent="0.35">
      <c r="A36" s="123" t="s">
        <v>27</v>
      </c>
      <c r="B36" s="123" t="s">
        <v>29</v>
      </c>
      <c r="C36" s="114" t="s">
        <v>245</v>
      </c>
      <c r="D36" s="115"/>
      <c r="E36" s="116"/>
      <c r="F36" s="114" t="s">
        <v>247</v>
      </c>
      <c r="G36" s="115"/>
      <c r="H36" s="116"/>
    </row>
    <row r="37" spans="1:8" x14ac:dyDescent="0.35">
      <c r="A37" s="120" t="s">
        <v>31</v>
      </c>
      <c r="B37" s="120"/>
      <c r="C37" s="120"/>
      <c r="D37" s="120"/>
      <c r="E37" s="120"/>
      <c r="F37" s="120"/>
      <c r="G37" s="120"/>
      <c r="H37" s="120"/>
    </row>
    <row r="38" spans="1:8" ht="15.75" customHeight="1" x14ac:dyDescent="0.35">
      <c r="A38" s="104" t="s">
        <v>162</v>
      </c>
      <c r="B38" s="104"/>
      <c r="C38" s="173" t="s">
        <v>262</v>
      </c>
      <c r="D38" s="104"/>
      <c r="E38" s="104"/>
      <c r="F38" s="104"/>
      <c r="G38" s="104"/>
      <c r="H38" s="104"/>
    </row>
    <row r="39" spans="1:8" x14ac:dyDescent="0.35">
      <c r="A39" s="104" t="s">
        <v>159</v>
      </c>
      <c r="B39" s="104"/>
      <c r="C39" s="174" t="s">
        <v>263</v>
      </c>
      <c r="D39" s="118"/>
      <c r="E39" s="118"/>
      <c r="F39" s="118"/>
      <c r="G39" s="118"/>
      <c r="H39" s="118"/>
    </row>
    <row r="40" spans="1:8" x14ac:dyDescent="0.35">
      <c r="A40" s="104" t="s">
        <v>34</v>
      </c>
      <c r="B40" s="104"/>
      <c r="C40" s="104"/>
      <c r="D40" s="104"/>
      <c r="E40" s="104"/>
      <c r="F40" s="104"/>
      <c r="G40" s="104"/>
      <c r="H40" s="104"/>
    </row>
    <row r="41" spans="1:8" x14ac:dyDescent="0.35">
      <c r="A41" s="120" t="s">
        <v>35</v>
      </c>
      <c r="B41" s="120"/>
      <c r="C41" s="120"/>
      <c r="D41" s="120"/>
      <c r="E41" s="172">
        <v>3305</v>
      </c>
      <c r="F41" s="172"/>
      <c r="G41" s="172"/>
      <c r="H41" s="172"/>
    </row>
    <row r="42" spans="1:8" x14ac:dyDescent="0.35">
      <c r="A42" s="120" t="s">
        <v>36</v>
      </c>
      <c r="B42" s="120"/>
      <c r="C42" s="120"/>
      <c r="D42" s="120"/>
      <c r="E42" s="175">
        <f>3635.5/E41</f>
        <v>1.1000000000000001</v>
      </c>
      <c r="F42" s="175"/>
      <c r="G42" s="175"/>
      <c r="H42" s="175"/>
    </row>
    <row r="43" spans="1:8" x14ac:dyDescent="0.35">
      <c r="A43" s="120" t="s">
        <v>37</v>
      </c>
      <c r="B43" s="120"/>
      <c r="C43" s="120"/>
      <c r="D43" s="120"/>
      <c r="E43" s="175">
        <f>E45/E41-E42</f>
        <v>1.6315642965204233</v>
      </c>
      <c r="F43" s="175"/>
      <c r="G43" s="175"/>
      <c r="H43" s="175"/>
    </row>
    <row r="44" spans="1:8" x14ac:dyDescent="0.35">
      <c r="A44" s="120" t="s">
        <v>38</v>
      </c>
      <c r="B44" s="120"/>
      <c r="C44" s="120"/>
      <c r="D44" s="120"/>
      <c r="E44" s="175">
        <f>E42+E43</f>
        <v>2.7315642965204234</v>
      </c>
      <c r="F44" s="175"/>
      <c r="G44" s="175"/>
      <c r="H44" s="175"/>
    </row>
    <row r="45" spans="1:8" x14ac:dyDescent="0.35">
      <c r="A45" s="120" t="s">
        <v>89</v>
      </c>
      <c r="B45" s="120"/>
      <c r="C45" s="120"/>
      <c r="D45" s="120"/>
      <c r="E45" s="177">
        <v>9027.82</v>
      </c>
      <c r="F45" s="177"/>
      <c r="G45" s="177"/>
      <c r="H45" s="177"/>
    </row>
    <row r="46" spans="1:8" x14ac:dyDescent="0.35">
      <c r="A46" s="103" t="s">
        <v>39</v>
      </c>
      <c r="B46" s="103"/>
      <c r="C46" s="103"/>
      <c r="D46" s="103"/>
      <c r="E46" s="103" t="s">
        <v>239</v>
      </c>
      <c r="F46" s="103"/>
      <c r="G46" s="103"/>
      <c r="H46" s="103"/>
    </row>
    <row r="47" spans="1:8" x14ac:dyDescent="0.35">
      <c r="A47" s="104" t="s">
        <v>40</v>
      </c>
      <c r="B47" s="104"/>
      <c r="C47" s="104"/>
      <c r="D47" s="104"/>
      <c r="E47" s="104"/>
      <c r="F47" s="104"/>
      <c r="G47" s="104"/>
      <c r="H47" s="104"/>
    </row>
    <row r="48" spans="1:8" ht="33.75" customHeight="1" x14ac:dyDescent="0.35">
      <c r="A48" s="135" t="s">
        <v>148</v>
      </c>
      <c r="B48" s="137"/>
      <c r="C48" s="197" t="s">
        <v>232</v>
      </c>
      <c r="D48" s="198"/>
      <c r="E48" s="198"/>
      <c r="F48" s="198"/>
      <c r="G48" s="198"/>
      <c r="H48" s="199"/>
    </row>
    <row r="49" spans="1:14" ht="15.75" customHeight="1" x14ac:dyDescent="0.35">
      <c r="A49" s="135" t="s">
        <v>41</v>
      </c>
      <c r="B49" s="137"/>
      <c r="C49" s="135" t="s">
        <v>269</v>
      </c>
      <c r="D49" s="136"/>
      <c r="E49" s="137"/>
      <c r="F49" s="18" t="s">
        <v>42</v>
      </c>
      <c r="G49" s="110">
        <v>45784</v>
      </c>
      <c r="H49" s="137"/>
    </row>
    <row r="50" spans="1:14" x14ac:dyDescent="0.35">
      <c r="A50" s="135" t="s">
        <v>43</v>
      </c>
      <c r="B50" s="137"/>
      <c r="C50" s="135" t="str">
        <f>C49</f>
        <v xml:space="preserve">KDMCC/RB/2025/APL/00162 </v>
      </c>
      <c r="D50" s="136"/>
      <c r="E50" s="137"/>
      <c r="F50" s="18" t="s">
        <v>42</v>
      </c>
      <c r="G50" s="110">
        <f>G49</f>
        <v>45784</v>
      </c>
      <c r="H50" s="111"/>
    </row>
    <row r="51" spans="1:14" s="23" customFormat="1" ht="15.75" customHeight="1" x14ac:dyDescent="0.35">
      <c r="A51" s="135" t="s">
        <v>227</v>
      </c>
      <c r="B51" s="137"/>
      <c r="C51" s="135" t="str">
        <f>C50</f>
        <v xml:space="preserve">KDMCC/RB/2025/APL/00162 </v>
      </c>
      <c r="D51" s="136"/>
      <c r="E51" s="137"/>
      <c r="F51" s="18" t="s">
        <v>42</v>
      </c>
      <c r="G51" s="110">
        <f>G50</f>
        <v>45784</v>
      </c>
      <c r="H51" s="111"/>
    </row>
    <row r="52" spans="1:14" s="23" customFormat="1" x14ac:dyDescent="0.35">
      <c r="A52" s="138" t="s">
        <v>228</v>
      </c>
      <c r="B52" s="139"/>
      <c r="C52" s="135" t="s">
        <v>270</v>
      </c>
      <c r="D52" s="136"/>
      <c r="E52" s="136"/>
      <c r="F52" s="136"/>
      <c r="G52" s="136"/>
      <c r="H52" s="137"/>
    </row>
    <row r="53" spans="1:14" x14ac:dyDescent="0.35">
      <c r="A53" s="179" t="s">
        <v>44</v>
      </c>
      <c r="B53" s="180"/>
      <c r="C53" s="179" t="s">
        <v>103</v>
      </c>
      <c r="D53" s="181"/>
      <c r="E53" s="180"/>
      <c r="F53" s="46" t="s">
        <v>42</v>
      </c>
      <c r="G53" s="112" t="s">
        <v>29</v>
      </c>
      <c r="H53" s="113"/>
    </row>
    <row r="54" spans="1:14" x14ac:dyDescent="0.35">
      <c r="A54" s="176" t="s">
        <v>46</v>
      </c>
      <c r="B54" s="176"/>
      <c r="C54" s="176"/>
      <c r="D54" s="176"/>
      <c r="E54" s="176"/>
      <c r="F54" s="176"/>
      <c r="G54" s="176"/>
      <c r="H54" s="176"/>
    </row>
    <row r="55" spans="1:14" x14ac:dyDescent="0.35">
      <c r="A55" s="117" t="s">
        <v>88</v>
      </c>
      <c r="B55" s="117"/>
      <c r="C55" s="117"/>
      <c r="D55" s="178">
        <f>E45</f>
        <v>9027.82</v>
      </c>
      <c r="E55" s="178"/>
      <c r="F55" s="178"/>
      <c r="G55" s="178"/>
      <c r="H55" s="178"/>
    </row>
    <row r="56" spans="1:14" x14ac:dyDescent="0.35">
      <c r="A56" s="118" t="s">
        <v>47</v>
      </c>
      <c r="B56" s="103"/>
      <c r="C56" s="103"/>
      <c r="D56" s="178" t="s">
        <v>280</v>
      </c>
      <c r="E56" s="178"/>
      <c r="F56" s="178"/>
      <c r="G56" s="178"/>
      <c r="H56" s="178"/>
      <c r="I56" s="24"/>
    </row>
    <row r="57" spans="1:14" x14ac:dyDescent="0.35">
      <c r="A57" s="107" t="s">
        <v>48</v>
      </c>
      <c r="B57" s="108"/>
      <c r="C57" s="109"/>
      <c r="D57" s="105" t="s">
        <v>271</v>
      </c>
      <c r="E57" s="106"/>
      <c r="F57" s="106"/>
      <c r="G57" s="106"/>
      <c r="H57" s="106"/>
    </row>
    <row r="58" spans="1:14" ht="15.75" customHeight="1" x14ac:dyDescent="0.35">
      <c r="A58" s="107" t="s">
        <v>86</v>
      </c>
      <c r="B58" s="108"/>
      <c r="C58" s="108"/>
      <c r="D58" s="103" t="s">
        <v>272</v>
      </c>
      <c r="E58" s="103"/>
      <c r="F58" s="103"/>
      <c r="G58" s="103"/>
      <c r="H58" s="103"/>
    </row>
    <row r="59" spans="1:14" ht="15.75" customHeight="1" x14ac:dyDescent="0.35">
      <c r="A59" s="131"/>
      <c r="B59" s="132"/>
      <c r="C59" s="132"/>
      <c r="D59" s="103" t="s">
        <v>273</v>
      </c>
      <c r="E59" s="103"/>
      <c r="F59" s="103"/>
      <c r="G59" s="103"/>
      <c r="H59" s="103"/>
    </row>
    <row r="60" spans="1:14" ht="15.75" customHeight="1" x14ac:dyDescent="0.35">
      <c r="A60" s="133"/>
      <c r="B60" s="134"/>
      <c r="C60" s="134"/>
      <c r="D60" s="103" t="s">
        <v>274</v>
      </c>
      <c r="E60" s="103"/>
      <c r="F60" s="103"/>
      <c r="G60" s="103"/>
      <c r="H60" s="103"/>
    </row>
    <row r="61" spans="1:14" ht="15.75" customHeight="1" x14ac:dyDescent="0.35">
      <c r="A61" s="103" t="s">
        <v>45</v>
      </c>
      <c r="B61" s="103"/>
      <c r="C61" s="103"/>
      <c r="D61" s="147" t="s">
        <v>238</v>
      </c>
      <c r="E61" s="147"/>
      <c r="F61" s="147"/>
      <c r="G61" s="147"/>
      <c r="H61" s="147"/>
      <c r="J61" s="25"/>
      <c r="K61" s="24"/>
      <c r="N61" s="24"/>
    </row>
    <row r="62" spans="1:14" ht="15.75" customHeight="1" x14ac:dyDescent="0.35">
      <c r="A62" s="103" t="s">
        <v>84</v>
      </c>
      <c r="B62" s="103"/>
      <c r="C62" s="103"/>
      <c r="D62" s="148" t="str">
        <f>(IF(G53="NA","60 Years After Completion",IF(G53&lt;&gt;"NA",""&amp;60-ROUNDDOWN((E3-G53)/360,0)&amp;" Years"," ")))</f>
        <v>60 Years After Completion</v>
      </c>
      <c r="E62" s="148"/>
      <c r="F62" s="148"/>
      <c r="G62" s="148"/>
      <c r="H62" s="148"/>
      <c r="N62" s="24"/>
    </row>
    <row r="63" spans="1:14" ht="15.75" customHeight="1" x14ac:dyDescent="0.35">
      <c r="A63" s="103" t="s">
        <v>85</v>
      </c>
      <c r="B63" s="103"/>
      <c r="C63" s="103"/>
      <c r="D63" s="118" t="s">
        <v>24</v>
      </c>
      <c r="E63" s="118"/>
      <c r="F63" s="118"/>
      <c r="G63" s="118"/>
      <c r="H63" s="118"/>
      <c r="J63" s="26"/>
      <c r="K63" s="26"/>
    </row>
    <row r="64" spans="1:14" ht="34.5" customHeight="1" x14ac:dyDescent="0.35">
      <c r="A64" s="103" t="s">
        <v>229</v>
      </c>
      <c r="B64" s="103"/>
      <c r="C64" s="103"/>
      <c r="D64" s="118" t="s">
        <v>278</v>
      </c>
      <c r="E64" s="118"/>
      <c r="F64" s="118"/>
      <c r="G64" s="118"/>
      <c r="H64" s="118"/>
      <c r="I64" s="61" t="s">
        <v>279</v>
      </c>
    </row>
    <row r="65" spans="1:14" x14ac:dyDescent="0.35">
      <c r="A65" s="118" t="s">
        <v>145</v>
      </c>
      <c r="B65" s="118"/>
      <c r="C65" s="118"/>
      <c r="D65" s="118" t="s">
        <v>29</v>
      </c>
      <c r="E65" s="118"/>
      <c r="F65" s="118"/>
      <c r="G65" s="118"/>
      <c r="H65" s="118"/>
      <c r="I65" s="27"/>
      <c r="J65" s="27"/>
      <c r="K65" s="27"/>
      <c r="L65" s="27"/>
      <c r="M65" s="27"/>
      <c r="N65" s="27"/>
    </row>
    <row r="66" spans="1:14" ht="15.75" customHeight="1" x14ac:dyDescent="0.35">
      <c r="A66" s="103" t="s">
        <v>83</v>
      </c>
      <c r="B66" s="103"/>
      <c r="C66" s="103"/>
      <c r="D66" s="118" t="str">
        <f ca="1">(IF(G72&gt;95%,"Nothing",IF(G72&gt;0%,"Cement, Aggregate, Steel, etc",IF(G72=0%,"Work not yet Started"))))</f>
        <v>Cement, Aggregate, Steel, etc</v>
      </c>
      <c r="E66" s="118"/>
      <c r="F66" s="118"/>
      <c r="G66" s="118"/>
      <c r="H66" s="118"/>
      <c r="J66" s="26"/>
    </row>
    <row r="67" spans="1:14" ht="33.75" customHeight="1" thickBot="1" x14ac:dyDescent="0.4">
      <c r="A67" s="118" t="s">
        <v>116</v>
      </c>
      <c r="B67" s="118"/>
      <c r="C67" s="118"/>
      <c r="D67" s="118" t="str">
        <f ca="1">(IF(D66="Nothing","Yes",IF(D66="Cement, Aggregate, Steel, etc","Under Construction",IF(D66="Work not yet Started","Work not yet Started"))))</f>
        <v>Under Construction</v>
      </c>
      <c r="E67" s="118"/>
      <c r="F67" s="118" t="str">
        <f ca="1">(IF(D66="Nothing","Yes",IF(D66="Cement, Aggregate, Steel, etc","Under Construction",IF(D66="Work not yet Started","Work not yet Started"))))</f>
        <v>Under Construction</v>
      </c>
      <c r="G67" s="118"/>
      <c r="H67" s="118"/>
    </row>
    <row r="68" spans="1:14" ht="15.75" customHeight="1" x14ac:dyDescent="0.35">
      <c r="A68" s="152" t="s">
        <v>137</v>
      </c>
      <c r="B68" s="152"/>
      <c r="C68" s="152" t="str">
        <f>D58</f>
        <v>Wing A = Gr/St + 1st to 7th Floor</v>
      </c>
      <c r="D68" s="152"/>
      <c r="E68" s="152"/>
      <c r="F68" s="152"/>
      <c r="G68" s="152"/>
      <c r="H68" s="152"/>
      <c r="I68" s="201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 Completed, Flooring upto 4 Floor, Painting upto 4 Floor Completed</v>
      </c>
      <c r="J68" s="50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Flooring upto 4 Floor, Painting upto 4 Floor</v>
      </c>
    </row>
    <row r="69" spans="1:14" x14ac:dyDescent="0.35">
      <c r="A69" s="48" t="s">
        <v>139</v>
      </c>
      <c r="B69" s="48">
        <f>IF(AND(ISNUMBER(SEARCH("1B",C68))),1,IF(AND(ISNUMBER(SEARCH("2B",C68))),2,IF(AND(ISNUMBER(SEARCH("3B",C68))),3,IF(AND(ISNUMBER(SEARCH("4B",C68))),4,IF(ISNUMBER(SEARCH("5B",C68)),5,0)))))</f>
        <v>0</v>
      </c>
      <c r="C69" s="48" t="s">
        <v>70</v>
      </c>
      <c r="D69" s="48">
        <v>1</v>
      </c>
      <c r="E69" s="48" t="s">
        <v>69</v>
      </c>
      <c r="F69" s="48">
        <v>0</v>
      </c>
      <c r="G69" s="48" t="s">
        <v>77</v>
      </c>
      <c r="H69" s="48">
        <f ca="1">--TRIM(RIGHT(SUBSTITUTE(LEFT(C68,_xlfn.AGGREGATE(16,6,FIND({0,1,2,3,4,5,6,7,8,9},C68,ROW(INDIRECT("1:"&amp;LEN(C68)))),1))," ",REPT(" ",LEN(C68))),LEN(C68)))</f>
        <v>7</v>
      </c>
      <c r="I69" s="202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</v>
      </c>
      <c r="J69" s="52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5.5" customHeight="1" x14ac:dyDescent="0.35">
      <c r="A70" s="151" t="s">
        <v>87</v>
      </c>
      <c r="B70" s="151"/>
      <c r="C70" s="152" t="str">
        <f ca="1">I68</f>
        <v>Excavation, Plinth, RCC Slab, Brickwork, Internal Plaster, External Plaster Completed, Flooring upto 4 Floor, Painting upto 4 Floor Completed</v>
      </c>
      <c r="D70" s="152"/>
      <c r="E70" s="152"/>
      <c r="F70" s="152"/>
      <c r="G70" s="152"/>
      <c r="H70" s="152"/>
      <c r="I70" s="202" t="str">
        <f ca="1">IF(I69&lt;&gt;""," Completed","")</f>
        <v xml:space="preserve"> Completed</v>
      </c>
      <c r="J70" s="52" t="str">
        <f ca="1">IF(J68&lt;&gt;"","Completed","")</f>
        <v>Completed</v>
      </c>
    </row>
    <row r="71" spans="1:14" ht="15.75" customHeight="1" x14ac:dyDescent="0.35">
      <c r="A71" s="130" t="s">
        <v>49</v>
      </c>
      <c r="B71" s="130"/>
      <c r="C71" s="69" t="s">
        <v>136</v>
      </c>
      <c r="D71" s="69" t="s">
        <v>80</v>
      </c>
      <c r="E71" s="130" t="s">
        <v>82</v>
      </c>
      <c r="F71" s="130"/>
      <c r="G71" s="130" t="s">
        <v>81</v>
      </c>
      <c r="H71" s="130"/>
      <c r="I71" s="14" t="s">
        <v>138</v>
      </c>
      <c r="J71" s="28">
        <f ca="1">H69*25%</f>
        <v>1.75</v>
      </c>
    </row>
    <row r="72" spans="1:14" x14ac:dyDescent="0.35">
      <c r="A72" s="130" t="s">
        <v>125</v>
      </c>
      <c r="B72" s="130"/>
      <c r="C72" s="69">
        <f ca="1">J73</f>
        <v>7</v>
      </c>
      <c r="D72" s="67">
        <f ca="1">((100/H69)*C72)/100</f>
        <v>1</v>
      </c>
      <c r="E72" s="208">
        <f ca="1">(((C73/H69*10)+(40/(D69+F69+H69)*C74)+(7.5/(H69)*C75)+(7.5/(H69)*C76)+(10/H69*C77)+(10/H69*C78)+(5/H69*C79)+(5/H69*C80)+(5/H69*C81))/100)</f>
        <v>0.83571428571428574</v>
      </c>
      <c r="F72" s="208"/>
      <c r="G72" s="208">
        <f ca="1">((((C72/H69)*20)+((C73/H69)*25)+(30/(H69+F69+D69)*C74)+(5/H69*C75)+(5/H69*C76)+(5/H69*C77)+(5/H69*C78)+(0/H69*C79)+(0/H69*C80)+(5/H69*C81))/100)</f>
        <v>0.9285714285714286</v>
      </c>
      <c r="H72" s="208"/>
      <c r="I72" s="14" t="s">
        <v>98</v>
      </c>
      <c r="J72" s="29">
        <f ca="1">H69*50%</f>
        <v>3.5</v>
      </c>
    </row>
    <row r="73" spans="1:14" x14ac:dyDescent="0.35">
      <c r="A73" s="130" t="s">
        <v>50</v>
      </c>
      <c r="B73" s="130"/>
      <c r="C73" s="68">
        <f ca="1">J81</f>
        <v>7</v>
      </c>
      <c r="D73" s="67">
        <f ca="1">((100/H69)*C73)/100</f>
        <v>1</v>
      </c>
      <c r="E73" s="208"/>
      <c r="F73" s="208"/>
      <c r="G73" s="208"/>
      <c r="H73" s="208"/>
      <c r="I73" s="14" t="s">
        <v>99</v>
      </c>
      <c r="J73" s="29">
        <f ca="1">H69</f>
        <v>7</v>
      </c>
    </row>
    <row r="74" spans="1:14" ht="15.75" customHeight="1" x14ac:dyDescent="0.35">
      <c r="A74" s="130" t="s">
        <v>126</v>
      </c>
      <c r="B74" s="130"/>
      <c r="C74" s="69">
        <v>8</v>
      </c>
      <c r="D74" s="67">
        <f ca="1">((100/(D69+F69+H69))*C74)/100</f>
        <v>1</v>
      </c>
      <c r="E74" s="208"/>
      <c r="F74" s="208"/>
      <c r="G74" s="208"/>
      <c r="H74" s="208"/>
      <c r="I74" s="14" t="s">
        <v>100</v>
      </c>
      <c r="J74" s="30">
        <f ca="1">(IF(B69&gt;1,(H69/(B69+2)),H69/4))</f>
        <v>1.75</v>
      </c>
    </row>
    <row r="75" spans="1:14" ht="15.75" customHeight="1" x14ac:dyDescent="0.35">
      <c r="A75" s="130" t="s">
        <v>133</v>
      </c>
      <c r="B75" s="130" t="s">
        <v>127</v>
      </c>
      <c r="C75" s="69">
        <v>7</v>
      </c>
      <c r="D75" s="67">
        <f ca="1">((100/H69)*C75)/100</f>
        <v>1</v>
      </c>
      <c r="E75" s="208"/>
      <c r="F75" s="208"/>
      <c r="G75" s="208"/>
      <c r="H75" s="208"/>
      <c r="I75" s="14" t="s">
        <v>101</v>
      </c>
      <c r="J75" s="30">
        <f ca="1">(IF(B69&gt;1,(H69/(B69+2)+J74),H69/4+J74))</f>
        <v>3.5</v>
      </c>
    </row>
    <row r="76" spans="1:14" ht="15.75" customHeight="1" x14ac:dyDescent="0.35">
      <c r="A76" s="130" t="s">
        <v>134</v>
      </c>
      <c r="B76" s="130" t="s">
        <v>127</v>
      </c>
      <c r="C76" s="69">
        <v>7</v>
      </c>
      <c r="D76" s="67">
        <f ca="1">((100/H69)*C76)/100</f>
        <v>1</v>
      </c>
      <c r="E76" s="208"/>
      <c r="F76" s="208"/>
      <c r="G76" s="208"/>
      <c r="H76" s="208"/>
      <c r="I76" s="14" t="s">
        <v>143</v>
      </c>
      <c r="J76" s="30">
        <f>(IF(B69&gt;1,(H69/(B69+2)+J75),0))</f>
        <v>0</v>
      </c>
    </row>
    <row r="77" spans="1:14" ht="15" customHeight="1" x14ac:dyDescent="0.35">
      <c r="A77" s="130" t="s">
        <v>132</v>
      </c>
      <c r="B77" s="130" t="s">
        <v>129</v>
      </c>
      <c r="C77" s="69">
        <v>7</v>
      </c>
      <c r="D77" s="67">
        <f ca="1">((100/(H69))*C77)/100</f>
        <v>1</v>
      </c>
      <c r="E77" s="208"/>
      <c r="F77" s="208"/>
      <c r="G77" s="208"/>
      <c r="H77" s="208"/>
      <c r="I77" s="14" t="s">
        <v>140</v>
      </c>
      <c r="J77" s="30">
        <f>(IF(B69&gt;2,(H69/(B69+2)+J76),0))</f>
        <v>0</v>
      </c>
    </row>
    <row r="78" spans="1:14" ht="15.75" customHeight="1" x14ac:dyDescent="0.35">
      <c r="A78" s="130" t="s">
        <v>128</v>
      </c>
      <c r="B78" s="130" t="s">
        <v>128</v>
      </c>
      <c r="C78" s="69">
        <v>4</v>
      </c>
      <c r="D78" s="67">
        <f ca="1">((100/H69)*C78)/100</f>
        <v>0.57142857142857151</v>
      </c>
      <c r="E78" s="208"/>
      <c r="F78" s="208"/>
      <c r="G78" s="208"/>
      <c r="H78" s="208"/>
      <c r="I78" s="14" t="s">
        <v>141</v>
      </c>
      <c r="J78" s="31">
        <f>(IF(B69&gt;3,(H69/(B69+2)+J77),0))</f>
        <v>0</v>
      </c>
    </row>
    <row r="79" spans="1:14" ht="15.75" customHeight="1" x14ac:dyDescent="0.35">
      <c r="A79" s="130" t="s">
        <v>135</v>
      </c>
      <c r="B79" s="130"/>
      <c r="C79" s="69">
        <v>4</v>
      </c>
      <c r="D79" s="67">
        <f ca="1">((100/H69)*C79)/100</f>
        <v>0.57142857142857151</v>
      </c>
      <c r="E79" s="208"/>
      <c r="F79" s="208"/>
      <c r="G79" s="208"/>
      <c r="H79" s="208"/>
      <c r="I79" s="14" t="s">
        <v>142</v>
      </c>
      <c r="J79" s="30">
        <f>(IF(B69&gt;4,(H69/(B69+2)+J78),0))</f>
        <v>0</v>
      </c>
    </row>
    <row r="80" spans="1:14" ht="15.75" customHeight="1" x14ac:dyDescent="0.35">
      <c r="A80" s="130" t="s">
        <v>130</v>
      </c>
      <c r="B80" s="130" t="s">
        <v>130</v>
      </c>
      <c r="C80" s="69">
        <v>0</v>
      </c>
      <c r="D80" s="67">
        <f ca="1">((100/(H69))*C80)/100</f>
        <v>0</v>
      </c>
      <c r="E80" s="208"/>
      <c r="F80" s="208"/>
      <c r="G80" s="208"/>
      <c r="H80" s="208"/>
      <c r="I80" s="14" t="s">
        <v>144</v>
      </c>
      <c r="J80" s="30">
        <f ca="1">(IF(B69=1,(H69/(B69+3)+J75),IF(B69=0,(H69/4+J75),IF(B69&gt;1,0))))</f>
        <v>5.25</v>
      </c>
    </row>
    <row r="81" spans="1:10" ht="16" thickBot="1" x14ac:dyDescent="0.4">
      <c r="A81" s="130" t="s">
        <v>131</v>
      </c>
      <c r="B81" s="130"/>
      <c r="C81" s="69">
        <v>0</v>
      </c>
      <c r="D81" s="67">
        <f ca="1">((100/(H69))*C81)/100</f>
        <v>0</v>
      </c>
      <c r="E81" s="208"/>
      <c r="F81" s="208"/>
      <c r="G81" s="208"/>
      <c r="H81" s="208"/>
      <c r="I81" s="15" t="s">
        <v>102</v>
      </c>
      <c r="J81" s="32">
        <f ca="1">(IF(B69&gt;1.5,(H69/(B69+2)+J75+MAX(0,J76-J75)+MAX(0,J77-J76)+MAX(0,J78-J77)+MAX(0,J79-J78)+MAX(0,J80-J79)),IF(B69=1,(H69/(B69+3)+J80),IF(B69=0,H69/4+J80))))</f>
        <v>7</v>
      </c>
    </row>
    <row r="82" spans="1:10" ht="15.75" customHeight="1" x14ac:dyDescent="0.35">
      <c r="A82" s="152" t="s">
        <v>137</v>
      </c>
      <c r="B82" s="152"/>
      <c r="C82" s="152" t="str">
        <f>D59</f>
        <v>Wing B = Gr/St + 1st to 7th Floor</v>
      </c>
      <c r="D82" s="152"/>
      <c r="E82" s="152"/>
      <c r="F82" s="152"/>
      <c r="G82" s="152"/>
      <c r="H82" s="152"/>
      <c r="I82" s="201" t="str">
        <f ca="1">IF(D95=100%,"All work Completed. Possession granted to the Building.",IF(D94=100%,"All work Completed, Waiting for OC",I83&amp;""&amp;I84&amp;""&amp;J83&amp;""&amp;J82&amp;" "&amp;J84))</f>
        <v>Excavation, Plinth, RCC Slab, Brickwork, Internal Plaster, External Plaster, Flooring Completed, Painting upto 5 Floor Completed</v>
      </c>
      <c r="J82" s="50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Painting upto 5 Floor</v>
      </c>
    </row>
    <row r="83" spans="1:10" x14ac:dyDescent="0.35">
      <c r="A83" s="48" t="s">
        <v>139</v>
      </c>
      <c r="B83" s="48">
        <f>IF(AND(ISNUMBER(SEARCH("1B",C82))),1,IF(AND(ISNUMBER(SEARCH("2B",C82))),2,IF(AND(ISNUMBER(SEARCH("3B",C82))),3,IF(AND(ISNUMBER(SEARCH("4B",C82))),4,IF(ISNUMBER(SEARCH("5B",C82)),5,0)))))</f>
        <v>0</v>
      </c>
      <c r="C83" s="48" t="s">
        <v>70</v>
      </c>
      <c r="D83" s="48">
        <v>1</v>
      </c>
      <c r="E83" s="48" t="s">
        <v>69</v>
      </c>
      <c r="F83" s="48">
        <v>0</v>
      </c>
      <c r="G83" s="48" t="s">
        <v>77</v>
      </c>
      <c r="H83" s="48">
        <f ca="1">--TRIM(RIGHT(SUBSTITUTE(LEFT(C82,_xlfn.AGGREGATE(16,6,FIND({0,1,2,3,4,5,6,7,8,9},C82,ROW(INDIRECT("1:"&amp;LEN(C82)))),1))," ",REPT(" ",LEN(C82))),LEN(C82)))</f>
        <v>7</v>
      </c>
      <c r="I83" s="202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Plinth, RCC Slab, Brickwork, Internal Plaster, External Plaster, Flooring</v>
      </c>
      <c r="J83" s="52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31.5" customHeight="1" x14ac:dyDescent="0.35">
      <c r="A84" s="151" t="s">
        <v>87</v>
      </c>
      <c r="B84" s="151"/>
      <c r="C84" s="152" t="str">
        <f ca="1">(IF($G$53="NA",I82,"All work Completed. OC Received."))</f>
        <v>Excavation, Plinth, RCC Slab, Brickwork, Internal Plaster, External Plaster, Flooring Completed, Painting upto 5 Floor Completed</v>
      </c>
      <c r="D84" s="152"/>
      <c r="E84" s="152"/>
      <c r="F84" s="152"/>
      <c r="G84" s="152"/>
      <c r="H84" s="152"/>
      <c r="I84" s="202" t="str">
        <f ca="1">IF(I83&lt;&gt;""," Completed","")</f>
        <v xml:space="preserve"> Completed</v>
      </c>
      <c r="J84" s="52" t="str">
        <f ca="1">IF(J82&lt;&gt;"","Completed","")</f>
        <v>Completed</v>
      </c>
    </row>
    <row r="85" spans="1:10" ht="15.75" customHeight="1" x14ac:dyDescent="0.35">
      <c r="A85" s="130" t="s">
        <v>49</v>
      </c>
      <c r="B85" s="130"/>
      <c r="C85" s="69" t="s">
        <v>136</v>
      </c>
      <c r="D85" s="69" t="s">
        <v>80</v>
      </c>
      <c r="E85" s="130" t="s">
        <v>82</v>
      </c>
      <c r="F85" s="130"/>
      <c r="G85" s="130" t="s">
        <v>81</v>
      </c>
      <c r="H85" s="130"/>
      <c r="I85" s="14" t="s">
        <v>138</v>
      </c>
      <c r="J85" s="28">
        <f ca="1">H83*25%</f>
        <v>1.75</v>
      </c>
    </row>
    <row r="86" spans="1:10" x14ac:dyDescent="0.35">
      <c r="A86" s="130" t="s">
        <v>125</v>
      </c>
      <c r="B86" s="130"/>
      <c r="C86" s="69">
        <f ca="1">J87</f>
        <v>7</v>
      </c>
      <c r="D86" s="67">
        <f ca="1">((100/H83)*C86)/100</f>
        <v>1</v>
      </c>
      <c r="E86" s="208">
        <f ca="1">(((C87/H83*10)+(40/(D83+F83+H83)*C88)+(7.5/(H83)*C89)+(7.5/(H83)*C90)+(10/H83*C91)+(10/H83*C92)+(5/H83*C93)+(5/H83*C94)+(5/H83*C95))/100)</f>
        <v>0.88571428571428568</v>
      </c>
      <c r="F86" s="208"/>
      <c r="G86" s="208">
        <f ca="1">((((C86/H83)*20)+((C87/H83)*25)+(30/(H83+F83+D83)*C88)+(5/H83*C89)+(5/H83*C90)+(5/H83*C91)+(5/H83*C92)+(0/H83*C93)+(0/H83*C94)+(5/H83*C95))/100)</f>
        <v>0.95</v>
      </c>
      <c r="H86" s="208"/>
      <c r="I86" s="14" t="s">
        <v>98</v>
      </c>
      <c r="J86" s="29">
        <f ca="1">H83*50%</f>
        <v>3.5</v>
      </c>
    </row>
    <row r="87" spans="1:10" x14ac:dyDescent="0.35">
      <c r="A87" s="130" t="s">
        <v>50</v>
      </c>
      <c r="B87" s="130"/>
      <c r="C87" s="68">
        <f ca="1">J95</f>
        <v>7</v>
      </c>
      <c r="D87" s="67">
        <f ca="1">((100/H83)*C87)/100</f>
        <v>1</v>
      </c>
      <c r="E87" s="208"/>
      <c r="F87" s="208"/>
      <c r="G87" s="208"/>
      <c r="H87" s="208"/>
      <c r="I87" s="14" t="s">
        <v>99</v>
      </c>
      <c r="J87" s="29">
        <f ca="1">H83</f>
        <v>7</v>
      </c>
    </row>
    <row r="88" spans="1:10" ht="15.75" customHeight="1" x14ac:dyDescent="0.35">
      <c r="A88" s="130" t="s">
        <v>126</v>
      </c>
      <c r="B88" s="130"/>
      <c r="C88" s="69">
        <v>8</v>
      </c>
      <c r="D88" s="67">
        <f ca="1">((100/(D83+F83+H83))*C88)/100</f>
        <v>1</v>
      </c>
      <c r="E88" s="208"/>
      <c r="F88" s="208"/>
      <c r="G88" s="208"/>
      <c r="H88" s="208"/>
      <c r="I88" s="14" t="s">
        <v>100</v>
      </c>
      <c r="J88" s="30">
        <f ca="1">(IF(B83&gt;1,(H83/(B83+2)),H83/4))</f>
        <v>1.75</v>
      </c>
    </row>
    <row r="89" spans="1:10" ht="15.75" customHeight="1" x14ac:dyDescent="0.35">
      <c r="A89" s="130" t="s">
        <v>133</v>
      </c>
      <c r="B89" s="130" t="s">
        <v>127</v>
      </c>
      <c r="C89" s="69">
        <v>7</v>
      </c>
      <c r="D89" s="67">
        <f ca="1">((100/H83)*C89)/100</f>
        <v>1</v>
      </c>
      <c r="E89" s="208"/>
      <c r="F89" s="208"/>
      <c r="G89" s="208"/>
      <c r="H89" s="208"/>
      <c r="I89" s="14" t="s">
        <v>101</v>
      </c>
      <c r="J89" s="30">
        <f ca="1">(IF(B83&gt;1,(H83/(B83+2)+J88),H83/4+J88))</f>
        <v>3.5</v>
      </c>
    </row>
    <row r="90" spans="1:10" ht="15.75" customHeight="1" x14ac:dyDescent="0.35">
      <c r="A90" s="130" t="s">
        <v>134</v>
      </c>
      <c r="B90" s="130" t="s">
        <v>127</v>
      </c>
      <c r="C90" s="69">
        <v>7</v>
      </c>
      <c r="D90" s="67">
        <f ca="1">((100/H83)*C90)/100</f>
        <v>1</v>
      </c>
      <c r="E90" s="208"/>
      <c r="F90" s="208"/>
      <c r="G90" s="208"/>
      <c r="H90" s="208"/>
      <c r="I90" s="14" t="s">
        <v>143</v>
      </c>
      <c r="J90" s="30">
        <f>(IF(B83&gt;1,(H83/(B83+2)+J89),0))</f>
        <v>0</v>
      </c>
    </row>
    <row r="91" spans="1:10" ht="15" customHeight="1" x14ac:dyDescent="0.35">
      <c r="A91" s="130" t="s">
        <v>132</v>
      </c>
      <c r="B91" s="130" t="s">
        <v>129</v>
      </c>
      <c r="C91" s="69">
        <v>7</v>
      </c>
      <c r="D91" s="67">
        <f ca="1">((100/(H83))*C91)/100</f>
        <v>1</v>
      </c>
      <c r="E91" s="208"/>
      <c r="F91" s="208"/>
      <c r="G91" s="208"/>
      <c r="H91" s="208"/>
      <c r="I91" s="14" t="s">
        <v>140</v>
      </c>
      <c r="J91" s="30">
        <f>(IF(B83&gt;2,(H83/(B83+2)+J90),0))</f>
        <v>0</v>
      </c>
    </row>
    <row r="92" spans="1:10" ht="15.75" customHeight="1" x14ac:dyDescent="0.35">
      <c r="A92" s="130" t="s">
        <v>128</v>
      </c>
      <c r="B92" s="130" t="s">
        <v>128</v>
      </c>
      <c r="C92" s="69">
        <v>7</v>
      </c>
      <c r="D92" s="67">
        <f ca="1">((100/H83)*C92)/100</f>
        <v>1</v>
      </c>
      <c r="E92" s="208"/>
      <c r="F92" s="208"/>
      <c r="G92" s="208"/>
      <c r="H92" s="208"/>
      <c r="I92" s="14" t="s">
        <v>141</v>
      </c>
      <c r="J92" s="31">
        <f>(IF(B83&gt;3,(H83/(B83+2)+J91),0))</f>
        <v>0</v>
      </c>
    </row>
    <row r="93" spans="1:10" ht="15.75" customHeight="1" x14ac:dyDescent="0.35">
      <c r="A93" s="130" t="s">
        <v>135</v>
      </c>
      <c r="B93" s="130"/>
      <c r="C93" s="69">
        <v>5</v>
      </c>
      <c r="D93" s="67">
        <f ca="1">((100/H83)*C93)/100</f>
        <v>0.7142857142857143</v>
      </c>
      <c r="E93" s="208"/>
      <c r="F93" s="208"/>
      <c r="G93" s="208"/>
      <c r="H93" s="208"/>
      <c r="I93" s="14" t="s">
        <v>142</v>
      </c>
      <c r="J93" s="30">
        <f>(IF(B83&gt;4,(H83/(B83+2)+J92),0))</f>
        <v>0</v>
      </c>
    </row>
    <row r="94" spans="1:10" ht="15.75" customHeight="1" x14ac:dyDescent="0.35">
      <c r="A94" s="130" t="s">
        <v>130</v>
      </c>
      <c r="B94" s="130" t="s">
        <v>130</v>
      </c>
      <c r="C94" s="69">
        <v>0</v>
      </c>
      <c r="D94" s="67">
        <f ca="1">((100/(H83))*C94)/100</f>
        <v>0</v>
      </c>
      <c r="E94" s="208"/>
      <c r="F94" s="208"/>
      <c r="G94" s="208"/>
      <c r="H94" s="208"/>
      <c r="I94" s="14" t="s">
        <v>144</v>
      </c>
      <c r="J94" s="30">
        <f ca="1">(IF(B83=1,(H83/(B83+3)+J89),IF(B83=0,(H83/4+J89),IF(B83&gt;1,0))))</f>
        <v>5.25</v>
      </c>
    </row>
    <row r="95" spans="1:10" ht="16" thickBot="1" x14ac:dyDescent="0.4">
      <c r="A95" s="130" t="s">
        <v>131</v>
      </c>
      <c r="B95" s="130"/>
      <c r="C95" s="69">
        <v>0</v>
      </c>
      <c r="D95" s="67">
        <f ca="1">((100/(H83))*C95)/100</f>
        <v>0</v>
      </c>
      <c r="E95" s="208"/>
      <c r="F95" s="208"/>
      <c r="G95" s="208"/>
      <c r="H95" s="208"/>
      <c r="I95" s="15" t="s">
        <v>102</v>
      </c>
      <c r="J95" s="32">
        <f ca="1">(IF(B83&gt;1.5,(H83/(B83+2)+J89+MAX(0,J90-J89)+MAX(0,J91-J90)+MAX(0,J92-J91)+MAX(0,J93-J92)+MAX(0,J94-J93)),IF(B83=1,(H83/(B83+3)+J94),IF(B83=0,H83/4+J94))))</f>
        <v>7</v>
      </c>
    </row>
    <row r="96" spans="1:10" ht="15.75" customHeight="1" x14ac:dyDescent="0.35">
      <c r="A96" s="203" t="s">
        <v>137</v>
      </c>
      <c r="B96" s="204"/>
      <c r="C96" s="205" t="str">
        <f>D60</f>
        <v>Wing C = Gr/St + 1st to 7th Floor</v>
      </c>
      <c r="D96" s="206"/>
      <c r="E96" s="206"/>
      <c r="F96" s="206"/>
      <c r="G96" s="206"/>
      <c r="H96" s="207"/>
      <c r="I96" s="49" t="str">
        <f>IF(D109=100%,"All work Completed. Possession granted to the Building.",IF(D108=100%,"All work Completed, Waiting for OC",I97&amp;""&amp;I98&amp;""&amp;J97&amp;""&amp;J96&amp;" "&amp;J98))</f>
        <v>Excavation, Plinth Completed, RCC upto 6 Slab, Brickwork upto 2 Floor Completed</v>
      </c>
      <c r="J96" s="50" t="str">
        <f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6 Slab, Brickwork upto 2 Floor</v>
      </c>
    </row>
    <row r="97" spans="1:10" x14ac:dyDescent="0.35">
      <c r="A97" s="16" t="s">
        <v>139</v>
      </c>
      <c r="B97" s="48">
        <f>IF(AND(ISNUMBER(SEARCH("1B",C96))),1,IF(AND(ISNUMBER(SEARCH("2B",C96))),2,IF(AND(ISNUMBER(SEARCH("3B",C96))),3,IF(AND(ISNUMBER(SEARCH("4B",C96))),4,IF(ISNUMBER(SEARCH("5B",C96)),5,0)))))</f>
        <v>0</v>
      </c>
      <c r="C97" s="48" t="s">
        <v>70</v>
      </c>
      <c r="D97" s="48">
        <v>1</v>
      </c>
      <c r="E97" s="48" t="s">
        <v>69</v>
      </c>
      <c r="F97" s="48">
        <v>0</v>
      </c>
      <c r="G97" s="48" t="s">
        <v>77</v>
      </c>
      <c r="H97" s="17">
        <v>7</v>
      </c>
      <c r="I97" s="51" t="str">
        <f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2" t="str">
        <f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0" ht="30" customHeight="1" x14ac:dyDescent="0.35">
      <c r="A98" s="150" t="s">
        <v>87</v>
      </c>
      <c r="B98" s="151"/>
      <c r="C98" s="152" t="str">
        <f>(IF($G$53="NA",I96,"All work Completed. OC Received."))</f>
        <v>Excavation, Plinth Completed, RCC upto 6 Slab, Brickwork upto 2 Floor Completed</v>
      </c>
      <c r="D98" s="152"/>
      <c r="E98" s="152"/>
      <c r="F98" s="152"/>
      <c r="G98" s="152"/>
      <c r="H98" s="153"/>
      <c r="I98" s="51" t="str">
        <f>IF(I97&lt;&gt;""," Completed","")</f>
        <v xml:space="preserve"> Completed</v>
      </c>
      <c r="J98" s="52" t="str">
        <f>IF(J96&lt;&gt;"","Completed","")</f>
        <v>Completed</v>
      </c>
    </row>
    <row r="99" spans="1:10" ht="15.75" customHeight="1" x14ac:dyDescent="0.35">
      <c r="A99" s="129" t="s">
        <v>49</v>
      </c>
      <c r="B99" s="130"/>
      <c r="C99" s="66" t="s">
        <v>136</v>
      </c>
      <c r="D99" s="66" t="s">
        <v>80</v>
      </c>
      <c r="E99" s="130" t="s">
        <v>82</v>
      </c>
      <c r="F99" s="130"/>
      <c r="G99" s="130" t="s">
        <v>81</v>
      </c>
      <c r="H99" s="141"/>
      <c r="I99" s="14" t="s">
        <v>138</v>
      </c>
      <c r="J99" s="28">
        <f>H97*25%</f>
        <v>1.75</v>
      </c>
    </row>
    <row r="100" spans="1:10" x14ac:dyDescent="0.35">
      <c r="A100" s="143" t="s">
        <v>125</v>
      </c>
      <c r="B100" s="144"/>
      <c r="C100" s="44">
        <f>J101</f>
        <v>7</v>
      </c>
      <c r="D100" s="19">
        <f>((100/H97)*C100)/100</f>
        <v>1</v>
      </c>
      <c r="E100" s="186">
        <f>(((C101/H97*10)+(40/(D97+F97+H97)*C102)+(7.5/(H97)*C103)+(7.5/(H97)*C104)+(10/H97*C105)+(10/H97*C106)+(5/H97*C107)+(5/H97*C108)+(5/H97*C109))/100)</f>
        <v>0.42142857142857149</v>
      </c>
      <c r="F100" s="192"/>
      <c r="G100" s="186">
        <f>((((C100/H97)*20)+((C101/H97)*25)+(30/(H97+F97+D97)*C102)+(5/H97*C103)+(5/H97*C104)+(5/H97*C105)+(5/H97*C106)+(0/H97*C107)+(0/H97*C108)+(5/H97*C109))/100)</f>
        <v>0.68928571428571428</v>
      </c>
      <c r="H100" s="187"/>
      <c r="I100" s="14" t="s">
        <v>98</v>
      </c>
      <c r="J100" s="29">
        <f>H97*50%</f>
        <v>3.5</v>
      </c>
    </row>
    <row r="101" spans="1:10" x14ac:dyDescent="0.35">
      <c r="A101" s="143" t="s">
        <v>50</v>
      </c>
      <c r="B101" s="144"/>
      <c r="C101" s="53">
        <f>J109</f>
        <v>7</v>
      </c>
      <c r="D101" s="19">
        <f>((100/H97)*C101)/100</f>
        <v>1</v>
      </c>
      <c r="E101" s="188"/>
      <c r="F101" s="193"/>
      <c r="G101" s="188"/>
      <c r="H101" s="189"/>
      <c r="I101" s="14" t="s">
        <v>99</v>
      </c>
      <c r="J101" s="29">
        <f>H97</f>
        <v>7</v>
      </c>
    </row>
    <row r="102" spans="1:10" ht="15.75" customHeight="1" x14ac:dyDescent="0.35">
      <c r="A102" s="143" t="s">
        <v>126</v>
      </c>
      <c r="B102" s="144"/>
      <c r="C102" s="44">
        <v>6</v>
      </c>
      <c r="D102" s="19">
        <f>((100/(D97+F97+H97))*C102)/100</f>
        <v>0.75</v>
      </c>
      <c r="E102" s="188"/>
      <c r="F102" s="193"/>
      <c r="G102" s="188"/>
      <c r="H102" s="189"/>
      <c r="I102" s="14" t="s">
        <v>100</v>
      </c>
      <c r="J102" s="30">
        <f>(IF(B97&gt;1,(H97/(B97+2)),H97/4))</f>
        <v>1.75</v>
      </c>
    </row>
    <row r="103" spans="1:10" ht="15.75" customHeight="1" x14ac:dyDescent="0.35">
      <c r="A103" s="143" t="s">
        <v>133</v>
      </c>
      <c r="B103" s="144" t="s">
        <v>127</v>
      </c>
      <c r="C103" s="44">
        <v>2</v>
      </c>
      <c r="D103" s="19">
        <f>((100/H97)*C103)/100</f>
        <v>0.28571428571428575</v>
      </c>
      <c r="E103" s="188"/>
      <c r="F103" s="193"/>
      <c r="G103" s="188"/>
      <c r="H103" s="189"/>
      <c r="I103" s="14" t="s">
        <v>101</v>
      </c>
      <c r="J103" s="30">
        <f>(IF(B97&gt;1,(H97/(B97+2)+J102),H97/4+J102))</f>
        <v>3.5</v>
      </c>
    </row>
    <row r="104" spans="1:10" ht="15.75" customHeight="1" x14ac:dyDescent="0.35">
      <c r="A104" s="143" t="s">
        <v>134</v>
      </c>
      <c r="B104" s="144" t="s">
        <v>127</v>
      </c>
      <c r="C104" s="44">
        <v>0</v>
      </c>
      <c r="D104" s="19">
        <f>((100/H97)*C104)/100</f>
        <v>0</v>
      </c>
      <c r="E104" s="188"/>
      <c r="F104" s="193"/>
      <c r="G104" s="188"/>
      <c r="H104" s="189"/>
      <c r="I104" s="14" t="s">
        <v>143</v>
      </c>
      <c r="J104" s="30">
        <f>(IF(B97&gt;1,(H97/(B97+2)+J103),0))</f>
        <v>0</v>
      </c>
    </row>
    <row r="105" spans="1:10" ht="15" customHeight="1" x14ac:dyDescent="0.35">
      <c r="A105" s="143" t="s">
        <v>132</v>
      </c>
      <c r="B105" s="144" t="s">
        <v>129</v>
      </c>
      <c r="C105" s="44">
        <v>0</v>
      </c>
      <c r="D105" s="19">
        <f>((100/(H97))*C105)/100</f>
        <v>0</v>
      </c>
      <c r="E105" s="188"/>
      <c r="F105" s="193"/>
      <c r="G105" s="188"/>
      <c r="H105" s="189"/>
      <c r="I105" s="14" t="s">
        <v>140</v>
      </c>
      <c r="J105" s="30">
        <f>(IF(B97&gt;2,(H97/(B97+2)+J104),0))</f>
        <v>0</v>
      </c>
    </row>
    <row r="106" spans="1:10" ht="15.75" customHeight="1" x14ac:dyDescent="0.35">
      <c r="A106" s="143" t="s">
        <v>128</v>
      </c>
      <c r="B106" s="144" t="s">
        <v>128</v>
      </c>
      <c r="C106" s="44">
        <v>0</v>
      </c>
      <c r="D106" s="19">
        <f>((100/H97)*C106)/100</f>
        <v>0</v>
      </c>
      <c r="E106" s="188"/>
      <c r="F106" s="193"/>
      <c r="G106" s="188"/>
      <c r="H106" s="189"/>
      <c r="I106" s="14" t="s">
        <v>141</v>
      </c>
      <c r="J106" s="31">
        <f>(IF(B97&gt;3,(H97/(B97+2)+J105),0))</f>
        <v>0</v>
      </c>
    </row>
    <row r="107" spans="1:10" ht="15.75" customHeight="1" x14ac:dyDescent="0.35">
      <c r="A107" s="143" t="s">
        <v>135</v>
      </c>
      <c r="B107" s="144"/>
      <c r="C107" s="44">
        <v>0</v>
      </c>
      <c r="D107" s="19">
        <f>((100/H97)*C107)/100</f>
        <v>0</v>
      </c>
      <c r="E107" s="188"/>
      <c r="F107" s="193"/>
      <c r="G107" s="188"/>
      <c r="H107" s="189"/>
      <c r="I107" s="14" t="s">
        <v>142</v>
      </c>
      <c r="J107" s="30">
        <f>(IF(B97&gt;4,(H97/(B97+2)+J106),0))</f>
        <v>0</v>
      </c>
    </row>
    <row r="108" spans="1:10" ht="15.75" customHeight="1" x14ac:dyDescent="0.35">
      <c r="A108" s="143" t="s">
        <v>130</v>
      </c>
      <c r="B108" s="144" t="s">
        <v>130</v>
      </c>
      <c r="C108" s="44">
        <v>0</v>
      </c>
      <c r="D108" s="19">
        <f>((100/(H97))*C108)/100</f>
        <v>0</v>
      </c>
      <c r="E108" s="188"/>
      <c r="F108" s="193"/>
      <c r="G108" s="188"/>
      <c r="H108" s="189"/>
      <c r="I108" s="14" t="s">
        <v>144</v>
      </c>
      <c r="J108" s="30">
        <f>(IF(B97=1,(H97/(B97+3)+J103),IF(B97=0,(H97/4+J103),IF(B97&gt;1,0))))</f>
        <v>5.25</v>
      </c>
    </row>
    <row r="109" spans="1:10" ht="16" thickBot="1" x14ac:dyDescent="0.4">
      <c r="A109" s="145" t="s">
        <v>131</v>
      </c>
      <c r="B109" s="146"/>
      <c r="C109" s="45">
        <v>0</v>
      </c>
      <c r="D109" s="20">
        <f>((100/(H97))*C109)/100</f>
        <v>0</v>
      </c>
      <c r="E109" s="190"/>
      <c r="F109" s="194"/>
      <c r="G109" s="190"/>
      <c r="H109" s="191"/>
      <c r="I109" s="15" t="s">
        <v>102</v>
      </c>
      <c r="J109" s="32">
        <f>(IF(B97&gt;1.5,(H97/(B97+2)+J103+MAX(0,J104-J103)+MAX(0,J105-J104)+MAX(0,J106-J105)+MAX(0,J107-J106)+MAX(0,J108-J107)),IF(B97=1,(H97/(B97+3)+J108),IF(B97=0,H97/4+J108))))</f>
        <v>7</v>
      </c>
    </row>
    <row r="110" spans="1:10" x14ac:dyDescent="0.35">
      <c r="A110" s="184" t="s">
        <v>153</v>
      </c>
      <c r="B110" s="184"/>
      <c r="C110" s="184"/>
      <c r="D110" s="184"/>
      <c r="E110" s="184"/>
      <c r="F110" s="154" t="s">
        <v>157</v>
      </c>
      <c r="G110" s="154"/>
      <c r="H110" s="154"/>
    </row>
    <row r="111" spans="1:10" x14ac:dyDescent="0.35">
      <c r="A111" s="120" t="s">
        <v>155</v>
      </c>
      <c r="B111" s="120"/>
      <c r="C111" s="120"/>
      <c r="D111" s="120"/>
      <c r="E111" s="120"/>
      <c r="F111" s="140">
        <v>6700</v>
      </c>
      <c r="G111" s="140"/>
      <c r="H111" s="140"/>
    </row>
    <row r="112" spans="1:10" x14ac:dyDescent="0.35">
      <c r="A112" s="120" t="s">
        <v>154</v>
      </c>
      <c r="B112" s="120"/>
      <c r="C112" s="120"/>
      <c r="D112" s="120"/>
      <c r="E112" s="120"/>
      <c r="F112" s="140">
        <v>14000</v>
      </c>
      <c r="G112" s="140"/>
      <c r="H112" s="140"/>
    </row>
    <row r="113" spans="1:8" hidden="1" x14ac:dyDescent="0.35">
      <c r="A113" s="120" t="s">
        <v>156</v>
      </c>
      <c r="B113" s="120"/>
      <c r="C113" s="120"/>
      <c r="D113" s="120"/>
      <c r="E113" s="120"/>
      <c r="F113" s="140"/>
      <c r="G113" s="140"/>
      <c r="H113" s="140"/>
    </row>
    <row r="114" spans="1:8" s="33" customFormat="1" hidden="1" x14ac:dyDescent="0.3">
      <c r="A114" s="120" t="s">
        <v>171</v>
      </c>
      <c r="B114" s="120"/>
      <c r="C114" s="120"/>
      <c r="D114" s="120"/>
      <c r="E114" s="120"/>
      <c r="F114" s="140"/>
      <c r="G114" s="140"/>
      <c r="H114" s="140"/>
    </row>
    <row r="115" spans="1:8" s="33" customFormat="1" hidden="1" x14ac:dyDescent="0.3">
      <c r="A115" s="120" t="s">
        <v>92</v>
      </c>
      <c r="B115" s="120"/>
      <c r="C115" s="120"/>
      <c r="D115" s="120"/>
      <c r="E115" s="120"/>
      <c r="F115" s="140"/>
      <c r="G115" s="140"/>
      <c r="H115" s="140"/>
    </row>
    <row r="116" spans="1:8" s="33" customFormat="1" hidden="1" x14ac:dyDescent="0.3">
      <c r="A116" s="120" t="s">
        <v>93</v>
      </c>
      <c r="B116" s="120"/>
      <c r="C116" s="120"/>
      <c r="D116" s="120"/>
      <c r="E116" s="120"/>
      <c r="F116" s="140"/>
      <c r="G116" s="140"/>
      <c r="H116" s="140"/>
    </row>
    <row r="117" spans="1:8" s="33" customFormat="1" hidden="1" x14ac:dyDescent="0.3">
      <c r="A117" s="120" t="s">
        <v>158</v>
      </c>
      <c r="B117" s="120"/>
      <c r="C117" s="120"/>
      <c r="D117" s="120"/>
      <c r="E117" s="120"/>
      <c r="F117" s="140"/>
      <c r="G117" s="140"/>
      <c r="H117" s="140"/>
    </row>
    <row r="118" spans="1:8" s="33" customFormat="1" hidden="1" x14ac:dyDescent="0.3">
      <c r="A118" s="120" t="s">
        <v>94</v>
      </c>
      <c r="B118" s="120"/>
      <c r="C118" s="120"/>
      <c r="D118" s="120"/>
      <c r="E118" s="120"/>
      <c r="F118" s="140"/>
      <c r="G118" s="140"/>
      <c r="H118" s="140"/>
    </row>
    <row r="119" spans="1:8" s="33" customFormat="1" hidden="1" x14ac:dyDescent="0.3">
      <c r="A119" s="120" t="s">
        <v>95</v>
      </c>
      <c r="B119" s="120"/>
      <c r="C119" s="120"/>
      <c r="D119" s="120"/>
      <c r="E119" s="120"/>
      <c r="F119" s="140"/>
      <c r="G119" s="140"/>
      <c r="H119" s="140"/>
    </row>
    <row r="120" spans="1:8" s="33" customFormat="1" hidden="1" x14ac:dyDescent="0.3">
      <c r="A120" s="120" t="s">
        <v>96</v>
      </c>
      <c r="B120" s="120"/>
      <c r="C120" s="120"/>
      <c r="D120" s="120"/>
      <c r="E120" s="120"/>
      <c r="F120" s="140"/>
      <c r="G120" s="140"/>
      <c r="H120" s="140"/>
    </row>
    <row r="121" spans="1:8" s="33" customFormat="1" hidden="1" x14ac:dyDescent="0.3">
      <c r="A121" s="120" t="s">
        <v>97</v>
      </c>
      <c r="B121" s="120"/>
      <c r="C121" s="120"/>
      <c r="D121" s="120"/>
      <c r="E121" s="120"/>
      <c r="F121" s="140"/>
      <c r="G121" s="140"/>
      <c r="H121" s="140"/>
    </row>
    <row r="122" spans="1:8" x14ac:dyDescent="0.35">
      <c r="A122" s="120" t="s">
        <v>51</v>
      </c>
      <c r="B122" s="120"/>
      <c r="C122" s="120"/>
      <c r="D122" s="120"/>
      <c r="E122" s="120"/>
      <c r="F122" s="140">
        <v>350000</v>
      </c>
      <c r="G122" s="140"/>
      <c r="H122" s="140"/>
    </row>
    <row r="123" spans="1:8" s="34" customFormat="1" x14ac:dyDescent="0.35">
      <c r="A123" s="104" t="s">
        <v>52</v>
      </c>
      <c r="B123" s="104"/>
      <c r="C123" s="104"/>
      <c r="D123" s="104"/>
      <c r="E123" s="104"/>
      <c r="F123" s="140">
        <f>F111*0.8</f>
        <v>5360</v>
      </c>
      <c r="G123" s="140"/>
      <c r="H123" s="140"/>
    </row>
    <row r="124" spans="1:8" s="35" customFormat="1" ht="15.75" customHeight="1" x14ac:dyDescent="0.35">
      <c r="A124" s="142" t="s">
        <v>284</v>
      </c>
      <c r="B124" s="142"/>
      <c r="C124" s="142"/>
      <c r="D124" s="142"/>
      <c r="E124" s="142"/>
      <c r="F124" s="142"/>
      <c r="G124" s="142"/>
      <c r="H124" s="142"/>
    </row>
    <row r="125" spans="1:8" s="35" customFormat="1" ht="15.75" customHeight="1" x14ac:dyDescent="0.35">
      <c r="A125" s="149" t="s">
        <v>53</v>
      </c>
      <c r="B125" s="149"/>
      <c r="C125" s="185" t="s">
        <v>75</v>
      </c>
      <c r="D125" s="185"/>
      <c r="E125" s="182" t="s">
        <v>54</v>
      </c>
      <c r="F125" s="182"/>
      <c r="G125" s="149" t="s">
        <v>55</v>
      </c>
      <c r="H125" s="149"/>
    </row>
    <row r="126" spans="1:8" s="35" customFormat="1" x14ac:dyDescent="0.35">
      <c r="A126" s="72" t="s">
        <v>257</v>
      </c>
      <c r="B126" s="72"/>
      <c r="C126" s="195">
        <f>COUNT(D141:D150)</f>
        <v>10</v>
      </c>
      <c r="D126" s="73"/>
      <c r="E126" s="74">
        <f>SUM(D141:D150)</f>
        <v>1856.3594399999997</v>
      </c>
      <c r="F126" s="196"/>
      <c r="G126" s="74">
        <f>SUM(F141:F150)</f>
        <v>2877.3571320000001</v>
      </c>
      <c r="H126" s="196"/>
    </row>
    <row r="127" spans="1:8" s="35" customFormat="1" x14ac:dyDescent="0.35">
      <c r="A127" s="183" t="s">
        <v>147</v>
      </c>
      <c r="B127" s="183"/>
      <c r="C127" s="70">
        <f t="shared" ref="C127:G127" si="0">SUM(C126)</f>
        <v>10</v>
      </c>
      <c r="D127" s="71"/>
      <c r="E127" s="70">
        <f t="shared" si="0"/>
        <v>1856.3594399999997</v>
      </c>
      <c r="F127" s="70"/>
      <c r="G127" s="70">
        <f t="shared" si="0"/>
        <v>2877.3571320000001</v>
      </c>
      <c r="H127" s="70"/>
    </row>
    <row r="128" spans="1:8" s="35" customFormat="1" ht="15.75" customHeight="1" x14ac:dyDescent="0.35">
      <c r="A128" s="142" t="s">
        <v>285</v>
      </c>
      <c r="B128" s="142"/>
      <c r="C128" s="142"/>
      <c r="D128" s="142"/>
      <c r="E128" s="142"/>
      <c r="F128" s="142"/>
      <c r="G128" s="142"/>
      <c r="H128" s="142"/>
    </row>
    <row r="129" spans="1:14" s="35" customFormat="1" x14ac:dyDescent="0.35">
      <c r="A129" s="149" t="s">
        <v>53</v>
      </c>
      <c r="B129" s="149"/>
      <c r="C129" s="185" t="s">
        <v>75</v>
      </c>
      <c r="D129" s="185"/>
      <c r="E129" s="182" t="s">
        <v>54</v>
      </c>
      <c r="F129" s="182"/>
      <c r="G129" s="149" t="s">
        <v>55</v>
      </c>
      <c r="H129" s="149"/>
    </row>
    <row r="130" spans="1:14" s="35" customFormat="1" x14ac:dyDescent="0.35">
      <c r="A130" s="72" t="s">
        <v>250</v>
      </c>
      <c r="B130" s="72"/>
      <c r="C130" s="73">
        <f>COUNT(D156,D159:D160)+COUNT(D162:D166)*7</f>
        <v>38</v>
      </c>
      <c r="D130" s="73"/>
      <c r="E130" s="74">
        <f>SUM(D156,D159:D160)+SUM(D162:D166)*7</f>
        <v>19172.417004000003</v>
      </c>
      <c r="F130" s="74"/>
      <c r="G130" s="74">
        <f>SUM(F156,F159:F160)+SUM(F162:F166)*7</f>
        <v>28758.625505999997</v>
      </c>
      <c r="H130" s="74"/>
      <c r="I130" s="35">
        <f>30+7+1</f>
        <v>38</v>
      </c>
    </row>
    <row r="131" spans="1:14" s="35" customFormat="1" x14ac:dyDescent="0.35">
      <c r="A131" s="72" t="s">
        <v>254</v>
      </c>
      <c r="B131" s="72"/>
      <c r="C131" s="73">
        <f>COUNT(D169:D173)+COUNT(D178:D185)*7</f>
        <v>61</v>
      </c>
      <c r="D131" s="73"/>
      <c r="E131" s="74">
        <f>SUM(D169:D173)+SUM(D178:D185)*7</f>
        <v>32455.650474000002</v>
      </c>
      <c r="F131" s="74"/>
      <c r="G131" s="74">
        <f>SUM(F169:F173)+SUM(F178:F185)*7</f>
        <v>48683.475710999999</v>
      </c>
      <c r="H131" s="74"/>
      <c r="I131" s="35">
        <f>45+16</f>
        <v>61</v>
      </c>
    </row>
    <row r="132" spans="1:14" s="35" customFormat="1" x14ac:dyDescent="0.35">
      <c r="A132" s="72" t="s">
        <v>257</v>
      </c>
      <c r="B132" s="72"/>
      <c r="C132" s="73">
        <f>COUNT(D188:D194)*7</f>
        <v>49</v>
      </c>
      <c r="D132" s="73"/>
      <c r="E132" s="74">
        <f>SUM(D188:D194)*7</f>
        <v>28377.413064</v>
      </c>
      <c r="F132" s="74"/>
      <c r="G132" s="74">
        <f>SUM(F188:F194)*7</f>
        <v>42566.119596000004</v>
      </c>
      <c r="H132" s="74"/>
      <c r="I132" s="35">
        <f>21+28</f>
        <v>49</v>
      </c>
    </row>
    <row r="133" spans="1:14" s="35" customFormat="1" x14ac:dyDescent="0.35">
      <c r="A133" s="142" t="s">
        <v>147</v>
      </c>
      <c r="B133" s="142"/>
      <c r="C133" s="185">
        <f t="shared" ref="C133:G133" si="1">SUM(C130:D132)</f>
        <v>148</v>
      </c>
      <c r="D133" s="185"/>
      <c r="E133" s="209">
        <f t="shared" si="1"/>
        <v>80005.480542000005</v>
      </c>
      <c r="F133" s="209"/>
      <c r="G133" s="209">
        <f t="shared" si="1"/>
        <v>120008.22081299999</v>
      </c>
      <c r="H133" s="209"/>
    </row>
    <row r="134" spans="1:14" s="34" customFormat="1" x14ac:dyDescent="0.35">
      <c r="A134" s="142" t="s">
        <v>163</v>
      </c>
      <c r="B134" s="142"/>
      <c r="C134" s="209">
        <f>C126+C133</f>
        <v>158</v>
      </c>
      <c r="D134" s="185"/>
      <c r="E134" s="209">
        <f>E126+E133</f>
        <v>81861.839982000005</v>
      </c>
      <c r="F134" s="185"/>
      <c r="G134" s="209">
        <f>G126+G133</f>
        <v>122885.577945</v>
      </c>
      <c r="H134" s="185"/>
    </row>
    <row r="135" spans="1:14" x14ac:dyDescent="0.35">
      <c r="A135" s="165" t="s">
        <v>277</v>
      </c>
      <c r="B135" s="165"/>
      <c r="C135" s="165"/>
      <c r="D135" s="165"/>
      <c r="E135" s="165"/>
      <c r="F135" s="165"/>
      <c r="G135" s="165"/>
      <c r="H135" s="165"/>
    </row>
    <row r="136" spans="1:14" x14ac:dyDescent="0.35">
      <c r="A136" s="165" t="s">
        <v>170</v>
      </c>
      <c r="B136" s="165"/>
      <c r="C136" s="165"/>
      <c r="D136" s="165"/>
      <c r="E136" s="165"/>
      <c r="F136" s="165"/>
      <c r="G136" s="165"/>
      <c r="H136" s="165"/>
    </row>
    <row r="137" spans="1:14" s="37" customFormat="1" ht="45" x14ac:dyDescent="0.35">
      <c r="A137" s="210" t="s">
        <v>117</v>
      </c>
      <c r="B137" s="210" t="s">
        <v>172</v>
      </c>
      <c r="C137" s="210" t="s">
        <v>56</v>
      </c>
      <c r="D137" s="210" t="s">
        <v>57</v>
      </c>
      <c r="E137" s="210" t="s">
        <v>152</v>
      </c>
      <c r="F137" s="211" t="s">
        <v>146</v>
      </c>
      <c r="G137" s="210" t="s">
        <v>59</v>
      </c>
      <c r="H137" s="210"/>
    </row>
    <row r="138" spans="1:14" s="37" customFormat="1" x14ac:dyDescent="0.35">
      <c r="A138" s="210"/>
      <c r="B138" s="210"/>
      <c r="C138" s="210"/>
      <c r="D138" s="210"/>
      <c r="E138" s="210"/>
      <c r="F138" s="212">
        <v>0.55000000000000004</v>
      </c>
      <c r="G138" s="210"/>
      <c r="H138" s="210"/>
      <c r="J138" s="36"/>
    </row>
    <row r="139" spans="1:14" s="37" customFormat="1" x14ac:dyDescent="0.35">
      <c r="A139" s="81" t="s">
        <v>257</v>
      </c>
      <c r="B139" s="81"/>
      <c r="C139" s="81"/>
      <c r="D139" s="81"/>
      <c r="E139" s="81"/>
      <c r="F139" s="81"/>
      <c r="G139" s="81"/>
      <c r="H139" s="81"/>
      <c r="J139" s="36"/>
    </row>
    <row r="140" spans="1:14" s="37" customFormat="1" ht="15.75" customHeight="1" x14ac:dyDescent="0.35">
      <c r="A140" s="78" t="s">
        <v>276</v>
      </c>
      <c r="B140" s="79"/>
      <c r="C140" s="79"/>
      <c r="D140" s="79"/>
      <c r="E140" s="79"/>
      <c r="F140" s="79"/>
      <c r="G140" s="79"/>
      <c r="H140" s="80"/>
      <c r="I140" s="56">
        <f>2.74*3.75+2.13*1.2</f>
        <v>12.831</v>
      </c>
      <c r="J140" s="37">
        <f>2.74*3.75+2.13*1.2</f>
        <v>12.831</v>
      </c>
      <c r="K140" s="99" t="s">
        <v>267</v>
      </c>
      <c r="L140" s="99"/>
      <c r="M140" s="99"/>
      <c r="N140" s="36"/>
    </row>
    <row r="141" spans="1:14" s="37" customFormat="1" ht="15.75" customHeight="1" x14ac:dyDescent="0.35">
      <c r="A141" s="88">
        <v>1</v>
      </c>
      <c r="B141" s="89"/>
      <c r="C141" s="42" t="s">
        <v>256</v>
      </c>
      <c r="D141" s="42">
        <f>12.87*10.764</f>
        <v>138.53267999999997</v>
      </c>
      <c r="E141" s="42">
        <v>0</v>
      </c>
      <c r="F141" s="42">
        <f>(D141+E141)*(($F$138)+1)</f>
        <v>214.72565399999996</v>
      </c>
      <c r="G141" s="90" t="str">
        <f>A140</f>
        <v>Ground Floor For Commercial, Society Room, Driver Room &amp; Parking</v>
      </c>
      <c r="H141" s="96"/>
      <c r="I141" s="36"/>
      <c r="J141" s="37">
        <f>4.1*6.08+2.45*0.9</f>
        <v>27.132999999999996</v>
      </c>
      <c r="L141" s="99"/>
      <c r="M141" s="99"/>
      <c r="N141" s="36"/>
    </row>
    <row r="142" spans="1:14" s="37" customFormat="1" ht="15.75" customHeight="1" x14ac:dyDescent="0.35">
      <c r="A142" s="88">
        <f>A141+1</f>
        <v>2</v>
      </c>
      <c r="B142" s="89"/>
      <c r="C142" s="42" t="s">
        <v>256</v>
      </c>
      <c r="D142" s="42">
        <f>26.94*10.764</f>
        <v>289.98216000000002</v>
      </c>
      <c r="E142" s="42">
        <v>0</v>
      </c>
      <c r="F142" s="42">
        <f t="shared" ref="F142:F144" si="2">(D142+E142)*(($F$138)+1)</f>
        <v>449.47234800000007</v>
      </c>
      <c r="G142" s="92"/>
      <c r="H142" s="98"/>
      <c r="I142" s="36"/>
      <c r="L142" s="99"/>
      <c r="M142" s="99"/>
      <c r="N142" s="36"/>
    </row>
    <row r="143" spans="1:14" s="37" customFormat="1" ht="15.75" customHeight="1" x14ac:dyDescent="0.35">
      <c r="A143" s="88">
        <f t="shared" ref="A143:A148" si="3">A142+1</f>
        <v>3</v>
      </c>
      <c r="B143" s="89"/>
      <c r="C143" s="42" t="s">
        <v>256</v>
      </c>
      <c r="D143" s="42">
        <f>18.5*10.764</f>
        <v>199.13399999999999</v>
      </c>
      <c r="E143" s="42">
        <v>0</v>
      </c>
      <c r="F143" s="42">
        <f t="shared" si="2"/>
        <v>308.65769999999998</v>
      </c>
      <c r="G143" s="92"/>
      <c r="H143" s="98"/>
      <c r="I143" s="36"/>
      <c r="L143" s="99"/>
      <c r="M143" s="99"/>
      <c r="N143" s="36"/>
    </row>
    <row r="144" spans="1:14" s="37" customFormat="1" x14ac:dyDescent="0.35">
      <c r="A144" s="88">
        <f t="shared" si="3"/>
        <v>4</v>
      </c>
      <c r="B144" s="89"/>
      <c r="C144" s="42" t="s">
        <v>256</v>
      </c>
      <c r="D144" s="42">
        <f>16.6*10.764</f>
        <v>178.6824</v>
      </c>
      <c r="E144" s="42">
        <v>0</v>
      </c>
      <c r="F144" s="42">
        <f t="shared" si="2"/>
        <v>276.95771999999999</v>
      </c>
      <c r="G144" s="92"/>
      <c r="H144" s="98"/>
      <c r="I144" s="36"/>
      <c r="J144" s="37">
        <f>2.29*5.03</f>
        <v>11.518700000000001</v>
      </c>
      <c r="L144" s="99"/>
      <c r="M144" s="99"/>
      <c r="N144" s="36"/>
    </row>
    <row r="145" spans="1:14" s="37" customFormat="1" x14ac:dyDescent="0.35">
      <c r="A145" s="88">
        <f t="shared" si="3"/>
        <v>5</v>
      </c>
      <c r="B145" s="89"/>
      <c r="C145" s="42" t="s">
        <v>256</v>
      </c>
      <c r="D145" s="42">
        <f>12.53*10.764</f>
        <v>134.87291999999999</v>
      </c>
      <c r="E145" s="42">
        <v>0</v>
      </c>
      <c r="F145" s="42">
        <f>(D145+E145)*(($F$138)+1)</f>
        <v>209.05302599999999</v>
      </c>
      <c r="G145" s="92"/>
      <c r="H145" s="98"/>
      <c r="I145" s="36"/>
      <c r="L145" s="99"/>
      <c r="M145" s="99"/>
      <c r="N145" s="36"/>
    </row>
    <row r="146" spans="1:14" s="37" customFormat="1" x14ac:dyDescent="0.35">
      <c r="A146" s="88">
        <f t="shared" si="3"/>
        <v>6</v>
      </c>
      <c r="B146" s="89"/>
      <c r="C146" s="42" t="s">
        <v>256</v>
      </c>
      <c r="D146" s="42">
        <f>12.53*10.764</f>
        <v>134.87291999999999</v>
      </c>
      <c r="E146" s="42">
        <v>0</v>
      </c>
      <c r="F146" s="42">
        <f t="shared" ref="F146:F148" si="4">(D146+E146)*(($F$138)+1)</f>
        <v>209.05302599999999</v>
      </c>
      <c r="G146" s="92"/>
      <c r="H146" s="98"/>
      <c r="I146" s="36"/>
      <c r="L146" s="99"/>
      <c r="M146" s="99"/>
      <c r="N146" s="36"/>
    </row>
    <row r="147" spans="1:14" s="37" customFormat="1" x14ac:dyDescent="0.35">
      <c r="A147" s="88">
        <f t="shared" si="3"/>
        <v>7</v>
      </c>
      <c r="B147" s="89"/>
      <c r="C147" s="42" t="s">
        <v>256</v>
      </c>
      <c r="D147" s="42">
        <f>16.6*10.764</f>
        <v>178.6824</v>
      </c>
      <c r="E147" s="42">
        <v>0</v>
      </c>
      <c r="F147" s="42">
        <f t="shared" si="4"/>
        <v>276.95771999999999</v>
      </c>
      <c r="G147" s="92"/>
      <c r="H147" s="98"/>
      <c r="I147" s="36"/>
      <c r="J147" s="37">
        <f>3.05*6.08+1.6*0.9</f>
        <v>19.984000000000002</v>
      </c>
      <c r="L147" s="99"/>
      <c r="M147" s="99"/>
      <c r="N147" s="36"/>
    </row>
    <row r="148" spans="1:14" s="37" customFormat="1" x14ac:dyDescent="0.35">
      <c r="A148" s="88">
        <f t="shared" si="3"/>
        <v>8</v>
      </c>
      <c r="B148" s="89"/>
      <c r="C148" s="42" t="s">
        <v>256</v>
      </c>
      <c r="D148" s="42">
        <f>19.75*10.764</f>
        <v>212.589</v>
      </c>
      <c r="E148" s="42">
        <v>0</v>
      </c>
      <c r="F148" s="42">
        <f t="shared" si="4"/>
        <v>329.51294999999999</v>
      </c>
      <c r="G148" s="92"/>
      <c r="H148" s="98"/>
      <c r="I148" s="36"/>
      <c r="L148" s="99"/>
      <c r="M148" s="99"/>
      <c r="N148" s="36"/>
    </row>
    <row r="149" spans="1:14" s="37" customFormat="1" x14ac:dyDescent="0.35">
      <c r="A149" s="88">
        <f t="shared" ref="A149:A150" si="5">A148+1</f>
        <v>9</v>
      </c>
      <c r="B149" s="89"/>
      <c r="C149" s="42" t="s">
        <v>256</v>
      </c>
      <c r="D149" s="42">
        <f>18.68*10.764</f>
        <v>201.07151999999999</v>
      </c>
      <c r="E149" s="42">
        <v>0</v>
      </c>
      <c r="F149" s="42">
        <f t="shared" ref="F149:F150" si="6">(D149+E149)*(($F$138)+1)</f>
        <v>311.66085600000002</v>
      </c>
      <c r="G149" s="92"/>
      <c r="H149" s="98"/>
      <c r="I149" s="36"/>
      <c r="L149" s="99"/>
      <c r="M149" s="99"/>
      <c r="N149" s="36"/>
    </row>
    <row r="150" spans="1:14" s="37" customFormat="1" x14ac:dyDescent="0.35">
      <c r="A150" s="88">
        <f t="shared" si="5"/>
        <v>10</v>
      </c>
      <c r="B150" s="89"/>
      <c r="C150" s="42" t="s">
        <v>256</v>
      </c>
      <c r="D150" s="42">
        <f>17.46*10.764</f>
        <v>187.93943999999999</v>
      </c>
      <c r="E150" s="42">
        <v>0</v>
      </c>
      <c r="F150" s="42">
        <f t="shared" si="6"/>
        <v>291.30613199999999</v>
      </c>
      <c r="G150" s="94"/>
      <c r="H150" s="97"/>
      <c r="I150" s="36"/>
      <c r="N150" s="36"/>
    </row>
    <row r="151" spans="1:14" x14ac:dyDescent="0.35">
      <c r="A151" s="88"/>
      <c r="B151" s="128"/>
      <c r="C151" s="128"/>
      <c r="D151" s="128"/>
      <c r="E151" s="128"/>
      <c r="F151" s="128"/>
      <c r="G151" s="128"/>
      <c r="H151" s="89"/>
      <c r="I151" s="36"/>
    </row>
    <row r="152" spans="1:14" s="37" customFormat="1" ht="45" x14ac:dyDescent="0.35">
      <c r="A152" s="124" t="s">
        <v>118</v>
      </c>
      <c r="B152" s="121" t="s">
        <v>173</v>
      </c>
      <c r="C152" s="121" t="s">
        <v>56</v>
      </c>
      <c r="D152" s="121" t="s">
        <v>57</v>
      </c>
      <c r="E152" s="121" t="s">
        <v>58</v>
      </c>
      <c r="F152" s="43" t="s">
        <v>146</v>
      </c>
      <c r="G152" s="124" t="s">
        <v>59</v>
      </c>
      <c r="H152" s="125"/>
      <c r="I152" s="36"/>
    </row>
    <row r="153" spans="1:14" s="37" customFormat="1" x14ac:dyDescent="0.35">
      <c r="A153" s="126"/>
      <c r="B153" s="122"/>
      <c r="C153" s="122"/>
      <c r="D153" s="122"/>
      <c r="E153" s="122"/>
      <c r="F153" s="13">
        <v>0.5</v>
      </c>
      <c r="G153" s="126"/>
      <c r="H153" s="127"/>
      <c r="J153" s="36"/>
    </row>
    <row r="154" spans="1:14" s="37" customFormat="1" x14ac:dyDescent="0.35">
      <c r="A154" s="78" t="s">
        <v>250</v>
      </c>
      <c r="B154" s="79"/>
      <c r="C154" s="79"/>
      <c r="D154" s="79"/>
      <c r="E154" s="79"/>
      <c r="F154" s="79"/>
      <c r="G154" s="79"/>
      <c r="H154" s="80"/>
      <c r="J154" s="36"/>
    </row>
    <row r="155" spans="1:14" s="37" customFormat="1" ht="15.75" customHeight="1" x14ac:dyDescent="0.35">
      <c r="A155" s="78" t="s">
        <v>255</v>
      </c>
      <c r="B155" s="79"/>
      <c r="C155" s="79"/>
      <c r="D155" s="79"/>
      <c r="E155" s="79"/>
      <c r="F155" s="79"/>
      <c r="G155" s="79"/>
      <c r="H155" s="80"/>
      <c r="I155" s="36">
        <f>(36.12+1.2*2.74)</f>
        <v>39.408000000000001</v>
      </c>
      <c r="J155" s="36">
        <f>(2.74*4.57+2.3*2.44+2.75*3.5+1.2*1.8+1.8*1.2+0.9*2.3+0.4*1.2+1.8*0.6)</f>
        <v>35.708799999999997</v>
      </c>
      <c r="K155" s="56">
        <f>1.2*2.74</f>
        <v>3.2880000000000003</v>
      </c>
      <c r="L155" s="58"/>
      <c r="M155" s="58"/>
      <c r="N155" s="36"/>
    </row>
    <row r="156" spans="1:14" s="37" customFormat="1" ht="15.75" customHeight="1" x14ac:dyDescent="0.35">
      <c r="A156" s="88">
        <v>1</v>
      </c>
      <c r="B156" s="89"/>
      <c r="C156" s="42" t="s">
        <v>252</v>
      </c>
      <c r="D156" s="42">
        <f>(36.25+2.74*1.8)*10.764</f>
        <v>443.28304800000001</v>
      </c>
      <c r="E156" s="42">
        <v>0</v>
      </c>
      <c r="F156" s="42">
        <f>D156*(($F$153)+1)+(IF(E156&lt;101,E156,IF(E156&lt;201,E156/2,IF(E156&lt;=301,E156/3,E156/4))))</f>
        <v>664.92457200000001</v>
      </c>
      <c r="G156" s="90" t="str">
        <f>A155</f>
        <v>Ground Floor For Residential &amp; Parking</v>
      </c>
      <c r="H156" s="96"/>
      <c r="I156" s="36"/>
      <c r="J156" s="36"/>
      <c r="L156" s="58"/>
      <c r="M156" s="58"/>
      <c r="N156" s="36"/>
    </row>
    <row r="157" spans="1:14" s="37" customFormat="1" ht="15.75" customHeight="1" x14ac:dyDescent="0.35">
      <c r="A157" s="88" t="s">
        <v>258</v>
      </c>
      <c r="B157" s="89"/>
      <c r="C157" s="90" t="s">
        <v>259</v>
      </c>
      <c r="D157" s="91"/>
      <c r="E157" s="91"/>
      <c r="F157" s="96"/>
      <c r="G157" s="92"/>
      <c r="H157" s="98"/>
      <c r="I157" s="36"/>
      <c r="J157" s="36"/>
      <c r="L157" s="58"/>
      <c r="M157" s="58"/>
      <c r="N157" s="36"/>
    </row>
    <row r="158" spans="1:14" s="37" customFormat="1" ht="15.75" customHeight="1" x14ac:dyDescent="0.35">
      <c r="A158" s="88" t="s">
        <v>258</v>
      </c>
      <c r="B158" s="89"/>
      <c r="C158" s="94"/>
      <c r="D158" s="95"/>
      <c r="E158" s="95"/>
      <c r="F158" s="97"/>
      <c r="G158" s="92"/>
      <c r="H158" s="98"/>
      <c r="I158" s="36">
        <f>(24.11+1.8*2.74)</f>
        <v>29.042000000000002</v>
      </c>
      <c r="J158" s="36">
        <f>(4.57*2.74+2.44*2.3+1.2*0.9+1.8*1.2+0.9*2.3)</f>
        <v>23.4438</v>
      </c>
      <c r="K158" s="37">
        <f>1.8*2.74</f>
        <v>4.9320000000000004</v>
      </c>
      <c r="L158" s="58"/>
      <c r="M158" s="58"/>
      <c r="N158" s="36"/>
    </row>
    <row r="159" spans="1:14" s="37" customFormat="1" ht="15.75" customHeight="1" x14ac:dyDescent="0.35">
      <c r="A159" s="88">
        <f>A156+1</f>
        <v>2</v>
      </c>
      <c r="B159" s="89"/>
      <c r="C159" s="42" t="s">
        <v>252</v>
      </c>
      <c r="D159" s="42">
        <f>(35.99+1.8*2.74)*10.764</f>
        <v>440.48440800000003</v>
      </c>
      <c r="E159" s="42">
        <v>0</v>
      </c>
      <c r="F159" s="42">
        <f>D159*(($F$153)+1)+(IF(E159&lt;101,E159,IF(E159&lt;201,E159/2,IF(E159&lt;=301,E159/3,E159/4))))</f>
        <v>660.72661200000005</v>
      </c>
      <c r="G159" s="92"/>
      <c r="H159" s="98"/>
      <c r="I159" s="36">
        <f>(35.52+1.5*2.74)</f>
        <v>39.630000000000003</v>
      </c>
      <c r="J159" s="36">
        <f>(4.26*2.74+2.44*2.3+3.5*2.75+1.8*1.2+1.2*1.8+2.3*0.9+0.4*1.2+0.6*1.8+2.44*0.9)</f>
        <v>37.055399999999992</v>
      </c>
      <c r="K159" s="37">
        <f>1.5*2.74</f>
        <v>4.1100000000000003</v>
      </c>
      <c r="L159" s="58"/>
      <c r="M159" s="58"/>
      <c r="N159" s="36"/>
    </row>
    <row r="160" spans="1:14" s="37" customFormat="1" x14ac:dyDescent="0.35">
      <c r="A160" s="88">
        <f t="shared" ref="A160" si="7">A159+1</f>
        <v>3</v>
      </c>
      <c r="B160" s="89"/>
      <c r="C160" s="42" t="s">
        <v>252</v>
      </c>
      <c r="D160" s="42">
        <f>(35.52+1.5*2.74)*10.764</f>
        <v>426.57731999999999</v>
      </c>
      <c r="E160" s="42">
        <v>0</v>
      </c>
      <c r="F160" s="42">
        <f>D160*(($F$153)+1)+(IF(E160&lt;101,E160,IF(E160&lt;201,E160/2,IF(E160&lt;=301,E160/3,E160/4))))</f>
        <v>639.86598000000004</v>
      </c>
      <c r="G160" s="94"/>
      <c r="H160" s="97"/>
      <c r="I160" s="36"/>
      <c r="L160" s="58"/>
      <c r="M160" s="58"/>
    </row>
    <row r="161" spans="1:14" s="37" customFormat="1" ht="15.75" customHeight="1" x14ac:dyDescent="0.35">
      <c r="A161" s="81" t="s">
        <v>251</v>
      </c>
      <c r="B161" s="81"/>
      <c r="C161" s="81"/>
      <c r="D161" s="81"/>
      <c r="E161" s="81"/>
      <c r="F161" s="81"/>
      <c r="G161" s="81"/>
      <c r="H161" s="81"/>
      <c r="I161" s="36">
        <f>36.25</f>
        <v>36.25</v>
      </c>
      <c r="J161" s="57">
        <f>(2.74*4.57+2.3*2.44+2.75*3.5+1.2*1.8+1.8*1.2+0.9*2.3+0.4*1.2+1.8*0.6)</f>
        <v>35.708799999999997</v>
      </c>
      <c r="K161" s="37">
        <f>0.75*(2.3+2.75)</f>
        <v>3.7874999999999996</v>
      </c>
      <c r="L161" s="37">
        <f>1.8*2.74</f>
        <v>4.9320000000000004</v>
      </c>
      <c r="N161" s="36"/>
    </row>
    <row r="162" spans="1:14" s="37" customFormat="1" ht="15.75" customHeight="1" x14ac:dyDescent="0.35">
      <c r="A162" s="88">
        <v>1</v>
      </c>
      <c r="B162" s="89"/>
      <c r="C162" s="42" t="s">
        <v>252</v>
      </c>
      <c r="D162" s="42">
        <f>(36.25+2.74*1.8+0.75*(2.3+2.75))*10.764</f>
        <v>484.05169799999999</v>
      </c>
      <c r="E162" s="42">
        <v>0</v>
      </c>
      <c r="F162" s="42">
        <f t="shared" ref="F162:F163" si="8">D162*(($F$153)+1)+(IF(E162&lt;101,E162,IF(E162&lt;201,E162/2,IF(E162&lt;=301,E162/3,E162/4))))</f>
        <v>726.07754699999998</v>
      </c>
      <c r="G162" s="90" t="str">
        <f>A161</f>
        <v>1st to 7th Floor For Residential</v>
      </c>
      <c r="H162" s="96"/>
      <c r="I162" s="36">
        <f>36.25</f>
        <v>36.25</v>
      </c>
      <c r="N162" s="36"/>
    </row>
    <row r="163" spans="1:14" s="37" customFormat="1" ht="15.75" customHeight="1" x14ac:dyDescent="0.35">
      <c r="A163" s="88">
        <f>A162+1</f>
        <v>2</v>
      </c>
      <c r="B163" s="89"/>
      <c r="C163" s="42" t="s">
        <v>252</v>
      </c>
      <c r="D163" s="42">
        <f>(36.25+2.74*1.8+0.75*(2.3+2.75))*10.764</f>
        <v>484.05169799999999</v>
      </c>
      <c r="E163" s="42">
        <v>0</v>
      </c>
      <c r="F163" s="42">
        <f t="shared" si="8"/>
        <v>726.07754699999998</v>
      </c>
      <c r="G163" s="92"/>
      <c r="H163" s="98"/>
      <c r="I163" s="36">
        <f>50.88</f>
        <v>50.88</v>
      </c>
      <c r="J163" s="36">
        <f>(3.05*4.57+1.5*3.6+2.3*2.74+2.75*2.6+2.75*3.65+2.13*1.2+1.2*2.44+2.9*0.9+1.2*0.4)</f>
        <v>51.401999999999994</v>
      </c>
      <c r="K163" s="37">
        <f>0.75*(2.75+2.75)</f>
        <v>4.125</v>
      </c>
      <c r="L163" s="37">
        <f>3.05*1.8</f>
        <v>5.49</v>
      </c>
      <c r="N163" s="36"/>
    </row>
    <row r="164" spans="1:14" s="37" customFormat="1" ht="15.75" customHeight="1" x14ac:dyDescent="0.35">
      <c r="A164" s="88">
        <f t="shared" ref="A164:A166" si="9">A163+1</f>
        <v>3</v>
      </c>
      <c r="B164" s="89"/>
      <c r="C164" s="42" t="s">
        <v>253</v>
      </c>
      <c r="D164" s="42">
        <f>(50.88+3.05*1.8+0.75*(2.75+2.75))*10.764</f>
        <v>651.16818000000001</v>
      </c>
      <c r="E164" s="42">
        <v>0</v>
      </c>
      <c r="F164" s="42">
        <f>D164*(($F$153)+1)+(IF(E164&lt;101,E164,IF(E164&lt;201,E164/2,IF(E164&lt;=301,E164/3,E164/4))))</f>
        <v>976.75226999999995</v>
      </c>
      <c r="G164" s="92"/>
      <c r="H164" s="98"/>
      <c r="I164" s="36">
        <f>35.99</f>
        <v>35.99</v>
      </c>
      <c r="J164" s="36">
        <f>(4.57*2.74+2.44*2.3+3.5*2.75+1.2*1.8+1.8*1.2+2.3*0.9+1.8*0.6)</f>
        <v>35.2288</v>
      </c>
      <c r="K164" s="37">
        <f>0.75*(2.75+2.3)</f>
        <v>3.7874999999999996</v>
      </c>
      <c r="L164" s="37">
        <f>1.8*2.74</f>
        <v>4.9320000000000004</v>
      </c>
      <c r="N164" s="36"/>
    </row>
    <row r="165" spans="1:14" s="37" customFormat="1" ht="15.75" customHeight="1" x14ac:dyDescent="0.35">
      <c r="A165" s="88">
        <f t="shared" si="9"/>
        <v>4</v>
      </c>
      <c r="B165" s="89"/>
      <c r="C165" s="42" t="s">
        <v>252</v>
      </c>
      <c r="D165" s="42">
        <f>(35.99+1.8*2.74+0.75*(2.3+2.75))*10.764</f>
        <v>481.25305800000001</v>
      </c>
      <c r="E165" s="42">
        <v>0</v>
      </c>
      <c r="F165" s="42">
        <f>D165*(($F$153)+1)+(IF(E165&lt;101,E165,IF(E165&lt;201,E165/2,IF(E165&lt;=301,E165/3,E165/4))))</f>
        <v>721.87958700000001</v>
      </c>
      <c r="G165" s="92"/>
      <c r="H165" s="98"/>
      <c r="I165" s="36">
        <f>35.52</f>
        <v>35.520000000000003</v>
      </c>
      <c r="N165" s="36"/>
    </row>
    <row r="166" spans="1:14" s="37" customFormat="1" x14ac:dyDescent="0.35">
      <c r="A166" s="88">
        <f t="shared" si="9"/>
        <v>5</v>
      </c>
      <c r="B166" s="89"/>
      <c r="C166" s="42" t="s">
        <v>252</v>
      </c>
      <c r="D166" s="42">
        <f>(35.52+1.5*2.74+0.75*(2.3+0.75))*10.764</f>
        <v>451.19997000000001</v>
      </c>
      <c r="E166" s="42">
        <v>0</v>
      </c>
      <c r="F166" s="42">
        <f>D166*(($F$153)+1)+(IF(E166&lt;101,E166,IF(E166&lt;201,E166/2,IF(E166&lt;=301,E166/3,E166/4))))</f>
        <v>676.79995499999995</v>
      </c>
      <c r="G166" s="94"/>
      <c r="H166" s="97"/>
      <c r="I166" s="100" t="s">
        <v>264</v>
      </c>
      <c r="J166" s="101"/>
      <c r="K166" s="101"/>
      <c r="L166" s="101"/>
      <c r="M166" s="101"/>
    </row>
    <row r="167" spans="1:14" s="37" customFormat="1" x14ac:dyDescent="0.35">
      <c r="A167" s="78" t="s">
        <v>254</v>
      </c>
      <c r="B167" s="79"/>
      <c r="C167" s="79"/>
      <c r="D167" s="79"/>
      <c r="E167" s="79"/>
      <c r="F167" s="79"/>
      <c r="G167" s="79"/>
      <c r="H167" s="80"/>
      <c r="J167" s="36"/>
    </row>
    <row r="168" spans="1:14" s="37" customFormat="1" ht="15.75" customHeight="1" x14ac:dyDescent="0.35">
      <c r="A168" s="78" t="s">
        <v>260</v>
      </c>
      <c r="B168" s="79"/>
      <c r="C168" s="79"/>
      <c r="D168" s="79"/>
      <c r="E168" s="79"/>
      <c r="F168" s="79"/>
      <c r="G168" s="79"/>
      <c r="H168" s="80"/>
      <c r="I168" s="36">
        <f>(54.38)</f>
        <v>54.38</v>
      </c>
      <c r="L168" s="99"/>
      <c r="M168" s="99"/>
      <c r="N168" s="36"/>
    </row>
    <row r="169" spans="1:14" s="37" customFormat="1" ht="15.75" customHeight="1" x14ac:dyDescent="0.35">
      <c r="A169" s="88">
        <v>1</v>
      </c>
      <c r="B169" s="89"/>
      <c r="C169" s="42" t="s">
        <v>253</v>
      </c>
      <c r="D169" s="42">
        <f>(54.38+3.05*1.8)*10.764</f>
        <v>644.44068000000004</v>
      </c>
      <c r="E169" s="42">
        <v>0</v>
      </c>
      <c r="F169" s="42">
        <f>D169*(($F$153)+1)+(IF(E169&lt;101,E169,IF(E169&lt;201,E169/2,IF(E169&lt;=301,E169/3,E169/4))))</f>
        <v>966.66102000000001</v>
      </c>
      <c r="G169" s="90" t="str">
        <f>A168</f>
        <v xml:space="preserve">Ground Floor For Residential &amp; Parking </v>
      </c>
      <c r="H169" s="96"/>
      <c r="I169" s="36">
        <f>(53.64)</f>
        <v>53.64</v>
      </c>
      <c r="L169" s="99"/>
      <c r="M169" s="99"/>
      <c r="N169" s="36"/>
    </row>
    <row r="170" spans="1:14" s="37" customFormat="1" ht="15.75" customHeight="1" x14ac:dyDescent="0.35">
      <c r="A170" s="88">
        <f t="shared" ref="A170:A173" si="10">A169+1</f>
        <v>2</v>
      </c>
      <c r="B170" s="89"/>
      <c r="C170" s="42" t="s">
        <v>253</v>
      </c>
      <c r="D170" s="42">
        <f>(53.63+3.05*1.8)*10.764</f>
        <v>636.36768000000006</v>
      </c>
      <c r="E170" s="42">
        <v>0</v>
      </c>
      <c r="F170" s="42">
        <f>D170*(($F$153)+1)+(IF(E170&lt;101,E170,IF(E170&lt;201,E170/2,IF(E170&lt;=301,E170/3,E170/4))))</f>
        <v>954.5515200000001</v>
      </c>
      <c r="G170" s="92"/>
      <c r="H170" s="98"/>
      <c r="I170" s="36">
        <f>(37.5)</f>
        <v>37.5</v>
      </c>
      <c r="L170" s="99"/>
      <c r="M170" s="99"/>
      <c r="N170" s="36"/>
    </row>
    <row r="171" spans="1:14" s="37" customFormat="1" ht="15.75" customHeight="1" x14ac:dyDescent="0.35">
      <c r="A171" s="88">
        <f t="shared" si="10"/>
        <v>3</v>
      </c>
      <c r="B171" s="89"/>
      <c r="C171" s="42" t="s">
        <v>252</v>
      </c>
      <c r="D171" s="42">
        <f>(37.5+2.74*1.8)*10.764</f>
        <v>456.73804799999999</v>
      </c>
      <c r="E171" s="42">
        <v>0</v>
      </c>
      <c r="F171" s="42">
        <f>D171*(($F$153)+1)+(IF(E171&lt;101,E171,IF(E171&lt;201,E171/2,IF(E171&lt;=301,E171/3,E171/4))))</f>
        <v>685.10707200000002</v>
      </c>
      <c r="G171" s="92"/>
      <c r="H171" s="98"/>
      <c r="I171" s="36">
        <f>(35.91)</f>
        <v>35.909999999999997</v>
      </c>
      <c r="L171" s="99"/>
      <c r="M171" s="99"/>
      <c r="N171" s="36"/>
    </row>
    <row r="172" spans="1:14" s="37" customFormat="1" ht="15.75" customHeight="1" x14ac:dyDescent="0.35">
      <c r="A172" s="88">
        <f t="shared" si="10"/>
        <v>4</v>
      </c>
      <c r="B172" s="89"/>
      <c r="C172" s="42" t="s">
        <v>252</v>
      </c>
      <c r="D172" s="42">
        <f>(35.91+2.74*1.8)*10.764</f>
        <v>439.62328799999995</v>
      </c>
      <c r="E172" s="42">
        <v>0</v>
      </c>
      <c r="F172" s="42">
        <f>D172*(($F$153)+1)+(IF(E172&lt;101,E172,IF(E172&lt;201,E172/2,IF(E172&lt;=301,E172/3,E172/4))))</f>
        <v>659.43493199999989</v>
      </c>
      <c r="G172" s="92"/>
      <c r="H172" s="98"/>
      <c r="I172" s="36">
        <f>(36.35)</f>
        <v>36.35</v>
      </c>
      <c r="L172" s="99"/>
      <c r="M172" s="99"/>
      <c r="N172" s="36"/>
    </row>
    <row r="173" spans="1:14" s="37" customFormat="1" ht="15.75" customHeight="1" x14ac:dyDescent="0.35">
      <c r="A173" s="88">
        <f t="shared" si="10"/>
        <v>5</v>
      </c>
      <c r="B173" s="89"/>
      <c r="C173" s="42" t="s">
        <v>252</v>
      </c>
      <c r="D173" s="42">
        <f>(36.34+1.8*2.74)*10.764</f>
        <v>444.25180800000004</v>
      </c>
      <c r="E173" s="42">
        <v>0</v>
      </c>
      <c r="F173" s="42">
        <f>D173*(($F$153)+1)+(IF(E173&lt;101,E173,IF(E173&lt;201,E173/2,IF(E173&lt;=301,E173/3,E173/4))))</f>
        <v>666.37771200000009</v>
      </c>
      <c r="G173" s="92"/>
      <c r="H173" s="98"/>
      <c r="I173" s="59"/>
      <c r="N173" s="36"/>
    </row>
    <row r="174" spans="1:14" s="37" customFormat="1" ht="15.75" customHeight="1" x14ac:dyDescent="0.35">
      <c r="A174" s="88">
        <v>6</v>
      </c>
      <c r="B174" s="89"/>
      <c r="C174" s="90" t="s">
        <v>259</v>
      </c>
      <c r="D174" s="91"/>
      <c r="E174" s="91"/>
      <c r="F174" s="96"/>
      <c r="G174" s="92"/>
      <c r="H174" s="98"/>
      <c r="I174" s="59"/>
      <c r="N174" s="36"/>
    </row>
    <row r="175" spans="1:14" s="37" customFormat="1" ht="15.75" customHeight="1" x14ac:dyDescent="0.35">
      <c r="A175" s="88">
        <v>7</v>
      </c>
      <c r="B175" s="89"/>
      <c r="C175" s="92"/>
      <c r="D175" s="93"/>
      <c r="E175" s="93"/>
      <c r="F175" s="98"/>
      <c r="G175" s="92"/>
      <c r="H175" s="98"/>
      <c r="I175" s="59"/>
      <c r="N175" s="36"/>
    </row>
    <row r="176" spans="1:14" s="37" customFormat="1" x14ac:dyDescent="0.35">
      <c r="A176" s="88">
        <v>8</v>
      </c>
      <c r="B176" s="89"/>
      <c r="C176" s="94"/>
      <c r="D176" s="95"/>
      <c r="E176" s="95"/>
      <c r="F176" s="97"/>
      <c r="G176" s="94"/>
      <c r="H176" s="97"/>
      <c r="I176" s="36"/>
      <c r="L176" s="99"/>
      <c r="M176" s="99"/>
    </row>
    <row r="177" spans="1:14" s="37" customFormat="1" ht="15.75" customHeight="1" x14ac:dyDescent="0.35">
      <c r="A177" s="81" t="s">
        <v>251</v>
      </c>
      <c r="B177" s="81"/>
      <c r="C177" s="81"/>
      <c r="D177" s="81"/>
      <c r="E177" s="81"/>
      <c r="F177" s="81"/>
      <c r="G177" s="81"/>
      <c r="H177" s="81"/>
      <c r="I177" s="59">
        <f>54.38</f>
        <v>54.38</v>
      </c>
      <c r="J177" s="36">
        <f>(3.05*4.73+1.5*3.6+2.6*2.55+2.74*2.9+2.74*3.65+1.2*2.29+2.13*1.2+2.6*0.9+1.2*0.5)</f>
        <v>52.647500000000008</v>
      </c>
      <c r="K177" s="37">
        <v>6700</v>
      </c>
      <c r="L177" s="37">
        <f>0.75*(2.74+2.74)</f>
        <v>4.1100000000000003</v>
      </c>
      <c r="N177" s="36"/>
    </row>
    <row r="178" spans="1:14" s="37" customFormat="1" ht="15.75" customHeight="1" x14ac:dyDescent="0.35">
      <c r="A178" s="88">
        <v>1</v>
      </c>
      <c r="B178" s="89"/>
      <c r="C178" s="42" t="s">
        <v>253</v>
      </c>
      <c r="D178" s="42">
        <f>(54.38+3.05*1.8+0.75*(2.74+2.74))*10.764</f>
        <v>688.68071999999995</v>
      </c>
      <c r="E178" s="42">
        <v>0</v>
      </c>
      <c r="F178" s="42">
        <f t="shared" ref="F178:F179" si="11">D178*(($F$153)+1)+(IF(E178&lt;101,E178,IF(E178&lt;201,E178/2,IF(E178&lt;=301,E178/3,E178/4))))</f>
        <v>1033.02108</v>
      </c>
      <c r="G178" s="90" t="str">
        <f>A177</f>
        <v>1st to 7th Floor For Residential</v>
      </c>
      <c r="H178" s="91"/>
      <c r="I178" s="59">
        <f>53.63</f>
        <v>53.63</v>
      </c>
      <c r="K178" s="37">
        <f>$K$177*F178</f>
        <v>6921241.2359999996</v>
      </c>
      <c r="N178" s="36"/>
    </row>
    <row r="179" spans="1:14" s="37" customFormat="1" ht="15.75" customHeight="1" x14ac:dyDescent="0.35">
      <c r="A179" s="88">
        <f t="shared" ref="A179:A182" si="12">A178+1</f>
        <v>2</v>
      </c>
      <c r="B179" s="89"/>
      <c r="C179" s="42" t="s">
        <v>253</v>
      </c>
      <c r="D179" s="42">
        <f>(53.63+3.05*1.8+0.75*(2.74+2.74))*10.764</f>
        <v>680.60771999999997</v>
      </c>
      <c r="E179" s="42">
        <v>0</v>
      </c>
      <c r="F179" s="42">
        <f t="shared" si="11"/>
        <v>1020.91158</v>
      </c>
      <c r="G179" s="92"/>
      <c r="H179" s="93"/>
      <c r="I179" s="59">
        <f>37.5</f>
        <v>37.5</v>
      </c>
      <c r="J179" s="36">
        <f>(2.74*4.57+2.3*2.3+2.74*3.65+1.6*1.2+1.2*1.8+2.3*0.9+1.2*0.4+1.8*0.6)</f>
        <v>35.522799999999997</v>
      </c>
      <c r="K179" s="60">
        <f t="shared" ref="K179:K184" si="13">$K$177*F179</f>
        <v>6840107.5860000001</v>
      </c>
      <c r="L179" s="37">
        <f>0.75*(2.3+2.74)</f>
        <v>3.7800000000000002</v>
      </c>
      <c r="N179" s="36"/>
    </row>
    <row r="180" spans="1:14" s="37" customFormat="1" ht="15.75" customHeight="1" x14ac:dyDescent="0.35">
      <c r="A180" s="88">
        <f t="shared" si="12"/>
        <v>3</v>
      </c>
      <c r="B180" s="89"/>
      <c r="C180" s="42" t="s">
        <v>252</v>
      </c>
      <c r="D180" s="42">
        <f>(37.5+2.74*1.8+0.75*(2.3+2.74))*10.764</f>
        <v>497.42596800000001</v>
      </c>
      <c r="E180" s="42">
        <v>0</v>
      </c>
      <c r="F180" s="42">
        <f t="shared" ref="F180:F185" si="14">D180*(($F$153)+1)+(IF(E180&lt;101,E180,IF(E180&lt;201,E180/2,IF(E180&lt;=301,E180/3,E180/4))))</f>
        <v>746.13895200000002</v>
      </c>
      <c r="G180" s="92"/>
      <c r="H180" s="93"/>
      <c r="I180" s="59">
        <f>35.91</f>
        <v>35.909999999999997</v>
      </c>
      <c r="J180" s="63">
        <f>4050000/F181</f>
        <v>5621.3553942301514</v>
      </c>
      <c r="K180" s="60">
        <f t="shared" si="13"/>
        <v>4999130.9784000004</v>
      </c>
      <c r="N180" s="36"/>
    </row>
    <row r="181" spans="1:14" s="37" customFormat="1" ht="15.75" customHeight="1" x14ac:dyDescent="0.35">
      <c r="A181" s="88">
        <f t="shared" si="12"/>
        <v>4</v>
      </c>
      <c r="B181" s="89"/>
      <c r="C181" s="42" t="s">
        <v>252</v>
      </c>
      <c r="D181" s="42">
        <f>(35.91+2.74*1.8+0.75*(2.3+2.74))*10.764</f>
        <v>480.31120799999997</v>
      </c>
      <c r="E181" s="42">
        <v>0</v>
      </c>
      <c r="F181" s="42">
        <f t="shared" si="14"/>
        <v>720.46681199999989</v>
      </c>
      <c r="G181" s="92"/>
      <c r="H181" s="93"/>
      <c r="I181" s="59">
        <f>36.34</f>
        <v>36.340000000000003</v>
      </c>
      <c r="K181" s="60">
        <f t="shared" si="13"/>
        <v>4827127.640399999</v>
      </c>
      <c r="N181" s="36"/>
    </row>
    <row r="182" spans="1:14" s="37" customFormat="1" ht="15.75" customHeight="1" x14ac:dyDescent="0.35">
      <c r="A182" s="88">
        <f t="shared" si="12"/>
        <v>5</v>
      </c>
      <c r="B182" s="89"/>
      <c r="C182" s="42" t="s">
        <v>252</v>
      </c>
      <c r="D182" s="42">
        <f>(36.34+1.8*2.74+0.75*(2.3+2.75))*10.764</f>
        <v>485.02045800000002</v>
      </c>
      <c r="E182" s="42">
        <v>0</v>
      </c>
      <c r="F182" s="42">
        <f t="shared" si="14"/>
        <v>727.53068700000006</v>
      </c>
      <c r="G182" s="92"/>
      <c r="H182" s="93"/>
      <c r="I182" s="59">
        <f>36.49</f>
        <v>36.49</v>
      </c>
      <c r="J182" s="36">
        <f>(2.74*4.57+2.3*2.3+2.74*3.5+1.6*1.2+1.2*1.8+2.3*0.9+1.2*0.4+1.8*0.6)</f>
        <v>35.111799999999995</v>
      </c>
      <c r="K182" s="60">
        <f t="shared" si="13"/>
        <v>4874455.6029000003</v>
      </c>
      <c r="N182" s="36"/>
    </row>
    <row r="183" spans="1:14" s="37" customFormat="1" ht="15.75" customHeight="1" x14ac:dyDescent="0.35">
      <c r="A183" s="88">
        <v>6</v>
      </c>
      <c r="B183" s="89"/>
      <c r="C183" s="42" t="s">
        <v>252</v>
      </c>
      <c r="D183" s="42">
        <f>(36.49+1.8*2.74+0.75*(2.3+2.74))*10.764</f>
        <v>486.55432800000005</v>
      </c>
      <c r="E183" s="42">
        <v>0</v>
      </c>
      <c r="F183" s="42">
        <f t="shared" si="14"/>
        <v>729.83149200000003</v>
      </c>
      <c r="G183" s="92"/>
      <c r="H183" s="93"/>
      <c r="I183" s="59">
        <f>36.49</f>
        <v>36.49</v>
      </c>
      <c r="K183" s="60">
        <f t="shared" si="13"/>
        <v>4889870.9964000005</v>
      </c>
      <c r="N183" s="36"/>
    </row>
    <row r="184" spans="1:14" s="37" customFormat="1" ht="15.75" customHeight="1" x14ac:dyDescent="0.35">
      <c r="A184" s="88">
        <v>7</v>
      </c>
      <c r="B184" s="89"/>
      <c r="C184" s="42" t="s">
        <v>252</v>
      </c>
      <c r="D184" s="42">
        <f>(36.49+1.8*2.74+0.75*(2.3+2.74))*10.764</f>
        <v>486.55432800000005</v>
      </c>
      <c r="E184" s="42">
        <v>0</v>
      </c>
      <c r="F184" s="42">
        <f t="shared" si="14"/>
        <v>729.83149200000003</v>
      </c>
      <c r="G184" s="92"/>
      <c r="H184" s="93"/>
      <c r="I184" s="59">
        <f>36.61</f>
        <v>36.61</v>
      </c>
      <c r="K184" s="60">
        <f t="shared" si="13"/>
        <v>4889870.9964000005</v>
      </c>
      <c r="N184" s="36"/>
    </row>
    <row r="185" spans="1:14" s="35" customFormat="1" x14ac:dyDescent="0.35">
      <c r="A185" s="88">
        <v>8</v>
      </c>
      <c r="B185" s="89"/>
      <c r="C185" s="42" t="s">
        <v>252</v>
      </c>
      <c r="D185" s="42">
        <f>(36.61+0.75*(2.74+2.3+2.74))*10.764</f>
        <v>456.87797999999998</v>
      </c>
      <c r="E185" s="42">
        <v>0</v>
      </c>
      <c r="F185" s="42">
        <f t="shared" si="14"/>
        <v>685.31696999999997</v>
      </c>
      <c r="G185" s="94"/>
      <c r="H185" s="95"/>
    </row>
    <row r="186" spans="1:14" s="35" customFormat="1" ht="15.75" customHeight="1" x14ac:dyDescent="0.35">
      <c r="A186" s="78" t="s">
        <v>257</v>
      </c>
      <c r="B186" s="79"/>
      <c r="C186" s="79"/>
      <c r="D186" s="79"/>
      <c r="E186" s="79"/>
      <c r="F186" s="79"/>
      <c r="G186" s="79"/>
      <c r="H186" s="80"/>
    </row>
    <row r="187" spans="1:14" s="35" customFormat="1" x14ac:dyDescent="0.35">
      <c r="A187" s="81" t="s">
        <v>251</v>
      </c>
      <c r="B187" s="81"/>
      <c r="C187" s="81"/>
      <c r="D187" s="81"/>
      <c r="E187" s="81"/>
      <c r="F187" s="81"/>
      <c r="G187" s="81"/>
      <c r="H187" s="81"/>
    </row>
    <row r="188" spans="1:14" s="35" customFormat="1" x14ac:dyDescent="0.35">
      <c r="A188" s="82">
        <v>1</v>
      </c>
      <c r="B188" s="83"/>
      <c r="C188" s="65" t="s">
        <v>252</v>
      </c>
      <c r="D188" s="65">
        <f>(36.59+2.74*1.8+0.75*(2.74+2.3))*10.764</f>
        <v>487.63072800000003</v>
      </c>
      <c r="E188" s="65">
        <v>0</v>
      </c>
      <c r="F188" s="65">
        <f t="shared" ref="F188:F194" si="15">D188*(($F$153)+1)+(IF(E188&lt;101,E188,IF(E188&lt;201,E188/2,IF(E188&lt;=301,E188/3,E188/4))))</f>
        <v>731.44609200000002</v>
      </c>
      <c r="G188" s="84" t="str">
        <f>A187</f>
        <v>1st to 7th Floor For Residential</v>
      </c>
      <c r="H188" s="85"/>
    </row>
    <row r="189" spans="1:14" s="35" customFormat="1" x14ac:dyDescent="0.35">
      <c r="A189" s="82">
        <f t="shared" ref="A189:A192" si="16">A188+1</f>
        <v>2</v>
      </c>
      <c r="B189" s="83"/>
      <c r="C189" s="65" t="s">
        <v>252</v>
      </c>
      <c r="D189" s="65">
        <f>(36.59+2.74*1.8+0.75*(2.74+2.3))*10.764</f>
        <v>487.63072800000003</v>
      </c>
      <c r="E189" s="65">
        <v>0</v>
      </c>
      <c r="F189" s="65">
        <f t="shared" si="15"/>
        <v>731.44609200000002</v>
      </c>
      <c r="G189" s="86"/>
      <c r="H189" s="87"/>
    </row>
    <row r="190" spans="1:14" s="35" customFormat="1" x14ac:dyDescent="0.35">
      <c r="A190" s="82">
        <f t="shared" si="16"/>
        <v>3</v>
      </c>
      <c r="B190" s="83"/>
      <c r="C190" s="65" t="s">
        <v>253</v>
      </c>
      <c r="D190" s="65">
        <f>(56.3+3.05*1.8+0.75*(2.74+2.74+1))*10.764</f>
        <v>717.42060000000004</v>
      </c>
      <c r="E190" s="65">
        <v>0</v>
      </c>
      <c r="F190" s="65">
        <f t="shared" si="15"/>
        <v>1076.1309000000001</v>
      </c>
      <c r="G190" s="86"/>
      <c r="H190" s="87"/>
    </row>
    <row r="191" spans="1:14" s="35" customFormat="1" x14ac:dyDescent="0.35">
      <c r="A191" s="82">
        <f t="shared" si="16"/>
        <v>4</v>
      </c>
      <c r="B191" s="83"/>
      <c r="C191" s="65" t="s">
        <v>253</v>
      </c>
      <c r="D191" s="65">
        <f>(56.3+3.05*1.8+0.75*(2.74+2.74+1))*10.764</f>
        <v>717.42060000000004</v>
      </c>
      <c r="E191" s="65">
        <v>0</v>
      </c>
      <c r="F191" s="65">
        <f t="shared" si="15"/>
        <v>1076.1309000000001</v>
      </c>
      <c r="G191" s="86"/>
      <c r="H191" s="87"/>
    </row>
    <row r="192" spans="1:14" s="35" customFormat="1" x14ac:dyDescent="0.35">
      <c r="A192" s="82">
        <f t="shared" si="16"/>
        <v>5</v>
      </c>
      <c r="B192" s="83"/>
      <c r="C192" s="65" t="s">
        <v>252</v>
      </c>
      <c r="D192" s="65">
        <f>(36.59+2.74*1.8+0.75*(2.3+2.74))*10.764</f>
        <v>487.63072800000003</v>
      </c>
      <c r="E192" s="65">
        <v>0</v>
      </c>
      <c r="F192" s="65">
        <f t="shared" si="15"/>
        <v>731.44609200000002</v>
      </c>
      <c r="G192" s="86"/>
      <c r="H192" s="87"/>
      <c r="I192" s="35">
        <f>2.74*4.57+2.3*2.44+2.74*3.5+1.8*0.6+1.2*1.8*2+2.6+1.2*0.43</f>
        <v>36.239800000000002</v>
      </c>
    </row>
    <row r="193" spans="1:9" s="35" customFormat="1" x14ac:dyDescent="0.35">
      <c r="A193" s="82">
        <v>6</v>
      </c>
      <c r="B193" s="83"/>
      <c r="C193" s="65" t="s">
        <v>252</v>
      </c>
      <c r="D193" s="65">
        <f>(36.59+2.74*1.8+0.75*(2.3+2.74))*10.764</f>
        <v>487.63072800000003</v>
      </c>
      <c r="E193" s="65">
        <v>0</v>
      </c>
      <c r="F193" s="65">
        <f t="shared" si="15"/>
        <v>731.44609200000002</v>
      </c>
      <c r="G193" s="86"/>
      <c r="H193" s="87"/>
    </row>
    <row r="194" spans="1:9" x14ac:dyDescent="0.35">
      <c r="A194" s="82">
        <v>7</v>
      </c>
      <c r="B194" s="83"/>
      <c r="C194" s="65" t="s">
        <v>253</v>
      </c>
      <c r="D194" s="65">
        <f>(51.01+3.05*1.8+0.75*(2.44+2.74+2.3))*10.764</f>
        <v>668.55203999999992</v>
      </c>
      <c r="E194" s="65">
        <v>0</v>
      </c>
      <c r="F194" s="65">
        <f t="shared" si="15"/>
        <v>1002.8280599999998</v>
      </c>
      <c r="G194" s="86"/>
      <c r="H194" s="87"/>
    </row>
    <row r="195" spans="1:9" x14ac:dyDescent="0.35">
      <c r="A195" s="161" t="s">
        <v>67</v>
      </c>
      <c r="B195" s="161"/>
      <c r="C195" s="161"/>
      <c r="D195" s="161"/>
      <c r="E195" s="161"/>
      <c r="F195" s="161"/>
      <c r="G195" s="161"/>
      <c r="H195" s="161"/>
    </row>
    <row r="196" spans="1:9" ht="15.75" customHeight="1" x14ac:dyDescent="0.35">
      <c r="A196" s="64" t="s">
        <v>150</v>
      </c>
      <c r="B196" s="75" t="s">
        <v>287</v>
      </c>
      <c r="C196" s="76"/>
      <c r="D196" s="76"/>
      <c r="E196" s="76"/>
      <c r="F196" s="76"/>
      <c r="G196" s="76"/>
      <c r="H196" s="77"/>
    </row>
    <row r="197" spans="1:9" x14ac:dyDescent="0.35">
      <c r="A197" s="64" t="s">
        <v>150</v>
      </c>
      <c r="B197" s="75" t="str">
        <f>(IF(F152="Saleable area Loading :","We have considered Saleable area of Flats as per our Calculation.","We considered Saleable area of Flat as per Builder area Sheet."))</f>
        <v>We have considered Saleable area of Flats as per our Calculation.</v>
      </c>
      <c r="C197" s="76"/>
      <c r="D197" s="76"/>
      <c r="E197" s="76"/>
      <c r="F197" s="76"/>
      <c r="G197" s="76"/>
      <c r="H197" s="77"/>
    </row>
    <row r="198" spans="1:9" x14ac:dyDescent="0.35">
      <c r="A198" s="64" t="s">
        <v>150</v>
      </c>
      <c r="B198" s="75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8" s="76"/>
      <c r="D198" s="76"/>
      <c r="E198" s="76"/>
      <c r="F198" s="76"/>
      <c r="G198" s="76"/>
      <c r="H198" s="77"/>
    </row>
    <row r="199" spans="1:9" x14ac:dyDescent="0.35">
      <c r="A199" s="47" t="s">
        <v>150</v>
      </c>
      <c r="B199" s="158" t="s">
        <v>120</v>
      </c>
      <c r="C199" s="159"/>
      <c r="D199" s="159"/>
      <c r="E199" s="159"/>
      <c r="F199" s="159"/>
      <c r="G199" s="159"/>
      <c r="H199" s="160"/>
    </row>
    <row r="200" spans="1:9" x14ac:dyDescent="0.35">
      <c r="A200" s="47" t="s">
        <v>150</v>
      </c>
      <c r="B200" s="158" t="s">
        <v>282</v>
      </c>
      <c r="C200" s="159"/>
      <c r="D200" s="159"/>
      <c r="E200" s="159"/>
      <c r="F200" s="159"/>
      <c r="G200" s="159"/>
      <c r="H200" s="160"/>
    </row>
    <row r="201" spans="1:9" x14ac:dyDescent="0.35">
      <c r="A201" s="47" t="s">
        <v>150</v>
      </c>
      <c r="B201" s="158" t="s">
        <v>149</v>
      </c>
      <c r="C201" s="159"/>
      <c r="D201" s="159"/>
      <c r="E201" s="159"/>
      <c r="F201" s="159"/>
      <c r="G201" s="159"/>
      <c r="H201" s="160"/>
    </row>
    <row r="202" spans="1:9" x14ac:dyDescent="0.35">
      <c r="A202" s="64" t="s">
        <v>150</v>
      </c>
      <c r="B202" s="75" t="s">
        <v>121</v>
      </c>
      <c r="C202" s="76"/>
      <c r="D202" s="76"/>
      <c r="E202" s="76"/>
      <c r="F202" s="76"/>
      <c r="G202" s="76"/>
      <c r="H202" s="77"/>
    </row>
    <row r="203" spans="1:9" ht="35.25" customHeight="1" x14ac:dyDescent="0.35">
      <c r="A203" s="64" t="s">
        <v>150</v>
      </c>
      <c r="B203" s="75" t="s">
        <v>151</v>
      </c>
      <c r="C203" s="76"/>
      <c r="D203" s="76"/>
      <c r="E203" s="76"/>
      <c r="F203" s="76"/>
      <c r="G203" s="76"/>
      <c r="H203" s="77"/>
    </row>
    <row r="204" spans="1:9" x14ac:dyDescent="0.35">
      <c r="A204" s="64" t="s">
        <v>150</v>
      </c>
      <c r="B204" s="75" t="s">
        <v>122</v>
      </c>
      <c r="C204" s="76"/>
      <c r="D204" s="76"/>
      <c r="E204" s="76"/>
      <c r="F204" s="76"/>
      <c r="G204" s="76"/>
      <c r="H204" s="77"/>
    </row>
    <row r="205" spans="1:9" x14ac:dyDescent="0.35">
      <c r="A205" s="64" t="s">
        <v>150</v>
      </c>
      <c r="B205" s="75" t="s">
        <v>281</v>
      </c>
      <c r="C205" s="76"/>
      <c r="D205" s="76"/>
      <c r="E205" s="76"/>
      <c r="F205" s="76"/>
      <c r="G205" s="76"/>
      <c r="H205" s="77"/>
      <c r="I205" s="62"/>
    </row>
    <row r="206" spans="1:9" x14ac:dyDescent="0.35">
      <c r="A206" s="163" t="s">
        <v>60</v>
      </c>
      <c r="B206" s="163"/>
      <c r="C206" s="163"/>
      <c r="D206" s="163"/>
      <c r="E206" s="163"/>
      <c r="F206" s="163"/>
      <c r="G206" s="163"/>
      <c r="H206" s="163"/>
    </row>
    <row r="207" spans="1:9" x14ac:dyDescent="0.35">
      <c r="A207" s="120" t="s">
        <v>61</v>
      </c>
      <c r="B207" s="120"/>
      <c r="C207" s="120"/>
      <c r="D207" s="120"/>
      <c r="E207" s="120"/>
      <c r="F207" s="120"/>
      <c r="G207" s="120"/>
      <c r="H207" s="120"/>
    </row>
    <row r="208" spans="1:9" x14ac:dyDescent="0.35">
      <c r="A208" s="162" t="s">
        <v>62</v>
      </c>
      <c r="B208" s="162"/>
      <c r="C208" s="162"/>
      <c r="D208" s="162"/>
      <c r="E208" s="162"/>
      <c r="F208" s="162"/>
      <c r="G208" s="162"/>
      <c r="H208" s="162"/>
    </row>
    <row r="209" spans="1:8" x14ac:dyDescent="0.35">
      <c r="A209" s="120" t="s">
        <v>63</v>
      </c>
      <c r="B209" s="120"/>
      <c r="C209" s="120"/>
      <c r="D209" s="120"/>
      <c r="E209" s="120"/>
      <c r="F209" s="120"/>
      <c r="G209" s="120"/>
      <c r="H209" s="120"/>
    </row>
    <row r="210" spans="1:8" ht="15" customHeight="1" x14ac:dyDescent="0.35">
      <c r="A210" s="120" t="s">
        <v>64</v>
      </c>
      <c r="B210" s="120"/>
      <c r="C210" s="120"/>
      <c r="D210" s="120"/>
      <c r="E210" s="120"/>
      <c r="F210" s="120"/>
      <c r="G210" s="120"/>
      <c r="H210" s="120"/>
    </row>
    <row r="211" spans="1:8" x14ac:dyDescent="0.35">
      <c r="A211" s="120" t="s">
        <v>123</v>
      </c>
      <c r="B211" s="120"/>
      <c r="C211" s="120"/>
      <c r="D211" s="120"/>
      <c r="E211" s="120"/>
      <c r="F211" s="120"/>
      <c r="G211" s="120"/>
      <c r="H211" s="120"/>
    </row>
    <row r="212" spans="1:8" x14ac:dyDescent="0.35">
      <c r="A212" s="117" t="s">
        <v>124</v>
      </c>
      <c r="B212" s="117"/>
      <c r="C212" s="117"/>
      <c r="D212" s="117"/>
      <c r="E212" s="117"/>
      <c r="F212" s="117"/>
      <c r="G212" s="117"/>
      <c r="H212" s="117"/>
    </row>
    <row r="213" spans="1:8" x14ac:dyDescent="0.35">
      <c r="A213" s="156" t="s">
        <v>74</v>
      </c>
      <c r="B213" s="156"/>
      <c r="C213" s="156" t="s">
        <v>283</v>
      </c>
      <c r="D213" s="156"/>
      <c r="E213" s="156" t="s">
        <v>104</v>
      </c>
      <c r="F213" s="156"/>
      <c r="G213" s="157" t="s">
        <v>288</v>
      </c>
      <c r="H213" s="157"/>
    </row>
    <row r="214" spans="1:8" x14ac:dyDescent="0.35">
      <c r="A214" s="155" t="s">
        <v>76</v>
      </c>
      <c r="B214" s="155"/>
      <c r="C214" s="155"/>
      <c r="D214" s="155"/>
      <c r="E214" s="155"/>
      <c r="F214" s="155"/>
      <c r="G214" s="155"/>
      <c r="H214" s="155"/>
    </row>
    <row r="215" spans="1:8" x14ac:dyDescent="0.35">
      <c r="A215" s="155"/>
      <c r="B215" s="155"/>
      <c r="C215" s="155"/>
      <c r="D215" s="155"/>
      <c r="E215" s="155"/>
      <c r="F215" s="155"/>
      <c r="G215" s="155"/>
      <c r="H215" s="155"/>
    </row>
    <row r="216" spans="1:8" x14ac:dyDescent="0.35">
      <c r="A216" s="155"/>
      <c r="B216" s="155"/>
      <c r="C216" s="155"/>
      <c r="D216" s="155"/>
      <c r="E216" s="155"/>
      <c r="F216" s="155"/>
      <c r="G216" s="155"/>
      <c r="H216" s="155"/>
    </row>
    <row r="217" spans="1:8" x14ac:dyDescent="0.35">
      <c r="A217" s="155"/>
      <c r="B217" s="155"/>
      <c r="C217" s="155"/>
      <c r="D217" s="155"/>
      <c r="E217" s="155"/>
      <c r="F217" s="155"/>
      <c r="G217" s="155"/>
      <c r="H217" s="155"/>
    </row>
    <row r="218" spans="1:8" x14ac:dyDescent="0.35">
      <c r="A218" s="38" t="s">
        <v>65</v>
      </c>
      <c r="B218" s="39"/>
      <c r="C218" s="39"/>
      <c r="D218" s="38" t="str">
        <f>E8</f>
        <v>Shree Anandi Imperial</v>
      </c>
      <c r="F218" s="39"/>
      <c r="G218" s="39"/>
      <c r="H218" s="39"/>
    </row>
    <row r="219" spans="1:8" x14ac:dyDescent="0.35">
      <c r="A219" s="39"/>
      <c r="B219" s="39"/>
      <c r="C219" s="39"/>
      <c r="D219" s="39"/>
      <c r="E219" s="39"/>
      <c r="F219" s="39"/>
      <c r="G219" s="39"/>
      <c r="H219" s="39"/>
    </row>
    <row r="220" spans="1:8" x14ac:dyDescent="0.35">
      <c r="A220" s="39"/>
      <c r="B220" s="39"/>
      <c r="C220" s="39"/>
      <c r="D220" s="39"/>
      <c r="E220" s="39"/>
      <c r="F220" s="39"/>
      <c r="G220" s="39"/>
      <c r="H220" s="39"/>
    </row>
    <row r="261" spans="1:1" x14ac:dyDescent="0.35">
      <c r="A261" s="41" t="s">
        <v>161</v>
      </c>
    </row>
    <row r="304" spans="1:1" x14ac:dyDescent="0.35">
      <c r="A304" s="41" t="s">
        <v>66</v>
      </c>
    </row>
  </sheetData>
  <mergeCells count="381">
    <mergeCell ref="K140:M140"/>
    <mergeCell ref="B203:H203"/>
    <mergeCell ref="A48:B48"/>
    <mergeCell ref="C48:H48"/>
    <mergeCell ref="B201:H201"/>
    <mergeCell ref="A101:B101"/>
    <mergeCell ref="A102:B102"/>
    <mergeCell ref="G86:H95"/>
    <mergeCell ref="A87:B87"/>
    <mergeCell ref="A88:B88"/>
    <mergeCell ref="A89:B89"/>
    <mergeCell ref="F112:H112"/>
    <mergeCell ref="A112:E112"/>
    <mergeCell ref="D137:D138"/>
    <mergeCell ref="A114:E114"/>
    <mergeCell ref="A154:H154"/>
    <mergeCell ref="A98:B98"/>
    <mergeCell ref="C98:H98"/>
    <mergeCell ref="A99:B99"/>
    <mergeCell ref="A125:B125"/>
    <mergeCell ref="C129:D129"/>
    <mergeCell ref="G126:H126"/>
    <mergeCell ref="A127:B127"/>
    <mergeCell ref="A118:E118"/>
    <mergeCell ref="A136:H136"/>
    <mergeCell ref="F118:H118"/>
    <mergeCell ref="C125:D125"/>
    <mergeCell ref="F110:H110"/>
    <mergeCell ref="G100:H109"/>
    <mergeCell ref="F121:H121"/>
    <mergeCell ref="A103:B103"/>
    <mergeCell ref="F113:H113"/>
    <mergeCell ref="A100:B100"/>
    <mergeCell ref="E100:F109"/>
    <mergeCell ref="A115:E115"/>
    <mergeCell ref="A121:E121"/>
    <mergeCell ref="G133:H133"/>
    <mergeCell ref="A131:B131"/>
    <mergeCell ref="C131:D131"/>
    <mergeCell ref="E131:F131"/>
    <mergeCell ref="G131:H131"/>
    <mergeCell ref="C126:D126"/>
    <mergeCell ref="E126:F126"/>
    <mergeCell ref="A119:E119"/>
    <mergeCell ref="C130:D130"/>
    <mergeCell ref="E130:F130"/>
    <mergeCell ref="G130:H130"/>
    <mergeCell ref="E125:F125"/>
    <mergeCell ref="E46:H46"/>
    <mergeCell ref="A137:A138"/>
    <mergeCell ref="C137:C138"/>
    <mergeCell ref="F117:H117"/>
    <mergeCell ref="A111:E111"/>
    <mergeCell ref="A96:B96"/>
    <mergeCell ref="C96:H96"/>
    <mergeCell ref="A126:B126"/>
    <mergeCell ref="E129:F129"/>
    <mergeCell ref="A130:B130"/>
    <mergeCell ref="A129:B129"/>
    <mergeCell ref="C133:D133"/>
    <mergeCell ref="A133:B133"/>
    <mergeCell ref="E133:F133"/>
    <mergeCell ref="D58:H58"/>
    <mergeCell ref="D59:H59"/>
    <mergeCell ref="C50:E50"/>
    <mergeCell ref="E137:E138"/>
    <mergeCell ref="G137:H138"/>
    <mergeCell ref="B137:B138"/>
    <mergeCell ref="A134:B134"/>
    <mergeCell ref="A104:B104"/>
    <mergeCell ref="A110:E110"/>
    <mergeCell ref="E134:F134"/>
    <mergeCell ref="E43:H43"/>
    <mergeCell ref="E44:H44"/>
    <mergeCell ref="E45:H45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D66:H66"/>
    <mergeCell ref="A72:B72"/>
    <mergeCell ref="G71:H71"/>
    <mergeCell ref="A44:D44"/>
    <mergeCell ref="C70:H70"/>
    <mergeCell ref="A45:D45"/>
    <mergeCell ref="A56:C56"/>
    <mergeCell ref="D56:H56"/>
    <mergeCell ref="A53:B53"/>
    <mergeCell ref="C53:E53"/>
    <mergeCell ref="D55:H55"/>
    <mergeCell ref="A61:C61"/>
    <mergeCell ref="G134:H134"/>
    <mergeCell ref="A73:B73"/>
    <mergeCell ref="A37:H37"/>
    <mergeCell ref="A36:B36"/>
    <mergeCell ref="C36:E36"/>
    <mergeCell ref="A41:D41"/>
    <mergeCell ref="E41:H41"/>
    <mergeCell ref="A40:H40"/>
    <mergeCell ref="A38:B38"/>
    <mergeCell ref="C38:H38"/>
    <mergeCell ref="A39:B39"/>
    <mergeCell ref="C39:H39"/>
    <mergeCell ref="E42:H42"/>
    <mergeCell ref="A42:D42"/>
    <mergeCell ref="A82:B82"/>
    <mergeCell ref="C82:H82"/>
    <mergeCell ref="A77:B77"/>
    <mergeCell ref="A49:B49"/>
    <mergeCell ref="C49:E49"/>
    <mergeCell ref="G49:H49"/>
    <mergeCell ref="G51:H51"/>
    <mergeCell ref="A50:B50"/>
    <mergeCell ref="A54:H54"/>
    <mergeCell ref="A55:C55"/>
    <mergeCell ref="G20:H20"/>
    <mergeCell ref="A21:B2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E30:H30"/>
    <mergeCell ref="A31:D31"/>
    <mergeCell ref="E31:H31"/>
    <mergeCell ref="E13:H13"/>
    <mergeCell ref="A207:H207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208:H208"/>
    <mergeCell ref="A162:B162"/>
    <mergeCell ref="A209:H209"/>
    <mergeCell ref="A128:H128"/>
    <mergeCell ref="A212:H212"/>
    <mergeCell ref="A210:H210"/>
    <mergeCell ref="A206:H206"/>
    <mergeCell ref="G129:H12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66:C66"/>
    <mergeCell ref="E72:F81"/>
    <mergeCell ref="B204:H204"/>
    <mergeCell ref="B202:H202"/>
    <mergeCell ref="B198:H198"/>
    <mergeCell ref="A135:H135"/>
    <mergeCell ref="A214:H217"/>
    <mergeCell ref="A213:B213"/>
    <mergeCell ref="E213:F213"/>
    <mergeCell ref="C213:D213"/>
    <mergeCell ref="G213:H213"/>
    <mergeCell ref="A161:H161"/>
    <mergeCell ref="A163:B163"/>
    <mergeCell ref="A164:B164"/>
    <mergeCell ref="A165:B165"/>
    <mergeCell ref="B199:H199"/>
    <mergeCell ref="B200:H200"/>
    <mergeCell ref="A195:H195"/>
    <mergeCell ref="A166:B166"/>
    <mergeCell ref="B196:H196"/>
    <mergeCell ref="B197:H197"/>
    <mergeCell ref="A168:H168"/>
    <mergeCell ref="A169:B169"/>
    <mergeCell ref="A211:H211"/>
    <mergeCell ref="G125:H125"/>
    <mergeCell ref="A120:E120"/>
    <mergeCell ref="A91:B91"/>
    <mergeCell ref="E86:F95"/>
    <mergeCell ref="A93:B93"/>
    <mergeCell ref="F120:H120"/>
    <mergeCell ref="F116:H116"/>
    <mergeCell ref="G99:H99"/>
    <mergeCell ref="A92:B92"/>
    <mergeCell ref="A90:B90"/>
    <mergeCell ref="A116:E116"/>
    <mergeCell ref="A124:H124"/>
    <mergeCell ref="A122:E122"/>
    <mergeCell ref="F122:H122"/>
    <mergeCell ref="A123:E123"/>
    <mergeCell ref="F123:H123"/>
    <mergeCell ref="A94:B94"/>
    <mergeCell ref="E99:F99"/>
    <mergeCell ref="A106:B106"/>
    <mergeCell ref="F111:H111"/>
    <mergeCell ref="F114:H114"/>
    <mergeCell ref="A109:B109"/>
    <mergeCell ref="A117:E117"/>
    <mergeCell ref="F119:H119"/>
    <mergeCell ref="A105:B105"/>
    <mergeCell ref="A107:B107"/>
    <mergeCell ref="A108:B108"/>
    <mergeCell ref="A113:E113"/>
    <mergeCell ref="A95:B95"/>
    <mergeCell ref="C51:E51"/>
    <mergeCell ref="A28:D28"/>
    <mergeCell ref="E28:H28"/>
    <mergeCell ref="A25:D25"/>
    <mergeCell ref="E25:H25"/>
    <mergeCell ref="A29:D29"/>
    <mergeCell ref="E29:H29"/>
    <mergeCell ref="A43:D43"/>
    <mergeCell ref="F115:H115"/>
    <mergeCell ref="E85:F85"/>
    <mergeCell ref="G85:H85"/>
    <mergeCell ref="A86:B86"/>
    <mergeCell ref="A62:C62"/>
    <mergeCell ref="D61:H61"/>
    <mergeCell ref="A81:B81"/>
    <mergeCell ref="D62:H62"/>
    <mergeCell ref="A79:B79"/>
    <mergeCell ref="A64:C64"/>
    <mergeCell ref="A84:B84"/>
    <mergeCell ref="C84:H84"/>
    <mergeCell ref="D67:H67"/>
    <mergeCell ref="A65:C65"/>
    <mergeCell ref="A85:B85"/>
    <mergeCell ref="D65:H65"/>
    <mergeCell ref="L176:M176"/>
    <mergeCell ref="A178:B178"/>
    <mergeCell ref="A179:B179"/>
    <mergeCell ref="A180:B180"/>
    <mergeCell ref="A173:B173"/>
    <mergeCell ref="E152:E153"/>
    <mergeCell ref="G152:H153"/>
    <mergeCell ref="A159:B159"/>
    <mergeCell ref="A160:B160"/>
    <mergeCell ref="C152:C153"/>
    <mergeCell ref="B152:B153"/>
    <mergeCell ref="A152:A153"/>
    <mergeCell ref="L168:M168"/>
    <mergeCell ref="A170:B170"/>
    <mergeCell ref="L169:M169"/>
    <mergeCell ref="L142:M142"/>
    <mergeCell ref="L149:M149"/>
    <mergeCell ref="A156:B156"/>
    <mergeCell ref="A155:H155"/>
    <mergeCell ref="D152:D153"/>
    <mergeCell ref="A26:D26"/>
    <mergeCell ref="A35:B35"/>
    <mergeCell ref="C35:E35"/>
    <mergeCell ref="A30:D30"/>
    <mergeCell ref="A151:H151"/>
    <mergeCell ref="A142:B142"/>
    <mergeCell ref="G141:H150"/>
    <mergeCell ref="A141:B141"/>
    <mergeCell ref="L141:M141"/>
    <mergeCell ref="G72:H81"/>
    <mergeCell ref="A80:B80"/>
    <mergeCell ref="A75:B75"/>
    <mergeCell ref="E71:F71"/>
    <mergeCell ref="D64:H64"/>
    <mergeCell ref="A67:C67"/>
    <mergeCell ref="A58:C60"/>
    <mergeCell ref="F33:H33"/>
    <mergeCell ref="F36:H36"/>
    <mergeCell ref="E26:H26"/>
    <mergeCell ref="I14:P14"/>
    <mergeCell ref="A46:D46"/>
    <mergeCell ref="A47:H47"/>
    <mergeCell ref="D57:H57"/>
    <mergeCell ref="A57:C57"/>
    <mergeCell ref="G50:H50"/>
    <mergeCell ref="G53:H53"/>
    <mergeCell ref="D60:H60"/>
    <mergeCell ref="C34:E34"/>
    <mergeCell ref="A24:D24"/>
    <mergeCell ref="E24:H24"/>
    <mergeCell ref="E19:F19"/>
    <mergeCell ref="G19:H19"/>
    <mergeCell ref="A20:B20"/>
    <mergeCell ref="C20:D20"/>
    <mergeCell ref="E20:F20"/>
    <mergeCell ref="F34:H34"/>
    <mergeCell ref="A14:D14"/>
    <mergeCell ref="C21:D21"/>
    <mergeCell ref="E21:F21"/>
    <mergeCell ref="G21:H21"/>
    <mergeCell ref="C52:H52"/>
    <mergeCell ref="A51:B51"/>
    <mergeCell ref="A52:B52"/>
    <mergeCell ref="L170:M170"/>
    <mergeCell ref="A172:B172"/>
    <mergeCell ref="L171:M171"/>
    <mergeCell ref="A144:B144"/>
    <mergeCell ref="A143:B143"/>
    <mergeCell ref="A167:H167"/>
    <mergeCell ref="L143:M143"/>
    <mergeCell ref="L172:M172"/>
    <mergeCell ref="I166:M166"/>
    <mergeCell ref="L144:M144"/>
    <mergeCell ref="L145:M145"/>
    <mergeCell ref="L146:M146"/>
    <mergeCell ref="L147:M147"/>
    <mergeCell ref="L148:M148"/>
    <mergeCell ref="A139:H139"/>
    <mergeCell ref="G178:H185"/>
    <mergeCell ref="A157:B157"/>
    <mergeCell ref="A158:B158"/>
    <mergeCell ref="C157:F158"/>
    <mergeCell ref="A174:B174"/>
    <mergeCell ref="A176:B176"/>
    <mergeCell ref="C174:F176"/>
    <mergeCell ref="G169:H176"/>
    <mergeCell ref="G156:H160"/>
    <mergeCell ref="G162:H166"/>
    <mergeCell ref="A145:B145"/>
    <mergeCell ref="A146:B146"/>
    <mergeCell ref="A147:B147"/>
    <mergeCell ref="A148:B148"/>
    <mergeCell ref="A149:B149"/>
    <mergeCell ref="A150:B150"/>
    <mergeCell ref="A140:H140"/>
    <mergeCell ref="A171:B171"/>
    <mergeCell ref="A181:B181"/>
    <mergeCell ref="A175:B175"/>
    <mergeCell ref="C127:D127"/>
    <mergeCell ref="E127:F127"/>
    <mergeCell ref="G127:H127"/>
    <mergeCell ref="A132:B132"/>
    <mergeCell ref="C132:D132"/>
    <mergeCell ref="E132:F132"/>
    <mergeCell ref="G132:H132"/>
    <mergeCell ref="B205:H205"/>
    <mergeCell ref="A186:H186"/>
    <mergeCell ref="A187:H187"/>
    <mergeCell ref="A188:B188"/>
    <mergeCell ref="G188:H194"/>
    <mergeCell ref="A189:B189"/>
    <mergeCell ref="A190:B190"/>
    <mergeCell ref="A191:B191"/>
    <mergeCell ref="A192:B192"/>
    <mergeCell ref="A193:B193"/>
    <mergeCell ref="A194:B194"/>
    <mergeCell ref="A182:B182"/>
    <mergeCell ref="A183:B183"/>
    <mergeCell ref="A184:B184"/>
    <mergeCell ref="A185:B185"/>
    <mergeCell ref="A177:H177"/>
    <mergeCell ref="C134:D134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37:E138">
      <formula1>"Attached Loft area,Attached Terrace area,Attached Mezzanine area"</formula1>
    </dataValidation>
    <dataValidation type="list" allowBlank="1" showInputMessage="1" showErrorMessage="1" sqref="F153 F138">
      <formula1>"45%,50%,55%,60%"</formula1>
    </dataValidation>
    <dataValidation type="list" allowBlank="1" showInputMessage="1" showErrorMessage="1" sqref="F110:H110">
      <formula1>"On Saleable Area,On Builtup Area,On Carpet Area,On Plot Area"</formula1>
    </dataValidation>
    <dataValidation type="list" allowBlank="1" showInputMessage="1" showErrorMessage="1" sqref="F122:H122">
      <formula1>"100000,150000,200000,250000,300000,350000,400000,500000,600000,700000,800000,900000,1000000,1200000,1400000,1500000"</formula1>
    </dataValidation>
    <dataValidation type="list" allowBlank="1" showInputMessage="1" showErrorMessage="1" sqref="F137 F152">
      <formula1>"Saleable area Loading :,Builder Saleable area"</formula1>
    </dataValidation>
    <dataValidation type="list" allowBlank="1" showInputMessage="1" showErrorMessage="1" sqref="B137:B138">
      <formula1>"Shop No. (Sale Plan),Sale / Rehab,Sale / Mhada"</formula1>
    </dataValidation>
    <dataValidation type="list" allowBlank="1" showInputMessage="1" showErrorMessage="1" sqref="B152:B153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G213:H213">
      <formula1>"Kunal Kadam,Pranita Mhatre,Shruti Fule,Pooja Kawale,Gaurav Panchal,Shruti Tathare, Dipti Gothawade,Saurav Panse, Sachin Sawant"</formula1>
    </dataValidation>
  </dataValidations>
  <hyperlinks>
    <hyperlink ref="C39" r:id="rId1"/>
    <hyperlink ref="I64" r:id="rId2" location="showModal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6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217" max="7" man="1"/>
    <brk id="260" max="7" man="1"/>
    <brk id="303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0" t="s">
        <v>105</v>
      </c>
      <c r="C3" s="200"/>
      <c r="D3" s="200"/>
      <c r="E3" s="200"/>
      <c r="F3" s="200"/>
      <c r="G3" s="200"/>
      <c r="H3" s="200"/>
    </row>
    <row r="4" spans="1:9" x14ac:dyDescent="0.3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4"/>
      <c r="C4" s="54" t="s">
        <v>12</v>
      </c>
      <c r="D4" s="55" t="s">
        <v>174</v>
      </c>
      <c r="E4" s="55" t="s">
        <v>184</v>
      </c>
      <c r="F4" s="55" t="s">
        <v>168</v>
      </c>
      <c r="G4" s="55" t="s">
        <v>189</v>
      </c>
      <c r="H4" s="55" t="s">
        <v>207</v>
      </c>
      <c r="J4" t="s">
        <v>189</v>
      </c>
      <c r="K4" t="s">
        <v>205</v>
      </c>
    </row>
    <row r="5" spans="2:11" x14ac:dyDescent="0.35">
      <c r="B5" s="54"/>
      <c r="C5" s="54"/>
      <c r="D5" s="55" t="s">
        <v>175</v>
      </c>
      <c r="E5" s="55" t="s">
        <v>182</v>
      </c>
      <c r="F5" s="55" t="s">
        <v>204</v>
      </c>
      <c r="G5" s="55" t="s">
        <v>190</v>
      </c>
      <c r="H5" s="55" t="s">
        <v>208</v>
      </c>
    </row>
    <row r="6" spans="2:11" x14ac:dyDescent="0.35">
      <c r="B6" s="54"/>
      <c r="C6" s="54"/>
      <c r="D6" s="55" t="s">
        <v>176</v>
      </c>
      <c r="E6" s="55" t="s">
        <v>183</v>
      </c>
      <c r="F6" s="55" t="s">
        <v>205</v>
      </c>
      <c r="G6" s="55" t="s">
        <v>191</v>
      </c>
      <c r="H6" s="55" t="s">
        <v>221</v>
      </c>
    </row>
    <row r="7" spans="2:11" x14ac:dyDescent="0.35">
      <c r="B7" s="54"/>
      <c r="C7" s="54"/>
      <c r="D7" s="55" t="s">
        <v>177</v>
      </c>
      <c r="E7" s="55" t="s">
        <v>185</v>
      </c>
      <c r="F7" s="55" t="s">
        <v>206</v>
      </c>
      <c r="G7" s="55" t="s">
        <v>192</v>
      </c>
      <c r="H7" s="55" t="s">
        <v>209</v>
      </c>
    </row>
    <row r="8" spans="2:11" x14ac:dyDescent="0.35">
      <c r="B8" s="54"/>
      <c r="C8" s="54"/>
      <c r="D8" s="55" t="s">
        <v>178</v>
      </c>
      <c r="E8" s="55" t="s">
        <v>186</v>
      </c>
      <c r="F8" s="55"/>
      <c r="G8" s="55" t="s">
        <v>193</v>
      </c>
      <c r="H8" s="55" t="s">
        <v>210</v>
      </c>
    </row>
    <row r="9" spans="2:11" x14ac:dyDescent="0.35">
      <c r="B9" s="54"/>
      <c r="C9" s="54"/>
      <c r="D9" s="55" t="s">
        <v>179</v>
      </c>
      <c r="E9" s="55" t="s">
        <v>184</v>
      </c>
      <c r="F9" s="55"/>
      <c r="G9" s="55" t="s">
        <v>194</v>
      </c>
      <c r="H9" s="55" t="s">
        <v>211</v>
      </c>
    </row>
    <row r="10" spans="2:11" x14ac:dyDescent="0.35">
      <c r="B10" s="54"/>
      <c r="C10" s="54"/>
      <c r="D10" s="55" t="s">
        <v>180</v>
      </c>
      <c r="E10" s="55" t="s">
        <v>187</v>
      </c>
      <c r="F10" s="55"/>
      <c r="G10" s="55" t="s">
        <v>195</v>
      </c>
      <c r="H10" s="55" t="s">
        <v>212</v>
      </c>
    </row>
    <row r="11" spans="2:11" x14ac:dyDescent="0.35">
      <c r="B11" s="54"/>
      <c r="C11" s="54"/>
      <c r="D11" s="55" t="s">
        <v>181</v>
      </c>
      <c r="E11" s="55" t="s">
        <v>188</v>
      </c>
      <c r="F11" s="55"/>
      <c r="G11" s="55" t="s">
        <v>196</v>
      </c>
      <c r="H11" s="55" t="s">
        <v>213</v>
      </c>
    </row>
    <row r="12" spans="2:11" x14ac:dyDescent="0.35">
      <c r="B12" s="54"/>
      <c r="C12" s="54"/>
      <c r="D12" s="55"/>
      <c r="E12" s="55"/>
      <c r="F12" s="55"/>
      <c r="G12" s="55" t="s">
        <v>197</v>
      </c>
      <c r="H12" s="55" t="s">
        <v>214</v>
      </c>
    </row>
    <row r="13" spans="2:11" x14ac:dyDescent="0.35">
      <c r="B13" s="54"/>
      <c r="C13" s="54"/>
      <c r="D13" s="55"/>
      <c r="E13" s="55"/>
      <c r="F13" s="55"/>
      <c r="G13" s="55" t="s">
        <v>198</v>
      </c>
      <c r="H13" s="55" t="s">
        <v>215</v>
      </c>
    </row>
    <row r="14" spans="2:11" x14ac:dyDescent="0.35">
      <c r="B14" s="54"/>
      <c r="C14" s="54"/>
      <c r="D14" s="55"/>
      <c r="E14" s="55"/>
      <c r="F14" s="55"/>
      <c r="G14" s="55" t="s">
        <v>199</v>
      </c>
      <c r="H14" s="55" t="s">
        <v>216</v>
      </c>
    </row>
    <row r="15" spans="2:11" x14ac:dyDescent="0.35">
      <c r="B15" s="54"/>
      <c r="C15" s="54"/>
      <c r="D15" s="55"/>
      <c r="E15" s="55"/>
      <c r="F15" s="55"/>
      <c r="G15" s="55" t="s">
        <v>200</v>
      </c>
      <c r="H15" s="55" t="s">
        <v>217</v>
      </c>
    </row>
    <row r="16" spans="2:11" x14ac:dyDescent="0.35">
      <c r="B16" s="54"/>
      <c r="C16" s="54"/>
      <c r="D16" s="55"/>
      <c r="E16" s="55"/>
      <c r="F16" s="55"/>
      <c r="G16" s="55" t="s">
        <v>201</v>
      </c>
      <c r="H16" s="55" t="s">
        <v>218</v>
      </c>
    </row>
    <row r="17" spans="2:8" x14ac:dyDescent="0.35">
      <c r="B17" s="54"/>
      <c r="C17" s="54"/>
      <c r="D17" s="55"/>
      <c r="E17" s="55"/>
      <c r="F17" s="55"/>
      <c r="G17" s="55" t="s">
        <v>202</v>
      </c>
      <c r="H17" s="55" t="s">
        <v>219</v>
      </c>
    </row>
    <row r="18" spans="2:8" x14ac:dyDescent="0.35">
      <c r="B18" s="54"/>
      <c r="C18" s="54"/>
      <c r="D18" s="55"/>
      <c r="E18" s="55"/>
      <c r="F18" s="55"/>
      <c r="G18" s="55" t="s">
        <v>203</v>
      </c>
      <c r="H18" s="55" t="s">
        <v>220</v>
      </c>
    </row>
    <row r="24" spans="2:8" x14ac:dyDescent="0.35">
      <c r="C24" t="s">
        <v>166</v>
      </c>
    </row>
    <row r="25" spans="2:8" x14ac:dyDescent="0.35">
      <c r="C25" t="s">
        <v>222</v>
      </c>
    </row>
    <row r="26" spans="2:8" x14ac:dyDescent="0.35">
      <c r="C26" t="s">
        <v>223</v>
      </c>
    </row>
    <row r="27" spans="2:8" x14ac:dyDescent="0.35">
      <c r="C27" t="s">
        <v>224</v>
      </c>
    </row>
    <row r="28" spans="2:8" x14ac:dyDescent="0.35">
      <c r="C28" t="s">
        <v>225</v>
      </c>
    </row>
    <row r="29" spans="2:8" x14ac:dyDescent="0.35">
      <c r="C29" t="s">
        <v>226</v>
      </c>
    </row>
    <row r="30" spans="2:8" x14ac:dyDescent="0.35">
      <c r="C30" t="s">
        <v>166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2025-09-19T06:05:08Z</cp:lastPrinted>
  <dcterms:created xsi:type="dcterms:W3CDTF">2019-07-16T09:29:46Z</dcterms:created>
  <dcterms:modified xsi:type="dcterms:W3CDTF">2025-09-19T06:05:51Z</dcterms:modified>
</cp:coreProperties>
</file>