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9" i="1" l="1"/>
  <c r="L110" i="1"/>
  <c r="L111" i="1"/>
  <c r="L108" i="1"/>
  <c r="L104" i="1"/>
  <c r="L105" i="1"/>
  <c r="L106" i="1"/>
  <c r="L103" i="1"/>
  <c r="E119" i="1" l="1"/>
  <c r="E118" i="1"/>
  <c r="E114" i="1"/>
  <c r="D120" i="1"/>
  <c r="D119" i="1"/>
  <c r="D118" i="1"/>
  <c r="D116" i="1"/>
  <c r="D115" i="1"/>
  <c r="J115" i="1" s="1"/>
  <c r="D114" i="1"/>
  <c r="D113" i="1"/>
  <c r="D111" i="1"/>
  <c r="D110" i="1"/>
  <c r="D109" i="1"/>
  <c r="J103" i="1" s="1"/>
  <c r="D108" i="1"/>
  <c r="D106" i="1"/>
  <c r="D105" i="1"/>
  <c r="D104" i="1"/>
  <c r="K104" i="1" s="1"/>
  <c r="D103" i="1"/>
  <c r="I105" i="1"/>
  <c r="I103" i="1"/>
  <c r="A119" i="1"/>
  <c r="A120" i="1" s="1"/>
  <c r="A121" i="1" s="1"/>
  <c r="G118" i="1"/>
  <c r="A114" i="1"/>
  <c r="A115" i="1" s="1"/>
  <c r="A116" i="1" s="1"/>
  <c r="G113" i="1"/>
  <c r="J111" i="1"/>
  <c r="A109" i="1"/>
  <c r="A110" i="1" s="1"/>
  <c r="A111" i="1" s="1"/>
  <c r="G108" i="1"/>
  <c r="C97" i="1" l="1"/>
  <c r="K103" i="1"/>
  <c r="E97" i="1"/>
  <c r="D61" i="1"/>
  <c r="E31" i="1"/>
  <c r="B124" i="1"/>
  <c r="C67" i="1"/>
  <c r="B68" i="1" s="1"/>
  <c r="E26" i="1"/>
  <c r="E28" i="1" l="1"/>
  <c r="C16" i="1"/>
  <c r="E44" i="1" l="1"/>
  <c r="E45" i="1" s="1"/>
  <c r="F94" i="1" l="1"/>
  <c r="J102" i="1" l="1"/>
  <c r="G9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4" i="1"/>
  <c r="G103" i="1"/>
  <c r="A104" i="1"/>
  <c r="A105" i="1" s="1"/>
  <c r="A106" i="1" s="1"/>
  <c r="D56" i="1"/>
  <c r="G51" i="1"/>
  <c r="G52" i="1" s="1"/>
  <c r="C51" i="1"/>
  <c r="E7" i="1"/>
  <c r="E3" i="1"/>
  <c r="H68" i="1"/>
  <c r="D80" i="1" l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75" i="1" l="1"/>
  <c r="J76" i="1" s="1"/>
  <c r="J77" i="1" s="1"/>
  <c r="J78" i="1" s="1"/>
  <c r="D73" i="1"/>
  <c r="J69" i="1"/>
  <c r="D71" i="1"/>
  <c r="J80" i="1" l="1"/>
  <c r="C72" i="1" s="1"/>
  <c r="G71" i="1" s="1"/>
  <c r="D65" i="1" l="1"/>
  <c r="D66" i="1" s="1"/>
  <c r="J68" i="1"/>
  <c r="D72" i="1"/>
  <c r="I68" i="1" s="1"/>
  <c r="E71" i="1"/>
  <c r="F66" i="1" l="1"/>
  <c r="I69" i="1"/>
  <c r="I67" i="1" s="1"/>
  <c r="C69" i="1" s="1"/>
</calcChain>
</file>

<file path=xl/sharedStrings.xml><?xml version="1.0" encoding="utf-8"?>
<sst xmlns="http://schemas.openxmlformats.org/spreadsheetml/2006/main" count="268" uniqueCount="223">
  <si>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</si>
  <si>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</si>
  <si>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</si>
  <si>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</si>
  <si>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</si>
  <si>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</si>
  <si>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</si>
  <si>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</si>
  <si>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</si>
  <si>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</si>
  <si>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</si>
  <si>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</si>
  <si>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</si>
  <si>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</si>
  <si>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</si>
  <si>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</si>
  <si>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</si>
  <si>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</si>
  <si>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</si>
  <si>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</si>
  <si>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</si>
  <si>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</si>
  <si>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</si>
  <si>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</si>
  <si>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</si>
  <si>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</si>
  <si>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</si>
  <si>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</si>
  <si>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</si>
  <si>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</si>
  <si>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</si>
  <si>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</si>
  <si>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</si>
  <si>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</si>
  <si>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</si>
  <si>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</si>
  <si>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</si>
  <si>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</si>
  <si>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</si>
  <si>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</si>
  <si>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</si>
  <si>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</si>
  <si>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</si>
  <si>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</si>
  <si>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</si>
  <si>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</si>
  <si>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</si>
  <si>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</si>
  <si>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</si>
  <si>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</si>
  <si>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</si>
  <si>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</si>
  <si>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</si>
  <si>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</si>
  <si>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</si>
  <si>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</si>
  <si>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</si>
  <si>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</si>
  <si>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</si>
  <si>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</si>
  <si>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</si>
  <si>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</si>
  <si>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</si>
  <si>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</si>
  <si>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</si>
  <si>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</si>
  <si>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</si>
  <si>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</si>
  <si>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</si>
  <si>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</si>
  <si>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</si>
  <si>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</si>
  <si>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</si>
  <si>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</si>
  <si>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</si>
  <si>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</si>
  <si>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</si>
  <si>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</si>
  <si>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</si>
  <si>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</si>
  <si>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</si>
  <si>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</si>
  <si>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</si>
  <si>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</si>
  <si>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</si>
  <si>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</si>
  <si>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</si>
  <si>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</si>
  <si>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</si>
  <si>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</si>
  <si>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</si>
  <si>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</si>
  <si>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</si>
  <si>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</si>
  <si>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</si>
  <si>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</si>
  <si>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</si>
  <si>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</si>
  <si>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</si>
  <si>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</si>
  <si>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</si>
  <si>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</si>
  <si>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</si>
  <si>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</si>
  <si>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</si>
  <si>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</si>
  <si>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</si>
  <si>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</si>
  <si>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</si>
  <si>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</si>
  <si>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</si>
  <si>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</si>
  <si>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</si>
  <si>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</si>
  <si>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</si>
  <si>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</si>
  <si>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</si>
  <si>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</si>
  <si>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</si>
  <si>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</si>
  <si>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</si>
  <si>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</si>
  <si>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</si>
  <si>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</si>
  <si>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</si>
  <si>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</si>
  <si>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</si>
  <si>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</si>
  <si>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</si>
  <si>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</si>
  <si>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</si>
  <si>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</si>
  <si>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</si>
  <si>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</si>
  <si>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</si>
  <si>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</si>
  <si>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</si>
  <si>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</si>
  <si>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</si>
  <si>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</si>
  <si>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</si>
  <si>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</si>
  <si>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</si>
  <si>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</si>
  <si>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</si>
  <si>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</si>
  <si>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</si>
  <si>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</si>
  <si>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</si>
  <si>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</si>
  <si>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</si>
  <si>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</si>
  <si>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</si>
  <si>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</si>
  <si>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</si>
  <si>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</si>
  <si>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</si>
  <si>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</si>
  <si>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</si>
  <si>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</si>
  <si>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</si>
  <si>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</si>
  <si>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</si>
  <si>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</si>
  <si>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</si>
  <si>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</si>
  <si>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</si>
  <si>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</si>
  <si>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</si>
  <si>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</si>
  <si>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</si>
  <si>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Thane</t>
  </si>
  <si>
    <t>Vaishnavi Builders &amp; Developers</t>
  </si>
  <si>
    <t>Vaishnavi Hights</t>
  </si>
  <si>
    <t>Mr. Varun - 9892875626</t>
  </si>
  <si>
    <t>Approved Plans, CC, Sale Plans, Cost Sheet</t>
  </si>
  <si>
    <t>P51700035016</t>
  </si>
  <si>
    <t>Survey No</t>
  </si>
  <si>
    <t>58, H.No. 1, Plot No. 1 &amp; 2</t>
  </si>
  <si>
    <t>Thane</t>
  </si>
  <si>
    <t>Ambarnath</t>
  </si>
  <si>
    <t>Belavali</t>
  </si>
  <si>
    <t>1Building</t>
  </si>
  <si>
    <t>https://goo.gl/maps/9tMUKZK6zmsCQnSMA</t>
  </si>
  <si>
    <t>Ambernath - Badlapur Road</t>
  </si>
  <si>
    <t>Jamuna aashish society</t>
  </si>
  <si>
    <t>2.3 KM from Badlapur Railway Station</t>
  </si>
  <si>
    <t>Badlapur (East)</t>
  </si>
  <si>
    <t>Katrap</t>
  </si>
  <si>
    <t>Hotel Venky's Residency</t>
  </si>
  <si>
    <t>Building</t>
  </si>
  <si>
    <t>Internal Road</t>
  </si>
  <si>
    <t>Shri Ramkrishna Heights</t>
  </si>
  <si>
    <t>Nala is located north side of the project.</t>
  </si>
  <si>
    <t>Kulgaon Badlapur Municipal Council (KBMC)</t>
  </si>
  <si>
    <t>KBNP/NRV/BP/448-143</t>
  </si>
  <si>
    <t>KBNP/NRV/BP/448/2022-2023 Unique No.143</t>
  </si>
  <si>
    <t>Gr/Stilt + 1st to 7th Floor</t>
  </si>
  <si>
    <t>Ground Floor For Entrance Lobby &amp; Parking</t>
  </si>
  <si>
    <t>1st Floor For Residential</t>
  </si>
  <si>
    <t>6th Floor</t>
  </si>
  <si>
    <t>7th Floor (Part Terrace Area)</t>
  </si>
  <si>
    <t>1BHK</t>
  </si>
  <si>
    <t>2BHK</t>
  </si>
  <si>
    <t>Open Terrace</t>
  </si>
  <si>
    <t>1RK</t>
  </si>
  <si>
    <t>We considered Gross carpet area = Net carpet + O.P Area.</t>
  </si>
  <si>
    <t>Flats</t>
  </si>
  <si>
    <t>Flats - 27</t>
  </si>
  <si>
    <t>sheet</t>
  </si>
  <si>
    <t xml:space="preserve">Builder Saleable area </t>
  </si>
  <si>
    <t>Cost Sheet</t>
  </si>
  <si>
    <t>Kendale Emeralds</t>
  </si>
  <si>
    <t>0.950KM</t>
  </si>
  <si>
    <t>Vaishnavi Heights</t>
  </si>
  <si>
    <t>As Per RERA Name</t>
  </si>
  <si>
    <t>Name of the Project (As per Builder)</t>
  </si>
  <si>
    <t>Name of the Project (As per RERA)</t>
  </si>
  <si>
    <t>19.176562,73.223418</t>
  </si>
  <si>
    <t>As per RERA - 23/06/2025</t>
  </si>
  <si>
    <t>Sudhir Bhosale</t>
  </si>
  <si>
    <t>Pooja Kawale</t>
  </si>
  <si>
    <t xml:space="preserve">Ground floor lobby work is pending. Few flats are occupied by tenants. 
Construction Stage is same as last visit dtd. 08/03/2025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</si>
</sst>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6" fillId="0" borderId="0" xfId="1" applyFont="1" applyAlignment="1">
      <alignment horizontal="right"/>
    </xf>
    <xf numFmtId="0" fontId="27" fillId="0" borderId="0" xfId="0" applyFont="1"/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303068</xdr:colOff>
      <xdr:row>229</xdr:row>
      <xdr:rowOff>8659</xdr:rowOff>
    </xdr:from>
    <xdr:to>
      <xdr:col>6</xdr:col>
      <xdr:colOff>199619</xdr:colOff>
      <xdr:row>243</xdr:row>
      <xdr:rowOff>100431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5068" y="61938477"/>
          <a:ext cx="404425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303068</xdr:colOff>
      <xdr:row>244</xdr:row>
      <xdr:rowOff>57767</xdr:rowOff>
    </xdr:from>
    <xdr:to>
      <xdr:col>6</xdr:col>
      <xdr:colOff>209831</xdr:colOff>
      <xdr:row>258</xdr:row>
      <xdr:rowOff>149540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5068" y="64974972"/>
          <a:ext cx="405446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369214</xdr:colOff>
      <xdr:row>251</xdr:row>
      <xdr:rowOff>160256</xdr:rowOff>
    </xdr:from>
    <xdr:to>
      <xdr:col>3</xdr:col>
      <xdr:colOff>784330</xdr:colOff>
      <xdr:row>253</xdr:row>
      <xdr:rowOff>152084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275919">
          <a:off x="2776441" y="53318415"/>
          <a:ext cx="415116" cy="390146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311727</xdr:colOff>
      <xdr:row>244</xdr:row>
      <xdr:rowOff>51954</xdr:rowOff>
    </xdr:from>
    <xdr:to>
      <xdr:col>3</xdr:col>
      <xdr:colOff>623455</xdr:colOff>
      <xdr:row>250</xdr:row>
      <xdr:rowOff>181841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3727" y="50023568"/>
          <a:ext cx="1956955" cy="1324841"/>
        </a:xfrm>
        <a:custGeom>
          <a:avLst/>
          <a:gdLst>
            <a:gd name="connsiteX0" fmla="*/ 1853046 w 1956955"/>
            <a:gd name="connsiteY0" fmla="*/ 0 h 1324841"/>
            <a:gd name="connsiteX1" fmla="*/ 1956955 w 1956955"/>
            <a:gd name="connsiteY1" fmla="*/ 95250 h 1324841"/>
            <a:gd name="connsiteX2" fmla="*/ 1627909 w 1956955"/>
            <a:gd name="connsiteY2" fmla="*/ 277091 h 1324841"/>
            <a:gd name="connsiteX3" fmla="*/ 1428750 w 1956955"/>
            <a:gd name="connsiteY3" fmla="*/ 381000 h 1324841"/>
            <a:gd name="connsiteX4" fmla="*/ 1255568 w 1956955"/>
            <a:gd name="connsiteY4" fmla="*/ 545523 h 1324841"/>
            <a:gd name="connsiteX5" fmla="*/ 1151659 w 1956955"/>
            <a:gd name="connsiteY5" fmla="*/ 545523 h 1324841"/>
            <a:gd name="connsiteX6" fmla="*/ 1004455 w 1956955"/>
            <a:gd name="connsiteY6" fmla="*/ 614796 h 1324841"/>
            <a:gd name="connsiteX7" fmla="*/ 969818 w 1956955"/>
            <a:gd name="connsiteY7" fmla="*/ 762000 h 1324841"/>
            <a:gd name="connsiteX8" fmla="*/ 796637 w 1956955"/>
            <a:gd name="connsiteY8" fmla="*/ 874568 h 1324841"/>
            <a:gd name="connsiteX9" fmla="*/ 588818 w 1956955"/>
            <a:gd name="connsiteY9" fmla="*/ 935182 h 1324841"/>
            <a:gd name="connsiteX10" fmla="*/ 363682 w 1956955"/>
            <a:gd name="connsiteY10" fmla="*/ 978477 h 1324841"/>
            <a:gd name="connsiteX11" fmla="*/ 225137 w 1956955"/>
            <a:gd name="connsiteY11" fmla="*/ 1212273 h 1324841"/>
            <a:gd name="connsiteX12" fmla="*/ 8659 w 1956955"/>
            <a:gd name="connsiteY12" fmla="*/ 1324841 h 1324841"/>
            <a:gd name="connsiteX13" fmla="*/ 0 w 1956955"/>
            <a:gd name="connsiteY13" fmla="*/ 1117023 h 1324841"/>
            <a:gd name="connsiteX14" fmla="*/ 190500 w 1956955"/>
            <a:gd name="connsiteY14" fmla="*/ 1021773 h 1324841"/>
            <a:gd name="connsiteX15" fmla="*/ 424296 w 1956955"/>
            <a:gd name="connsiteY15" fmla="*/ 900546 h 1324841"/>
            <a:gd name="connsiteX16" fmla="*/ 554182 w 1956955"/>
            <a:gd name="connsiteY16" fmla="*/ 796636 h 1324841"/>
            <a:gd name="connsiteX17" fmla="*/ 744682 w 1956955"/>
            <a:gd name="connsiteY17" fmla="*/ 710046 h 1324841"/>
            <a:gd name="connsiteX18" fmla="*/ 909205 w 1956955"/>
            <a:gd name="connsiteY18" fmla="*/ 640773 h 1324841"/>
            <a:gd name="connsiteX19" fmla="*/ 978478 w 1956955"/>
            <a:gd name="connsiteY19" fmla="*/ 467591 h 1324841"/>
            <a:gd name="connsiteX20" fmla="*/ 1099705 w 1956955"/>
            <a:gd name="connsiteY20" fmla="*/ 432955 h 1324841"/>
            <a:gd name="connsiteX21" fmla="*/ 1203614 w 1956955"/>
            <a:gd name="connsiteY21" fmla="*/ 467591 h 1324841"/>
            <a:gd name="connsiteX22" fmla="*/ 1575955 w 1956955"/>
            <a:gd name="connsiteY22" fmla="*/ 164523 h 1324841"/>
            <a:gd name="connsiteX23" fmla="*/ 1853046 w 1956955"/>
            <a:gd name="connsiteY23" fmla="*/ 0 h 13248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956955" h="1324841">
              <a:moveTo>
                <a:pt x="1853046" y="0"/>
              </a:moveTo>
              <a:lnTo>
                <a:pt x="1956955" y="95250"/>
              </a:lnTo>
              <a:lnTo>
                <a:pt x="1627909" y="277091"/>
              </a:lnTo>
              <a:lnTo>
                <a:pt x="1428750" y="381000"/>
              </a:lnTo>
              <a:lnTo>
                <a:pt x="1255568" y="545523"/>
              </a:lnTo>
              <a:lnTo>
                <a:pt x="1151659" y="545523"/>
              </a:lnTo>
              <a:lnTo>
                <a:pt x="1004455" y="614796"/>
              </a:lnTo>
              <a:lnTo>
                <a:pt x="969818" y="762000"/>
              </a:lnTo>
              <a:lnTo>
                <a:pt x="796637" y="874568"/>
              </a:lnTo>
              <a:lnTo>
                <a:pt x="588818" y="935182"/>
              </a:lnTo>
              <a:lnTo>
                <a:pt x="363682" y="978477"/>
              </a:lnTo>
              <a:lnTo>
                <a:pt x="225137" y="1212273"/>
              </a:lnTo>
              <a:lnTo>
                <a:pt x="8659" y="1324841"/>
              </a:lnTo>
              <a:lnTo>
                <a:pt x="0" y="1117023"/>
              </a:lnTo>
              <a:lnTo>
                <a:pt x="190500" y="1021773"/>
              </a:lnTo>
              <a:lnTo>
                <a:pt x="424296" y="900546"/>
              </a:lnTo>
              <a:lnTo>
                <a:pt x="554182" y="796636"/>
              </a:lnTo>
              <a:lnTo>
                <a:pt x="744682" y="710046"/>
              </a:lnTo>
              <a:lnTo>
                <a:pt x="909205" y="640773"/>
              </a:lnTo>
              <a:lnTo>
                <a:pt x="978478" y="467591"/>
              </a:lnTo>
              <a:lnTo>
                <a:pt x="1099705" y="432955"/>
              </a:lnTo>
              <a:lnTo>
                <a:pt x="1203614" y="467591"/>
              </a:lnTo>
              <a:lnTo>
                <a:pt x="1575955" y="164523"/>
              </a:lnTo>
              <a:lnTo>
                <a:pt x="1853046" y="0"/>
              </a:lnTo>
              <a:close/>
            </a:path>
          </a:pathLst>
        </a:cu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761999</xdr:colOff>
      <xdr:row>247</xdr:row>
      <xdr:rowOff>77932</xdr:rowOff>
    </xdr:from>
    <xdr:to>
      <xdr:col>2</xdr:col>
      <xdr:colOff>571499</xdr:colOff>
      <xdr:row>248</xdr:row>
      <xdr:rowOff>129887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9706423">
          <a:off x="1523999" y="65592614"/>
          <a:ext cx="606136" cy="251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FF00"/>
              </a:solidFill>
            </a:rPr>
            <a:t>Nala</a:t>
          </a:r>
        </a:p>
      </xdr:txBody>
    </xdr:sp>
    <xdr:clientData/>
  </xdr:twoCellAnchor>
  <xdr:twoCellAnchor editAs="oneCell">
    <xdr:from>
      <xdr:col>1</xdr:col>
      <xdr:colOff>576327</xdr:colOff>
      <xdr:row>202</xdr:row>
      <xdr:rowOff>65142</xdr:rowOff>
    </xdr:from>
    <xdr:to>
      <xdr:col>6</xdr:col>
      <xdr:colOff>215076</xdr:colOff>
      <xdr:row>220</xdr:row>
      <xdr:rowOff>80279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450"/>
        <a:stretch/>
      </xdr:blipFill>
      <xdr:spPr>
        <a:xfrm>
          <a:off x="1338327" y="43066187"/>
          <a:ext cx="3786454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8659</xdr:colOff>
      <xdr:row>187</xdr:row>
      <xdr:rowOff>0</xdr:rowOff>
    </xdr:from>
    <xdr:to>
      <xdr:col>7</xdr:col>
      <xdr:colOff>3427</xdr:colOff>
      <xdr:row>201</xdr:row>
      <xdr:rowOff>91772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659" y="40013659"/>
          <a:ext cx="492179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710045</xdr:colOff>
      <xdr:row>218</xdr:row>
      <xdr:rowOff>164523</xdr:rowOff>
    </xdr:from>
    <xdr:to>
      <xdr:col>2</xdr:col>
      <xdr:colOff>476250</xdr:colOff>
      <xdr:row>220</xdr:row>
      <xdr:rowOff>69273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472045" y="46352114"/>
          <a:ext cx="562841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North</a:t>
          </a:r>
        </a:p>
      </xdr:txBody>
    </xdr:sp>
    <xdr:clientData/>
  </xdr:twoCellAnchor>
  <xdr:twoCellAnchor>
    <xdr:from>
      <xdr:col>2</xdr:col>
      <xdr:colOff>484909</xdr:colOff>
      <xdr:row>218</xdr:row>
      <xdr:rowOff>69273</xdr:rowOff>
    </xdr:from>
    <xdr:to>
      <xdr:col>2</xdr:col>
      <xdr:colOff>493568</xdr:colOff>
      <xdr:row>219</xdr:row>
      <xdr:rowOff>190499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2043545" y="46256864"/>
          <a:ext cx="8659" cy="32038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714873</xdr:colOff>
      <xdr:row>204</xdr:row>
      <xdr:rowOff>177709</xdr:rowOff>
    </xdr:from>
    <xdr:to>
      <xdr:col>2</xdr:col>
      <xdr:colOff>481078</xdr:colOff>
      <xdr:row>206</xdr:row>
      <xdr:rowOff>82459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rot="20851350">
          <a:off x="1476873" y="43577073"/>
          <a:ext cx="562841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Nala</a:t>
          </a:r>
        </a:p>
      </xdr:txBody>
    </xdr:sp>
    <xdr:clientData/>
  </xdr:twoCellAnchor>
  <xdr:twoCellAnchor>
    <xdr:from>
      <xdr:col>4</xdr:col>
      <xdr:colOff>385828</xdr:colOff>
      <xdr:row>204</xdr:row>
      <xdr:rowOff>108437</xdr:rowOff>
    </xdr:from>
    <xdr:to>
      <xdr:col>5</xdr:col>
      <xdr:colOff>169351</xdr:colOff>
      <xdr:row>206</xdr:row>
      <xdr:rowOff>13187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rot="1740673">
          <a:off x="3736896" y="43507801"/>
          <a:ext cx="562841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Nala</a:t>
          </a:r>
        </a:p>
      </xdr:txBody>
    </xdr:sp>
    <xdr:clientData/>
  </xdr:twoCellAnchor>
  <xdr:twoCellAnchor>
    <xdr:from>
      <xdr:col>9</xdr:col>
      <xdr:colOff>693595</xdr:colOff>
      <xdr:row>7</xdr:row>
      <xdr:rowOff>95248</xdr:rowOff>
    </xdr:from>
    <xdr:to>
      <xdr:col>19</xdr:col>
      <xdr:colOff>10010</xdr:colOff>
      <xdr:row>27</xdr:row>
      <xdr:rowOff>33769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707295" y="1885948"/>
          <a:ext cx="6707815" cy="4523221"/>
          <a:chOff x="7665895" y="1781173"/>
          <a:chExt cx="6383965" cy="457719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65895" y="1781173"/>
            <a:ext cx="6383965" cy="4577196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975147" y="5172075"/>
            <a:ext cx="2854903" cy="4191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139700</xdr:colOff>
      <xdr:row>144</xdr:row>
      <xdr:rowOff>57150</xdr:rowOff>
    </xdr:from>
    <xdr:to>
      <xdr:col>7</xdr:col>
      <xdr:colOff>714211</xdr:colOff>
      <xdr:row>182</xdr:row>
      <xdr:rowOff>2160</xdr:rowOff>
    </xdr:to>
    <xdr:grpSp>
      <xdr:nvGrpSpPr>
        <xdr:cNvPr id="10" name="Group 9"/>
        <xdr:cNvGrpSpPr/>
      </xdr:nvGrpSpPr>
      <xdr:grpSpPr>
        <a:xfrm>
          <a:off x="139700" y="29038550"/>
          <a:ext cx="6499061" cy="7418960"/>
          <a:chOff x="139700" y="29267150"/>
          <a:chExt cx="6499061" cy="7418960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648328" y="2926715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3225663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4242" y="3225663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6537" y="32256630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4219" y="3452611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1056" y="3452611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500" y="2926715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16</xdr:col>
      <xdr:colOff>551309</xdr:colOff>
      <xdr:row>13</xdr:row>
      <xdr:rowOff>47405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3" y="762000"/>
          <a:ext cx="9123809" cy="1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9tMUKZK6zmsCQnSM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28"/>
  <sheetViews>
    <sheetView tabSelected="1" view="pageBreakPreview" zoomScaleNormal="100" zoomScaleSheetLayoutView="100" workbookViewId="0">
      <selection activeCell="E10" sqref="E10:H10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54296875" style="36" customWidth="1"/>
    <col min="4" max="4" width="14.1796875" style="36" customWidth="1"/>
    <col min="5" max="7" width="11.54296875" style="36" customWidth="1"/>
    <col min="8" max="8" width="12.45312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54296875" style="17" customWidth="1"/>
    <col min="17" max="247" width="9.1796875" style="17"/>
    <col min="248" max="248" width="8.54296875" style="17" customWidth="1"/>
    <col min="249" max="249" width="9.81640625" style="17" customWidth="1"/>
    <col min="250" max="250" width="14.453125" style="17" customWidth="1"/>
    <col min="251" max="251" width="7.4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54296875" style="17" customWidth="1"/>
    <col min="505" max="505" width="9.81640625" style="17" customWidth="1"/>
    <col min="506" max="506" width="14.453125" style="17" customWidth="1"/>
    <col min="507" max="507" width="7.4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54296875" style="17" customWidth="1"/>
    <col min="761" max="761" width="9.81640625" style="17" customWidth="1"/>
    <col min="762" max="762" width="14.453125" style="17" customWidth="1"/>
    <col min="763" max="763" width="7.4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54296875" style="17" customWidth="1"/>
    <col min="1017" max="1017" width="9.81640625" style="17" customWidth="1"/>
    <col min="1018" max="1018" width="14.453125" style="17" customWidth="1"/>
    <col min="1019" max="1019" width="7.4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54296875" style="17" customWidth="1"/>
    <col min="1273" max="1273" width="9.81640625" style="17" customWidth="1"/>
    <col min="1274" max="1274" width="14.453125" style="17" customWidth="1"/>
    <col min="1275" max="1275" width="7.4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54296875" style="17" customWidth="1"/>
    <col min="1529" max="1529" width="9.81640625" style="17" customWidth="1"/>
    <col min="1530" max="1530" width="14.453125" style="17" customWidth="1"/>
    <col min="1531" max="1531" width="7.4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54296875" style="17" customWidth="1"/>
    <col min="1785" max="1785" width="9.81640625" style="17" customWidth="1"/>
    <col min="1786" max="1786" width="14.453125" style="17" customWidth="1"/>
    <col min="1787" max="1787" width="7.4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54296875" style="17" customWidth="1"/>
    <col min="2041" max="2041" width="9.81640625" style="17" customWidth="1"/>
    <col min="2042" max="2042" width="14.453125" style="17" customWidth="1"/>
    <col min="2043" max="2043" width="7.4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54296875" style="17" customWidth="1"/>
    <col min="2297" max="2297" width="9.81640625" style="17" customWidth="1"/>
    <col min="2298" max="2298" width="14.453125" style="17" customWidth="1"/>
    <col min="2299" max="2299" width="7.4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54296875" style="17" customWidth="1"/>
    <col min="2553" max="2553" width="9.81640625" style="17" customWidth="1"/>
    <col min="2554" max="2554" width="14.453125" style="17" customWidth="1"/>
    <col min="2555" max="2555" width="7.4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54296875" style="17" customWidth="1"/>
    <col min="2809" max="2809" width="9.81640625" style="17" customWidth="1"/>
    <col min="2810" max="2810" width="14.453125" style="17" customWidth="1"/>
    <col min="2811" max="2811" width="7.4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54296875" style="17" customWidth="1"/>
    <col min="3065" max="3065" width="9.81640625" style="17" customWidth="1"/>
    <col min="3066" max="3066" width="14.453125" style="17" customWidth="1"/>
    <col min="3067" max="3067" width="7.4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54296875" style="17" customWidth="1"/>
    <col min="3321" max="3321" width="9.81640625" style="17" customWidth="1"/>
    <col min="3322" max="3322" width="14.453125" style="17" customWidth="1"/>
    <col min="3323" max="3323" width="7.4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54296875" style="17" customWidth="1"/>
    <col min="3577" max="3577" width="9.81640625" style="17" customWidth="1"/>
    <col min="3578" max="3578" width="14.453125" style="17" customWidth="1"/>
    <col min="3579" max="3579" width="7.4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54296875" style="17" customWidth="1"/>
    <col min="3833" max="3833" width="9.81640625" style="17" customWidth="1"/>
    <col min="3834" max="3834" width="14.453125" style="17" customWidth="1"/>
    <col min="3835" max="3835" width="7.4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54296875" style="17" customWidth="1"/>
    <col min="4089" max="4089" width="9.81640625" style="17" customWidth="1"/>
    <col min="4090" max="4090" width="14.453125" style="17" customWidth="1"/>
    <col min="4091" max="4091" width="7.4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54296875" style="17" customWidth="1"/>
    <col min="4345" max="4345" width="9.81640625" style="17" customWidth="1"/>
    <col min="4346" max="4346" width="14.453125" style="17" customWidth="1"/>
    <col min="4347" max="4347" width="7.4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54296875" style="17" customWidth="1"/>
    <col min="4601" max="4601" width="9.81640625" style="17" customWidth="1"/>
    <col min="4602" max="4602" width="14.453125" style="17" customWidth="1"/>
    <col min="4603" max="4603" width="7.4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54296875" style="17" customWidth="1"/>
    <col min="4857" max="4857" width="9.81640625" style="17" customWidth="1"/>
    <col min="4858" max="4858" width="14.453125" style="17" customWidth="1"/>
    <col min="4859" max="4859" width="7.4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54296875" style="17" customWidth="1"/>
    <col min="5113" max="5113" width="9.81640625" style="17" customWidth="1"/>
    <col min="5114" max="5114" width="14.453125" style="17" customWidth="1"/>
    <col min="5115" max="5115" width="7.4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54296875" style="17" customWidth="1"/>
    <col min="5369" max="5369" width="9.81640625" style="17" customWidth="1"/>
    <col min="5370" max="5370" width="14.453125" style="17" customWidth="1"/>
    <col min="5371" max="5371" width="7.4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54296875" style="17" customWidth="1"/>
    <col min="5625" max="5625" width="9.81640625" style="17" customWidth="1"/>
    <col min="5626" max="5626" width="14.453125" style="17" customWidth="1"/>
    <col min="5627" max="5627" width="7.4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54296875" style="17" customWidth="1"/>
    <col min="5881" max="5881" width="9.81640625" style="17" customWidth="1"/>
    <col min="5882" max="5882" width="14.453125" style="17" customWidth="1"/>
    <col min="5883" max="5883" width="7.4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54296875" style="17" customWidth="1"/>
    <col min="6137" max="6137" width="9.81640625" style="17" customWidth="1"/>
    <col min="6138" max="6138" width="14.453125" style="17" customWidth="1"/>
    <col min="6139" max="6139" width="7.4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54296875" style="17" customWidth="1"/>
    <col min="6393" max="6393" width="9.81640625" style="17" customWidth="1"/>
    <col min="6394" max="6394" width="14.453125" style="17" customWidth="1"/>
    <col min="6395" max="6395" width="7.4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54296875" style="17" customWidth="1"/>
    <col min="6649" max="6649" width="9.81640625" style="17" customWidth="1"/>
    <col min="6650" max="6650" width="14.453125" style="17" customWidth="1"/>
    <col min="6651" max="6651" width="7.4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54296875" style="17" customWidth="1"/>
    <col min="6905" max="6905" width="9.81640625" style="17" customWidth="1"/>
    <col min="6906" max="6906" width="14.453125" style="17" customWidth="1"/>
    <col min="6907" max="6907" width="7.4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54296875" style="17" customWidth="1"/>
    <col min="7161" max="7161" width="9.81640625" style="17" customWidth="1"/>
    <col min="7162" max="7162" width="14.453125" style="17" customWidth="1"/>
    <col min="7163" max="7163" width="7.4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54296875" style="17" customWidth="1"/>
    <col min="7417" max="7417" width="9.81640625" style="17" customWidth="1"/>
    <col min="7418" max="7418" width="14.453125" style="17" customWidth="1"/>
    <col min="7419" max="7419" width="7.4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54296875" style="17" customWidth="1"/>
    <col min="7673" max="7673" width="9.81640625" style="17" customWidth="1"/>
    <col min="7674" max="7674" width="14.453125" style="17" customWidth="1"/>
    <col min="7675" max="7675" width="7.4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54296875" style="17" customWidth="1"/>
    <col min="7929" max="7929" width="9.81640625" style="17" customWidth="1"/>
    <col min="7930" max="7930" width="14.453125" style="17" customWidth="1"/>
    <col min="7931" max="7931" width="7.4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54296875" style="17" customWidth="1"/>
    <col min="8185" max="8185" width="9.81640625" style="17" customWidth="1"/>
    <col min="8186" max="8186" width="14.453125" style="17" customWidth="1"/>
    <col min="8187" max="8187" width="7.4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54296875" style="17" customWidth="1"/>
    <col min="8441" max="8441" width="9.81640625" style="17" customWidth="1"/>
    <col min="8442" max="8442" width="14.453125" style="17" customWidth="1"/>
    <col min="8443" max="8443" width="7.4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54296875" style="17" customWidth="1"/>
    <col min="8697" max="8697" width="9.81640625" style="17" customWidth="1"/>
    <col min="8698" max="8698" width="14.453125" style="17" customWidth="1"/>
    <col min="8699" max="8699" width="7.4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54296875" style="17" customWidth="1"/>
    <col min="8953" max="8953" width="9.81640625" style="17" customWidth="1"/>
    <col min="8954" max="8954" width="14.453125" style="17" customWidth="1"/>
    <col min="8955" max="8955" width="7.4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54296875" style="17" customWidth="1"/>
    <col min="9209" max="9209" width="9.81640625" style="17" customWidth="1"/>
    <col min="9210" max="9210" width="14.453125" style="17" customWidth="1"/>
    <col min="9211" max="9211" width="7.4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54296875" style="17" customWidth="1"/>
    <col min="9465" max="9465" width="9.81640625" style="17" customWidth="1"/>
    <col min="9466" max="9466" width="14.453125" style="17" customWidth="1"/>
    <col min="9467" max="9467" width="7.4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54296875" style="17" customWidth="1"/>
    <col min="9721" max="9721" width="9.81640625" style="17" customWidth="1"/>
    <col min="9722" max="9722" width="14.453125" style="17" customWidth="1"/>
    <col min="9723" max="9723" width="7.4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54296875" style="17" customWidth="1"/>
    <col min="9977" max="9977" width="9.81640625" style="17" customWidth="1"/>
    <col min="9978" max="9978" width="14.453125" style="17" customWidth="1"/>
    <col min="9979" max="9979" width="7.4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54296875" style="17" customWidth="1"/>
    <col min="10233" max="10233" width="9.81640625" style="17" customWidth="1"/>
    <col min="10234" max="10234" width="14.453125" style="17" customWidth="1"/>
    <col min="10235" max="10235" width="7.4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54296875" style="17" customWidth="1"/>
    <col min="10489" max="10489" width="9.81640625" style="17" customWidth="1"/>
    <col min="10490" max="10490" width="14.453125" style="17" customWidth="1"/>
    <col min="10491" max="10491" width="7.4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54296875" style="17" customWidth="1"/>
    <col min="10745" max="10745" width="9.81640625" style="17" customWidth="1"/>
    <col min="10746" max="10746" width="14.453125" style="17" customWidth="1"/>
    <col min="10747" max="10747" width="7.4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54296875" style="17" customWidth="1"/>
    <col min="11001" max="11001" width="9.81640625" style="17" customWidth="1"/>
    <col min="11002" max="11002" width="14.453125" style="17" customWidth="1"/>
    <col min="11003" max="11003" width="7.4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54296875" style="17" customWidth="1"/>
    <col min="11257" max="11257" width="9.81640625" style="17" customWidth="1"/>
    <col min="11258" max="11258" width="14.453125" style="17" customWidth="1"/>
    <col min="11259" max="11259" width="7.4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54296875" style="17" customWidth="1"/>
    <col min="11513" max="11513" width="9.81640625" style="17" customWidth="1"/>
    <col min="11514" max="11514" width="14.453125" style="17" customWidth="1"/>
    <col min="11515" max="11515" width="7.4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54296875" style="17" customWidth="1"/>
    <col min="11769" max="11769" width="9.81640625" style="17" customWidth="1"/>
    <col min="11770" max="11770" width="14.453125" style="17" customWidth="1"/>
    <col min="11771" max="11771" width="7.4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54296875" style="17" customWidth="1"/>
    <col min="12025" max="12025" width="9.81640625" style="17" customWidth="1"/>
    <col min="12026" max="12026" width="14.453125" style="17" customWidth="1"/>
    <col min="12027" max="12027" width="7.4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54296875" style="17" customWidth="1"/>
    <col min="12281" max="12281" width="9.81640625" style="17" customWidth="1"/>
    <col min="12282" max="12282" width="14.453125" style="17" customWidth="1"/>
    <col min="12283" max="12283" width="7.4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54296875" style="17" customWidth="1"/>
    <col min="12537" max="12537" width="9.81640625" style="17" customWidth="1"/>
    <col min="12538" max="12538" width="14.453125" style="17" customWidth="1"/>
    <col min="12539" max="12539" width="7.4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54296875" style="17" customWidth="1"/>
    <col min="12793" max="12793" width="9.81640625" style="17" customWidth="1"/>
    <col min="12794" max="12794" width="14.453125" style="17" customWidth="1"/>
    <col min="12795" max="12795" width="7.4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54296875" style="17" customWidth="1"/>
    <col min="13049" max="13049" width="9.81640625" style="17" customWidth="1"/>
    <col min="13050" max="13050" width="14.453125" style="17" customWidth="1"/>
    <col min="13051" max="13051" width="7.4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54296875" style="17" customWidth="1"/>
    <col min="13305" max="13305" width="9.81640625" style="17" customWidth="1"/>
    <col min="13306" max="13306" width="14.453125" style="17" customWidth="1"/>
    <col min="13307" max="13307" width="7.4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54296875" style="17" customWidth="1"/>
    <col min="13561" max="13561" width="9.81640625" style="17" customWidth="1"/>
    <col min="13562" max="13562" width="14.453125" style="17" customWidth="1"/>
    <col min="13563" max="13563" width="7.4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54296875" style="17" customWidth="1"/>
    <col min="13817" max="13817" width="9.81640625" style="17" customWidth="1"/>
    <col min="13818" max="13818" width="14.453125" style="17" customWidth="1"/>
    <col min="13819" max="13819" width="7.4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54296875" style="17" customWidth="1"/>
    <col min="14073" max="14073" width="9.81640625" style="17" customWidth="1"/>
    <col min="14074" max="14074" width="14.453125" style="17" customWidth="1"/>
    <col min="14075" max="14075" width="7.4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54296875" style="17" customWidth="1"/>
    <col min="14329" max="14329" width="9.81640625" style="17" customWidth="1"/>
    <col min="14330" max="14330" width="14.453125" style="17" customWidth="1"/>
    <col min="14331" max="14331" width="7.4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54296875" style="17" customWidth="1"/>
    <col min="14585" max="14585" width="9.81640625" style="17" customWidth="1"/>
    <col min="14586" max="14586" width="14.453125" style="17" customWidth="1"/>
    <col min="14587" max="14587" width="7.4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54296875" style="17" customWidth="1"/>
    <col min="14841" max="14841" width="9.81640625" style="17" customWidth="1"/>
    <col min="14842" max="14842" width="14.453125" style="17" customWidth="1"/>
    <col min="14843" max="14843" width="7.4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54296875" style="17" customWidth="1"/>
    <col min="15097" max="15097" width="9.81640625" style="17" customWidth="1"/>
    <col min="15098" max="15098" width="14.453125" style="17" customWidth="1"/>
    <col min="15099" max="15099" width="7.4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54296875" style="17" customWidth="1"/>
    <col min="15353" max="15353" width="9.81640625" style="17" customWidth="1"/>
    <col min="15354" max="15354" width="14.453125" style="17" customWidth="1"/>
    <col min="15355" max="15355" width="7.4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54296875" style="17" customWidth="1"/>
    <col min="15609" max="15609" width="9.81640625" style="17" customWidth="1"/>
    <col min="15610" max="15610" width="14.453125" style="17" customWidth="1"/>
    <col min="15611" max="15611" width="7.4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54296875" style="17" customWidth="1"/>
    <col min="15865" max="15865" width="9.81640625" style="17" customWidth="1"/>
    <col min="15866" max="15866" width="14.453125" style="17" customWidth="1"/>
    <col min="15867" max="15867" width="7.4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54296875" style="17" customWidth="1"/>
    <col min="16121" max="16121" width="9.81640625" style="17" customWidth="1"/>
    <col min="16122" max="16122" width="14.453125" style="17" customWidth="1"/>
    <col min="16123" max="16123" width="7.4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8" ht="46.5" customHeight="1" x14ac:dyDescent="0.35">
      <c r="A1" s="112" t="s">
        <v>167</v>
      </c>
      <c r="B1" s="112"/>
      <c r="C1" s="112"/>
      <c r="D1" s="112"/>
      <c r="E1" s="112"/>
      <c r="F1" s="112"/>
      <c r="G1" s="112"/>
      <c r="H1" s="112"/>
    </row>
    <row r="2" spans="1:8" ht="16.5" customHeight="1" x14ac:dyDescent="0.35">
      <c r="A2" s="80" t="s">
        <v>0</v>
      </c>
      <c r="B2" s="80"/>
      <c r="C2" s="80"/>
      <c r="D2" s="80"/>
      <c r="E2" s="80"/>
      <c r="F2" s="80"/>
      <c r="G2" s="80"/>
      <c r="H2" s="80"/>
    </row>
    <row r="3" spans="1:8" x14ac:dyDescent="0.35">
      <c r="A3" s="57" t="s">
        <v>1</v>
      </c>
      <c r="B3" s="57"/>
      <c r="C3" s="57"/>
      <c r="D3" s="57"/>
      <c r="E3" s="57" t="str">
        <f ca="1">TEXT(TODAY(),"DD/MM/YYYY")</f>
        <v>09/09/2025</v>
      </c>
      <c r="F3" s="57"/>
      <c r="G3" s="57"/>
      <c r="H3" s="57"/>
    </row>
    <row r="4" spans="1:8" x14ac:dyDescent="0.35">
      <c r="A4" s="57" t="s">
        <v>2</v>
      </c>
      <c r="B4" s="57"/>
      <c r="C4" s="57"/>
      <c r="D4" s="57"/>
      <c r="E4" s="57" t="s">
        <v>171</v>
      </c>
      <c r="F4" s="57"/>
      <c r="G4" s="57"/>
      <c r="H4" s="57"/>
    </row>
    <row r="5" spans="1:8" x14ac:dyDescent="0.35">
      <c r="A5" s="57" t="s">
        <v>3</v>
      </c>
      <c r="B5" s="57"/>
      <c r="C5" s="57"/>
      <c r="D5" s="57"/>
      <c r="E5" s="113">
        <v>45905</v>
      </c>
      <c r="F5" s="57"/>
      <c r="G5" s="57"/>
      <c r="H5" s="57"/>
    </row>
    <row r="6" spans="1:8" ht="16.5" customHeight="1" x14ac:dyDescent="0.35">
      <c r="A6" s="57" t="s">
        <v>4</v>
      </c>
      <c r="B6" s="57"/>
      <c r="C6" s="57"/>
      <c r="D6" s="57"/>
      <c r="E6" s="114" t="s">
        <v>172</v>
      </c>
      <c r="F6" s="115"/>
      <c r="G6" s="115"/>
      <c r="H6" s="116"/>
    </row>
    <row r="7" spans="1:8" ht="15" customHeight="1" x14ac:dyDescent="0.35">
      <c r="A7" s="57" t="s">
        <v>5</v>
      </c>
      <c r="B7" s="57"/>
      <c r="C7" s="57"/>
      <c r="D7" s="57"/>
      <c r="E7" s="57" t="str">
        <f>E6</f>
        <v>Vaishnavi Builders &amp; Developers</v>
      </c>
      <c r="F7" s="57"/>
      <c r="G7" s="57"/>
      <c r="H7" s="57"/>
    </row>
    <row r="8" spans="1:8" x14ac:dyDescent="0.35">
      <c r="A8" s="57" t="s">
        <v>216</v>
      </c>
      <c r="B8" s="57"/>
      <c r="C8" s="57"/>
      <c r="D8" s="57"/>
      <c r="E8" s="74" t="s">
        <v>214</v>
      </c>
      <c r="F8" s="75"/>
      <c r="G8" s="75"/>
      <c r="H8" s="76"/>
    </row>
    <row r="9" spans="1:8" x14ac:dyDescent="0.35">
      <c r="A9" s="55" t="s">
        <v>217</v>
      </c>
      <c r="B9" s="55"/>
      <c r="C9" s="55"/>
      <c r="D9" s="55"/>
      <c r="E9" s="118" t="s">
        <v>173</v>
      </c>
      <c r="F9" s="90"/>
      <c r="G9" s="90"/>
      <c r="H9" s="90"/>
    </row>
    <row r="10" spans="1:8" x14ac:dyDescent="0.35">
      <c r="A10" s="57" t="s">
        <v>169</v>
      </c>
      <c r="B10" s="57"/>
      <c r="C10" s="57"/>
      <c r="D10" s="57"/>
      <c r="E10" s="57" t="s">
        <v>174</v>
      </c>
      <c r="F10" s="57"/>
      <c r="G10" s="57"/>
      <c r="H10" s="57"/>
    </row>
    <row r="11" spans="1:8" x14ac:dyDescent="0.35">
      <c r="A11" s="57" t="s">
        <v>170</v>
      </c>
      <c r="B11" s="57"/>
      <c r="C11" s="57"/>
      <c r="D11" s="57"/>
      <c r="E11" s="57" t="s">
        <v>29</v>
      </c>
      <c r="F11" s="57"/>
      <c r="G11" s="57"/>
      <c r="H11" s="57"/>
    </row>
    <row r="12" spans="1:8" x14ac:dyDescent="0.35">
      <c r="A12" s="57" t="s">
        <v>6</v>
      </c>
      <c r="B12" s="57"/>
      <c r="C12" s="57"/>
      <c r="D12" s="57"/>
      <c r="E12" s="57" t="s">
        <v>182</v>
      </c>
      <c r="F12" s="57"/>
      <c r="G12" s="57"/>
      <c r="H12" s="57"/>
    </row>
    <row r="13" spans="1:8" x14ac:dyDescent="0.35">
      <c r="A13" s="55" t="s">
        <v>7</v>
      </c>
      <c r="B13" s="55"/>
      <c r="C13" s="55"/>
      <c r="D13" s="55"/>
      <c r="E13" s="56" t="s">
        <v>175</v>
      </c>
      <c r="F13" s="56"/>
      <c r="G13" s="56"/>
      <c r="H13" s="56"/>
    </row>
    <row r="14" spans="1:8" x14ac:dyDescent="0.35">
      <c r="A14" s="55" t="s">
        <v>8</v>
      </c>
      <c r="B14" s="55"/>
      <c r="C14" s="55"/>
      <c r="D14" s="55"/>
      <c r="E14" s="56" t="s">
        <v>176</v>
      </c>
      <c r="F14" s="57"/>
      <c r="G14" s="57"/>
      <c r="H14" s="57"/>
    </row>
    <row r="15" spans="1:8" x14ac:dyDescent="0.35">
      <c r="A15" s="55" t="s">
        <v>215</v>
      </c>
      <c r="B15" s="55"/>
      <c r="C15" s="55"/>
      <c r="D15" s="55"/>
      <c r="E15" s="56" t="s">
        <v>173</v>
      </c>
      <c r="F15" s="57"/>
      <c r="G15" s="57"/>
      <c r="H15" s="57"/>
    </row>
    <row r="16" spans="1:8" ht="48.75" customHeight="1" x14ac:dyDescent="0.35">
      <c r="A16" s="91" t="s">
        <v>9</v>
      </c>
      <c r="B16" s="91"/>
      <c r="C16" s="91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Vaishnavi Heights, Survey No.58, H.No. 1, Plot No. 1 &amp; 2, near Jamuna aashish society, Ambernath - Badlapur Road, Katrap, Belavali, Badlapur (East), Ambarnath, Thane - 421503.</v>
      </c>
      <c r="D16" s="91"/>
      <c r="E16" s="91"/>
      <c r="F16" s="91"/>
      <c r="G16" s="91"/>
      <c r="H16" s="91"/>
    </row>
    <row r="17" spans="1:8" x14ac:dyDescent="0.35">
      <c r="A17" s="56" t="s">
        <v>177</v>
      </c>
      <c r="B17" s="56"/>
      <c r="C17" s="56" t="s">
        <v>178</v>
      </c>
      <c r="D17" s="56"/>
      <c r="E17" s="56"/>
      <c r="F17" s="56"/>
      <c r="G17" s="56"/>
      <c r="H17" s="56"/>
    </row>
    <row r="18" spans="1:8" ht="15.75" customHeight="1" x14ac:dyDescent="0.35">
      <c r="A18" s="56" t="s">
        <v>165</v>
      </c>
      <c r="B18" s="56"/>
      <c r="C18" s="56" t="s">
        <v>188</v>
      </c>
      <c r="D18" s="56"/>
      <c r="E18" s="56"/>
      <c r="F18" s="56"/>
      <c r="G18" s="56"/>
      <c r="H18" s="56"/>
    </row>
    <row r="19" spans="1:8" ht="15.75" customHeight="1" x14ac:dyDescent="0.35">
      <c r="A19" s="91" t="s">
        <v>10</v>
      </c>
      <c r="B19" s="91"/>
      <c r="C19" s="57" t="s">
        <v>184</v>
      </c>
      <c r="D19" s="57"/>
      <c r="E19" s="91" t="s">
        <v>74</v>
      </c>
      <c r="F19" s="91"/>
      <c r="G19" s="56" t="s">
        <v>181</v>
      </c>
      <c r="H19" s="56"/>
    </row>
    <row r="20" spans="1:8" x14ac:dyDescent="0.35">
      <c r="A20" s="55" t="s">
        <v>12</v>
      </c>
      <c r="B20" s="55"/>
      <c r="C20" s="56" t="s">
        <v>187</v>
      </c>
      <c r="D20" s="56"/>
      <c r="E20" s="91" t="s">
        <v>11</v>
      </c>
      <c r="F20" s="91"/>
      <c r="G20" s="111" t="s">
        <v>179</v>
      </c>
      <c r="H20" s="111"/>
    </row>
    <row r="21" spans="1:8" x14ac:dyDescent="0.35">
      <c r="A21" s="55" t="s">
        <v>75</v>
      </c>
      <c r="B21" s="55"/>
      <c r="C21" s="56" t="s">
        <v>180</v>
      </c>
      <c r="D21" s="56"/>
      <c r="E21" s="91" t="s">
        <v>13</v>
      </c>
      <c r="F21" s="91"/>
      <c r="G21" s="56">
        <v>421503</v>
      </c>
      <c r="H21" s="56"/>
    </row>
    <row r="22" spans="1:8" ht="32.25" customHeight="1" x14ac:dyDescent="0.35">
      <c r="A22" s="55" t="s">
        <v>124</v>
      </c>
      <c r="B22" s="55"/>
      <c r="C22" s="56" t="s">
        <v>185</v>
      </c>
      <c r="D22" s="56"/>
      <c r="E22" s="91" t="s">
        <v>14</v>
      </c>
      <c r="F22" s="91"/>
      <c r="G22" s="56" t="s">
        <v>186</v>
      </c>
      <c r="H22" s="56"/>
    </row>
    <row r="23" spans="1:8" ht="15" customHeight="1" x14ac:dyDescent="0.35">
      <c r="A23" s="91" t="s">
        <v>77</v>
      </c>
      <c r="B23" s="91"/>
      <c r="C23" s="91"/>
      <c r="D23" s="91"/>
      <c r="E23" s="57" t="s">
        <v>15</v>
      </c>
      <c r="F23" s="57"/>
      <c r="G23" s="57"/>
      <c r="H23" s="57"/>
    </row>
    <row r="24" spans="1:8" ht="18.75" customHeight="1" x14ac:dyDescent="0.35">
      <c r="A24" s="91"/>
      <c r="B24" s="91"/>
      <c r="C24" s="91"/>
      <c r="D24" s="91"/>
      <c r="E24" s="57"/>
      <c r="F24" s="57"/>
      <c r="G24" s="57"/>
      <c r="H24" s="57"/>
    </row>
    <row r="25" spans="1:8" ht="15" customHeight="1" x14ac:dyDescent="0.35">
      <c r="A25" s="91" t="s">
        <v>16</v>
      </c>
      <c r="B25" s="91"/>
      <c r="C25" s="91"/>
      <c r="D25" s="91"/>
      <c r="E25" s="56" t="s">
        <v>17</v>
      </c>
      <c r="F25" s="56"/>
      <c r="G25" s="56"/>
      <c r="H25" s="56"/>
    </row>
    <row r="26" spans="1:8" ht="15" customHeight="1" x14ac:dyDescent="0.35">
      <c r="A26" s="55" t="s">
        <v>18</v>
      </c>
      <c r="B26" s="55"/>
      <c r="C26" s="55"/>
      <c r="D26" s="55"/>
      <c r="E26" s="56" t="str">
        <f>IF(AND(G20="Mumbai"),"Upper Class","Middle Class")</f>
        <v>Middle Class</v>
      </c>
      <c r="F26" s="56"/>
      <c r="G26" s="56"/>
      <c r="H26" s="56"/>
    </row>
    <row r="27" spans="1:8" x14ac:dyDescent="0.35">
      <c r="A27" s="55" t="s">
        <v>19</v>
      </c>
      <c r="B27" s="55"/>
      <c r="C27" s="55"/>
      <c r="D27" s="55"/>
      <c r="E27" s="56" t="s">
        <v>20</v>
      </c>
      <c r="F27" s="56"/>
      <c r="G27" s="56"/>
      <c r="H27" s="56"/>
    </row>
    <row r="28" spans="1:8" ht="15.75" customHeight="1" x14ac:dyDescent="0.35">
      <c r="A28" s="55" t="s">
        <v>21</v>
      </c>
      <c r="B28" s="55"/>
      <c r="C28" s="55"/>
      <c r="D28" s="55"/>
      <c r="E28" s="56" t="str">
        <f>IF(AND(G20="Mumbai"),"Developed","Developing")</f>
        <v>Developing</v>
      </c>
      <c r="F28" s="56"/>
      <c r="G28" s="56"/>
      <c r="H28" s="56"/>
    </row>
    <row r="29" spans="1:8" x14ac:dyDescent="0.35">
      <c r="A29" s="55" t="s">
        <v>22</v>
      </c>
      <c r="B29" s="55"/>
      <c r="C29" s="55"/>
      <c r="D29" s="55"/>
      <c r="E29" s="56" t="s">
        <v>23</v>
      </c>
      <c r="F29" s="56"/>
      <c r="G29" s="56"/>
      <c r="H29" s="56"/>
    </row>
    <row r="30" spans="1:8" ht="15.75" customHeight="1" x14ac:dyDescent="0.35">
      <c r="A30" s="55" t="s">
        <v>82</v>
      </c>
      <c r="B30" s="55"/>
      <c r="C30" s="55"/>
      <c r="D30" s="55"/>
      <c r="E30" s="56" t="s">
        <v>83</v>
      </c>
      <c r="F30" s="56"/>
      <c r="G30" s="56"/>
      <c r="H30" s="56"/>
    </row>
    <row r="31" spans="1:8" ht="15" customHeight="1" x14ac:dyDescent="0.35">
      <c r="A31" s="55" t="s">
        <v>32</v>
      </c>
      <c r="B31" s="55"/>
      <c r="C31" s="55"/>
      <c r="D31" s="55"/>
      <c r="E31" s="56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1" s="56"/>
      <c r="G31" s="56"/>
      <c r="H31" s="56"/>
    </row>
    <row r="32" spans="1:8" ht="15.75" customHeight="1" x14ac:dyDescent="0.35">
      <c r="A32" s="55" t="s">
        <v>94</v>
      </c>
      <c r="B32" s="55"/>
      <c r="C32" s="55"/>
      <c r="D32" s="55"/>
      <c r="E32" s="56" t="s">
        <v>33</v>
      </c>
      <c r="F32" s="56"/>
      <c r="G32" s="56"/>
      <c r="H32" s="56"/>
    </row>
    <row r="33" spans="1:8" s="18" customFormat="1" x14ac:dyDescent="0.35">
      <c r="A33" s="110" t="s">
        <v>95</v>
      </c>
      <c r="B33" s="110"/>
      <c r="C33" s="109" t="s">
        <v>28</v>
      </c>
      <c r="D33" s="109"/>
      <c r="E33" s="109"/>
      <c r="F33" s="109" t="s">
        <v>30</v>
      </c>
      <c r="G33" s="109"/>
      <c r="H33" s="109"/>
    </row>
    <row r="34" spans="1:8" s="18" customFormat="1" x14ac:dyDescent="0.35">
      <c r="A34" s="92" t="s">
        <v>24</v>
      </c>
      <c r="B34" s="92" t="s">
        <v>29</v>
      </c>
      <c r="C34" s="93" t="s">
        <v>29</v>
      </c>
      <c r="D34" s="93"/>
      <c r="E34" s="93"/>
      <c r="F34" s="93" t="s">
        <v>189</v>
      </c>
      <c r="G34" s="93"/>
      <c r="H34" s="93"/>
    </row>
    <row r="35" spans="1:8" x14ac:dyDescent="0.35">
      <c r="A35" s="92" t="s">
        <v>25</v>
      </c>
      <c r="B35" s="92" t="s">
        <v>29</v>
      </c>
      <c r="C35" s="93" t="s">
        <v>29</v>
      </c>
      <c r="D35" s="93"/>
      <c r="E35" s="93"/>
      <c r="F35" s="93" t="s">
        <v>190</v>
      </c>
      <c r="G35" s="93"/>
      <c r="H35" s="93"/>
    </row>
    <row r="36" spans="1:8" s="18" customFormat="1" x14ac:dyDescent="0.35">
      <c r="A36" s="92" t="s">
        <v>27</v>
      </c>
      <c r="B36" s="92" t="s">
        <v>29</v>
      </c>
      <c r="C36" s="93" t="s">
        <v>29</v>
      </c>
      <c r="D36" s="93"/>
      <c r="E36" s="93"/>
      <c r="F36" s="93" t="s">
        <v>191</v>
      </c>
      <c r="G36" s="93"/>
      <c r="H36" s="93"/>
    </row>
    <row r="37" spans="1:8" x14ac:dyDescent="0.35">
      <c r="A37" s="92" t="s">
        <v>26</v>
      </c>
      <c r="B37" s="92" t="s">
        <v>29</v>
      </c>
      <c r="C37" s="93" t="s">
        <v>29</v>
      </c>
      <c r="D37" s="93"/>
      <c r="E37" s="93"/>
      <c r="F37" s="93" t="s">
        <v>192</v>
      </c>
      <c r="G37" s="93"/>
      <c r="H37" s="93"/>
    </row>
    <row r="38" spans="1:8" x14ac:dyDescent="0.35">
      <c r="A38" s="55" t="s">
        <v>31</v>
      </c>
      <c r="B38" s="55"/>
      <c r="C38" s="55"/>
      <c r="D38" s="55"/>
      <c r="E38" s="55"/>
      <c r="F38" s="55"/>
      <c r="G38" s="55"/>
      <c r="H38" s="55"/>
    </row>
    <row r="39" spans="1:8" ht="15.75" customHeight="1" x14ac:dyDescent="0.35">
      <c r="A39" s="55" t="s">
        <v>168</v>
      </c>
      <c r="B39" s="55"/>
      <c r="C39" s="85" t="s">
        <v>218</v>
      </c>
      <c r="D39" s="85"/>
      <c r="E39" s="85"/>
      <c r="F39" s="85"/>
      <c r="G39" s="85"/>
      <c r="H39" s="85"/>
    </row>
    <row r="40" spans="1:8" x14ac:dyDescent="0.35">
      <c r="A40" s="55" t="s">
        <v>164</v>
      </c>
      <c r="B40" s="55"/>
      <c r="C40" s="73" t="s">
        <v>183</v>
      </c>
      <c r="D40" s="56"/>
      <c r="E40" s="56"/>
      <c r="F40" s="56"/>
      <c r="G40" s="56"/>
      <c r="H40" s="56"/>
    </row>
    <row r="41" spans="1:8" x14ac:dyDescent="0.35">
      <c r="A41" s="85" t="s">
        <v>34</v>
      </c>
      <c r="B41" s="85"/>
      <c r="C41" s="85"/>
      <c r="D41" s="85"/>
      <c r="E41" s="85"/>
      <c r="F41" s="85"/>
      <c r="G41" s="85"/>
      <c r="H41" s="85"/>
    </row>
    <row r="42" spans="1:8" x14ac:dyDescent="0.35">
      <c r="A42" s="55" t="s">
        <v>35</v>
      </c>
      <c r="B42" s="55"/>
      <c r="C42" s="55"/>
      <c r="D42" s="55"/>
      <c r="E42" s="94">
        <v>592.80999999999995</v>
      </c>
      <c r="F42" s="94"/>
      <c r="G42" s="94"/>
      <c r="H42" s="94"/>
    </row>
    <row r="43" spans="1:8" x14ac:dyDescent="0.35">
      <c r="A43" s="55" t="s">
        <v>36</v>
      </c>
      <c r="B43" s="55"/>
      <c r="C43" s="55"/>
      <c r="D43" s="55"/>
      <c r="E43" s="96">
        <v>1.1000000000000001</v>
      </c>
      <c r="F43" s="96"/>
      <c r="G43" s="96"/>
      <c r="H43" s="96"/>
    </row>
    <row r="44" spans="1:8" x14ac:dyDescent="0.35">
      <c r="A44" s="55" t="s">
        <v>37</v>
      </c>
      <c r="B44" s="55"/>
      <c r="C44" s="55"/>
      <c r="D44" s="55"/>
      <c r="E44" s="96">
        <f>E46/E42-E43</f>
        <v>0.65832054115146499</v>
      </c>
      <c r="F44" s="96"/>
      <c r="G44" s="96"/>
      <c r="H44" s="96"/>
    </row>
    <row r="45" spans="1:8" x14ac:dyDescent="0.35">
      <c r="A45" s="55" t="s">
        <v>38</v>
      </c>
      <c r="B45" s="55"/>
      <c r="C45" s="55"/>
      <c r="D45" s="55"/>
      <c r="E45" s="96">
        <f>E43+E44</f>
        <v>1.7583205411514651</v>
      </c>
      <c r="F45" s="96"/>
      <c r="G45" s="96"/>
      <c r="H45" s="96"/>
    </row>
    <row r="46" spans="1:8" x14ac:dyDescent="0.35">
      <c r="A46" s="55" t="s">
        <v>93</v>
      </c>
      <c r="B46" s="55"/>
      <c r="C46" s="55"/>
      <c r="D46" s="55"/>
      <c r="E46" s="97">
        <v>1042.3499999999999</v>
      </c>
      <c r="F46" s="97"/>
      <c r="G46" s="97"/>
      <c r="H46" s="97"/>
    </row>
    <row r="47" spans="1:8" x14ac:dyDescent="0.35">
      <c r="A47" s="57" t="s">
        <v>39</v>
      </c>
      <c r="B47" s="57"/>
      <c r="C47" s="57"/>
      <c r="D47" s="57"/>
      <c r="E47" s="57" t="s">
        <v>123</v>
      </c>
      <c r="F47" s="57"/>
      <c r="G47" s="57"/>
      <c r="H47" s="57"/>
    </row>
    <row r="48" spans="1:8" x14ac:dyDescent="0.35">
      <c r="A48" s="85" t="s">
        <v>40</v>
      </c>
      <c r="B48" s="85"/>
      <c r="C48" s="85"/>
      <c r="D48" s="85"/>
      <c r="E48" s="85"/>
      <c r="F48" s="85"/>
      <c r="G48" s="85"/>
      <c r="H48" s="85"/>
    </row>
    <row r="49" spans="1:14" ht="33.75" customHeight="1" x14ac:dyDescent="0.35">
      <c r="A49" s="61" t="s">
        <v>152</v>
      </c>
      <c r="B49" s="63"/>
      <c r="C49" s="74" t="s">
        <v>194</v>
      </c>
      <c r="D49" s="75"/>
      <c r="E49" s="75"/>
      <c r="F49" s="75"/>
      <c r="G49" s="75"/>
      <c r="H49" s="76"/>
    </row>
    <row r="50" spans="1:14" ht="15.75" customHeight="1" x14ac:dyDescent="0.35">
      <c r="A50" s="61" t="s">
        <v>41</v>
      </c>
      <c r="B50" s="63"/>
      <c r="C50" s="61" t="s">
        <v>195</v>
      </c>
      <c r="D50" s="62"/>
      <c r="E50" s="63"/>
      <c r="F50" s="15" t="s">
        <v>42</v>
      </c>
      <c r="G50" s="103">
        <v>44848</v>
      </c>
      <c r="H50" s="63"/>
    </row>
    <row r="51" spans="1:14" x14ac:dyDescent="0.35">
      <c r="A51" s="61" t="s">
        <v>43</v>
      </c>
      <c r="B51" s="63"/>
      <c r="C51" s="61" t="str">
        <f>C50</f>
        <v>KBNP/NRV/BP/448-143</v>
      </c>
      <c r="D51" s="62"/>
      <c r="E51" s="63"/>
      <c r="F51" s="15" t="s">
        <v>42</v>
      </c>
      <c r="G51" s="103">
        <f>G50</f>
        <v>44848</v>
      </c>
      <c r="H51" s="104"/>
    </row>
    <row r="52" spans="1:14" s="19" customFormat="1" ht="32.25" customHeight="1" x14ac:dyDescent="0.35">
      <c r="A52" s="105" t="s">
        <v>156</v>
      </c>
      <c r="B52" s="106"/>
      <c r="C52" s="61" t="s">
        <v>196</v>
      </c>
      <c r="D52" s="62"/>
      <c r="E52" s="63"/>
      <c r="F52" s="15" t="s">
        <v>42</v>
      </c>
      <c r="G52" s="103">
        <f>G51</f>
        <v>44848</v>
      </c>
      <c r="H52" s="104"/>
    </row>
    <row r="53" spans="1:14" s="19" customFormat="1" x14ac:dyDescent="0.35">
      <c r="A53" s="107"/>
      <c r="B53" s="108"/>
      <c r="C53" s="61" t="s">
        <v>197</v>
      </c>
      <c r="D53" s="62"/>
      <c r="E53" s="62"/>
      <c r="F53" s="62"/>
      <c r="G53" s="62"/>
      <c r="H53" s="63"/>
    </row>
    <row r="54" spans="1:14" x14ac:dyDescent="0.35">
      <c r="A54" s="121" t="s">
        <v>44</v>
      </c>
      <c r="B54" s="123"/>
      <c r="C54" s="121" t="s">
        <v>107</v>
      </c>
      <c r="D54" s="122"/>
      <c r="E54" s="123"/>
      <c r="F54" s="40" t="s">
        <v>42</v>
      </c>
      <c r="G54" s="125" t="s">
        <v>29</v>
      </c>
      <c r="H54" s="126"/>
    </row>
    <row r="55" spans="1:14" x14ac:dyDescent="0.35">
      <c r="A55" s="124" t="s">
        <v>46</v>
      </c>
      <c r="B55" s="124"/>
      <c r="C55" s="124"/>
      <c r="D55" s="124"/>
      <c r="E55" s="124"/>
      <c r="F55" s="124"/>
      <c r="G55" s="124"/>
      <c r="H55" s="124"/>
    </row>
    <row r="56" spans="1:14" x14ac:dyDescent="0.35">
      <c r="A56" s="91" t="s">
        <v>92</v>
      </c>
      <c r="B56" s="91"/>
      <c r="C56" s="91"/>
      <c r="D56" s="55">
        <f>E46</f>
        <v>1042.3499999999999</v>
      </c>
      <c r="E56" s="55"/>
      <c r="F56" s="55"/>
      <c r="G56" s="55"/>
      <c r="H56" s="55"/>
    </row>
    <row r="57" spans="1:14" x14ac:dyDescent="0.35">
      <c r="A57" s="56" t="s">
        <v>47</v>
      </c>
      <c r="B57" s="57"/>
      <c r="C57" s="57"/>
      <c r="D57" s="57" t="s">
        <v>208</v>
      </c>
      <c r="E57" s="57"/>
      <c r="F57" s="57"/>
      <c r="G57" s="57"/>
      <c r="H57" s="57"/>
      <c r="I57" s="20"/>
    </row>
    <row r="58" spans="1:14" x14ac:dyDescent="0.35">
      <c r="A58" s="100" t="s">
        <v>48</v>
      </c>
      <c r="B58" s="101"/>
      <c r="C58" s="102"/>
      <c r="D58" s="98" t="s">
        <v>197</v>
      </c>
      <c r="E58" s="99"/>
      <c r="F58" s="99"/>
      <c r="G58" s="99"/>
      <c r="H58" s="99"/>
    </row>
    <row r="59" spans="1:14" ht="15.75" customHeight="1" x14ac:dyDescent="0.35">
      <c r="A59" s="100" t="s">
        <v>90</v>
      </c>
      <c r="B59" s="101"/>
      <c r="C59" s="101"/>
      <c r="D59" s="114" t="s">
        <v>197</v>
      </c>
      <c r="E59" s="115"/>
      <c r="F59" s="115"/>
      <c r="G59" s="115"/>
      <c r="H59" s="116"/>
    </row>
    <row r="60" spans="1:14" ht="15.75" customHeight="1" x14ac:dyDescent="0.35">
      <c r="A60" s="55" t="s">
        <v>45</v>
      </c>
      <c r="B60" s="55"/>
      <c r="C60" s="55"/>
      <c r="D60" s="95" t="s">
        <v>219</v>
      </c>
      <c r="E60" s="95"/>
      <c r="F60" s="95"/>
      <c r="G60" s="95"/>
      <c r="H60" s="95"/>
      <c r="J60" s="21"/>
      <c r="K60" s="20"/>
      <c r="N60" s="20"/>
    </row>
    <row r="61" spans="1:14" ht="15.75" customHeight="1" x14ac:dyDescent="0.35">
      <c r="A61" s="55" t="s">
        <v>88</v>
      </c>
      <c r="B61" s="55"/>
      <c r="C61" s="55"/>
      <c r="D61" s="89" t="str">
        <f>(IF(G54="NA","60 Years After Completion",IF(G54&lt;&gt;"NA",""&amp;60-ROUNDDOWN((E3-G54)/360,0)&amp;" Years"," ")))</f>
        <v>60 Years After Completion</v>
      </c>
      <c r="E61" s="89"/>
      <c r="F61" s="89"/>
      <c r="G61" s="89"/>
      <c r="H61" s="89"/>
      <c r="N61" s="20"/>
    </row>
    <row r="62" spans="1:14" ht="15.75" customHeight="1" x14ac:dyDescent="0.35">
      <c r="A62" s="55" t="s">
        <v>89</v>
      </c>
      <c r="B62" s="55"/>
      <c r="C62" s="55"/>
      <c r="D62" s="91" t="s">
        <v>23</v>
      </c>
      <c r="E62" s="91"/>
      <c r="F62" s="91"/>
      <c r="G62" s="91"/>
      <c r="H62" s="91"/>
      <c r="J62" s="22"/>
      <c r="K62" s="22"/>
    </row>
    <row r="63" spans="1:14" ht="30" hidden="1" customHeight="1" x14ac:dyDescent="0.35">
      <c r="A63" s="55" t="s">
        <v>76</v>
      </c>
      <c r="B63" s="55"/>
      <c r="C63" s="55"/>
      <c r="D63" s="56"/>
      <c r="E63" s="91"/>
      <c r="F63" s="91"/>
      <c r="G63" s="91"/>
      <c r="H63" s="91"/>
    </row>
    <row r="64" spans="1:14" x14ac:dyDescent="0.35">
      <c r="A64" s="91" t="s">
        <v>151</v>
      </c>
      <c r="B64" s="91"/>
      <c r="C64" s="91"/>
      <c r="D64" s="91" t="s">
        <v>29</v>
      </c>
      <c r="E64" s="91"/>
      <c r="F64" s="91"/>
      <c r="G64" s="91"/>
      <c r="H64" s="91"/>
      <c r="I64" s="23"/>
      <c r="J64" s="23"/>
      <c r="K64" s="23"/>
      <c r="L64" s="23"/>
      <c r="M64" s="23"/>
      <c r="N64" s="23"/>
    </row>
    <row r="65" spans="1:10" ht="15.75" customHeight="1" x14ac:dyDescent="0.35">
      <c r="A65" s="55" t="s">
        <v>87</v>
      </c>
      <c r="B65" s="55"/>
      <c r="C65" s="55"/>
      <c r="D65" s="56" t="str">
        <f ca="1">(IF(G71&gt;95%,"Nothing",IF(G71&gt;0%,"Cement, Aggregate, Steel, etc",IF(G71=0%,"Work not yet Started"))))</f>
        <v>Cement, Aggregate, Steel, etc</v>
      </c>
      <c r="E65" s="56"/>
      <c r="F65" s="56"/>
      <c r="G65" s="56"/>
      <c r="H65" s="56"/>
      <c r="J65" s="22"/>
    </row>
    <row r="66" spans="1:10" ht="33.75" customHeight="1" thickBot="1" x14ac:dyDescent="0.4">
      <c r="A66" s="91" t="s">
        <v>120</v>
      </c>
      <c r="B66" s="91"/>
      <c r="C66" s="91"/>
      <c r="D66" s="56" t="str">
        <f ca="1">(IF(D65="Nothing","Yes",IF(D65="Cement, Aggregate, Steel, etc","Under Construction",IF(D65="Work not yet Started","Work not yet Started"))))</f>
        <v>Under Construction</v>
      </c>
      <c r="E66" s="56"/>
      <c r="F66" s="56" t="str">
        <f ca="1">(IF(D65="Nothing","Yes",IF(D65="Cement, Aggregate, Steel, etc","Under Construction",IF(D65="Work not yet Started","Work not yet Started"))))</f>
        <v>Under Construction</v>
      </c>
      <c r="G66" s="56"/>
      <c r="H66" s="56"/>
    </row>
    <row r="67" spans="1:10" ht="15.75" customHeight="1" x14ac:dyDescent="0.35">
      <c r="A67" s="141" t="s">
        <v>142</v>
      </c>
      <c r="B67" s="141"/>
      <c r="C67" s="141" t="str">
        <f>D59</f>
        <v>Gr/Stilt + 1st to 7th Floor</v>
      </c>
      <c r="D67" s="141"/>
      <c r="E67" s="141"/>
      <c r="F67" s="141"/>
      <c r="G67" s="141"/>
      <c r="H67" s="141"/>
      <c r="I67" s="139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6 Floor Completed</v>
      </c>
      <c r="J67" s="43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6 Floor</v>
      </c>
    </row>
    <row r="68" spans="1:10" x14ac:dyDescent="0.35">
      <c r="A68" s="54" t="s">
        <v>144</v>
      </c>
      <c r="B68" s="54">
        <f>IF(AND(ISNUMBER(SEARCH("1B",C67))),1,IF(AND(ISNUMBER(SEARCH("2B",C67))),2,IF(AND(ISNUMBER(SEARCH("3B",C67))),3,IF(AND(ISNUMBER(SEARCH("4B",C67))),4,IF(ISNUMBER(SEARCH("5B",C67)),5,0)))))</f>
        <v>0</v>
      </c>
      <c r="C68" s="54" t="s">
        <v>73</v>
      </c>
      <c r="D68" s="54">
        <v>1</v>
      </c>
      <c r="E68" s="54" t="s">
        <v>72</v>
      </c>
      <c r="F68" s="54">
        <v>0</v>
      </c>
      <c r="G68" s="42" t="s">
        <v>81</v>
      </c>
      <c r="H68" s="54">
        <f ca="1">--TRIM(RIGHT(SUBSTITUTE(LEFT(C67,_xlfn.AGGREGATE(16,6,FIND({0,1,2,3,4,5,6,7,8,9},C67,ROW(INDIRECT("1:"&amp;LEN(C67)))),1))," ",REPT(" ",LEN(C67))),LEN(C67)))</f>
        <v>7</v>
      </c>
      <c r="I68" s="14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4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5" customHeight="1" x14ac:dyDescent="0.35">
      <c r="A69" s="90" t="s">
        <v>91</v>
      </c>
      <c r="B69" s="90"/>
      <c r="C69" s="118" t="str">
        <f ca="1">I67</f>
        <v>Excavation, Plinth, RCC Slab, Brickwork, Internal Plaster, External Plaster, Flooring, Painting Completed, Finishing upto 6 Floor Completed</v>
      </c>
      <c r="D69" s="118"/>
      <c r="E69" s="118"/>
      <c r="F69" s="118"/>
      <c r="G69" s="118"/>
      <c r="H69" s="118"/>
      <c r="I69" s="140" t="str">
        <f ca="1">IF(I68&lt;&gt;""," Completed","")</f>
        <v xml:space="preserve"> Completed</v>
      </c>
      <c r="J69" s="44" t="str">
        <f ca="1">IF(J67&lt;&gt;"","Completed","")</f>
        <v>Completed</v>
      </c>
    </row>
    <row r="70" spans="1:10" ht="15.75" customHeight="1" x14ac:dyDescent="0.35">
      <c r="A70" s="86" t="s">
        <v>49</v>
      </c>
      <c r="B70" s="86"/>
      <c r="C70" s="53" t="s">
        <v>141</v>
      </c>
      <c r="D70" s="53" t="s">
        <v>84</v>
      </c>
      <c r="E70" s="86" t="s">
        <v>86</v>
      </c>
      <c r="F70" s="86"/>
      <c r="G70" s="86" t="s">
        <v>85</v>
      </c>
      <c r="H70" s="86"/>
      <c r="I70" s="13" t="s">
        <v>143</v>
      </c>
      <c r="J70" s="24">
        <f ca="1">H68*25%</f>
        <v>1.75</v>
      </c>
    </row>
    <row r="71" spans="1:10" x14ac:dyDescent="0.35">
      <c r="A71" s="86" t="s">
        <v>130</v>
      </c>
      <c r="B71" s="86"/>
      <c r="C71" s="53">
        <f ca="1">J72</f>
        <v>7</v>
      </c>
      <c r="D71" s="16">
        <f ca="1">((100/H68)*C71)/100</f>
        <v>1</v>
      </c>
      <c r="E71" s="142">
        <f ca="1">(((C72/H68*10)+(40/(D68+F68+H68)*C73)+(7.5/(H68)*C74)+(7.5/(H68)*C75)+(10/H68*C76)+(10/H68*C77)+(5/H68*C78)+(5/H68*C79)+(5/H68*C80))/100)</f>
        <v>0.94285714285714295</v>
      </c>
      <c r="F71" s="142"/>
      <c r="G71" s="142">
        <f ca="1">((((C71/H68)*20)+((C72/H68)*25)+(30/(H68+F68+D68)*C73)+(5/H68*C74)+(5/H68*C75)+(5/H68*C76)+(5/H68*C77)+(0/H68*C78)+(0/H68*C79)+(5/H68*C80))/100)</f>
        <v>0.95</v>
      </c>
      <c r="H71" s="142"/>
      <c r="I71" s="13" t="s">
        <v>102</v>
      </c>
      <c r="J71" s="25">
        <f ca="1">H68*50%</f>
        <v>3.5</v>
      </c>
    </row>
    <row r="72" spans="1:10" x14ac:dyDescent="0.35">
      <c r="A72" s="86" t="s">
        <v>50</v>
      </c>
      <c r="B72" s="86"/>
      <c r="C72" s="53">
        <f ca="1">J80</f>
        <v>7</v>
      </c>
      <c r="D72" s="16">
        <f ca="1">((100/H68)*C72)/100</f>
        <v>1</v>
      </c>
      <c r="E72" s="142"/>
      <c r="F72" s="142"/>
      <c r="G72" s="142"/>
      <c r="H72" s="142"/>
      <c r="I72" s="13" t="s">
        <v>103</v>
      </c>
      <c r="J72" s="25">
        <f ca="1">H68</f>
        <v>7</v>
      </c>
    </row>
    <row r="73" spans="1:10" ht="15.75" customHeight="1" x14ac:dyDescent="0.35">
      <c r="A73" s="86" t="s">
        <v>131</v>
      </c>
      <c r="B73" s="86"/>
      <c r="C73" s="53">
        <v>8</v>
      </c>
      <c r="D73" s="16">
        <f ca="1">((100/(D68+F68+H68))*C73)/100</f>
        <v>1</v>
      </c>
      <c r="E73" s="142"/>
      <c r="F73" s="142"/>
      <c r="G73" s="142"/>
      <c r="H73" s="142"/>
      <c r="I73" s="13" t="s">
        <v>104</v>
      </c>
      <c r="J73" s="26">
        <f ca="1">(IF(B68&gt;1,(H68/(B68+2)),H68/4))</f>
        <v>1.75</v>
      </c>
    </row>
    <row r="74" spans="1:10" ht="15.75" customHeight="1" x14ac:dyDescent="0.35">
      <c r="A74" s="86" t="s">
        <v>138</v>
      </c>
      <c r="B74" s="86" t="s">
        <v>132</v>
      </c>
      <c r="C74" s="53">
        <v>7</v>
      </c>
      <c r="D74" s="16">
        <f ca="1">((100/H68)*C74)/100</f>
        <v>1</v>
      </c>
      <c r="E74" s="142"/>
      <c r="F74" s="142"/>
      <c r="G74" s="142"/>
      <c r="H74" s="142"/>
      <c r="I74" s="13" t="s">
        <v>105</v>
      </c>
      <c r="J74" s="26">
        <f ca="1">(IF(B68&gt;1,(H68/(B68+2)+J73),H68/4+J73))</f>
        <v>3.5</v>
      </c>
    </row>
    <row r="75" spans="1:10" ht="15.75" customHeight="1" x14ac:dyDescent="0.35">
      <c r="A75" s="86" t="s">
        <v>139</v>
      </c>
      <c r="B75" s="86" t="s">
        <v>132</v>
      </c>
      <c r="C75" s="53">
        <v>7</v>
      </c>
      <c r="D75" s="16">
        <f ca="1">((100/H68)*C75)/100</f>
        <v>1</v>
      </c>
      <c r="E75" s="142"/>
      <c r="F75" s="142"/>
      <c r="G75" s="142"/>
      <c r="H75" s="142"/>
      <c r="I75" s="13" t="s">
        <v>149</v>
      </c>
      <c r="J75" s="26">
        <f>(IF(B68&gt;1,(H68/(B68+2)+J74),0))</f>
        <v>0</v>
      </c>
    </row>
    <row r="76" spans="1:10" ht="15" customHeight="1" x14ac:dyDescent="0.35">
      <c r="A76" s="86" t="s">
        <v>137</v>
      </c>
      <c r="B76" s="86" t="s">
        <v>134</v>
      </c>
      <c r="C76" s="53">
        <v>7</v>
      </c>
      <c r="D76" s="16">
        <f ca="1">((100/(H68))*C76)/100</f>
        <v>1</v>
      </c>
      <c r="E76" s="142"/>
      <c r="F76" s="142"/>
      <c r="G76" s="142"/>
      <c r="H76" s="142"/>
      <c r="I76" s="13" t="s">
        <v>145</v>
      </c>
      <c r="J76" s="26">
        <f>(IF(B68&gt;2,(H68/(B68+2)+J75),0))</f>
        <v>0</v>
      </c>
    </row>
    <row r="77" spans="1:10" ht="15.75" customHeight="1" x14ac:dyDescent="0.35">
      <c r="A77" s="86" t="s">
        <v>133</v>
      </c>
      <c r="B77" s="86" t="s">
        <v>133</v>
      </c>
      <c r="C77" s="53">
        <v>7</v>
      </c>
      <c r="D77" s="16">
        <f ca="1">((100/H68)*C77)/100</f>
        <v>1</v>
      </c>
      <c r="E77" s="142"/>
      <c r="F77" s="142"/>
      <c r="G77" s="142"/>
      <c r="H77" s="142"/>
      <c r="I77" s="13" t="s">
        <v>146</v>
      </c>
      <c r="J77" s="27">
        <f>(IF(B68&gt;3,(H68/(B68+2)+J76),0))</f>
        <v>0</v>
      </c>
    </row>
    <row r="78" spans="1:10" ht="15.75" customHeight="1" x14ac:dyDescent="0.35">
      <c r="A78" s="86" t="s">
        <v>140</v>
      </c>
      <c r="B78" s="86"/>
      <c r="C78" s="53">
        <v>7</v>
      </c>
      <c r="D78" s="16">
        <f ca="1">((100/H68)*C78)/100</f>
        <v>1</v>
      </c>
      <c r="E78" s="142"/>
      <c r="F78" s="142"/>
      <c r="G78" s="142"/>
      <c r="H78" s="142"/>
      <c r="I78" s="13" t="s">
        <v>147</v>
      </c>
      <c r="J78" s="26">
        <f>(IF(B68&gt;4,(H68/(B68+2)+J77),0))</f>
        <v>0</v>
      </c>
    </row>
    <row r="79" spans="1:10" ht="15.75" customHeight="1" x14ac:dyDescent="0.35">
      <c r="A79" s="86" t="s">
        <v>135</v>
      </c>
      <c r="B79" s="86" t="s">
        <v>135</v>
      </c>
      <c r="C79" s="53">
        <v>6</v>
      </c>
      <c r="D79" s="16">
        <f ca="1">((100/(H68))*C79)/100</f>
        <v>0.85714285714285721</v>
      </c>
      <c r="E79" s="142"/>
      <c r="F79" s="142"/>
      <c r="G79" s="142"/>
      <c r="H79" s="142"/>
      <c r="I79" s="13" t="s">
        <v>150</v>
      </c>
      <c r="J79" s="26">
        <f ca="1">(IF(B68=1,(H68/(B68+3)+J74),IF(B68=0,(H68/4+J74),IF(B68&gt;1,0))))</f>
        <v>5.25</v>
      </c>
    </row>
    <row r="80" spans="1:10" ht="16" thickBot="1" x14ac:dyDescent="0.4">
      <c r="A80" s="86" t="s">
        <v>136</v>
      </c>
      <c r="B80" s="86"/>
      <c r="C80" s="53">
        <v>0</v>
      </c>
      <c r="D80" s="16">
        <f ca="1">((100/(H68))*C80)/100</f>
        <v>0</v>
      </c>
      <c r="E80" s="142"/>
      <c r="F80" s="142"/>
      <c r="G80" s="142"/>
      <c r="H80" s="142"/>
      <c r="I80" s="14" t="s">
        <v>106</v>
      </c>
      <c r="J80" s="28">
        <f ca="1">(IF(B68&gt;1.5,(H68/(B68+2)+J74+MAX(0,J75-J74)+MAX(0,J76-J75)+MAX(0,J77-J76)+MAX(0,J78-J77)+MAX(0,J79-J78)),IF(B68=1,(H68/(B68+3)+J79),IF(B68=0,H68/4+J79))))</f>
        <v>7</v>
      </c>
    </row>
    <row r="81" spans="1:14" x14ac:dyDescent="0.35">
      <c r="A81" s="78" t="s">
        <v>157</v>
      </c>
      <c r="B81" s="78"/>
      <c r="C81" s="78"/>
      <c r="D81" s="78"/>
      <c r="E81" s="78"/>
      <c r="F81" s="117" t="s">
        <v>162</v>
      </c>
      <c r="G81" s="117"/>
      <c r="H81" s="117"/>
    </row>
    <row r="82" spans="1:14" x14ac:dyDescent="0.35">
      <c r="A82" s="55" t="s">
        <v>160</v>
      </c>
      <c r="B82" s="55"/>
      <c r="C82" s="55"/>
      <c r="D82" s="55"/>
      <c r="E82" s="55"/>
      <c r="F82" s="137">
        <v>4200</v>
      </c>
      <c r="G82" s="137"/>
      <c r="H82" s="137"/>
    </row>
    <row r="83" spans="1:14" hidden="1" x14ac:dyDescent="0.35">
      <c r="A83" s="55" t="s">
        <v>159</v>
      </c>
      <c r="B83" s="55"/>
      <c r="C83" s="55"/>
      <c r="D83" s="55"/>
      <c r="E83" s="55"/>
      <c r="F83" s="77"/>
      <c r="G83" s="77"/>
      <c r="H83" s="77"/>
    </row>
    <row r="84" spans="1:14" hidden="1" x14ac:dyDescent="0.35">
      <c r="A84" s="55" t="s">
        <v>161</v>
      </c>
      <c r="B84" s="55"/>
      <c r="C84" s="55"/>
      <c r="D84" s="55"/>
      <c r="E84" s="55"/>
      <c r="F84" s="77"/>
      <c r="G84" s="77"/>
      <c r="H84" s="77"/>
    </row>
    <row r="85" spans="1:14" s="29" customFormat="1" hidden="1" x14ac:dyDescent="0.3">
      <c r="A85" s="55" t="s">
        <v>158</v>
      </c>
      <c r="B85" s="55"/>
      <c r="C85" s="55"/>
      <c r="D85" s="55"/>
      <c r="E85" s="55"/>
      <c r="F85" s="77"/>
      <c r="G85" s="77"/>
      <c r="H85" s="77"/>
    </row>
    <row r="86" spans="1:14" s="29" customFormat="1" x14ac:dyDescent="0.3">
      <c r="A86" s="55" t="s">
        <v>96</v>
      </c>
      <c r="B86" s="55"/>
      <c r="C86" s="55"/>
      <c r="D86" s="55"/>
      <c r="E86" s="55"/>
      <c r="F86" s="77">
        <v>250000</v>
      </c>
      <c r="G86" s="77"/>
      <c r="H86" s="77"/>
    </row>
    <row r="87" spans="1:14" s="29" customFormat="1" hidden="1" x14ac:dyDescent="0.3">
      <c r="A87" s="55" t="s">
        <v>97</v>
      </c>
      <c r="B87" s="55"/>
      <c r="C87" s="55"/>
      <c r="D87" s="55"/>
      <c r="E87" s="55"/>
      <c r="F87" s="77"/>
      <c r="G87" s="77"/>
      <c r="H87" s="77"/>
    </row>
    <row r="88" spans="1:14" s="29" customFormat="1" hidden="1" x14ac:dyDescent="0.3">
      <c r="A88" s="55" t="s">
        <v>163</v>
      </c>
      <c r="B88" s="55"/>
      <c r="C88" s="55"/>
      <c r="D88" s="55"/>
      <c r="E88" s="55"/>
      <c r="F88" s="77">
        <v>10000</v>
      </c>
      <c r="G88" s="77"/>
      <c r="H88" s="77"/>
      <c r="J88" s="48" t="s">
        <v>211</v>
      </c>
    </row>
    <row r="89" spans="1:14" s="29" customFormat="1" hidden="1" x14ac:dyDescent="0.3">
      <c r="A89" s="55" t="s">
        <v>98</v>
      </c>
      <c r="B89" s="55"/>
      <c r="C89" s="55"/>
      <c r="D89" s="55"/>
      <c r="E89" s="55"/>
      <c r="F89" s="77"/>
      <c r="G89" s="77"/>
      <c r="H89" s="77"/>
    </row>
    <row r="90" spans="1:14" s="29" customFormat="1" hidden="1" x14ac:dyDescent="0.3">
      <c r="A90" s="55" t="s">
        <v>99</v>
      </c>
      <c r="B90" s="55"/>
      <c r="C90" s="55"/>
      <c r="D90" s="55"/>
      <c r="E90" s="55"/>
      <c r="F90" s="77"/>
      <c r="G90" s="77"/>
      <c r="H90" s="77"/>
    </row>
    <row r="91" spans="1:14" s="29" customFormat="1" hidden="1" x14ac:dyDescent="0.3">
      <c r="A91" s="55" t="s">
        <v>100</v>
      </c>
      <c r="B91" s="55"/>
      <c r="C91" s="55"/>
      <c r="D91" s="55"/>
      <c r="E91" s="55"/>
      <c r="F91" s="77"/>
      <c r="G91" s="77"/>
      <c r="H91" s="77"/>
    </row>
    <row r="92" spans="1:14" s="29" customFormat="1" hidden="1" x14ac:dyDescent="0.3">
      <c r="A92" s="55" t="s">
        <v>101</v>
      </c>
      <c r="B92" s="55"/>
      <c r="C92" s="55"/>
      <c r="D92" s="55"/>
      <c r="E92" s="55"/>
      <c r="F92" s="77"/>
      <c r="G92" s="77"/>
      <c r="H92" s="77"/>
    </row>
    <row r="93" spans="1:14" x14ac:dyDescent="0.35">
      <c r="A93" s="55" t="s">
        <v>51</v>
      </c>
      <c r="B93" s="55"/>
      <c r="C93" s="55"/>
      <c r="D93" s="55"/>
      <c r="E93" s="55"/>
      <c r="F93" s="77">
        <v>100000</v>
      </c>
      <c r="G93" s="77"/>
      <c r="H93" s="77"/>
      <c r="J93" s="17">
        <v>4500</v>
      </c>
    </row>
    <row r="94" spans="1:14" s="30" customFormat="1" x14ac:dyDescent="0.35">
      <c r="A94" s="85" t="s">
        <v>52</v>
      </c>
      <c r="B94" s="85"/>
      <c r="C94" s="85"/>
      <c r="D94" s="85"/>
      <c r="E94" s="85"/>
      <c r="F94" s="77">
        <f>F82*0.8</f>
        <v>3360</v>
      </c>
      <c r="G94" s="77"/>
      <c r="H94" s="77"/>
    </row>
    <row r="95" spans="1:14" s="31" customFormat="1" x14ac:dyDescent="0.35">
      <c r="A95" s="130" t="s">
        <v>71</v>
      </c>
      <c r="B95" s="130"/>
      <c r="C95" s="130"/>
      <c r="D95" s="130"/>
      <c r="E95" s="130"/>
      <c r="F95" s="130"/>
      <c r="G95" s="130"/>
      <c r="H95" s="130"/>
    </row>
    <row r="96" spans="1:14" s="31" customFormat="1" ht="15.75" customHeight="1" x14ac:dyDescent="0.35">
      <c r="A96" s="79" t="s">
        <v>53</v>
      </c>
      <c r="B96" s="79"/>
      <c r="C96" s="120" t="s">
        <v>79</v>
      </c>
      <c r="D96" s="120"/>
      <c r="E96" s="84" t="s">
        <v>54</v>
      </c>
      <c r="F96" s="84"/>
      <c r="G96" s="79" t="s">
        <v>55</v>
      </c>
      <c r="H96" s="79"/>
      <c r="J96" s="49" t="s">
        <v>212</v>
      </c>
      <c r="K96" s="50"/>
      <c r="L96" s="50">
        <v>4500</v>
      </c>
      <c r="M96" s="51">
        <v>0.5</v>
      </c>
      <c r="N96" s="50" t="s">
        <v>213</v>
      </c>
    </row>
    <row r="97" spans="1:14" s="31" customFormat="1" x14ac:dyDescent="0.35">
      <c r="A97" s="129" t="s">
        <v>207</v>
      </c>
      <c r="B97" s="129"/>
      <c r="C97" s="87">
        <f>COUNT(D103:D106)+COUNT(D108:D111)*4+COUNT(D113:D116)+COUNT(D118:D120)</f>
        <v>27</v>
      </c>
      <c r="D97" s="87"/>
      <c r="E97" s="88">
        <f>SUM(D103:D106)+SUM(D108:D111)*4+SUM(D113:D116)+SUM(D118:D120)</f>
        <v>11406.072600000001</v>
      </c>
      <c r="F97" s="88"/>
      <c r="G97" s="88">
        <f>SUM(F103:F106)+SUM(F108:F111)*4+SUM(F113:F116)+SUM(F118:F120)</f>
        <v>18550</v>
      </c>
      <c r="H97" s="88"/>
    </row>
    <row r="98" spans="1:14" s="30" customFormat="1" x14ac:dyDescent="0.35">
      <c r="A98" s="117" t="s">
        <v>56</v>
      </c>
      <c r="B98" s="117"/>
      <c r="C98" s="117"/>
      <c r="D98" s="117"/>
      <c r="E98" s="117"/>
      <c r="F98" s="117"/>
      <c r="G98" s="117"/>
      <c r="H98" s="117"/>
    </row>
    <row r="99" spans="1:14" x14ac:dyDescent="0.35">
      <c r="A99" s="80" t="s">
        <v>57</v>
      </c>
      <c r="B99" s="80"/>
      <c r="C99" s="80"/>
      <c r="D99" s="80"/>
      <c r="E99" s="80"/>
      <c r="F99" s="80"/>
      <c r="G99" s="80"/>
      <c r="H99" s="80"/>
    </row>
    <row r="100" spans="1:14" ht="47.25" customHeight="1" x14ac:dyDescent="0.35">
      <c r="A100" s="46" t="s">
        <v>121</v>
      </c>
      <c r="B100" s="46" t="s">
        <v>122</v>
      </c>
      <c r="C100" s="39" t="s">
        <v>58</v>
      </c>
      <c r="D100" s="39" t="s">
        <v>59</v>
      </c>
      <c r="E100" s="45" t="s">
        <v>60</v>
      </c>
      <c r="F100" s="39" t="s">
        <v>210</v>
      </c>
      <c r="G100" s="135" t="s">
        <v>61</v>
      </c>
      <c r="H100" s="136"/>
      <c r="I100" s="32"/>
    </row>
    <row r="101" spans="1:14" s="33" customFormat="1" x14ac:dyDescent="0.35">
      <c r="A101" s="81" t="s">
        <v>198</v>
      </c>
      <c r="B101" s="82"/>
      <c r="C101" s="82"/>
      <c r="D101" s="82"/>
      <c r="E101" s="82"/>
      <c r="F101" s="82"/>
      <c r="G101" s="82"/>
      <c r="H101" s="83"/>
      <c r="J101" s="32" t="s">
        <v>209</v>
      </c>
    </row>
    <row r="102" spans="1:14" s="33" customFormat="1" x14ac:dyDescent="0.35">
      <c r="A102" s="70" t="s">
        <v>199</v>
      </c>
      <c r="B102" s="70"/>
      <c r="C102" s="70"/>
      <c r="D102" s="70"/>
      <c r="E102" s="70"/>
      <c r="F102" s="70"/>
      <c r="G102" s="70"/>
      <c r="H102" s="70"/>
      <c r="I102" s="32"/>
      <c r="J102" s="32">
        <f>3622500/F104</f>
        <v>4500</v>
      </c>
      <c r="L102" s="71"/>
      <c r="M102" s="71"/>
    </row>
    <row r="103" spans="1:14" s="33" customFormat="1" ht="15.75" customHeight="1" x14ac:dyDescent="0.35">
      <c r="A103" s="72">
        <v>1</v>
      </c>
      <c r="B103" s="72"/>
      <c r="C103" s="38" t="s">
        <v>202</v>
      </c>
      <c r="D103" s="47">
        <f>(29.72+0.75*(2.72+2.5+2.72))*(10.764)</f>
        <v>384.00569999999993</v>
      </c>
      <c r="E103" s="38">
        <v>0</v>
      </c>
      <c r="F103" s="38">
        <v>605</v>
      </c>
      <c r="G103" s="64" t="str">
        <f>A102</f>
        <v>1st Floor For Residential</v>
      </c>
      <c r="H103" s="65"/>
      <c r="I103" s="32">
        <f>2.72*3.9+2.5*2.1+2.72*3+1.2*0.9+1.2*1.45+2.6*1</f>
        <v>29.437999999999999</v>
      </c>
      <c r="J103" s="32">
        <f>3825000/F109</f>
        <v>4500</v>
      </c>
      <c r="K103" s="33">
        <f>605/D103</f>
        <v>1.575497447043104</v>
      </c>
      <c r="L103" s="33">
        <f>4500*F103</f>
        <v>2722500</v>
      </c>
      <c r="N103" s="32"/>
    </row>
    <row r="104" spans="1:14" s="33" customFormat="1" ht="15.75" customHeight="1" x14ac:dyDescent="0.35">
      <c r="A104" s="72">
        <f>A103+1</f>
        <v>2</v>
      </c>
      <c r="B104" s="72"/>
      <c r="C104" s="38" t="s">
        <v>203</v>
      </c>
      <c r="D104" s="47">
        <f>(38.7+0.75*(2.72+2.5+2.72+2.4))*(10.764)</f>
        <v>500.04162000000002</v>
      </c>
      <c r="E104" s="38">
        <v>0</v>
      </c>
      <c r="F104" s="38">
        <v>805</v>
      </c>
      <c r="G104" s="66"/>
      <c r="H104" s="67"/>
      <c r="I104" s="32"/>
      <c r="K104" s="33">
        <f>850/D104</f>
        <v>1.6998585037781455</v>
      </c>
      <c r="L104" s="33">
        <f t="shared" ref="L104:L106" si="0">4500*F104</f>
        <v>3622500</v>
      </c>
      <c r="N104" s="32"/>
    </row>
    <row r="105" spans="1:14" s="33" customFormat="1" ht="15.75" customHeight="1" x14ac:dyDescent="0.35">
      <c r="A105" s="72">
        <f>A104+1</f>
        <v>3</v>
      </c>
      <c r="B105" s="72"/>
      <c r="C105" s="38" t="s">
        <v>202</v>
      </c>
      <c r="D105" s="47">
        <f>(30.79+0.75*(2.72+2.5+2.72))*(10.764)</f>
        <v>395.52317999999997</v>
      </c>
      <c r="E105" s="38">
        <v>0</v>
      </c>
      <c r="F105" s="38">
        <v>605</v>
      </c>
      <c r="G105" s="66"/>
      <c r="H105" s="67"/>
      <c r="I105" s="47">
        <f>10.764</f>
        <v>10.763999999999999</v>
      </c>
      <c r="L105" s="33">
        <f t="shared" si="0"/>
        <v>2722500</v>
      </c>
      <c r="N105" s="32"/>
    </row>
    <row r="106" spans="1:14" s="33" customFormat="1" ht="15.75" customHeight="1" x14ac:dyDescent="0.35">
      <c r="A106" s="72">
        <f>A105+1</f>
        <v>4</v>
      </c>
      <c r="B106" s="72"/>
      <c r="C106" s="38" t="s">
        <v>202</v>
      </c>
      <c r="D106" s="47">
        <f>(29.72+0.75*(2.72+2.5+2.72))*(10.764)</f>
        <v>384.00569999999993</v>
      </c>
      <c r="E106" s="38">
        <v>0</v>
      </c>
      <c r="F106" s="38">
        <v>605</v>
      </c>
      <c r="G106" s="68"/>
      <c r="H106" s="69"/>
      <c r="I106" s="32"/>
      <c r="L106" s="33">
        <f t="shared" si="0"/>
        <v>2722500</v>
      </c>
      <c r="N106" s="32"/>
    </row>
    <row r="107" spans="1:14" s="33" customFormat="1" x14ac:dyDescent="0.35">
      <c r="A107" s="70" t="s">
        <v>148</v>
      </c>
      <c r="B107" s="70"/>
      <c r="C107" s="70"/>
      <c r="D107" s="70"/>
      <c r="E107" s="70"/>
      <c r="F107" s="70"/>
      <c r="G107" s="70"/>
      <c r="H107" s="70"/>
      <c r="I107" s="32"/>
      <c r="L107" s="71"/>
      <c r="M107" s="71"/>
    </row>
    <row r="108" spans="1:14" s="33" customFormat="1" ht="15.75" customHeight="1" x14ac:dyDescent="0.35">
      <c r="A108" s="72">
        <v>1</v>
      </c>
      <c r="B108" s="72"/>
      <c r="C108" s="38" t="s">
        <v>202</v>
      </c>
      <c r="D108" s="47">
        <f>(29.19+0.75*(2.72+2.5+2.72+4))*(10.764)</f>
        <v>410.59278</v>
      </c>
      <c r="E108" s="38">
        <v>0</v>
      </c>
      <c r="F108" s="38">
        <v>655</v>
      </c>
      <c r="G108" s="64" t="str">
        <f>A107</f>
        <v>2nd to 5th Floor</v>
      </c>
      <c r="H108" s="65"/>
      <c r="I108" s="32"/>
      <c r="L108" s="33">
        <f>4500*F108</f>
        <v>2947500</v>
      </c>
      <c r="N108" s="32"/>
    </row>
    <row r="109" spans="1:14" s="33" customFormat="1" ht="15.75" customHeight="1" x14ac:dyDescent="0.35">
      <c r="A109" s="72">
        <f>A108+1</f>
        <v>2</v>
      </c>
      <c r="B109" s="72"/>
      <c r="C109" s="38" t="s">
        <v>203</v>
      </c>
      <c r="D109" s="47">
        <f>(38.18+0.75*(2.72+2.5+2.72+4+2.4))*(10.764)</f>
        <v>526.73634000000004</v>
      </c>
      <c r="E109" s="38">
        <v>0</v>
      </c>
      <c r="F109" s="38">
        <v>850</v>
      </c>
      <c r="G109" s="66"/>
      <c r="H109" s="67"/>
      <c r="I109" s="32"/>
      <c r="L109" s="33">
        <f t="shared" ref="L109:L111" si="1">4500*F109</f>
        <v>3825000</v>
      </c>
      <c r="N109" s="32"/>
    </row>
    <row r="110" spans="1:14" s="33" customFormat="1" ht="15.75" customHeight="1" x14ac:dyDescent="0.35">
      <c r="A110" s="72">
        <f>A109+1</f>
        <v>3</v>
      </c>
      <c r="B110" s="72"/>
      <c r="C110" s="38" t="s">
        <v>202</v>
      </c>
      <c r="D110" s="47">
        <f>(29.19+0.75*(2.72+2.5+2.72+4))*(10.764)</f>
        <v>410.59278</v>
      </c>
      <c r="E110" s="38">
        <v>0</v>
      </c>
      <c r="F110" s="38">
        <v>655</v>
      </c>
      <c r="G110" s="66"/>
      <c r="H110" s="67"/>
      <c r="I110" s="32"/>
      <c r="L110" s="33">
        <f t="shared" si="1"/>
        <v>2947500</v>
      </c>
      <c r="N110" s="32"/>
    </row>
    <row r="111" spans="1:14" s="33" customFormat="1" ht="15.75" customHeight="1" x14ac:dyDescent="0.35">
      <c r="A111" s="72">
        <f>A110+1</f>
        <v>4</v>
      </c>
      <c r="B111" s="72"/>
      <c r="C111" s="38" t="s">
        <v>202</v>
      </c>
      <c r="D111" s="47">
        <f>(29.19+0.75*(2.72+2.5+2.72+4))*(10.764)</f>
        <v>410.59278</v>
      </c>
      <c r="E111" s="38">
        <v>0</v>
      </c>
      <c r="F111" s="38">
        <v>655</v>
      </c>
      <c r="G111" s="68"/>
      <c r="H111" s="69"/>
      <c r="I111" s="32"/>
      <c r="J111" s="32">
        <f>2100800/F111</f>
        <v>3207.3282442748091</v>
      </c>
      <c r="L111" s="33">
        <f t="shared" si="1"/>
        <v>2947500</v>
      </c>
      <c r="N111" s="32"/>
    </row>
    <row r="112" spans="1:14" s="33" customFormat="1" x14ac:dyDescent="0.35">
      <c r="A112" s="70" t="s">
        <v>200</v>
      </c>
      <c r="B112" s="70"/>
      <c r="C112" s="70"/>
      <c r="D112" s="70"/>
      <c r="E112" s="70"/>
      <c r="F112" s="70"/>
      <c r="G112" s="70"/>
      <c r="H112" s="70"/>
      <c r="I112" s="32"/>
      <c r="L112" s="71"/>
      <c r="M112" s="71"/>
    </row>
    <row r="113" spans="1:14" s="33" customFormat="1" ht="15.75" customHeight="1" x14ac:dyDescent="0.35">
      <c r="A113" s="72">
        <v>1</v>
      </c>
      <c r="B113" s="72"/>
      <c r="C113" s="52" t="s">
        <v>202</v>
      </c>
      <c r="D113" s="47">
        <f>(29.19+0.75*(2.72+2.5+2.72+4))*(10.764)</f>
        <v>410.59278</v>
      </c>
      <c r="E113" s="52">
        <v>0</v>
      </c>
      <c r="F113" s="52">
        <v>655</v>
      </c>
      <c r="G113" s="72" t="str">
        <f>A112</f>
        <v>6th Floor</v>
      </c>
      <c r="H113" s="72"/>
      <c r="I113" s="32"/>
      <c r="N113" s="32"/>
    </row>
    <row r="114" spans="1:14" s="33" customFormat="1" ht="15.75" customHeight="1" x14ac:dyDescent="0.35">
      <c r="A114" s="72">
        <f>A113+1</f>
        <v>2</v>
      </c>
      <c r="B114" s="72"/>
      <c r="C114" s="52" t="s">
        <v>202</v>
      </c>
      <c r="D114" s="47">
        <f>(29.19+0.75*(2.72+2.5+2.72+4))*(10.764)</f>
        <v>410.59278</v>
      </c>
      <c r="E114" s="47">
        <f>(2.4*4)*(10.764)</f>
        <v>103.33439999999999</v>
      </c>
      <c r="F114" s="52">
        <v>655</v>
      </c>
      <c r="G114" s="72"/>
      <c r="H114" s="72"/>
      <c r="I114" s="32"/>
      <c r="N114" s="32"/>
    </row>
    <row r="115" spans="1:14" s="33" customFormat="1" ht="15.75" customHeight="1" x14ac:dyDescent="0.35">
      <c r="A115" s="72">
        <f>A114+1</f>
        <v>3</v>
      </c>
      <c r="B115" s="72"/>
      <c r="C115" s="52" t="s">
        <v>202</v>
      </c>
      <c r="D115" s="47">
        <f>(30.79+0.75*(2.72+2.5+2.72+4))*(10.764)</f>
        <v>427.81518</v>
      </c>
      <c r="E115" s="52">
        <v>0</v>
      </c>
      <c r="F115" s="52">
        <v>770</v>
      </c>
      <c r="G115" s="72"/>
      <c r="H115" s="72"/>
      <c r="I115" s="32"/>
      <c r="J115" s="33">
        <f>F115/D115</f>
        <v>1.7998426329799704</v>
      </c>
      <c r="N115" s="32"/>
    </row>
    <row r="116" spans="1:14" s="33" customFormat="1" ht="15.75" customHeight="1" x14ac:dyDescent="0.35">
      <c r="A116" s="72">
        <f>A115+1</f>
        <v>4</v>
      </c>
      <c r="B116" s="72"/>
      <c r="C116" s="52" t="s">
        <v>202</v>
      </c>
      <c r="D116" s="47">
        <f>(29.19+0.75*(2.72+2.5+2.72+4))*(10.764)</f>
        <v>410.59278</v>
      </c>
      <c r="E116" s="52">
        <v>0</v>
      </c>
      <c r="F116" s="52">
        <v>655</v>
      </c>
      <c r="G116" s="72"/>
      <c r="H116" s="72"/>
      <c r="I116" s="32"/>
      <c r="N116" s="32"/>
    </row>
    <row r="117" spans="1:14" s="33" customFormat="1" x14ac:dyDescent="0.35">
      <c r="A117" s="70" t="s">
        <v>201</v>
      </c>
      <c r="B117" s="70"/>
      <c r="C117" s="70"/>
      <c r="D117" s="70"/>
      <c r="E117" s="70"/>
      <c r="F117" s="70"/>
      <c r="G117" s="70"/>
      <c r="H117" s="70"/>
      <c r="I117" s="32"/>
      <c r="L117" s="71"/>
      <c r="M117" s="71"/>
    </row>
    <row r="118" spans="1:14" s="33" customFormat="1" ht="15.75" customHeight="1" x14ac:dyDescent="0.35">
      <c r="A118" s="72">
        <v>1</v>
      </c>
      <c r="B118" s="72"/>
      <c r="C118" s="52" t="s">
        <v>205</v>
      </c>
      <c r="D118" s="47">
        <f>(19.11+0.75*2.72)*(10.764)</f>
        <v>227.65859999999998</v>
      </c>
      <c r="E118" s="47">
        <f>(2.5*1.5+2.7*3.2)*(10.764)</f>
        <v>133.36596</v>
      </c>
      <c r="F118" s="52">
        <v>510</v>
      </c>
      <c r="G118" s="72" t="str">
        <f>A117</f>
        <v>7th Floor (Part Terrace Area)</v>
      </c>
      <c r="H118" s="72"/>
      <c r="I118" s="32"/>
      <c r="N118" s="32"/>
    </row>
    <row r="119" spans="1:14" s="33" customFormat="1" ht="15.75" customHeight="1" x14ac:dyDescent="0.35">
      <c r="A119" s="72">
        <f>A118+1</f>
        <v>2</v>
      </c>
      <c r="B119" s="72"/>
      <c r="C119" s="52" t="s">
        <v>202</v>
      </c>
      <c r="D119" s="47">
        <f>(29.19+0.75*(2.72+2.5+2.72+4))*(10.764)</f>
        <v>410.59278</v>
      </c>
      <c r="E119" s="47">
        <f>(2*1)*(10.764)</f>
        <v>21.527999999999999</v>
      </c>
      <c r="F119" s="52">
        <v>770</v>
      </c>
      <c r="G119" s="72"/>
      <c r="H119" s="72"/>
      <c r="I119" s="32"/>
      <c r="N119" s="32"/>
    </row>
    <row r="120" spans="1:14" s="33" customFormat="1" ht="15.75" customHeight="1" x14ac:dyDescent="0.35">
      <c r="A120" s="72">
        <f>A119+1</f>
        <v>3</v>
      </c>
      <c r="B120" s="72"/>
      <c r="C120" s="52" t="s">
        <v>202</v>
      </c>
      <c r="D120" s="47">
        <f>(29.19+0.75*(2.72+2.5+2.72+4))*(10.764)</f>
        <v>410.59278</v>
      </c>
      <c r="E120" s="52">
        <v>0</v>
      </c>
      <c r="F120" s="52">
        <v>655</v>
      </c>
      <c r="G120" s="72"/>
      <c r="H120" s="72"/>
      <c r="I120" s="32"/>
      <c r="N120" s="32"/>
    </row>
    <row r="121" spans="1:14" s="33" customFormat="1" ht="15.75" customHeight="1" x14ac:dyDescent="0.35">
      <c r="A121" s="72">
        <f>A120+1</f>
        <v>4</v>
      </c>
      <c r="B121" s="72"/>
      <c r="C121" s="72" t="s">
        <v>204</v>
      </c>
      <c r="D121" s="72"/>
      <c r="E121" s="72"/>
      <c r="F121" s="72"/>
      <c r="G121" s="72"/>
      <c r="H121" s="72"/>
      <c r="I121" s="32"/>
      <c r="N121" s="32"/>
    </row>
    <row r="122" spans="1:14" s="31" customFormat="1" x14ac:dyDescent="0.35">
      <c r="A122" s="119" t="s">
        <v>69</v>
      </c>
      <c r="B122" s="119"/>
      <c r="C122" s="119"/>
      <c r="D122" s="119"/>
      <c r="E122" s="119"/>
      <c r="F122" s="119"/>
      <c r="G122" s="119"/>
      <c r="H122" s="119"/>
    </row>
    <row r="123" spans="1:14" s="31" customFormat="1" x14ac:dyDescent="0.35">
      <c r="A123" s="41" t="s">
        <v>154</v>
      </c>
      <c r="B123" s="131" t="s">
        <v>222</v>
      </c>
      <c r="C123" s="132"/>
      <c r="D123" s="132"/>
      <c r="E123" s="132"/>
      <c r="F123" s="132"/>
      <c r="G123" s="132"/>
      <c r="H123" s="133"/>
    </row>
    <row r="124" spans="1:14" s="31" customFormat="1" x14ac:dyDescent="0.35">
      <c r="A124" s="41" t="s">
        <v>154</v>
      </c>
      <c r="B124" s="131" t="str">
        <f>(IF(F100="Saleable area Loading :","We have considered Saleable area of Flats as per our Calculation.","We considered Saleable area of Flat as per Builder area Sheet."))</f>
        <v>We considered Saleable area of Flat as per Builder area Sheet.</v>
      </c>
      <c r="C124" s="132"/>
      <c r="D124" s="132"/>
      <c r="E124" s="132"/>
      <c r="F124" s="132"/>
      <c r="G124" s="132"/>
      <c r="H124" s="133"/>
    </row>
    <row r="125" spans="1:14" s="31" customFormat="1" x14ac:dyDescent="0.35">
      <c r="A125" s="41" t="s">
        <v>154</v>
      </c>
      <c r="B125" s="58" t="s">
        <v>125</v>
      </c>
      <c r="C125" s="59"/>
      <c r="D125" s="59"/>
      <c r="E125" s="59"/>
      <c r="F125" s="59"/>
      <c r="G125" s="59"/>
      <c r="H125" s="60"/>
    </row>
    <row r="126" spans="1:14" s="31" customFormat="1" x14ac:dyDescent="0.35">
      <c r="A126" s="41" t="s">
        <v>154</v>
      </c>
      <c r="B126" s="58" t="s">
        <v>206</v>
      </c>
      <c r="C126" s="59"/>
      <c r="D126" s="59"/>
      <c r="E126" s="59"/>
      <c r="F126" s="59"/>
      <c r="G126" s="59"/>
      <c r="H126" s="60"/>
    </row>
    <row r="127" spans="1:14" s="31" customFormat="1" x14ac:dyDescent="0.35">
      <c r="A127" s="41" t="s">
        <v>154</v>
      </c>
      <c r="B127" s="58" t="s">
        <v>153</v>
      </c>
      <c r="C127" s="59"/>
      <c r="D127" s="59"/>
      <c r="E127" s="59"/>
      <c r="F127" s="59"/>
      <c r="G127" s="59"/>
      <c r="H127" s="60"/>
    </row>
    <row r="128" spans="1:14" s="31" customFormat="1" x14ac:dyDescent="0.35">
      <c r="A128" s="41" t="s">
        <v>154</v>
      </c>
      <c r="B128" s="58" t="s">
        <v>126</v>
      </c>
      <c r="C128" s="59"/>
      <c r="D128" s="59"/>
      <c r="E128" s="59"/>
      <c r="F128" s="59"/>
      <c r="G128" s="59"/>
      <c r="H128" s="60"/>
    </row>
    <row r="129" spans="1:8" s="31" customFormat="1" ht="34.5" customHeight="1" x14ac:dyDescent="0.35">
      <c r="A129" s="41" t="s">
        <v>154</v>
      </c>
      <c r="B129" s="58" t="s">
        <v>155</v>
      </c>
      <c r="C129" s="59"/>
      <c r="D129" s="59"/>
      <c r="E129" s="59"/>
      <c r="F129" s="59"/>
      <c r="G129" s="59"/>
      <c r="H129" s="60"/>
    </row>
    <row r="130" spans="1:8" s="31" customFormat="1" x14ac:dyDescent="0.35">
      <c r="A130" s="41" t="s">
        <v>154</v>
      </c>
      <c r="B130" s="58" t="s">
        <v>127</v>
      </c>
      <c r="C130" s="59"/>
      <c r="D130" s="59"/>
      <c r="E130" s="59"/>
      <c r="F130" s="59"/>
      <c r="G130" s="59"/>
      <c r="H130" s="60"/>
    </row>
    <row r="131" spans="1:8" s="31" customFormat="1" x14ac:dyDescent="0.35">
      <c r="A131" s="41" t="s">
        <v>154</v>
      </c>
      <c r="B131" s="58" t="s">
        <v>193</v>
      </c>
      <c r="C131" s="59"/>
      <c r="D131" s="59"/>
      <c r="E131" s="59"/>
      <c r="F131" s="59"/>
      <c r="G131" s="59"/>
      <c r="H131" s="60"/>
    </row>
    <row r="132" spans="1:8" x14ac:dyDescent="0.35">
      <c r="A132" s="124" t="s">
        <v>62</v>
      </c>
      <c r="B132" s="124"/>
      <c r="C132" s="124"/>
      <c r="D132" s="124"/>
      <c r="E132" s="124"/>
      <c r="F132" s="124"/>
      <c r="G132" s="124"/>
      <c r="H132" s="124"/>
    </row>
    <row r="133" spans="1:8" x14ac:dyDescent="0.35">
      <c r="A133" s="55" t="s">
        <v>63</v>
      </c>
      <c r="B133" s="55"/>
      <c r="C133" s="55"/>
      <c r="D133" s="55"/>
      <c r="E133" s="55"/>
      <c r="F133" s="55"/>
      <c r="G133" s="55"/>
      <c r="H133" s="55"/>
    </row>
    <row r="134" spans="1:8" ht="15.75" customHeight="1" x14ac:dyDescent="0.35">
      <c r="A134" s="134" t="s">
        <v>64</v>
      </c>
      <c r="B134" s="134"/>
      <c r="C134" s="134"/>
      <c r="D134" s="134"/>
      <c r="E134" s="134"/>
      <c r="F134" s="134"/>
      <c r="G134" s="134"/>
      <c r="H134" s="134"/>
    </row>
    <row r="135" spans="1:8" x14ac:dyDescent="0.35">
      <c r="A135" s="55" t="s">
        <v>65</v>
      </c>
      <c r="B135" s="55"/>
      <c r="C135" s="55"/>
      <c r="D135" s="55"/>
      <c r="E135" s="55"/>
      <c r="F135" s="55"/>
      <c r="G135" s="55"/>
      <c r="H135" s="55"/>
    </row>
    <row r="136" spans="1:8" x14ac:dyDescent="0.35">
      <c r="A136" s="55" t="s">
        <v>66</v>
      </c>
      <c r="B136" s="55"/>
      <c r="C136" s="55"/>
      <c r="D136" s="55"/>
      <c r="E136" s="55"/>
      <c r="F136" s="55"/>
      <c r="G136" s="55"/>
      <c r="H136" s="55"/>
    </row>
    <row r="137" spans="1:8" x14ac:dyDescent="0.35">
      <c r="A137" s="55" t="s">
        <v>128</v>
      </c>
      <c r="B137" s="55"/>
      <c r="C137" s="55"/>
      <c r="D137" s="55"/>
      <c r="E137" s="55"/>
      <c r="F137" s="55"/>
      <c r="G137" s="55"/>
      <c r="H137" s="55"/>
    </row>
    <row r="138" spans="1:8" x14ac:dyDescent="0.35">
      <c r="A138" s="91" t="s">
        <v>129</v>
      </c>
      <c r="B138" s="91"/>
      <c r="C138" s="91"/>
      <c r="D138" s="91"/>
      <c r="E138" s="91"/>
      <c r="F138" s="91"/>
      <c r="G138" s="91"/>
      <c r="H138" s="91"/>
    </row>
    <row r="139" spans="1:8" x14ac:dyDescent="0.35">
      <c r="A139" s="128" t="s">
        <v>78</v>
      </c>
      <c r="B139" s="128"/>
      <c r="C139" s="128" t="s">
        <v>220</v>
      </c>
      <c r="D139" s="128"/>
      <c r="E139" s="128" t="s">
        <v>108</v>
      </c>
      <c r="F139" s="128"/>
      <c r="G139" s="128" t="s">
        <v>221</v>
      </c>
      <c r="H139" s="128"/>
    </row>
    <row r="140" spans="1:8" x14ac:dyDescent="0.35">
      <c r="A140" s="127" t="s">
        <v>80</v>
      </c>
      <c r="B140" s="127"/>
      <c r="C140" s="127"/>
      <c r="D140" s="127"/>
      <c r="E140" s="127"/>
      <c r="F140" s="127"/>
      <c r="G140" s="127"/>
      <c r="H140" s="127"/>
    </row>
    <row r="141" spans="1:8" x14ac:dyDescent="0.35">
      <c r="A141" s="127"/>
      <c r="B141" s="127"/>
      <c r="C141" s="127"/>
      <c r="D141" s="127"/>
      <c r="E141" s="127"/>
      <c r="F141" s="127"/>
      <c r="G141" s="127"/>
      <c r="H141" s="127"/>
    </row>
    <row r="142" spans="1:8" x14ac:dyDescent="0.35">
      <c r="A142" s="127"/>
      <c r="B142" s="127"/>
      <c r="C142" s="127"/>
      <c r="D142" s="127"/>
      <c r="E142" s="127"/>
      <c r="F142" s="127"/>
      <c r="G142" s="127"/>
      <c r="H142" s="127"/>
    </row>
    <row r="143" spans="1:8" x14ac:dyDescent="0.35">
      <c r="A143" s="127"/>
      <c r="B143" s="127"/>
      <c r="C143" s="127"/>
      <c r="D143" s="127"/>
      <c r="E143" s="127"/>
      <c r="F143" s="127"/>
      <c r="G143" s="127"/>
      <c r="H143" s="127"/>
    </row>
    <row r="144" spans="1:8" x14ac:dyDescent="0.35">
      <c r="A144" s="34" t="s">
        <v>67</v>
      </c>
      <c r="B144" s="35"/>
      <c r="C144" s="35"/>
      <c r="D144" s="34" t="str">
        <f>E8</f>
        <v>Vaishnavi Heights</v>
      </c>
      <c r="F144" s="35"/>
      <c r="G144" s="35"/>
      <c r="H144" s="35"/>
    </row>
    <row r="145" spans="1:8" x14ac:dyDescent="0.35">
      <c r="A145" s="35"/>
      <c r="B145" s="35"/>
      <c r="C145" s="35"/>
      <c r="D145" s="35"/>
      <c r="E145" s="35"/>
      <c r="F145" s="35"/>
      <c r="G145" s="35"/>
      <c r="H145" s="35"/>
    </row>
    <row r="146" spans="1:8" x14ac:dyDescent="0.35">
      <c r="A146" s="35"/>
      <c r="B146" s="35"/>
      <c r="C146" s="35"/>
      <c r="D146" s="35"/>
      <c r="E146" s="35"/>
      <c r="F146" s="35"/>
      <c r="G146" s="35"/>
      <c r="H146" s="35"/>
    </row>
    <row r="147" spans="1:8" ht="15" customHeight="1" x14ac:dyDescent="0.35"/>
    <row r="186" spans="1:1" x14ac:dyDescent="0.35">
      <c r="A186" s="37" t="s">
        <v>166</v>
      </c>
    </row>
    <row r="228" spans="1:1" x14ac:dyDescent="0.35">
      <c r="A228" s="37" t="s">
        <v>68</v>
      </c>
    </row>
  </sheetData>
  <mergeCells count="251">
    <mergeCell ref="A57:C57"/>
    <mergeCell ref="D57:H57"/>
    <mergeCell ref="A9:D9"/>
    <mergeCell ref="E9:H9"/>
    <mergeCell ref="B123:H123"/>
    <mergeCell ref="B124:H124"/>
    <mergeCell ref="E43:H43"/>
    <mergeCell ref="A43:D43"/>
    <mergeCell ref="A137:H137"/>
    <mergeCell ref="A134:H134"/>
    <mergeCell ref="A103:B103"/>
    <mergeCell ref="A96:B96"/>
    <mergeCell ref="G100:H100"/>
    <mergeCell ref="A76:B76"/>
    <mergeCell ref="F82:H82"/>
    <mergeCell ref="C50:E50"/>
    <mergeCell ref="G50:H50"/>
    <mergeCell ref="G52:H52"/>
    <mergeCell ref="D56:H56"/>
    <mergeCell ref="C52:E52"/>
    <mergeCell ref="A59:C59"/>
    <mergeCell ref="D59:H59"/>
    <mergeCell ref="C51:E51"/>
    <mergeCell ref="A54:B54"/>
    <mergeCell ref="C54:E54"/>
    <mergeCell ref="A51:B51"/>
    <mergeCell ref="A55:H55"/>
    <mergeCell ref="A56:C56"/>
    <mergeCell ref="F81:H81"/>
    <mergeCell ref="F86:H86"/>
    <mergeCell ref="G54:H54"/>
    <mergeCell ref="A140:H143"/>
    <mergeCell ref="A139:B139"/>
    <mergeCell ref="E139:F139"/>
    <mergeCell ref="C139:D139"/>
    <mergeCell ref="G139:H139"/>
    <mergeCell ref="A93:E93"/>
    <mergeCell ref="F93:H93"/>
    <mergeCell ref="A94:E94"/>
    <mergeCell ref="F94:H94"/>
    <mergeCell ref="A102:H102"/>
    <mergeCell ref="A97:B97"/>
    <mergeCell ref="A135:H135"/>
    <mergeCell ref="A95:H95"/>
    <mergeCell ref="A138:H138"/>
    <mergeCell ref="A136:H136"/>
    <mergeCell ref="A132:H132"/>
    <mergeCell ref="A133:H133"/>
    <mergeCell ref="B131:H131"/>
    <mergeCell ref="B128:H128"/>
    <mergeCell ref="A98:H98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22:H122"/>
    <mergeCell ref="A119:B119"/>
    <mergeCell ref="A116:B116"/>
    <mergeCell ref="A104:B104"/>
    <mergeCell ref="A105:B105"/>
    <mergeCell ref="A92:E92"/>
    <mergeCell ref="C96:D96"/>
    <mergeCell ref="A18:B18"/>
    <mergeCell ref="C18:H18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7:B17"/>
    <mergeCell ref="A13:D13"/>
    <mergeCell ref="E13:H13"/>
    <mergeCell ref="A14:D14"/>
    <mergeCell ref="A11:D11"/>
    <mergeCell ref="E11:H11"/>
    <mergeCell ref="A23:D24"/>
    <mergeCell ref="E23:H24"/>
    <mergeCell ref="E14:H14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38:H38"/>
    <mergeCell ref="A37:B37"/>
    <mergeCell ref="C37:E37"/>
    <mergeCell ref="A42:D42"/>
    <mergeCell ref="E42:H42"/>
    <mergeCell ref="F34:H34"/>
    <mergeCell ref="F35:H35"/>
    <mergeCell ref="A41:H41"/>
    <mergeCell ref="A60:C60"/>
    <mergeCell ref="D60:H60"/>
    <mergeCell ref="A44:D44"/>
    <mergeCell ref="E44:H44"/>
    <mergeCell ref="E45:H45"/>
    <mergeCell ref="E46:H46"/>
    <mergeCell ref="E47:H47"/>
    <mergeCell ref="A45:D45"/>
    <mergeCell ref="F37:H37"/>
    <mergeCell ref="A47:D47"/>
    <mergeCell ref="A48:H48"/>
    <mergeCell ref="D58:H58"/>
    <mergeCell ref="A58:C58"/>
    <mergeCell ref="G51:H51"/>
    <mergeCell ref="A52:B53"/>
    <mergeCell ref="A50:B50"/>
    <mergeCell ref="A39:B39"/>
    <mergeCell ref="C39:H39"/>
    <mergeCell ref="A46:D46"/>
    <mergeCell ref="A78:B78"/>
    <mergeCell ref="C97:D97"/>
    <mergeCell ref="E97:F97"/>
    <mergeCell ref="G97:H97"/>
    <mergeCell ref="F88:H88"/>
    <mergeCell ref="A82:E82"/>
    <mergeCell ref="A61:C61"/>
    <mergeCell ref="E71:F80"/>
    <mergeCell ref="G71:H80"/>
    <mergeCell ref="A79:B79"/>
    <mergeCell ref="A80:B80"/>
    <mergeCell ref="D61:H6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G96:H96"/>
    <mergeCell ref="F89:H89"/>
    <mergeCell ref="F92:H92"/>
    <mergeCell ref="F90:H90"/>
    <mergeCell ref="A99:H99"/>
    <mergeCell ref="A91:E91"/>
    <mergeCell ref="A101:H101"/>
    <mergeCell ref="F91:H91"/>
    <mergeCell ref="E96:F96"/>
    <mergeCell ref="L117:M117"/>
    <mergeCell ref="A40:B40"/>
    <mergeCell ref="C40:H40"/>
    <mergeCell ref="B129:H129"/>
    <mergeCell ref="A49:B49"/>
    <mergeCell ref="C49:H49"/>
    <mergeCell ref="B127:H127"/>
    <mergeCell ref="F83:H83"/>
    <mergeCell ref="A83:E83"/>
    <mergeCell ref="A85:E85"/>
    <mergeCell ref="A108:B108"/>
    <mergeCell ref="A109:B109"/>
    <mergeCell ref="A87:E87"/>
    <mergeCell ref="F87:H87"/>
    <mergeCell ref="A88:E88"/>
    <mergeCell ref="A90:E90"/>
    <mergeCell ref="F84:H84"/>
    <mergeCell ref="A89:E89"/>
    <mergeCell ref="A84:E84"/>
    <mergeCell ref="A81:E81"/>
    <mergeCell ref="F85:H85"/>
    <mergeCell ref="B125:H125"/>
    <mergeCell ref="B126:H126"/>
    <mergeCell ref="L102:M102"/>
    <mergeCell ref="A15:D15"/>
    <mergeCell ref="E15:H15"/>
    <mergeCell ref="B130:H130"/>
    <mergeCell ref="C53:H53"/>
    <mergeCell ref="G103:H106"/>
    <mergeCell ref="A107:H107"/>
    <mergeCell ref="L107:M107"/>
    <mergeCell ref="G108:H111"/>
    <mergeCell ref="A111:B111"/>
    <mergeCell ref="L112:M112"/>
    <mergeCell ref="A113:B113"/>
    <mergeCell ref="G113:H116"/>
    <mergeCell ref="A114:B114"/>
    <mergeCell ref="A117:H117"/>
    <mergeCell ref="G118:H121"/>
    <mergeCell ref="C121:F121"/>
    <mergeCell ref="A86:E86"/>
    <mergeCell ref="A112:H112"/>
    <mergeCell ref="A118:B118"/>
    <mergeCell ref="A115:B115"/>
    <mergeCell ref="A110:B110"/>
    <mergeCell ref="A120:B120"/>
    <mergeCell ref="A121:B121"/>
    <mergeCell ref="A106:B106"/>
  </mergeCells>
  <hyperlinks>
    <hyperlink ref="C40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143" max="16383" man="1"/>
    <brk id="185" max="16383" man="1"/>
    <brk id="22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38" t="s">
        <v>109</v>
      </c>
      <c r="C3" s="138"/>
      <c r="D3" s="138"/>
      <c r="E3" s="138"/>
      <c r="F3" s="138"/>
      <c r="G3" s="138"/>
      <c r="H3" s="138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P20" sqref="P2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2025-09-09T11:55:35Z</cp:lastPrinted>
  <dcterms:created xsi:type="dcterms:W3CDTF">2019-07-16T09:29:46Z</dcterms:created>
  <dcterms:modified xsi:type="dcterms:W3CDTF">2025-09-09T11:57:05Z</dcterms:modified>
</cp:coreProperties>
</file>