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Sept 2025\09-09-2025\"/>
    </mc:Choice>
  </mc:AlternateContent>
  <bookViews>
    <workbookView xWindow="0" yWindow="0" windowWidth="19200" windowHeight="6640"/>
  </bookViews>
  <sheets>
    <sheet name="Final Report" sheetId="6" r:id="rId1"/>
    <sheet name="Report" sheetId="1" r:id="rId2"/>
    <sheet name="Flat detail" sheetId="3" r:id="rId3"/>
    <sheet name="Note" sheetId="4" r:id="rId4"/>
    <sheet name="valuation" sheetId="5" r:id="rId5"/>
  </sheets>
  <definedNames>
    <definedName name="_xlnm.Print_Area" localSheetId="0">'Final Report'!$A$1:$H$382</definedName>
    <definedName name="_xlnm.Print_Area" localSheetId="1">Report!$A$1:$H$306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0" i="6" l="1"/>
  <c r="C64" i="6"/>
  <c r="K104" i="6" l="1"/>
  <c r="K103" i="6"/>
  <c r="K102" i="6"/>
  <c r="K101" i="6"/>
  <c r="E39" i="6"/>
  <c r="D249" i="6"/>
  <c r="F249" i="6" s="1"/>
  <c r="D248" i="6"/>
  <c r="D247" i="6"/>
  <c r="D246" i="6"/>
  <c r="D244" i="6"/>
  <c r="D243" i="6"/>
  <c r="D242" i="6"/>
  <c r="D241" i="6"/>
  <c r="D239" i="6"/>
  <c r="D238" i="6"/>
  <c r="D237" i="6"/>
  <c r="D236" i="6"/>
  <c r="D234" i="6"/>
  <c r="D233" i="6"/>
  <c r="D232" i="6"/>
  <c r="D231" i="6"/>
  <c r="D229" i="6"/>
  <c r="D228" i="6"/>
  <c r="D227" i="6"/>
  <c r="D226" i="6"/>
  <c r="E248" i="6"/>
  <c r="E249" i="6"/>
  <c r="E247" i="6"/>
  <c r="G246" i="6"/>
  <c r="E246" i="6"/>
  <c r="E243" i="6"/>
  <c r="E244" i="6"/>
  <c r="E242" i="6"/>
  <c r="G241" i="6"/>
  <c r="E241" i="6"/>
  <c r="E239" i="6"/>
  <c r="E238" i="6"/>
  <c r="E237" i="6"/>
  <c r="E234" i="6"/>
  <c r="E233" i="6"/>
  <c r="E232" i="6"/>
  <c r="E231" i="6"/>
  <c r="G236" i="6"/>
  <c r="E236" i="6"/>
  <c r="G226" i="6"/>
  <c r="G231" i="6"/>
  <c r="E229" i="6"/>
  <c r="E228" i="6"/>
  <c r="E227" i="6"/>
  <c r="E226" i="6"/>
  <c r="I226" i="6"/>
  <c r="H94" i="6"/>
  <c r="F242" i="6" l="1"/>
  <c r="F247" i="6"/>
  <c r="F239" i="6"/>
  <c r="F231" i="6"/>
  <c r="F237" i="6"/>
  <c r="F244" i="6"/>
  <c r="C129" i="6"/>
  <c r="F246" i="6"/>
  <c r="F241" i="6"/>
  <c r="D129" i="6"/>
  <c r="K98" i="6"/>
  <c r="C97" i="6" s="1"/>
  <c r="D97" i="6" s="1"/>
  <c r="D106" i="6"/>
  <c r="D102" i="6"/>
  <c r="K97" i="6"/>
  <c r="D105" i="6"/>
  <c r="D101" i="6"/>
  <c r="K99" i="6"/>
  <c r="K100" i="6" s="1"/>
  <c r="K105" i="6" s="1"/>
  <c r="K106" i="6" s="1"/>
  <c r="C98" i="6" s="1"/>
  <c r="D98" i="6" s="1"/>
  <c r="D104" i="6"/>
  <c r="D100" i="6"/>
  <c r="D103" i="6"/>
  <c r="D99" i="6"/>
  <c r="K96" i="6"/>
  <c r="F236" i="6"/>
  <c r="F248" i="6"/>
  <c r="F243" i="6"/>
  <c r="F238" i="6"/>
  <c r="F234" i="6"/>
  <c r="F233" i="6"/>
  <c r="F232" i="6"/>
  <c r="E3" i="6"/>
  <c r="I93" i="6" l="1"/>
  <c r="C95" i="6" s="1"/>
  <c r="E97" i="6" s="1"/>
  <c r="G97" i="6"/>
  <c r="K90" i="6"/>
  <c r="K89" i="6"/>
  <c r="K88" i="6"/>
  <c r="K87" i="6"/>
  <c r="H79" i="6"/>
  <c r="D85" i="6" l="1"/>
  <c r="D89" i="6"/>
  <c r="D92" i="6"/>
  <c r="D88" i="6"/>
  <c r="K84" i="6"/>
  <c r="C83" i="6" s="1"/>
  <c r="K82" i="6"/>
  <c r="D90" i="6"/>
  <c r="K85" i="6"/>
  <c r="K86" i="6" s="1"/>
  <c r="K91" i="6" s="1"/>
  <c r="K92" i="6" s="1"/>
  <c r="C84" i="6" s="1"/>
  <c r="D91" i="6"/>
  <c r="D87" i="6"/>
  <c r="K83" i="6"/>
  <c r="D86" i="6"/>
  <c r="D220" i="6"/>
  <c r="D222" i="6"/>
  <c r="D221" i="6"/>
  <c r="D219" i="6"/>
  <c r="D218" i="6"/>
  <c r="D217" i="6"/>
  <c r="E222" i="6"/>
  <c r="E221" i="6"/>
  <c r="E220" i="6"/>
  <c r="E219" i="6"/>
  <c r="E218" i="6"/>
  <c r="E217" i="6"/>
  <c r="E213" i="6"/>
  <c r="E215" i="6"/>
  <c r="E214" i="6"/>
  <c r="E212" i="6"/>
  <c r="E211" i="6"/>
  <c r="E210" i="6"/>
  <c r="D213" i="6"/>
  <c r="D215" i="6"/>
  <c r="D214" i="6"/>
  <c r="D212" i="6"/>
  <c r="D211" i="6"/>
  <c r="D210" i="6"/>
  <c r="F219" i="6" l="1"/>
  <c r="F218" i="6"/>
  <c r="F222" i="6"/>
  <c r="G83" i="6"/>
  <c r="F221" i="6"/>
  <c r="D83" i="6"/>
  <c r="I78" i="6" s="1"/>
  <c r="E83" i="6" s="1"/>
  <c r="F220" i="6"/>
  <c r="F217" i="6"/>
  <c r="E208" i="6"/>
  <c r="E207" i="6"/>
  <c r="E206" i="6"/>
  <c r="E205" i="6"/>
  <c r="E204" i="6"/>
  <c r="E203" i="6"/>
  <c r="D201" i="6"/>
  <c r="D208" i="6"/>
  <c r="D206" i="6"/>
  <c r="D193" i="6"/>
  <c r="D200" i="6"/>
  <c r="D207" i="6"/>
  <c r="D205" i="6"/>
  <c r="D203" i="6"/>
  <c r="D204" i="6"/>
  <c r="D84" i="6" l="1"/>
  <c r="F203" i="6"/>
  <c r="E201" i="6"/>
  <c r="E200" i="6"/>
  <c r="E199" i="6"/>
  <c r="E198" i="6"/>
  <c r="E197" i="6"/>
  <c r="E196" i="6"/>
  <c r="D199" i="6"/>
  <c r="D198" i="6"/>
  <c r="D197" i="6"/>
  <c r="D196" i="6"/>
  <c r="E194" i="6"/>
  <c r="E193" i="6"/>
  <c r="D194" i="6"/>
  <c r="E192" i="6"/>
  <c r="D192" i="6"/>
  <c r="D191" i="6"/>
  <c r="E191" i="6"/>
  <c r="E190" i="6"/>
  <c r="D190" i="6"/>
  <c r="D189" i="6"/>
  <c r="E189" i="6"/>
  <c r="C128" i="6" l="1"/>
  <c r="D128" i="6"/>
  <c r="F11" i="5"/>
  <c r="G11" i="5" s="1"/>
  <c r="F10" i="5"/>
  <c r="G10" i="5" s="1"/>
  <c r="F9" i="5"/>
  <c r="G9" i="5" s="1"/>
  <c r="F8" i="5"/>
  <c r="G8" i="5" s="1"/>
  <c r="F7" i="5"/>
  <c r="G7" i="5" s="1"/>
  <c r="F6" i="5"/>
  <c r="G6" i="5" s="1"/>
  <c r="F5" i="5"/>
  <c r="G5" i="5"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219" i="1"/>
  <c r="E204" i="1"/>
  <c r="D204" i="1"/>
  <c r="E203" i="1"/>
  <c r="D203" i="1"/>
  <c r="F203" i="1" s="1"/>
  <c r="E202" i="1"/>
  <c r="D202" i="1"/>
  <c r="F202" i="1" s="1"/>
  <c r="E201" i="1"/>
  <c r="C115" i="1" s="1"/>
  <c r="D201" i="1"/>
  <c r="F201" i="1" s="1"/>
  <c r="E198" i="1"/>
  <c r="D198" i="1"/>
  <c r="F198" i="1" s="1"/>
  <c r="E197" i="1"/>
  <c r="D197" i="1"/>
  <c r="E196" i="1"/>
  <c r="D196" i="1"/>
  <c r="E195" i="1"/>
  <c r="D195" i="1"/>
  <c r="E194" i="1"/>
  <c r="D194" i="1"/>
  <c r="E193" i="1"/>
  <c r="D193" i="1"/>
  <c r="F193" i="1" s="1"/>
  <c r="E191" i="1"/>
  <c r="D191" i="1"/>
  <c r="E190" i="1"/>
  <c r="D190" i="1"/>
  <c r="F190" i="1" s="1"/>
  <c r="E189" i="1"/>
  <c r="D189" i="1"/>
  <c r="F189" i="1" s="1"/>
  <c r="E188" i="1"/>
  <c r="D188" i="1"/>
  <c r="F188" i="1" s="1"/>
  <c r="E187" i="1"/>
  <c r="D187" i="1"/>
  <c r="E186" i="1"/>
  <c r="D186" i="1"/>
  <c r="E184" i="1"/>
  <c r="D184" i="1"/>
  <c r="E183" i="1"/>
  <c r="D183" i="1"/>
  <c r="E182" i="1"/>
  <c r="D182" i="1"/>
  <c r="E181" i="1"/>
  <c r="D181" i="1"/>
  <c r="E180" i="1"/>
  <c r="D180" i="1"/>
  <c r="F180" i="1" s="1"/>
  <c r="E179" i="1"/>
  <c r="D179" i="1"/>
  <c r="E177" i="1"/>
  <c r="D177" i="1"/>
  <c r="E176" i="1"/>
  <c r="D176" i="1"/>
  <c r="E175" i="1"/>
  <c r="D175" i="1"/>
  <c r="E174" i="1"/>
  <c r="D174" i="1"/>
  <c r="E173" i="1"/>
  <c r="D173" i="1"/>
  <c r="E172" i="1"/>
  <c r="D172" i="1"/>
  <c r="E169" i="1"/>
  <c r="D169" i="1"/>
  <c r="F169" i="1" s="1"/>
  <c r="E168" i="1"/>
  <c r="D168" i="1"/>
  <c r="E167" i="1"/>
  <c r="D167" i="1"/>
  <c r="F167" i="1" s="1"/>
  <c r="E166" i="1"/>
  <c r="D166" i="1"/>
  <c r="E165" i="1"/>
  <c r="D165" i="1"/>
  <c r="F165" i="1" s="1"/>
  <c r="E163" i="1"/>
  <c r="D163" i="1"/>
  <c r="E162" i="1"/>
  <c r="D162" i="1"/>
  <c r="E161" i="1"/>
  <c r="D161" i="1"/>
  <c r="E160" i="1"/>
  <c r="D160" i="1"/>
  <c r="I159" i="1"/>
  <c r="E159" i="1"/>
  <c r="D159" i="1"/>
  <c r="E157" i="1"/>
  <c r="D157" i="1"/>
  <c r="F157" i="1" s="1"/>
  <c r="E156" i="1"/>
  <c r="D156" i="1"/>
  <c r="D155" i="1"/>
  <c r="F155" i="1" s="1"/>
  <c r="E154" i="1"/>
  <c r="D154" i="1"/>
  <c r="E153" i="1"/>
  <c r="D153" i="1"/>
  <c r="F153" i="1" s="1"/>
  <c r="E152" i="1"/>
  <c r="D152" i="1"/>
  <c r="E150" i="1"/>
  <c r="D150" i="1"/>
  <c r="F150" i="1" s="1"/>
  <c r="E149" i="1"/>
  <c r="F149" i="1" s="1"/>
  <c r="D149" i="1"/>
  <c r="E148" i="1"/>
  <c r="D148" i="1"/>
  <c r="E147" i="1"/>
  <c r="D147" i="1"/>
  <c r="F147" i="1" s="1"/>
  <c r="E146" i="1"/>
  <c r="D146" i="1"/>
  <c r="E145" i="1"/>
  <c r="D145" i="1"/>
  <c r="E143" i="1"/>
  <c r="D143" i="1"/>
  <c r="F143" i="1" s="1"/>
  <c r="E142" i="1"/>
  <c r="D142" i="1"/>
  <c r="E141" i="1"/>
  <c r="D141" i="1"/>
  <c r="F141" i="1" s="1"/>
  <c r="E140" i="1"/>
  <c r="D140" i="1"/>
  <c r="E139" i="1"/>
  <c r="D139" i="1"/>
  <c r="E138" i="1"/>
  <c r="D138" i="1"/>
  <c r="F138" i="1" s="1"/>
  <c r="E136" i="1"/>
  <c r="D136" i="1"/>
  <c r="F136" i="1" s="1"/>
  <c r="E135" i="1"/>
  <c r="D135" i="1"/>
  <c r="E134" i="1"/>
  <c r="D134" i="1"/>
  <c r="E133" i="1"/>
  <c r="D133" i="1"/>
  <c r="F133" i="1" s="1"/>
  <c r="E132" i="1"/>
  <c r="D132" i="1"/>
  <c r="E131" i="1"/>
  <c r="D131" i="1"/>
  <c r="F131" i="1" s="1"/>
  <c r="E129" i="1"/>
  <c r="D129" i="1"/>
  <c r="F129" i="1" s="1"/>
  <c r="E128" i="1"/>
  <c r="D128" i="1"/>
  <c r="E127" i="1"/>
  <c r="D127" i="1"/>
  <c r="F127" i="1" s="1"/>
  <c r="E126" i="1"/>
  <c r="D126" i="1"/>
  <c r="F126" i="1" s="1"/>
  <c r="E125" i="1"/>
  <c r="D125" i="1"/>
  <c r="E124" i="1"/>
  <c r="D124" i="1"/>
  <c r="F107" i="1"/>
  <c r="D90" i="1"/>
  <c r="D89" i="1"/>
  <c r="D88" i="1"/>
  <c r="D87" i="1"/>
  <c r="D86" i="1"/>
  <c r="D85" i="1"/>
  <c r="G84" i="1"/>
  <c r="D84" i="1"/>
  <c r="I80" i="1"/>
  <c r="C82" i="1" s="1"/>
  <c r="E84" i="1" s="1"/>
  <c r="D79" i="1"/>
  <c r="D78" i="1"/>
  <c r="D77" i="1"/>
  <c r="D76" i="1"/>
  <c r="D75" i="1"/>
  <c r="D74" i="1"/>
  <c r="G73" i="1"/>
  <c r="D73" i="1"/>
  <c r="I69" i="1"/>
  <c r="C71" i="1" s="1"/>
  <c r="E73" i="1" s="1"/>
  <c r="D68" i="1"/>
  <c r="D67" i="1"/>
  <c r="D66" i="1"/>
  <c r="D65" i="1"/>
  <c r="D64" i="1"/>
  <c r="D63" i="1"/>
  <c r="G62" i="1"/>
  <c r="D62" i="1"/>
  <c r="I58" i="1"/>
  <c r="C60" i="1" s="1"/>
  <c r="E62" i="1" s="1"/>
  <c r="D50" i="1"/>
  <c r="C46" i="1"/>
  <c r="G45" i="1"/>
  <c r="G46" i="1" s="1"/>
  <c r="C45" i="1"/>
  <c r="E39" i="1"/>
  <c r="E40" i="1" s="1"/>
  <c r="C13" i="1"/>
  <c r="E7" i="1"/>
  <c r="D264" i="6"/>
  <c r="F228" i="6"/>
  <c r="F214" i="6"/>
  <c r="F212" i="6"/>
  <c r="F205" i="6"/>
  <c r="E184" i="6"/>
  <c r="D184" i="6"/>
  <c r="E183" i="6"/>
  <c r="D183" i="6"/>
  <c r="E182" i="6"/>
  <c r="D182" i="6"/>
  <c r="E181" i="6"/>
  <c r="D181" i="6"/>
  <c r="G180" i="6"/>
  <c r="E180" i="6"/>
  <c r="D180" i="6"/>
  <c r="E177" i="6"/>
  <c r="D177" i="6"/>
  <c r="E176" i="6"/>
  <c r="D176" i="6"/>
  <c r="E175" i="6"/>
  <c r="D175" i="6"/>
  <c r="E174" i="6"/>
  <c r="D174" i="6"/>
  <c r="G173" i="6"/>
  <c r="E173" i="6"/>
  <c r="D173" i="6"/>
  <c r="E171" i="6"/>
  <c r="D171" i="6"/>
  <c r="E170" i="6"/>
  <c r="D170" i="6"/>
  <c r="D169" i="6"/>
  <c r="F169" i="6" s="1"/>
  <c r="I169" i="6" s="1"/>
  <c r="E168" i="6"/>
  <c r="D168" i="6"/>
  <c r="E167" i="6"/>
  <c r="D167" i="6"/>
  <c r="G166" i="6"/>
  <c r="E166" i="6"/>
  <c r="D166" i="6"/>
  <c r="E164" i="6"/>
  <c r="D164" i="6"/>
  <c r="E163" i="6"/>
  <c r="D163" i="6"/>
  <c r="E162" i="6"/>
  <c r="D162" i="6"/>
  <c r="E161" i="6"/>
  <c r="D161" i="6"/>
  <c r="E160" i="6"/>
  <c r="D160" i="6"/>
  <c r="G159" i="6"/>
  <c r="E159" i="6"/>
  <c r="D159" i="6"/>
  <c r="E157" i="6"/>
  <c r="D157" i="6"/>
  <c r="E156" i="6"/>
  <c r="D156" i="6"/>
  <c r="E155" i="6"/>
  <c r="D155" i="6"/>
  <c r="E154" i="6"/>
  <c r="D154" i="6"/>
  <c r="E153" i="6"/>
  <c r="D153" i="6"/>
  <c r="G152" i="6"/>
  <c r="E152" i="6"/>
  <c r="D152" i="6"/>
  <c r="E150" i="6"/>
  <c r="D150" i="6"/>
  <c r="E149" i="6"/>
  <c r="D149" i="6"/>
  <c r="E148" i="6"/>
  <c r="D148" i="6"/>
  <c r="E147" i="6"/>
  <c r="D147" i="6"/>
  <c r="E146" i="6"/>
  <c r="D146" i="6"/>
  <c r="G145" i="6"/>
  <c r="E145" i="6"/>
  <c r="D145" i="6"/>
  <c r="E143" i="6"/>
  <c r="D143" i="6"/>
  <c r="E142" i="6"/>
  <c r="D142" i="6"/>
  <c r="E141" i="6"/>
  <c r="D141" i="6"/>
  <c r="E140" i="6"/>
  <c r="D140" i="6"/>
  <c r="E139" i="6"/>
  <c r="D139" i="6"/>
  <c r="E138" i="6"/>
  <c r="D138" i="6"/>
  <c r="F121" i="6"/>
  <c r="D54" i="6"/>
  <c r="E40" i="6"/>
  <c r="E41" i="6" s="1"/>
  <c r="C13" i="6"/>
  <c r="E7" i="6"/>
  <c r="H63" i="6"/>
  <c r="F154" i="1" l="1"/>
  <c r="F168" i="1"/>
  <c r="F183" i="1"/>
  <c r="F135" i="1"/>
  <c r="F142" i="1"/>
  <c r="F145" i="1"/>
  <c r="C114" i="1"/>
  <c r="F179" i="1"/>
  <c r="F139" i="1"/>
  <c r="F197" i="1"/>
  <c r="F148" i="1"/>
  <c r="F159" i="1"/>
  <c r="F162" i="1"/>
  <c r="F177" i="1"/>
  <c r="E34" i="3"/>
  <c r="F125" i="1"/>
  <c r="F140" i="1"/>
  <c r="F156" i="1"/>
  <c r="F161" i="1"/>
  <c r="F163" i="1"/>
  <c r="F166" i="1"/>
  <c r="F172" i="1"/>
  <c r="F174" i="1"/>
  <c r="F181" i="1"/>
  <c r="F187" i="1"/>
  <c r="F196" i="1"/>
  <c r="F149" i="6"/>
  <c r="I149" i="6" s="1"/>
  <c r="F146" i="6"/>
  <c r="I146" i="6" s="1"/>
  <c r="F150" i="6"/>
  <c r="I150" i="6" s="1"/>
  <c r="F176" i="1"/>
  <c r="F182" i="1"/>
  <c r="F184" i="1"/>
  <c r="F195" i="1"/>
  <c r="F204" i="1"/>
  <c r="F115" i="1" s="1"/>
  <c r="I34" i="3"/>
  <c r="H34" i="3" s="1"/>
  <c r="D113" i="1"/>
  <c r="L34" i="3"/>
  <c r="K34" i="3" s="1"/>
  <c r="C113" i="1"/>
  <c r="F128" i="1"/>
  <c r="F132" i="1"/>
  <c r="F134" i="1"/>
  <c r="F146" i="1"/>
  <c r="F152" i="1"/>
  <c r="F160" i="1"/>
  <c r="F173" i="1"/>
  <c r="F175" i="1"/>
  <c r="F186" i="1"/>
  <c r="F191" i="1"/>
  <c r="F194" i="1"/>
  <c r="D115" i="1"/>
  <c r="F175" i="6"/>
  <c r="I175" i="6" s="1"/>
  <c r="F161" i="6"/>
  <c r="I161" i="6" s="1"/>
  <c r="F163" i="6"/>
  <c r="I163" i="6" s="1"/>
  <c r="F174" i="6"/>
  <c r="I174" i="6" s="1"/>
  <c r="F176" i="6"/>
  <c r="I176" i="6" s="1"/>
  <c r="F183" i="6"/>
  <c r="I183" i="6" s="1"/>
  <c r="F189" i="6"/>
  <c r="F196" i="6"/>
  <c r="F142" i="6"/>
  <c r="I142" i="6" s="1"/>
  <c r="F145" i="6"/>
  <c r="I145" i="6" s="1"/>
  <c r="F155" i="6"/>
  <c r="I155" i="6" s="1"/>
  <c r="F157" i="6"/>
  <c r="I157" i="6" s="1"/>
  <c r="F170" i="6"/>
  <c r="I170" i="6" s="1"/>
  <c r="F173" i="6"/>
  <c r="I173" i="6" s="1"/>
  <c r="F184" i="6"/>
  <c r="I184" i="6" s="1"/>
  <c r="F190" i="6"/>
  <c r="F192" i="6"/>
  <c r="F194" i="6"/>
  <c r="F199" i="6"/>
  <c r="F204" i="6"/>
  <c r="C70" i="6"/>
  <c r="D70" i="6" s="1"/>
  <c r="D73" i="6"/>
  <c r="D74" i="6"/>
  <c r="K69" i="6"/>
  <c r="C68" i="6" s="1"/>
  <c r="D68" i="6" s="1"/>
  <c r="K67" i="6"/>
  <c r="K68" i="6"/>
  <c r="D71" i="6"/>
  <c r="D72" i="6"/>
  <c r="D77" i="6"/>
  <c r="K70" i="6"/>
  <c r="K71" i="6" s="1"/>
  <c r="K72" i="6" s="1"/>
  <c r="K73" i="6" s="1"/>
  <c r="K74" i="6" s="1"/>
  <c r="K75" i="6" s="1"/>
  <c r="D75" i="6"/>
  <c r="D76" i="6"/>
  <c r="F180" i="6"/>
  <c r="I180" i="6" s="1"/>
  <c r="F141" i="6"/>
  <c r="I141" i="6" s="1"/>
  <c r="F152" i="6"/>
  <c r="I152" i="6" s="1"/>
  <c r="F160" i="6"/>
  <c r="I160" i="6" s="1"/>
  <c r="F164" i="6"/>
  <c r="I164" i="6" s="1"/>
  <c r="F177" i="6"/>
  <c r="I177" i="6" s="1"/>
  <c r="F182" i="6"/>
  <c r="I182" i="6" s="1"/>
  <c r="F148" i="6"/>
  <c r="I148" i="6" s="1"/>
  <c r="F154" i="6"/>
  <c r="I154" i="6" s="1"/>
  <c r="F159" i="6"/>
  <c r="I159" i="6" s="1"/>
  <c r="F181" i="6"/>
  <c r="I181" i="6" s="1"/>
  <c r="F191" i="6"/>
  <c r="F200" i="6"/>
  <c r="F206" i="6"/>
  <c r="F208" i="6"/>
  <c r="F211" i="6"/>
  <c r="F213" i="6"/>
  <c r="F215" i="6"/>
  <c r="F229" i="6"/>
  <c r="F140" i="6"/>
  <c r="I140" i="6" s="1"/>
  <c r="F156" i="6"/>
  <c r="I156" i="6" s="1"/>
  <c r="F167" i="6"/>
  <c r="I167" i="6" s="1"/>
  <c r="F171" i="6"/>
  <c r="I171" i="6" s="1"/>
  <c r="F198" i="6"/>
  <c r="D127" i="6"/>
  <c r="D130" i="6" s="1"/>
  <c r="F153" i="6"/>
  <c r="I153" i="6" s="1"/>
  <c r="F168" i="6"/>
  <c r="I168" i="6" s="1"/>
  <c r="F207" i="6"/>
  <c r="F138" i="6"/>
  <c r="I138" i="6" s="1"/>
  <c r="F147" i="6"/>
  <c r="I147" i="6" s="1"/>
  <c r="F226" i="6"/>
  <c r="F139" i="6"/>
  <c r="I139" i="6" s="1"/>
  <c r="F143" i="6"/>
  <c r="I143" i="6" s="1"/>
  <c r="F162" i="6"/>
  <c r="I162" i="6" s="1"/>
  <c r="F166" i="6"/>
  <c r="I166" i="6" s="1"/>
  <c r="F193" i="6"/>
  <c r="F197" i="6"/>
  <c r="F201" i="6"/>
  <c r="F210" i="6"/>
  <c r="F227" i="6"/>
  <c r="G12" i="5"/>
  <c r="D34" i="3"/>
  <c r="D114" i="1"/>
  <c r="F124" i="1"/>
  <c r="C127" i="6"/>
  <c r="C130" i="6" s="1"/>
  <c r="D116" i="1" l="1"/>
  <c r="E36" i="3"/>
  <c r="C116" i="1"/>
  <c r="D36" i="3"/>
  <c r="F114" i="1"/>
  <c r="F129" i="6"/>
  <c r="F128" i="6"/>
  <c r="F113" i="1"/>
  <c r="F116" i="1" s="1"/>
  <c r="K76" i="6"/>
  <c r="K77" i="6" s="1"/>
  <c r="C69" i="6" s="1"/>
  <c r="D69" i="6" s="1"/>
  <c r="F127" i="6"/>
  <c r="F130" i="6" l="1"/>
  <c r="G68" i="6"/>
  <c r="I62" i="6"/>
  <c r="E68" i="6" l="1"/>
</calcChain>
</file>

<file path=xl/sharedStrings.xml><?xml version="1.0" encoding="utf-8"?>
<sst xmlns="http://schemas.openxmlformats.org/spreadsheetml/2006/main" count="873" uniqueCount="304">
  <si>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</si>
  <si>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</si>
  <si>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</si>
  <si>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</si>
  <si>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</si>
  <si>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</si>
  <si>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</si>
  <si>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</si>
  <si>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</si>
  <si>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</si>
  <si>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</si>
  <si>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</si>
  <si>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</si>
  <si>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</si>
  <si>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</si>
  <si>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</si>
  <si>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</si>
  <si>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</si>
  <si>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</si>
  <si>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</si>
  <si>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</si>
  <si>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</si>
  <si>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</si>
  <si>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</si>
  <si>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</si>
  <si>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</si>
  <si>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</si>
  <si>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</si>
  <si>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</si>
  <si>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</si>
  <si>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</si>
  <si>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</si>
  <si>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</si>
  <si>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</si>
  <si>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</si>
  <si>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</si>
  <si>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</si>
  <si>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</si>
  <si>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</si>
  <si>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</si>
  <si>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</si>
  <si>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</si>
  <si>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</si>
  <si>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</si>
  <si>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</si>
  <si>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</si>
  <si>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</si>
  <si>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</si>
  <si>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</si>
  <si>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</si>
  <si>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</si>
  <si>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</si>
  <si>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</si>
  <si>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</si>
  <si>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</si>
  <si>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</si>
  <si>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</si>
  <si>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</si>
  <si>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</si>
  <si>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</si>
  <si>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</si>
  <si>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</si>
  <si>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</si>
  <si>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</si>
  <si>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</si>
  <si>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</si>
  <si>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</si>
  <si>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</si>
  <si>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</si>
  <si>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</si>
  <si>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</si>
  <si>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</si>
  <si>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</si>
  <si>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</si>
  <si>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</si>
  <si>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</si>
  <si>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</si>
  <si>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</si>
  <si>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</si>
  <si>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</si>
  <si>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</si>
  <si>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</si>
  <si>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</si>
  <si>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</si>
  <si>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</si>
  <si>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</si>
  <si>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</si>
  <si>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</si>
  <si>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</si>
  <si>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</si>
  <si>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</si>
  <si>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</si>
  <si>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</si>
  <si>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</si>
  <si>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</si>
  <si>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</si>
  <si>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</si>
  <si>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</si>
  <si>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</si>
  <si>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</si>
  <si>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</si>
  <si>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</si>
  <si>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</si>
  <si>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</si>
  <si>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</si>
  <si>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</si>
  <si>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</si>
  <si>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</si>
  <si>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</si>
  <si>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</si>
  <si>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</si>
  <si>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</si>
  <si>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</si>
  <si>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</si>
  <si>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</si>
  <si>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</si>
  <si>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</si>
  <si>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</si>
  <si>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</si>
  <si>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</si>
  <si>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</si>
  <si>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</si>
  <si>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</si>
  <si>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</si>
  <si>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1302-ELLORA FIESTA, PLOT NO. 8, SECTOR 11, OPP. JUINAGAR RAILWAY STATION, SANPADA, NAVI MUMBAI 400 706. TEL: 022-27758396/95. FAX :022-27758394.
E mail : axisbank@vsjadon.com. vsjcvaluer@gmail.com. Web site : www.vsjadon.com</t>
  </si>
  <si>
    <t>Authorized Signatory
Name &amp; Seal of the agency</t>
  </si>
  <si>
    <t>Recommended rate of the shop Per Sq. Ft. ( on Saleable area)</t>
  </si>
  <si>
    <t>Sudhir Bhosale</t>
  </si>
  <si>
    <t>Recommended rate of the Office Per Sq. Ft. ( on Saleable area)</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</si>
  <si>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</si>
  <si>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</si>
  <si>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</si>
  <si>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</si>
  <si>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</si>
  <si>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</si>
  <si>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</si>
  <si>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</si>
  <si>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</si>
  <si>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</si>
  <si>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</si>
  <si>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</si>
  <si>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</si>
  <si>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</si>
  <si>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</si>
  <si>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</si>
  <si>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</si>
  <si>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</si>
  <si>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</si>
  <si>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</si>
  <si>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</si>
  <si>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</si>
  <si>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</si>
  <si>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</si>
  <si>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</si>
  <si>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</si>
  <si>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</si>
  <si>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</si>
  <si>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</si>
  <si>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</si>
  <si>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</si>
  <si>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RCC Slab</t>
  </si>
  <si>
    <t>All work Completed. Part OC Received.</t>
  </si>
  <si>
    <t>All work Completed. Wait For OC.</t>
  </si>
  <si>
    <t>All work Completed. OC Received.</t>
  </si>
  <si>
    <t>NA
Approved upto : NA</t>
  </si>
  <si>
    <t>Report By :</t>
  </si>
  <si>
    <t>Market Research Data</t>
  </si>
  <si>
    <t>Source</t>
  </si>
  <si>
    <t>Distance from proposed property</t>
  </si>
  <si>
    <t>Net Carpet</t>
  </si>
  <si>
    <t>Market Value</t>
  </si>
  <si>
    <t>Magic Brick</t>
  </si>
  <si>
    <t>Suraj Palette - 500m</t>
  </si>
  <si>
    <t>3BHK</t>
  </si>
  <si>
    <t>Mangrish Apartment sea side - 1.1KM</t>
  </si>
  <si>
    <t>4BHK</t>
  </si>
  <si>
    <t>Suvidha Emerald - 1.1KM</t>
  </si>
  <si>
    <t>99 Acres</t>
  </si>
  <si>
    <t>Kings Krest - 350m</t>
  </si>
  <si>
    <t>Average</t>
  </si>
  <si>
    <t xml:space="preserve">Valuation Adopted </t>
  </si>
  <si>
    <t>Saleable Area</t>
  </si>
  <si>
    <t>Rate on Saleable</t>
  </si>
  <si>
    <t>Axis Sanpada</t>
  </si>
  <si>
    <t>21/12/2020.</t>
  </si>
  <si>
    <t>Umiya Nakshtra Heights</t>
  </si>
  <si>
    <t>8237202013/8369181294</t>
  </si>
  <si>
    <t>Badlapur</t>
  </si>
  <si>
    <t>Thane</t>
  </si>
  <si>
    <t>Katrap</t>
  </si>
  <si>
    <t>2.1km from Badlapur Railway Station</t>
  </si>
  <si>
    <r>
      <rPr>
        <sz val="12"/>
        <rFont val="Times New Roman"/>
        <family val="1"/>
      </rPr>
      <t xml:space="preserve">Survey/Hissa </t>
    </r>
    <r>
      <rPr>
        <sz val="12"/>
        <color indexed="8"/>
        <rFont val="Times New Roman"/>
        <family val="1"/>
      </rPr>
      <t>No</t>
    </r>
  </si>
  <si>
    <t>Middle Class</t>
  </si>
  <si>
    <t>Developing</t>
  </si>
  <si>
    <t>Residential</t>
  </si>
  <si>
    <t>Building</t>
  </si>
  <si>
    <t>Open Plot</t>
  </si>
  <si>
    <t>05/10/2018.</t>
  </si>
  <si>
    <t xml:space="preserve">1st for Residential </t>
  </si>
  <si>
    <t>1BHK</t>
  </si>
  <si>
    <t>2BHK</t>
  </si>
  <si>
    <t>2nd, 4th, 10th,12th &amp; 16th Floor for Residential</t>
  </si>
  <si>
    <t>3rd, 7th, 9th, 11th, 15th, 17th Floor for Residential</t>
  </si>
  <si>
    <t>5th Floor for Residential</t>
  </si>
  <si>
    <t>1RK</t>
  </si>
  <si>
    <t>6th &amp; 14th Floor for Residential</t>
  </si>
  <si>
    <t>Wing A</t>
  </si>
  <si>
    <t>8th &amp; 18th Floor for Residential</t>
  </si>
  <si>
    <t>13th Floor for Residential</t>
  </si>
  <si>
    <t>Wing B</t>
  </si>
  <si>
    <t>1St Floor for Residential</t>
  </si>
  <si>
    <t>.</t>
  </si>
  <si>
    <t xml:space="preserve">2nd, 4th, 6th &amp; 10th Floor for Residential </t>
  </si>
  <si>
    <t>3rd, 5th, 7th, 9th Floor for Residential</t>
  </si>
  <si>
    <t>8th Floor for Residential</t>
  </si>
  <si>
    <t>Wing C</t>
  </si>
  <si>
    <t>1st Floor for Residential</t>
  </si>
  <si>
    <t>Approved Plans, CC, Sale Plans</t>
  </si>
  <si>
    <t>As per RERA - 03/06/2024.</t>
  </si>
  <si>
    <t>Cement, Aggregate, Steel</t>
  </si>
  <si>
    <t>Wheather the construction is as per approved Building plan : Under Construction</t>
  </si>
  <si>
    <r>
      <t>1.</t>
    </r>
    <r>
      <rPr>
        <b/>
        <sz val="12"/>
        <color rgb="FFFF0000"/>
        <rFont val="Times New Roman"/>
        <family val="1"/>
      </rPr>
      <t>Construction work is in process at the time of Visit (labour found).</t>
    </r>
    <r>
      <rPr>
        <b/>
        <sz val="12"/>
        <rFont val="Times New Roman"/>
        <family val="1"/>
      </rPr>
      <t xml:space="preserve">
2. We considered  Saleable area  as per </t>
    </r>
    <r>
      <rPr>
        <b/>
        <sz val="12"/>
        <color rgb="FFFF0000"/>
        <rFont val="Times New Roman"/>
        <family val="1"/>
      </rPr>
      <t>our calculation.</t>
    </r>
    <r>
      <rPr>
        <b/>
        <sz val="12"/>
        <rFont val="Times New Roman"/>
        <family val="1"/>
      </rPr>
      <t xml:space="preserve">
3. We considered Carpet area as per Approved Plan.
4. We considered Gross carpet area = Net carpet + Enclose balcony + C.B Area + F.B Area.
5. We have considered rate by verifying it from market inquire.
6. Car parking is subjected to authentic documentation.
7. On Site, we meet </t>
    </r>
    <r>
      <rPr>
        <b/>
        <sz val="12"/>
        <color rgb="FF00B0F0"/>
        <rFont val="Times New Roman"/>
        <family val="1"/>
      </rPr>
      <t>Mr........(........).</t>
    </r>
    <r>
      <rPr>
        <b/>
        <sz val="12"/>
        <rFont val="Times New Roman"/>
        <family val="1"/>
      </rPr>
      <t xml:space="preserve">
</t>
    </r>
  </si>
  <si>
    <t>2nd, 4th, 10th, 12th &amp; 16th Floor for Residential</t>
  </si>
  <si>
    <t>Harshada</t>
  </si>
  <si>
    <t>M/s. Jigar Enterprises</t>
  </si>
  <si>
    <t>Wing A = P51700021530
Wing B &amp; C = Not on Rera</t>
  </si>
  <si>
    <t>64/1/4 &amp; Old S.No/Hissa no. 64/2</t>
  </si>
  <si>
    <t>Ambernath</t>
  </si>
  <si>
    <t>03 Wings</t>
  </si>
  <si>
    <t>KBNP/NRV/BP/7351-92</t>
  </si>
  <si>
    <t xml:space="preserve">Valid Up to: 
Wing A = St + Gr + 18th Floor
Wing B = St + Gr + 10th Floor
Wing C = St + Gr + 1st Floor </t>
  </si>
  <si>
    <t xml:space="preserve">Flats - </t>
  </si>
  <si>
    <t xml:space="preserve">Wing A = St + Gr + 18th Floor
Wing B = St + Gr + 10th Floor
Wing C = St + Gr + 1st Floor </t>
  </si>
  <si>
    <t>Phase II(Wing A, B, C)</t>
  </si>
  <si>
    <t>28/12/2020.</t>
  </si>
  <si>
    <t>Proposed Panvel Highway</t>
  </si>
  <si>
    <t>Katrap Lake</t>
  </si>
  <si>
    <t xml:space="preserve">Wing A = St + Gr + 18th Floor
Wing B = St + Gr + 18th Floor
Wing C = St + Gr + 18th Floor </t>
  </si>
  <si>
    <t>Construction details: Wing A (Gr + 18th Floor)</t>
  </si>
  <si>
    <t>Construction details: Wing B = Gr + 18th Floor</t>
  </si>
  <si>
    <t>Construction details: Wing C = Gr + 18th Floor</t>
  </si>
  <si>
    <t xml:space="preserve"> Phase II</t>
  </si>
  <si>
    <t>Ground/Stilt Floor for Parking</t>
  </si>
  <si>
    <t xml:space="preserve">1st Floor for Residential </t>
  </si>
  <si>
    <t>5th Floor</t>
  </si>
  <si>
    <t>Refuge Area</t>
  </si>
  <si>
    <t>8th &amp; 18th Floor (Part Refuge Area)</t>
  </si>
  <si>
    <t>13th Floor (Part Refuge Area)</t>
  </si>
  <si>
    <t>2,00,000/-</t>
  </si>
  <si>
    <t>MIDC Water Charges</t>
  </si>
  <si>
    <t>Construction details:</t>
  </si>
  <si>
    <t>All work Completed. Provide OC.</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</si>
  <si>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</si>
  <si>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</si>
  <si>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</si>
  <si>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</si>
  <si>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</si>
  <si>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</si>
  <si>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</si>
  <si>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</si>
  <si>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</si>
  <si>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</si>
  <si>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</si>
  <si>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</si>
  <si>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</si>
  <si>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</si>
  <si>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</si>
  <si>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</si>
  <si>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</si>
  <si>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Valid Up to: Wing A = St + Gr + 1st to 18th Floor
</t>
  </si>
  <si>
    <t>80000/-</t>
  </si>
  <si>
    <t>KBNP/NRV/BP/1420/2021-2022 Unique No.202</t>
  </si>
  <si>
    <t>Approved Floor plan No.   (Wing A)</t>
  </si>
  <si>
    <t>Commencement Certificate No.          (Wing A)</t>
  </si>
  <si>
    <t>Ground Floor for Parking</t>
  </si>
  <si>
    <t>2nd, 4th, 6th, 10th, 12th, 14th &amp; 16th Floor</t>
  </si>
  <si>
    <t xml:space="preserve">3rd, 5th, 7th, 9th, 11th, 15th &amp; 17th Floor </t>
  </si>
  <si>
    <t>8th Floor(Part Refuge Area)</t>
  </si>
  <si>
    <t>13th Floor(Part Refuge Area)</t>
  </si>
  <si>
    <t xml:space="preserve">Wing B </t>
  </si>
  <si>
    <t>Wing A = (St/Gr + 1st to 18th Floor)</t>
  </si>
  <si>
    <t>Location Link</t>
  </si>
  <si>
    <t xml:space="preserve">https://goo.gl/maps/jN64RgBmCUcCDdpc8?coh=178572&amp;entry=tt </t>
  </si>
  <si>
    <t>Office No. 1031, Wing J, Akshar Business Park, Plot No. 03 Sector 25, Near APMC Market, Vashi, Navi Mumbai, Maharashtra 400703 TEL: 022-46090378/79/80
Email : vsjcapf@gmail.com. Web site : www.vsjadon.com</t>
  </si>
  <si>
    <t>Wing B = St/Gr + 1st to 17th Floor</t>
  </si>
  <si>
    <t>Phase II - Wing A, B &amp; C</t>
  </si>
  <si>
    <t>Approved Floor plan No.   (Wing B &amp; C)</t>
  </si>
  <si>
    <t xml:space="preserve">Commencement Certificate No.
Valid Up to: </t>
  </si>
  <si>
    <t xml:space="preserve">Wing A = St/Gr + 1st to 18th Floor
Wing B &amp; C =St/Gr + 1st to 17th Floor
</t>
  </si>
  <si>
    <t xml:space="preserve">Wing A = St/Gr + 1st to 18th Floor
Wing B &amp; C = St/Gr + 1st to 17th Floor
</t>
  </si>
  <si>
    <t xml:space="preserve">Wing B &amp; C = St + Gr + 1st to 17th Floor
</t>
  </si>
  <si>
    <t>KBNP/NRV/BD/1420-202</t>
  </si>
  <si>
    <t>Ground Floor for Entrance Lobby, Meter Room, Drivers Room &amp; Parking</t>
  </si>
  <si>
    <t>Flats - 275</t>
  </si>
  <si>
    <t>3 Wing</t>
  </si>
  <si>
    <t>Wing C = St/Gr + 1st to 17th Floor</t>
  </si>
  <si>
    <t>Layout :</t>
  </si>
  <si>
    <t>Wing A = P51700021530
Wing B &amp; C = P51700033734</t>
  </si>
  <si>
    <t>Latitude,Longitude</t>
  </si>
  <si>
    <t>19.171752,73.22323</t>
  </si>
  <si>
    <t>JVK/KBNP/NRV/2551/2023-2024
Approved upto : Wing A = Gr/St + 1st to 18th Floor
Total Flats = 105 Nos.</t>
  </si>
  <si>
    <t xml:space="preserve">1. Wing A = All work Completed. OC Received.
    Wing B = All work Completed. Please provide OC.
    Wing C = Construction work is in process at the time of Visit.
2. We considered  Saleable area  as per our calculation.
3. We considered Carpet area as per Approved Plan.
4. We considered Gross carpet area = Net carpet + Enclose balcony + C.B Area + A.P Area.
5. We have considered rate by verifying it from market inquire.
6. Recommended rate should be considered as all inclusive rate if other charges are not mentioned. (Excluding GST &amp; other government Taxes).
7. Car parking is subjected to authentic documentation.
8. Wing B - We have updated latest approved floor plans &amp; CC (on 27/05/2022).
9. Wing C - We have updated latest approved layout plan, floor plan and CC (on 07/10/2023).
10. We have updated OC from rera for Wing A (On 12/03/2025).
</t>
  </si>
  <si>
    <t>Wing A &amp; B = Completed
As per RERA -
Wing C = 31/12/2027</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</si>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</sst>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b/>
      <sz val="12"/>
      <color rgb="FF00B0F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2" fillId="0" borderId="0"/>
    <xf numFmtId="0" fontId="23" fillId="0" borderId="0" applyNumberFormat="0" applyFill="0" applyBorder="0" applyAlignment="0" applyProtection="0"/>
  </cellStyleXfs>
  <cellXfs count="274">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applyAlignment="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2" borderId="1" xfId="1" applyFont="1" applyFill="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4" fillId="0" borderId="1" xfId="1" applyNumberFormat="1" applyFont="1" applyFill="1" applyBorder="1" applyAlignment="1" applyProtection="1">
      <alignment horizontal="center" vertical="top" wrapText="1"/>
      <protection locked="0"/>
    </xf>
    <xf numFmtId="0" fontId="8" fillId="0" borderId="0" xfId="1" applyFont="1" applyBorder="1" applyAlignment="1" applyProtection="1">
      <alignment vertical="top"/>
      <protection locked="0"/>
    </xf>
    <xf numFmtId="0" fontId="8" fillId="0" borderId="0" xfId="1" applyFont="1" applyBorder="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top" wrapText="1"/>
      <protection locked="0"/>
    </xf>
    <xf numFmtId="0" fontId="12" fillId="0" borderId="8" xfId="1" applyFont="1" applyFill="1" applyBorder="1" applyAlignment="1" applyProtection="1">
      <alignment horizontal="center" vertical="top"/>
      <protection locked="0"/>
    </xf>
    <xf numFmtId="0" fontId="7" fillId="0" borderId="15" xfId="1" applyFont="1" applyFill="1" applyBorder="1" applyProtection="1">
      <protection hidden="1"/>
    </xf>
    <xf numFmtId="0" fontId="7" fillId="0" borderId="16" xfId="1" applyFont="1" applyBorder="1" applyProtection="1">
      <protection hidden="1"/>
    </xf>
    <xf numFmtId="0" fontId="7" fillId="0" borderId="17" xfId="1" applyFont="1" applyBorder="1" applyProtection="1">
      <protection hidden="1"/>
    </xf>
    <xf numFmtId="0" fontId="7" fillId="0" borderId="18" xfId="1" applyFont="1" applyFill="1" applyBorder="1" applyProtection="1">
      <protection hidden="1"/>
    </xf>
    <xf numFmtId="0" fontId="7" fillId="0" borderId="0" xfId="1" applyFont="1" applyBorder="1" applyProtection="1">
      <protection hidden="1"/>
    </xf>
    <xf numFmtId="0" fontId="7" fillId="0" borderId="19" xfId="1" applyFont="1" applyBorder="1" applyProtection="1">
      <protection hidden="1"/>
    </xf>
    <xf numFmtId="0" fontId="7" fillId="0" borderId="0" xfId="1" applyFont="1" applyBorder="1"/>
    <xf numFmtId="0" fontId="7" fillId="0" borderId="19" xfId="1" applyFont="1" applyBorder="1"/>
    <xf numFmtId="0" fontId="7" fillId="0" borderId="18" xfId="1" applyFont="1" applyBorder="1"/>
    <xf numFmtId="0" fontId="19" fillId="0" borderId="18" xfId="0" applyFont="1" applyFill="1" applyBorder="1" applyProtection="1">
      <protection hidden="1"/>
    </xf>
    <xf numFmtId="9" fontId="19" fillId="0" borderId="0" xfId="0" applyNumberFormat="1" applyFont="1" applyBorder="1" applyProtection="1">
      <protection hidden="1"/>
    </xf>
    <xf numFmtId="9" fontId="19" fillId="0" borderId="19" xfId="0" applyNumberFormat="1" applyFont="1" applyBorder="1" applyProtection="1">
      <protection hidden="1"/>
    </xf>
    <xf numFmtId="0" fontId="19" fillId="0" borderId="20" xfId="0" applyFont="1" applyFill="1" applyBorder="1" applyProtection="1">
      <protection hidden="1"/>
    </xf>
    <xf numFmtId="9" fontId="19" fillId="0" borderId="21" xfId="0" applyNumberFormat="1" applyFont="1" applyBorder="1" applyProtection="1">
      <protection hidden="1"/>
    </xf>
    <xf numFmtId="9" fontId="19" fillId="0" borderId="22" xfId="0" applyNumberFormat="1" applyFont="1" applyBorder="1" applyProtection="1">
      <protection hidden="1"/>
    </xf>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21"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20"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0" fontId="12" fillId="2" borderId="1" xfId="1" applyFont="1" applyFill="1" applyBorder="1" applyAlignment="1" applyProtection="1">
      <alignment horizontal="left" vertical="top"/>
      <protection locked="0"/>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19" fillId="0" borderId="0" xfId="0" applyFont="1" applyFill="1" applyBorder="1" applyProtection="1">
      <protection hidden="1"/>
    </xf>
    <xf numFmtId="0" fontId="12" fillId="0" borderId="1" xfId="1" applyFont="1" applyFill="1" applyBorder="1" applyAlignment="1" applyProtection="1">
      <alignment horizontal="center" vertical="top"/>
      <protection locked="0"/>
    </xf>
    <xf numFmtId="0" fontId="12" fillId="0" borderId="9" xfId="1" applyFont="1" applyFill="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Fill="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2" fillId="0" borderId="11" xfId="1" applyFont="1" applyBorder="1" applyAlignment="1" applyProtection="1">
      <alignment horizontal="center" wrapText="1"/>
      <protection locked="0"/>
    </xf>
    <xf numFmtId="9" fontId="12" fillId="2" borderId="11" xfId="1" applyNumberFormat="1" applyFont="1" applyFill="1" applyBorder="1" applyAlignment="1" applyProtection="1">
      <alignment horizontal="center" vertical="center" wrapText="1"/>
      <protection hidden="1"/>
    </xf>
    <xf numFmtId="1" fontId="13" fillId="0" borderId="1" xfId="0" applyNumberFormat="1" applyFont="1" applyBorder="1" applyAlignment="1" applyProtection="1">
      <alignment horizontal="center" vertical="center"/>
      <protection locked="0"/>
    </xf>
    <xf numFmtId="0" fontId="13" fillId="0" borderId="0" xfId="0" applyFont="1" applyAlignment="1">
      <alignment horizontal="center" vertical="center"/>
    </xf>
    <xf numFmtId="0" fontId="7" fillId="0" borderId="16" xfId="1" applyFont="1" applyFill="1" applyBorder="1" applyProtection="1">
      <protection hidden="1"/>
    </xf>
    <xf numFmtId="0" fontId="7" fillId="0" borderId="0" xfId="1" applyFont="1" applyFill="1" applyBorder="1" applyProtection="1">
      <protection hidden="1"/>
    </xf>
    <xf numFmtId="0" fontId="19" fillId="0" borderId="21" xfId="0" applyFont="1" applyFill="1" applyBorder="1" applyProtection="1">
      <protection hidden="1"/>
    </xf>
    <xf numFmtId="0" fontId="12" fillId="0" borderId="8" xfId="1" applyFont="1" applyFill="1" applyBorder="1" applyAlignment="1" applyProtection="1">
      <alignment horizontal="center" vertical="top"/>
      <protection locked="0"/>
    </xf>
    <xf numFmtId="0" fontId="12" fillId="0" borderId="1" xfId="1" applyFont="1" applyFill="1" applyBorder="1" applyAlignment="1" applyProtection="1">
      <alignment horizontal="center" vertical="top"/>
      <protection locked="0"/>
    </xf>
    <xf numFmtId="1" fontId="6" fillId="0" borderId="1" xfId="1"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1" fontId="6" fillId="0" borderId="1" xfId="1" applyNumberFormat="1" applyFont="1" applyFill="1" applyBorder="1" applyAlignment="1" applyProtection="1">
      <alignment horizontal="center" vertical="center" wrapText="1"/>
      <protection locked="0"/>
    </xf>
    <xf numFmtId="0" fontId="7" fillId="0" borderId="0" xfId="1" applyFont="1" applyFill="1"/>
    <xf numFmtId="0" fontId="12" fillId="0" borderId="0" xfId="1" applyFont="1" applyFill="1"/>
    <xf numFmtId="0" fontId="15" fillId="0" borderId="0" xfId="1" applyFont="1" applyFill="1"/>
    <xf numFmtId="0" fontId="12" fillId="0" borderId="1" xfId="1" applyFont="1" applyFill="1" applyBorder="1" applyAlignment="1" applyProtection="1">
      <alignment vertical="top"/>
      <protection locked="0"/>
    </xf>
    <xf numFmtId="0" fontId="7" fillId="0" borderId="0" xfId="1" applyFont="1" applyFill="1" applyProtection="1">
      <protection hidden="1"/>
    </xf>
    <xf numFmtId="0" fontId="7" fillId="0" borderId="17" xfId="1" applyFont="1" applyFill="1" applyBorder="1" applyProtection="1">
      <protection hidden="1"/>
    </xf>
    <xf numFmtId="0" fontId="7" fillId="0" borderId="19" xfId="1" applyFont="1" applyFill="1" applyBorder="1" applyProtection="1">
      <protection hidden="1"/>
    </xf>
    <xf numFmtId="0" fontId="7" fillId="0" borderId="0" xfId="1" applyFont="1" applyFill="1" applyBorder="1"/>
    <xf numFmtId="0" fontId="7" fillId="0" borderId="19" xfId="1" applyFont="1" applyFill="1" applyBorder="1"/>
    <xf numFmtId="0" fontId="12" fillId="0" borderId="1" xfId="1" applyFont="1" applyFill="1" applyBorder="1" applyAlignment="1" applyProtection="1">
      <alignment horizontal="center" wrapText="1"/>
      <protection locked="0"/>
    </xf>
    <xf numFmtId="1" fontId="12" fillId="0" borderId="1" xfId="1" applyNumberFormat="1" applyFont="1" applyFill="1" applyBorder="1" applyAlignment="1" applyProtection="1">
      <alignment horizontal="center" wrapText="1"/>
      <protection locked="0"/>
    </xf>
    <xf numFmtId="9" fontId="19" fillId="0" borderId="0" xfId="0" applyNumberFormat="1" applyFont="1" applyFill="1" applyBorder="1" applyProtection="1">
      <protection hidden="1"/>
    </xf>
    <xf numFmtId="0" fontId="12" fillId="0" borderId="11" xfId="1" applyFont="1" applyFill="1" applyBorder="1" applyAlignment="1" applyProtection="1">
      <alignment horizontal="center" wrapText="1"/>
      <protection locked="0"/>
    </xf>
    <xf numFmtId="9" fontId="19" fillId="0" borderId="21" xfId="0" applyNumberFormat="1" applyFont="1" applyFill="1" applyBorder="1" applyProtection="1">
      <protection hidden="1"/>
    </xf>
    <xf numFmtId="0" fontId="19" fillId="0" borderId="19" xfId="0" applyNumberFormat="1" applyFont="1" applyFill="1" applyBorder="1" applyProtection="1">
      <protection hidden="1"/>
    </xf>
    <xf numFmtId="1" fontId="0" fillId="0" borderId="19" xfId="0" applyNumberFormat="1" applyFill="1" applyBorder="1"/>
    <xf numFmtId="1" fontId="0" fillId="0" borderId="0" xfId="0" applyNumberFormat="1" applyFill="1" applyBorder="1"/>
    <xf numFmtId="164" fontId="0" fillId="0" borderId="0" xfId="0" applyNumberFormat="1" applyFill="1" applyBorder="1"/>
    <xf numFmtId="1" fontId="0" fillId="0" borderId="19" xfId="0" applyNumberFormat="1" applyFill="1" applyBorder="1" applyAlignment="1">
      <alignment horizontal="right"/>
    </xf>
    <xf numFmtId="0" fontId="0" fillId="0" borderId="0" xfId="0" applyFill="1" applyBorder="1"/>
    <xf numFmtId="0" fontId="0" fillId="0" borderId="19" xfId="0" applyFill="1" applyBorder="1"/>
    <xf numFmtId="1" fontId="0" fillId="0" borderId="22" xfId="0" applyNumberFormat="1" applyFill="1" applyBorder="1"/>
    <xf numFmtId="0" fontId="16" fillId="0" borderId="0" xfId="1" applyFont="1" applyFill="1"/>
    <xf numFmtId="0" fontId="10" fillId="0" borderId="1" xfId="0" applyFont="1" applyFill="1" applyBorder="1" applyAlignment="1" applyProtection="1">
      <alignment horizontal="center" vertical="center"/>
      <protection locked="0"/>
    </xf>
    <xf numFmtId="0" fontId="6" fillId="0" borderId="0" xfId="2" applyFont="1" applyFill="1"/>
    <xf numFmtId="1" fontId="7" fillId="0" borderId="1" xfId="0" applyNumberFormat="1"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7" fillId="0" borderId="0" xfId="1" applyFont="1" applyFill="1" applyAlignment="1">
      <alignment horizontal="center" vertical="center"/>
    </xf>
    <xf numFmtId="1" fontId="7" fillId="0" borderId="0" xfId="1" applyNumberFormat="1" applyFont="1" applyFill="1" applyAlignment="1">
      <alignment horizontal="center" vertical="center"/>
    </xf>
    <xf numFmtId="0" fontId="7" fillId="0" borderId="0" xfId="0" applyFont="1" applyFill="1"/>
    <xf numFmtId="0" fontId="8" fillId="0" borderId="0" xfId="1" applyFont="1" applyFill="1" applyBorder="1" applyAlignment="1" applyProtection="1">
      <alignment vertical="top"/>
      <protection locked="0"/>
    </xf>
    <xf numFmtId="0" fontId="8" fillId="0" borderId="0" xfId="1" applyFont="1" applyFill="1" applyBorder="1" applyAlignment="1" applyProtection="1">
      <alignment vertical="top" wrapText="1"/>
      <protection locked="0"/>
    </xf>
    <xf numFmtId="0" fontId="7" fillId="0" borderId="0" xfId="1" applyFont="1" applyFill="1" applyProtection="1">
      <protection locked="0"/>
    </xf>
    <xf numFmtId="0" fontId="10" fillId="0" borderId="0" xfId="1" applyFont="1" applyFill="1" applyProtection="1">
      <protection locked="0"/>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10" fillId="0" borderId="1" xfId="0" applyNumberFormat="1" applyFont="1" applyFill="1" applyBorder="1" applyAlignment="1" applyProtection="1">
      <alignment horizontal="center" vertical="center"/>
      <protection locked="0"/>
    </xf>
    <xf numFmtId="0" fontId="12" fillId="0" borderId="1" xfId="1" applyFont="1" applyFill="1" applyBorder="1" applyAlignment="1" applyProtection="1">
      <alignment horizontal="center" vertical="top" wrapText="1"/>
      <protection locked="0"/>
    </xf>
    <xf numFmtId="9" fontId="12" fillId="0" borderId="1" xfId="1" applyNumberFormat="1" applyFont="1" applyFill="1" applyBorder="1" applyAlignment="1" applyProtection="1">
      <alignment horizontal="center" vertical="center" wrapText="1"/>
      <protection hidden="1"/>
    </xf>
    <xf numFmtId="9" fontId="12" fillId="0" borderId="11" xfId="1" applyNumberFormat="1" applyFont="1" applyFill="1" applyBorder="1" applyAlignment="1" applyProtection="1">
      <alignment horizontal="center" vertical="center" wrapText="1"/>
      <protection hidden="1"/>
    </xf>
    <xf numFmtId="1" fontId="6" fillId="0" borderId="1" xfId="1" applyNumberFormat="1" applyFont="1" applyFill="1" applyBorder="1" applyAlignment="1" applyProtection="1">
      <alignment horizontal="center" vertical="center" wrapText="1"/>
      <protection locked="0"/>
    </xf>
    <xf numFmtId="1" fontId="6" fillId="0" borderId="0" xfId="1" applyNumberFormat="1" applyFont="1" applyFill="1" applyBorder="1" applyAlignment="1" applyProtection="1">
      <alignment horizontal="center" vertical="center" wrapText="1"/>
      <protection locked="0"/>
    </xf>
    <xf numFmtId="1" fontId="7" fillId="0" borderId="1" xfId="1" applyNumberFormat="1" applyFont="1" applyFill="1" applyBorder="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0" fontId="7" fillId="0" borderId="0" xfId="1" applyFont="1" applyFill="1" applyBorder="1" applyAlignment="1" applyProtection="1">
      <alignment vertical="center"/>
      <protection hidden="1"/>
    </xf>
    <xf numFmtId="0" fontId="7" fillId="0" borderId="19" xfId="1" applyFont="1" applyFill="1" applyBorder="1" applyAlignment="1" applyProtection="1">
      <alignment vertical="center"/>
      <protection hidden="1"/>
    </xf>
    <xf numFmtId="0" fontId="7" fillId="0" borderId="0" xfId="1" applyFont="1" applyFill="1" applyAlignment="1">
      <alignment vertical="center"/>
    </xf>
    <xf numFmtId="0" fontId="12" fillId="0" borderId="1" xfId="1" applyFont="1" applyFill="1" applyBorder="1" applyAlignment="1" applyProtection="1">
      <alignment horizontal="center" vertical="top" wrapText="1"/>
      <protection locked="0"/>
    </xf>
    <xf numFmtId="9" fontId="12" fillId="0" borderId="1" xfId="1" applyNumberFormat="1" applyFont="1" applyFill="1" applyBorder="1" applyAlignment="1" applyProtection="1">
      <alignment horizontal="center" vertical="center" wrapText="1"/>
      <protection hidden="1"/>
    </xf>
    <xf numFmtId="0" fontId="12" fillId="0" borderId="1" xfId="1" applyFont="1" applyFill="1" applyBorder="1" applyAlignment="1" applyProtection="1">
      <alignment horizontal="center" vertical="top"/>
      <protection locked="0"/>
    </xf>
    <xf numFmtId="1" fontId="8" fillId="0" borderId="1" xfId="1" applyNumberFormat="1"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6" fillId="0" borderId="23" xfId="1" applyNumberFormat="1" applyFont="1" applyFill="1" applyBorder="1" applyAlignment="1" applyProtection="1">
      <alignment horizontal="center" vertical="center" wrapText="1"/>
      <protection locked="0"/>
    </xf>
    <xf numFmtId="1" fontId="6" fillId="0" borderId="24" xfId="1" applyNumberFormat="1" applyFont="1" applyFill="1" applyBorder="1" applyAlignment="1" applyProtection="1">
      <alignment horizontal="center" vertical="center" wrapText="1"/>
      <protection locked="0"/>
    </xf>
    <xf numFmtId="1" fontId="6" fillId="0" borderId="25" xfId="1" applyNumberFormat="1" applyFont="1" applyFill="1" applyBorder="1" applyAlignment="1" applyProtection="1">
      <alignment horizontal="center" vertical="center" wrapText="1"/>
      <protection locked="0"/>
    </xf>
    <xf numFmtId="1" fontId="6" fillId="0" borderId="26" xfId="1" applyNumberFormat="1" applyFont="1" applyFill="1" applyBorder="1" applyAlignment="1" applyProtection="1">
      <alignment horizontal="center" vertical="center" wrapText="1"/>
      <protection locked="0"/>
    </xf>
    <xf numFmtId="1" fontId="6" fillId="0" borderId="27" xfId="1" applyNumberFormat="1" applyFont="1" applyFill="1" applyBorder="1" applyAlignment="1" applyProtection="1">
      <alignment horizontal="center" vertical="center" wrapText="1"/>
      <protection locked="0"/>
    </xf>
    <xf numFmtId="1" fontId="6" fillId="0" borderId="28" xfId="1" applyNumberFormat="1" applyFont="1" applyFill="1" applyBorder="1" applyAlignment="1" applyProtection="1">
      <alignment horizontal="center" vertical="center" wrapText="1"/>
      <protection locked="0"/>
    </xf>
    <xf numFmtId="0" fontId="13" fillId="0" borderId="30" xfId="1" applyFont="1" applyFill="1" applyBorder="1" applyAlignment="1" applyProtection="1">
      <alignment horizontal="center" vertical="top" wrapText="1"/>
      <protection locked="0"/>
    </xf>
    <xf numFmtId="0" fontId="13" fillId="0" borderId="31" xfId="1" applyFont="1" applyFill="1" applyBorder="1" applyAlignment="1" applyProtection="1">
      <alignment horizontal="center" vertical="top" wrapText="1"/>
      <protection locked="0"/>
    </xf>
    <xf numFmtId="0" fontId="13" fillId="0" borderId="32" xfId="1" applyFont="1" applyFill="1" applyBorder="1" applyAlignment="1" applyProtection="1">
      <alignment horizontal="left" vertical="top" wrapText="1"/>
      <protection locked="0"/>
    </xf>
    <xf numFmtId="0" fontId="13" fillId="0" borderId="33" xfId="1" applyFont="1" applyFill="1" applyBorder="1" applyAlignment="1" applyProtection="1">
      <alignment horizontal="left" vertical="top" wrapText="1"/>
      <protection locked="0"/>
    </xf>
    <xf numFmtId="0" fontId="13" fillId="0" borderId="34"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protection locked="0"/>
    </xf>
    <xf numFmtId="0" fontId="13" fillId="0" borderId="13" xfId="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top" wrapText="1"/>
      <protection locked="0"/>
    </xf>
    <xf numFmtId="9" fontId="12" fillId="0" borderId="1" xfId="1" applyNumberFormat="1" applyFont="1" applyFill="1" applyBorder="1" applyAlignment="1" applyProtection="1">
      <alignment horizontal="center" vertical="center" wrapText="1"/>
      <protection hidden="1"/>
    </xf>
    <xf numFmtId="0" fontId="12"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center"/>
      <protection locked="0"/>
    </xf>
    <xf numFmtId="9" fontId="13"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top" wrapText="1"/>
      <protection locked="0"/>
    </xf>
    <xf numFmtId="1" fontId="6" fillId="0" borderId="13" xfId="1" applyNumberFormat="1" applyFont="1" applyFill="1" applyBorder="1" applyAlignment="1" applyProtection="1">
      <alignment horizontal="center" vertical="center" wrapText="1"/>
      <protection locked="0"/>
    </xf>
    <xf numFmtId="1" fontId="6" fillId="0" borderId="14"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wrapText="1"/>
      <protection locked="0"/>
    </xf>
    <xf numFmtId="0" fontId="14" fillId="0" borderId="1" xfId="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left" vertical="top" wrapText="1"/>
      <protection locked="0"/>
    </xf>
    <xf numFmtId="0" fontId="13" fillId="0" borderId="1" xfId="2" applyFont="1" applyFill="1" applyBorder="1" applyAlignment="1" applyProtection="1">
      <alignment horizontal="left" vertical="top" wrapText="1"/>
      <protection locked="0"/>
    </xf>
    <xf numFmtId="0" fontId="6" fillId="0" borderId="1" xfId="1" applyFont="1" applyFill="1" applyBorder="1" applyAlignment="1" applyProtection="1">
      <alignment vertical="top"/>
      <protection locked="0"/>
    </xf>
    <xf numFmtId="0" fontId="8" fillId="0" borderId="1" xfId="1" applyFont="1" applyFill="1" applyBorder="1" applyAlignment="1" applyProtection="1">
      <alignment horizontal="center" vertical="top"/>
      <protection locked="0"/>
    </xf>
    <xf numFmtId="1" fontId="8" fillId="0" borderId="1" xfId="1" applyNumberFormat="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top" wrapText="1"/>
      <protection locked="0"/>
    </xf>
    <xf numFmtId="1" fontId="10" fillId="0" borderId="1" xfId="0" applyNumberFormat="1" applyFont="1" applyFill="1" applyBorder="1" applyAlignment="1" applyProtection="1">
      <alignment horizontal="center" vertical="top" wrapText="1"/>
      <protection locked="0"/>
    </xf>
    <xf numFmtId="1" fontId="10" fillId="0" borderId="13" xfId="0" applyNumberFormat="1" applyFont="1" applyFill="1" applyBorder="1" applyAlignment="1" applyProtection="1">
      <alignment horizontal="center" vertical="top" wrapText="1"/>
      <protection locked="0"/>
    </xf>
    <xf numFmtId="1" fontId="10" fillId="0" borderId="29" xfId="0" applyNumberFormat="1" applyFont="1" applyFill="1" applyBorder="1" applyAlignment="1" applyProtection="1">
      <alignment horizontal="center" vertical="top" wrapText="1"/>
      <protection locked="0"/>
    </xf>
    <xf numFmtId="1" fontId="10" fillId="0" borderId="14" xfId="0" applyNumberFormat="1" applyFont="1" applyFill="1" applyBorder="1" applyAlignment="1" applyProtection="1">
      <alignment horizontal="center" vertical="top" wrapText="1"/>
      <protection locked="0"/>
    </xf>
    <xf numFmtId="1" fontId="6" fillId="0" borderId="13" xfId="0" applyNumberFormat="1" applyFont="1" applyFill="1" applyBorder="1" applyAlignment="1" applyProtection="1">
      <alignment horizontal="center" vertical="center" wrapText="1"/>
      <protection locked="0"/>
    </xf>
    <xf numFmtId="1" fontId="6" fillId="0" borderId="14" xfId="0" applyNumberFormat="1" applyFont="1" applyFill="1" applyBorder="1" applyAlignment="1" applyProtection="1">
      <alignment horizontal="center" vertical="center" wrapText="1"/>
      <protection locked="0"/>
    </xf>
    <xf numFmtId="1" fontId="7" fillId="0" borderId="13" xfId="0" applyNumberFormat="1" applyFont="1" applyFill="1" applyBorder="1" applyAlignment="1" applyProtection="1">
      <alignment horizontal="center" vertical="top" wrapText="1"/>
      <protection locked="0"/>
    </xf>
    <xf numFmtId="1" fontId="7" fillId="0" borderId="29" xfId="0" applyNumberFormat="1" applyFont="1" applyFill="1" applyBorder="1" applyAlignment="1" applyProtection="1">
      <alignment horizontal="center" vertical="top" wrapText="1"/>
      <protection locked="0"/>
    </xf>
    <xf numFmtId="1" fontId="7" fillId="0" borderId="14" xfId="0" applyNumberFormat="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top" wrapText="1"/>
      <protection locked="0"/>
    </xf>
    <xf numFmtId="0" fontId="12"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8" fillId="0" borderId="1" xfId="1" applyFont="1" applyFill="1" applyBorder="1" applyAlignment="1" applyProtection="1">
      <alignment horizontal="left" vertical="top"/>
      <protection locked="0"/>
    </xf>
    <xf numFmtId="0" fontId="12" fillId="0" borderId="4"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0" fontId="12" fillId="0" borderId="8" xfId="1" applyFont="1" applyFill="1" applyBorder="1" applyAlignment="1" applyProtection="1">
      <alignment horizontal="center" vertical="top" wrapText="1"/>
      <protection locked="0"/>
    </xf>
    <xf numFmtId="0" fontId="12" fillId="0" borderId="9" xfId="1" applyFont="1" applyFill="1" applyBorder="1" applyAlignment="1" applyProtection="1">
      <alignment horizontal="center" vertical="top" wrapText="1"/>
      <protection locked="0"/>
    </xf>
    <xf numFmtId="9" fontId="12" fillId="0" borderId="11" xfId="1" applyNumberFormat="1" applyFont="1" applyFill="1" applyBorder="1" applyAlignment="1" applyProtection="1">
      <alignment horizontal="center" vertical="center" wrapText="1"/>
      <protection hidden="1"/>
    </xf>
    <xf numFmtId="9" fontId="12" fillId="0" borderId="9" xfId="1" applyNumberFormat="1" applyFont="1" applyFill="1" applyBorder="1" applyAlignment="1" applyProtection="1">
      <alignment horizontal="center" vertical="center" wrapText="1"/>
      <protection hidden="1"/>
    </xf>
    <xf numFmtId="9" fontId="12" fillId="0" borderId="12" xfId="1" applyNumberFormat="1" applyFont="1" applyFill="1" applyBorder="1" applyAlignment="1" applyProtection="1">
      <alignment horizontal="center" vertical="center" wrapText="1"/>
      <protection hidden="1"/>
    </xf>
    <xf numFmtId="0" fontId="12" fillId="0" borderId="8" xfId="1" applyFont="1" applyFill="1" applyBorder="1" applyAlignment="1" applyProtection="1">
      <alignment horizontal="center" vertical="top"/>
      <protection locked="0"/>
    </xf>
    <xf numFmtId="0" fontId="12" fillId="0" borderId="10" xfId="1" applyFont="1" applyFill="1" applyBorder="1" applyAlignment="1" applyProtection="1">
      <alignment horizontal="center" vertical="top" wrapText="1"/>
      <protection locked="0"/>
    </xf>
    <xf numFmtId="0" fontId="12" fillId="0" borderId="11" xfId="1" applyFont="1" applyFill="1" applyBorder="1" applyAlignment="1" applyProtection="1">
      <alignment horizontal="center" vertical="top" wrapText="1"/>
      <protection locked="0"/>
    </xf>
    <xf numFmtId="0" fontId="6" fillId="0" borderId="3" xfId="1" applyFont="1" applyFill="1" applyBorder="1" applyAlignment="1" applyProtection="1">
      <alignment horizontal="left" vertical="top"/>
      <protection locked="0"/>
    </xf>
    <xf numFmtId="0" fontId="12" fillId="0" borderId="3" xfId="1" applyFont="1" applyFill="1" applyBorder="1" applyAlignment="1" applyProtection="1">
      <alignment horizontal="left" vertical="top" wrapText="1"/>
      <protection locked="0"/>
    </xf>
    <xf numFmtId="0" fontId="15" fillId="0" borderId="3" xfId="1" applyFont="1" applyFill="1" applyBorder="1" applyAlignment="1" applyProtection="1">
      <alignment horizontal="left" vertical="top" wrapText="1"/>
      <protection locked="0"/>
    </xf>
    <xf numFmtId="0" fontId="15" fillId="0" borderId="1" xfId="1" applyFont="1" applyFill="1" applyBorder="1" applyAlignment="1" applyProtection="1">
      <alignment horizontal="left" vertical="top"/>
      <protection locked="0"/>
    </xf>
    <xf numFmtId="0" fontId="8" fillId="0" borderId="1" xfId="1" applyFont="1" applyFill="1" applyBorder="1" applyAlignment="1" applyProtection="1">
      <alignment vertical="top"/>
      <protection locked="0"/>
    </xf>
    <xf numFmtId="0" fontId="12" fillId="0" borderId="1" xfId="1" applyNumberFormat="1" applyFont="1" applyFill="1" applyBorder="1" applyAlignment="1" applyProtection="1">
      <alignment horizontal="left" vertical="top"/>
      <protection locked="0"/>
    </xf>
    <xf numFmtId="0" fontId="12" fillId="0" borderId="13" xfId="1" applyFont="1" applyFill="1" applyBorder="1" applyAlignment="1" applyProtection="1">
      <alignment vertical="top" wrapText="1"/>
      <protection locked="0"/>
    </xf>
    <xf numFmtId="0" fontId="12" fillId="0" borderId="29" xfId="1" applyFont="1" applyFill="1" applyBorder="1" applyAlignment="1" applyProtection="1">
      <alignment vertical="top" wrapText="1"/>
      <protection locked="0"/>
    </xf>
    <xf numFmtId="0" fontId="12" fillId="0" borderId="14" xfId="1" applyFont="1" applyFill="1" applyBorder="1" applyAlignment="1" applyProtection="1">
      <alignment vertical="top" wrapText="1"/>
      <protection locked="0"/>
    </xf>
    <xf numFmtId="0" fontId="8" fillId="0" borderId="1" xfId="1" applyFont="1" applyFill="1" applyBorder="1" applyAlignment="1" applyProtection="1">
      <alignment horizontal="left" vertical="top" wrapText="1"/>
      <protection locked="0"/>
    </xf>
    <xf numFmtId="14" fontId="13" fillId="0" borderId="13" xfId="1" applyNumberFormat="1" applyFont="1" applyFill="1" applyBorder="1" applyAlignment="1" applyProtection="1">
      <alignment horizontal="left" vertical="top" wrapText="1"/>
      <protection locked="0"/>
    </xf>
    <xf numFmtId="0" fontId="13" fillId="0" borderId="14" xfId="1" applyFont="1" applyFill="1" applyBorder="1" applyAlignment="1" applyProtection="1">
      <alignment horizontal="left" vertical="top" wrapText="1"/>
      <protection locked="0"/>
    </xf>
    <xf numFmtId="14" fontId="12" fillId="0" borderId="1" xfId="1" applyNumberFormat="1" applyFont="1" applyFill="1" applyBorder="1" applyAlignment="1" applyProtection="1">
      <alignment horizontal="left" vertical="top" wrapText="1"/>
      <protection locked="0"/>
    </xf>
    <xf numFmtId="14" fontId="12" fillId="0" borderId="1" xfId="1" applyNumberFormat="1" applyFont="1" applyFill="1" applyBorder="1" applyAlignment="1" applyProtection="1">
      <alignment horizontal="left" vertical="top"/>
      <protection locked="0"/>
    </xf>
    <xf numFmtId="164" fontId="6" fillId="0" borderId="1" xfId="1" applyNumberFormat="1" applyFont="1" applyFill="1" applyBorder="1" applyAlignment="1" applyProtection="1">
      <alignment horizontal="left" vertical="top"/>
      <protection locked="0"/>
    </xf>
    <xf numFmtId="2" fontId="6" fillId="0" borderId="1" xfId="1" applyNumberFormat="1" applyFont="1" applyFill="1" applyBorder="1" applyAlignment="1" applyProtection="1">
      <alignment horizontal="left" vertical="top"/>
      <protection locked="0"/>
    </xf>
    <xf numFmtId="2" fontId="6" fillId="0" borderId="1" xfId="1" applyNumberFormat="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protection locked="0"/>
    </xf>
    <xf numFmtId="0" fontId="12" fillId="0" borderId="1" xfId="1" applyFont="1" applyFill="1" applyBorder="1" applyAlignment="1" applyProtection="1">
      <alignment horizontal="left" vertical="center" wrapText="1"/>
      <protection locked="0"/>
    </xf>
    <xf numFmtId="0" fontId="15" fillId="0" borderId="1" xfId="1" applyFont="1" applyFill="1" applyBorder="1" applyAlignment="1" applyProtection="1">
      <alignment horizontal="left" vertical="center" wrapText="1"/>
      <protection locked="0"/>
    </xf>
    <xf numFmtId="0" fontId="13" fillId="0" borderId="1" xfId="1" applyFont="1" applyFill="1" applyBorder="1" applyAlignment="1" applyProtection="1">
      <alignment horizontal="center"/>
      <protection locked="0"/>
    </xf>
    <xf numFmtId="0" fontId="13" fillId="0" borderId="1" xfId="1" applyFont="1" applyFill="1" applyBorder="1" applyAlignment="1" applyProtection="1">
      <alignment horizontal="center" vertical="top"/>
      <protection locked="0"/>
    </xf>
    <xf numFmtId="0" fontId="15"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left"/>
      <protection locked="0"/>
    </xf>
    <xf numFmtId="0" fontId="11" fillId="0" borderId="1" xfId="1" applyFont="1" applyFill="1" applyBorder="1" applyAlignment="1" applyProtection="1">
      <alignment horizontal="center" vertical="top" wrapText="1"/>
      <protection locked="0"/>
    </xf>
    <xf numFmtId="14" fontId="6" fillId="0" borderId="1" xfId="1" applyNumberFormat="1" applyFont="1" applyFill="1" applyBorder="1" applyAlignment="1" applyProtection="1">
      <alignment horizontal="left" vertical="top"/>
      <protection locked="0"/>
    </xf>
    <xf numFmtId="0" fontId="13" fillId="0" borderId="6" xfId="1" applyFont="1" applyFill="1" applyBorder="1" applyAlignment="1" applyProtection="1">
      <alignment horizontal="left" vertical="top" wrapText="1"/>
      <protection locked="0"/>
    </xf>
    <xf numFmtId="0" fontId="13" fillId="0" borderId="7" xfId="1" applyFont="1" applyFill="1" applyBorder="1" applyAlignment="1" applyProtection="1">
      <alignment horizontal="left" vertical="top" wrapText="1"/>
      <protection locked="0"/>
    </xf>
    <xf numFmtId="0" fontId="13" fillId="0" borderId="9" xfId="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center" wrapText="1"/>
      <protection locked="0"/>
    </xf>
    <xf numFmtId="0" fontId="12" fillId="0" borderId="9" xfId="1" applyFont="1" applyFill="1" applyBorder="1" applyAlignment="1" applyProtection="1">
      <alignment horizontal="center" vertical="center" wrapText="1"/>
      <protection locked="0"/>
    </xf>
    <xf numFmtId="9" fontId="12" fillId="2" borderId="1" xfId="1" applyNumberFormat="1" applyFont="1" applyFill="1" applyBorder="1" applyAlignment="1" applyProtection="1">
      <alignment horizontal="center" vertical="center" wrapText="1"/>
      <protection hidden="1"/>
    </xf>
    <xf numFmtId="9" fontId="12" fillId="2" borderId="11" xfId="1" applyNumberFormat="1" applyFont="1" applyFill="1" applyBorder="1" applyAlignment="1" applyProtection="1">
      <alignment horizontal="center" vertical="center" wrapText="1"/>
      <protection hidden="1"/>
    </xf>
    <xf numFmtId="9" fontId="12" fillId="2" borderId="9" xfId="1" applyNumberFormat="1" applyFont="1" applyFill="1" applyBorder="1" applyAlignment="1" applyProtection="1">
      <alignment horizontal="center" vertical="center" wrapText="1"/>
      <protection hidden="1"/>
    </xf>
    <xf numFmtId="9" fontId="12" fillId="2" borderId="12" xfId="1" applyNumberFormat="1" applyFont="1" applyFill="1" applyBorder="1" applyAlignment="1" applyProtection="1">
      <alignment horizontal="center" vertical="center" wrapText="1"/>
      <protection hidden="1"/>
    </xf>
    <xf numFmtId="0" fontId="12" fillId="2" borderId="1" xfId="1" applyFont="1" applyFill="1" applyBorder="1" applyAlignment="1" applyProtection="1">
      <alignment horizontal="left" vertical="top"/>
      <protection locked="0"/>
    </xf>
    <xf numFmtId="0" fontId="13" fillId="0" borderId="8" xfId="1" applyFont="1" applyFill="1" applyBorder="1" applyAlignment="1" applyProtection="1">
      <alignment horizontal="center" vertical="top"/>
      <protection locked="0"/>
    </xf>
    <xf numFmtId="0" fontId="13" fillId="0" borderId="5"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7" fillId="0" borderId="1" xfId="1" applyFont="1" applyBorder="1" applyAlignment="1" applyProtection="1">
      <alignment horizontal="center"/>
      <protection locked="0"/>
    </xf>
    <xf numFmtId="0" fontId="6" fillId="0" borderId="1" xfId="1" applyFont="1" applyFill="1" applyBorder="1" applyAlignment="1" applyProtection="1">
      <alignment horizontal="center" vertical="top"/>
      <protection locked="0"/>
    </xf>
    <xf numFmtId="0" fontId="12" fillId="2" borderId="1" xfId="1" applyNumberFormat="1" applyFont="1" applyFill="1" applyBorder="1" applyAlignment="1" applyProtection="1">
      <alignment horizontal="left" vertical="top"/>
      <protection locked="0"/>
    </xf>
    <xf numFmtId="0" fontId="12" fillId="2" borderId="13" xfId="1" applyFont="1" applyFill="1" applyBorder="1" applyAlignment="1" applyProtection="1">
      <alignment vertical="top" wrapText="1"/>
      <protection locked="0"/>
    </xf>
    <xf numFmtId="0" fontId="12" fillId="2" borderId="29" xfId="1" applyFont="1" applyFill="1" applyBorder="1" applyAlignment="1" applyProtection="1">
      <alignment vertical="top" wrapText="1"/>
      <protection locked="0"/>
    </xf>
    <xf numFmtId="0" fontId="12" fillId="2" borderId="14" xfId="1" applyFont="1" applyFill="1" applyBorder="1" applyAlignment="1" applyProtection="1">
      <alignment vertical="top" wrapText="1"/>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2" borderId="1" xfId="1" applyFont="1" applyFill="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7" fillId="0" borderId="13" xfId="0" applyNumberFormat="1" applyFont="1" applyBorder="1" applyAlignment="1" applyProtection="1">
      <alignment horizontal="center" vertical="top" wrapText="1"/>
      <protection locked="0"/>
    </xf>
    <xf numFmtId="1" fontId="7" fillId="0" borderId="29" xfId="0" applyNumberFormat="1" applyFont="1" applyBorder="1" applyAlignment="1" applyProtection="1">
      <alignment horizontal="center" vertical="top" wrapText="1"/>
      <protection locked="0"/>
    </xf>
    <xf numFmtId="1" fontId="7" fillId="0" borderId="14"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6" fillId="2" borderId="1" xfId="1" applyFont="1" applyFill="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3" fillId="0" borderId="1" xfId="2" applyFont="1" applyBorder="1" applyAlignment="1" applyProtection="1">
      <alignment horizontal="left" vertical="top" wrapText="1"/>
      <protection locked="0"/>
    </xf>
    <xf numFmtId="1" fontId="13" fillId="0" borderId="1" xfId="0" applyNumberFormat="1" applyFont="1" applyFill="1" applyBorder="1" applyAlignment="1" applyProtection="1">
      <alignment horizontal="center" vertical="center" wrapText="1"/>
      <protection locked="0"/>
    </xf>
    <xf numFmtId="1" fontId="13" fillId="0" borderId="1" xfId="0" applyNumberFormat="1" applyFont="1" applyBorder="1" applyAlignment="1" applyProtection="1">
      <alignment horizontal="center" vertical="top" wrapText="1"/>
      <protection locked="0"/>
    </xf>
    <xf numFmtId="1" fontId="13" fillId="0" borderId="13" xfId="0" applyNumberFormat="1" applyFont="1" applyBorder="1" applyAlignment="1" applyProtection="1">
      <alignment horizontal="center" vertical="top" wrapText="1"/>
      <protection locked="0"/>
    </xf>
    <xf numFmtId="1" fontId="13" fillId="0" borderId="29" xfId="0" applyNumberFormat="1" applyFont="1" applyBorder="1" applyAlignment="1" applyProtection="1">
      <alignment horizontal="center" vertical="top" wrapText="1"/>
      <protection locked="0"/>
    </xf>
    <xf numFmtId="1" fontId="13" fillId="0" borderId="14" xfId="0" applyNumberFormat="1" applyFont="1" applyBorder="1" applyAlignment="1" applyProtection="1">
      <alignment horizontal="center" vertical="top" wrapText="1"/>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xf numFmtId="0" fontId="10" fillId="0" borderId="1" xfId="1" applyFont="1" applyFill="1" applyBorder="1" applyAlignment="1" applyProtection="1">
      <alignment horizontal="left"/>
      <protection locked="0"/>
    </xf>
    <xf numFmtId="0" fontId="23" fillId="0" borderId="1" xfId="8" applyFill="1" applyBorder="1" applyAlignment="1" applyProtection="1">
      <alignment horizontal="left"/>
      <protection locked="0"/>
    </xf>
    <xf numFmtId="0" fontId="7" fillId="0" borderId="1" xfId="1" applyFont="1" applyFill="1" applyBorder="1" applyAlignment="1" applyProtection="1">
      <alignment horizontal="left"/>
      <protection locked="0"/>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33.jpg"/><Relationship Id="rId3" Type="http://schemas.openxmlformats.org/officeDocument/2006/relationships/image" Target="../media/image28.jpg"/><Relationship Id="rId7" Type="http://schemas.openxmlformats.org/officeDocument/2006/relationships/image" Target="../media/image32.jpeg"/><Relationship Id="rId2" Type="http://schemas.openxmlformats.org/officeDocument/2006/relationships/image" Target="../media/image1.png"/><Relationship Id="rId1" Type="http://schemas.openxmlformats.org/officeDocument/2006/relationships/image" Target="../media/image27.png"/><Relationship Id="rId6" Type="http://schemas.openxmlformats.org/officeDocument/2006/relationships/image" Target="../media/image31.jpg"/><Relationship Id="rId5" Type="http://schemas.openxmlformats.org/officeDocument/2006/relationships/image" Target="../media/image30.jpg"/><Relationship Id="rId10" Type="http://schemas.openxmlformats.org/officeDocument/2006/relationships/image" Target="../media/image35.jpg"/><Relationship Id="rId4" Type="http://schemas.openxmlformats.org/officeDocument/2006/relationships/image" Target="../media/image29.jpeg"/><Relationship Id="rId9" Type="http://schemas.openxmlformats.org/officeDocument/2006/relationships/image" Target="../media/image3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9.png"/><Relationship Id="rId7" Type="http://schemas.openxmlformats.org/officeDocument/2006/relationships/image" Target="../media/image43.png"/><Relationship Id="rId2" Type="http://schemas.openxmlformats.org/officeDocument/2006/relationships/image" Target="../media/image38.png"/><Relationship Id="rId1" Type="http://schemas.openxmlformats.org/officeDocument/2006/relationships/image" Target="../media/image37.png"/><Relationship Id="rId6" Type="http://schemas.openxmlformats.org/officeDocument/2006/relationships/image" Target="../media/image42.png"/><Relationship Id="rId5" Type="http://schemas.openxmlformats.org/officeDocument/2006/relationships/image" Target="../media/image41.png"/><Relationship Id="rId4" Type="http://schemas.openxmlformats.org/officeDocument/2006/relationships/image" Target="../media/image4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editAs="oneCell">
    <xdr:from>
      <xdr:col>1</xdr:col>
      <xdr:colOff>488476</xdr:colOff>
      <xdr:row>357</xdr:row>
      <xdr:rowOff>126321</xdr:rowOff>
    </xdr:from>
    <xdr:to>
      <xdr:col>6</xdr:col>
      <xdr:colOff>488475</xdr:colOff>
      <xdr:row>371</xdr:row>
      <xdr:rowOff>182437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250476" y="74935671"/>
          <a:ext cx="4057649" cy="2856466"/>
        </a:xfrm>
        <a:prstGeom prst="rect">
          <a:avLst/>
        </a:prstGeom>
        <a:ln>
          <a:solidFill>
            <a:schemeClr val="tx1"/>
          </a:solidFill>
        </a:ln>
      </xdr:spPr>
    </xdr:pic>
    <xdr:clientData/>
  </xdr:twoCellAnchor>
  <xdr:twoCellAnchor editAs="oneCell">
    <xdr:from>
      <xdr:col>0</xdr:col>
      <xdr:colOff>510886</xdr:colOff>
      <xdr:row>308</xdr:row>
      <xdr:rowOff>25978</xdr:rowOff>
    </xdr:from>
    <xdr:to>
      <xdr:col>7</xdr:col>
      <xdr:colOff>287361</xdr:colOff>
      <xdr:row>326</xdr:row>
      <xdr:rowOff>41115</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10886" y="64234003"/>
          <a:ext cx="5377175" cy="3615587"/>
        </a:xfrm>
        <a:prstGeom prst="rect">
          <a:avLst/>
        </a:prstGeom>
        <a:ln>
          <a:solidFill>
            <a:schemeClr val="tx1"/>
          </a:solidFill>
        </a:ln>
      </xdr:spPr>
    </xdr:pic>
    <xdr:clientData/>
  </xdr:twoCellAnchor>
  <xdr:twoCellAnchor>
    <xdr:from>
      <xdr:col>2</xdr:col>
      <xdr:colOff>98022</xdr:colOff>
      <xdr:row>313</xdr:row>
      <xdr:rowOff>92477</xdr:rowOff>
    </xdr:from>
    <xdr:to>
      <xdr:col>2</xdr:col>
      <xdr:colOff>378227</xdr:colOff>
      <xdr:row>319</xdr:row>
      <xdr:rowOff>170409</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rot="5400000">
          <a:off x="1151659" y="65799565"/>
          <a:ext cx="1278082" cy="28020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A Wing</a:t>
          </a:r>
          <a:endParaRPr lang="en-IN" sz="1200"/>
        </a:p>
      </xdr:txBody>
    </xdr:sp>
    <xdr:clientData/>
  </xdr:twoCellAnchor>
  <xdr:twoCellAnchor>
    <xdr:from>
      <xdr:col>2</xdr:col>
      <xdr:colOff>406979</xdr:colOff>
      <xdr:row>320</xdr:row>
      <xdr:rowOff>95250</xdr:rowOff>
    </xdr:from>
    <xdr:to>
      <xdr:col>3</xdr:col>
      <xdr:colOff>424331</xdr:colOff>
      <xdr:row>321</xdr:row>
      <xdr:rowOff>176296</xdr:rowOff>
    </xdr:to>
    <xdr:sp macro="" textlink="">
      <xdr:nvSpPr>
        <xdr:cNvPr id="34" name="Rectangle 33">
          <a:extLst>
            <a:ext uri="{FF2B5EF4-FFF2-40B4-BE49-F238E27FC236}">
              <a16:creationId xmlns:a16="http://schemas.microsoft.com/office/drawing/2014/main" id="{00000000-0008-0000-0000-000022000000}"/>
            </a:ext>
          </a:extLst>
        </xdr:cNvPr>
        <xdr:cNvSpPr/>
      </xdr:nvSpPr>
      <xdr:spPr>
        <a:xfrm>
          <a:off x="1959554" y="66703575"/>
          <a:ext cx="865077" cy="28107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B Wing</a:t>
          </a:r>
          <a:endParaRPr lang="en-IN" sz="1200"/>
        </a:p>
      </xdr:txBody>
    </xdr:sp>
    <xdr:clientData/>
  </xdr:twoCellAnchor>
  <xdr:twoCellAnchor>
    <xdr:from>
      <xdr:col>3</xdr:col>
      <xdr:colOff>190500</xdr:colOff>
      <xdr:row>320</xdr:row>
      <xdr:rowOff>112568</xdr:rowOff>
    </xdr:from>
    <xdr:to>
      <xdr:col>4</xdr:col>
      <xdr:colOff>199193</xdr:colOff>
      <xdr:row>321</xdr:row>
      <xdr:rowOff>193614</xdr:rowOff>
    </xdr:to>
    <xdr:sp macro="" textlink="">
      <xdr:nvSpPr>
        <xdr:cNvPr id="35" name="Rectangle 34">
          <a:extLst>
            <a:ext uri="{FF2B5EF4-FFF2-40B4-BE49-F238E27FC236}">
              <a16:creationId xmlns:a16="http://schemas.microsoft.com/office/drawing/2014/main" id="{00000000-0008-0000-0000-000023000000}"/>
            </a:ext>
          </a:extLst>
        </xdr:cNvPr>
        <xdr:cNvSpPr/>
      </xdr:nvSpPr>
      <xdr:spPr>
        <a:xfrm>
          <a:off x="2590800" y="66720893"/>
          <a:ext cx="865943" cy="28107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C Wing</a:t>
          </a:r>
          <a:endParaRPr lang="en-IN" sz="1200"/>
        </a:p>
      </xdr:txBody>
    </xdr:sp>
    <xdr:clientData/>
  </xdr:twoCellAnchor>
  <xdr:twoCellAnchor editAs="oneCell">
    <xdr:from>
      <xdr:col>0</xdr:col>
      <xdr:colOff>692727</xdr:colOff>
      <xdr:row>341</xdr:row>
      <xdr:rowOff>0</xdr:rowOff>
    </xdr:from>
    <xdr:to>
      <xdr:col>7</xdr:col>
      <xdr:colOff>107651</xdr:colOff>
      <xdr:row>357</xdr:row>
      <xdr:rowOff>53455</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692727" y="71608950"/>
          <a:ext cx="5015624" cy="3253855"/>
        </a:xfrm>
        <a:prstGeom prst="rect">
          <a:avLst/>
        </a:prstGeom>
        <a:ln>
          <a:solidFill>
            <a:schemeClr val="tx1"/>
          </a:solidFill>
        </a:ln>
      </xdr:spPr>
    </xdr:pic>
    <xdr:clientData/>
  </xdr:twoCellAnchor>
  <xdr:twoCellAnchor>
    <xdr:from>
      <xdr:col>1</xdr:col>
      <xdr:colOff>164523</xdr:colOff>
      <xdr:row>343</xdr:row>
      <xdr:rowOff>147205</xdr:rowOff>
    </xdr:from>
    <xdr:to>
      <xdr:col>3</xdr:col>
      <xdr:colOff>363683</xdr:colOff>
      <xdr:row>353</xdr:row>
      <xdr:rowOff>25977</xdr:rowOff>
    </xdr:to>
    <xdr:sp macro="" textlink="">
      <xdr:nvSpPr>
        <xdr:cNvPr id="4" name="Freeform 3">
          <a:extLst>
            <a:ext uri="{FF2B5EF4-FFF2-40B4-BE49-F238E27FC236}">
              <a16:creationId xmlns:a16="http://schemas.microsoft.com/office/drawing/2014/main" id="{00000000-0008-0000-0000-000004000000}"/>
            </a:ext>
          </a:extLst>
        </xdr:cNvPr>
        <xdr:cNvSpPr/>
      </xdr:nvSpPr>
      <xdr:spPr>
        <a:xfrm>
          <a:off x="926523" y="72156205"/>
          <a:ext cx="1837460" cy="1879022"/>
        </a:xfrm>
        <a:custGeom>
          <a:avLst/>
          <a:gdLst>
            <a:gd name="connsiteX0" fmla="*/ 0 w 1783772"/>
            <a:gd name="connsiteY0" fmla="*/ 0 h 1853045"/>
            <a:gd name="connsiteX1" fmla="*/ 1099704 w 1783772"/>
            <a:gd name="connsiteY1" fmla="*/ 69272 h 1853045"/>
            <a:gd name="connsiteX2" fmla="*/ 1108363 w 1783772"/>
            <a:gd name="connsiteY2" fmla="*/ 848591 h 1853045"/>
            <a:gd name="connsiteX3" fmla="*/ 1783772 w 1783772"/>
            <a:gd name="connsiteY3" fmla="*/ 848591 h 1853045"/>
            <a:gd name="connsiteX4" fmla="*/ 1714500 w 1783772"/>
            <a:gd name="connsiteY4" fmla="*/ 1853045 h 1853045"/>
            <a:gd name="connsiteX5" fmla="*/ 1082386 w 1783772"/>
            <a:gd name="connsiteY5" fmla="*/ 1835727 h 1853045"/>
            <a:gd name="connsiteX6" fmla="*/ 943841 w 1783772"/>
            <a:gd name="connsiteY6" fmla="*/ 1783772 h 1853045"/>
            <a:gd name="connsiteX7" fmla="*/ 484909 w 1783772"/>
            <a:gd name="connsiteY7" fmla="*/ 1801091 h 1853045"/>
            <a:gd name="connsiteX8" fmla="*/ 381000 w 1783772"/>
            <a:gd name="connsiteY8" fmla="*/ 1853045 h 1853045"/>
            <a:gd name="connsiteX9" fmla="*/ 285750 w 1783772"/>
            <a:gd name="connsiteY9" fmla="*/ 891886 h 1853045"/>
            <a:gd name="connsiteX10" fmla="*/ 0 w 1783772"/>
            <a:gd name="connsiteY10" fmla="*/ 0 h 18530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783772" h="1853045">
              <a:moveTo>
                <a:pt x="0" y="0"/>
              </a:moveTo>
              <a:lnTo>
                <a:pt x="1099704" y="69272"/>
              </a:lnTo>
              <a:cubicBezTo>
                <a:pt x="1102590" y="329045"/>
                <a:pt x="1105477" y="588818"/>
                <a:pt x="1108363" y="848591"/>
              </a:cubicBezTo>
              <a:lnTo>
                <a:pt x="1783772" y="848591"/>
              </a:lnTo>
              <a:lnTo>
                <a:pt x="1714500" y="1853045"/>
              </a:lnTo>
              <a:lnTo>
                <a:pt x="1082386" y="1835727"/>
              </a:lnTo>
              <a:lnTo>
                <a:pt x="943841" y="1783772"/>
              </a:lnTo>
              <a:lnTo>
                <a:pt x="484909" y="1801091"/>
              </a:lnTo>
              <a:lnTo>
                <a:pt x="381000" y="1853045"/>
              </a:lnTo>
              <a:lnTo>
                <a:pt x="285750" y="891886"/>
              </a:lnTo>
              <a:lnTo>
                <a:pt x="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234950</xdr:colOff>
      <xdr:row>263</xdr:row>
      <xdr:rowOff>31750</xdr:rowOff>
    </xdr:from>
    <xdr:to>
      <xdr:col>17</xdr:col>
      <xdr:colOff>73940</xdr:colOff>
      <xdr:row>304</xdr:row>
      <xdr:rowOff>38100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131050" y="52387500"/>
          <a:ext cx="6442990" cy="8108950"/>
          <a:chOff x="254000" y="54603650"/>
          <a:chExt cx="6392190" cy="8108950"/>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396445" y="61249616"/>
            <a:ext cx="2149041" cy="1462984"/>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440317" y="54622700"/>
            <a:ext cx="2030649" cy="270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982125" y="59532644"/>
            <a:ext cx="1218389" cy="162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95869" y="59532644"/>
            <a:ext cx="2149041" cy="162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095359" y="61249616"/>
            <a:ext cx="2157000" cy="1462984"/>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54000" y="57419672"/>
            <a:ext cx="1516219" cy="2016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487946" y="57419672"/>
            <a:ext cx="1516219" cy="2016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615541" y="54622700"/>
            <a:ext cx="2030649" cy="270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688997" y="59532644"/>
            <a:ext cx="2149041" cy="162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5104919" y="57419672"/>
            <a:ext cx="1516219" cy="2016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65093" y="54622700"/>
            <a:ext cx="2030649" cy="270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870973" y="57419672"/>
            <a:ext cx="1516219" cy="2016000"/>
          </a:xfrm>
          <a:prstGeom prst="rect">
            <a:avLst/>
          </a:prstGeom>
          <a:ln>
            <a:solidFill>
              <a:schemeClr val="tx1"/>
            </a:solidFill>
          </a:ln>
        </xdr:spPr>
      </xdr:pic>
      <xdr:sp macro="" textlink="">
        <xdr:nvSpPr>
          <xdr:cNvPr id="44" name="Rectangle 43">
            <a:extLst>
              <a:ext uri="{FF2B5EF4-FFF2-40B4-BE49-F238E27FC236}">
                <a16:creationId xmlns:a16="http://schemas.microsoft.com/office/drawing/2014/main" id="{00000000-0008-0000-0000-00002C000000}"/>
              </a:ext>
            </a:extLst>
          </xdr:cNvPr>
          <xdr:cNvSpPr/>
        </xdr:nvSpPr>
        <xdr:spPr>
          <a:xfrm>
            <a:off x="1185843" y="54616350"/>
            <a:ext cx="706291"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 Wing</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45" name="Rectangle 44">
            <a:extLst>
              <a:ext uri="{FF2B5EF4-FFF2-40B4-BE49-F238E27FC236}">
                <a16:creationId xmlns:a16="http://schemas.microsoft.com/office/drawing/2014/main" id="{00000000-0008-0000-0000-00002D000000}"/>
              </a:ext>
            </a:extLst>
          </xdr:cNvPr>
          <xdr:cNvSpPr/>
        </xdr:nvSpPr>
        <xdr:spPr>
          <a:xfrm>
            <a:off x="2440317" y="54622700"/>
            <a:ext cx="706291"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 Wing</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46" name="Rectangle 45">
            <a:extLst>
              <a:ext uri="{FF2B5EF4-FFF2-40B4-BE49-F238E27FC236}">
                <a16:creationId xmlns:a16="http://schemas.microsoft.com/office/drawing/2014/main" id="{00000000-0008-0000-0000-00002E000000}"/>
              </a:ext>
            </a:extLst>
          </xdr:cNvPr>
          <xdr:cNvSpPr/>
        </xdr:nvSpPr>
        <xdr:spPr>
          <a:xfrm>
            <a:off x="3754767" y="54603650"/>
            <a:ext cx="706291"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C Wing</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48" name="Rectangle 47">
            <a:extLst>
              <a:ext uri="{FF2B5EF4-FFF2-40B4-BE49-F238E27FC236}">
                <a16:creationId xmlns:a16="http://schemas.microsoft.com/office/drawing/2014/main" id="{00000000-0008-0000-0000-000030000000}"/>
              </a:ext>
            </a:extLst>
          </xdr:cNvPr>
          <xdr:cNvSpPr/>
        </xdr:nvSpPr>
        <xdr:spPr>
          <a:xfrm>
            <a:off x="254000" y="57419672"/>
            <a:ext cx="706291"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C Wing</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grpSp>
    <xdr:clientData/>
  </xdr:twoCellAnchor>
  <xdr:twoCellAnchor>
    <xdr:from>
      <xdr:col>0</xdr:col>
      <xdr:colOff>209550</xdr:colOff>
      <xdr:row>264</xdr:row>
      <xdr:rowOff>82550</xdr:rowOff>
    </xdr:from>
    <xdr:to>
      <xdr:col>7</xdr:col>
      <xdr:colOff>794556</xdr:colOff>
      <xdr:row>304</xdr:row>
      <xdr:rowOff>63458</xdr:rowOff>
    </xdr:to>
    <xdr:grpSp>
      <xdr:nvGrpSpPr>
        <xdr:cNvPr id="5" name="Group 4"/>
        <xdr:cNvGrpSpPr/>
      </xdr:nvGrpSpPr>
      <xdr:grpSpPr>
        <a:xfrm>
          <a:off x="209550" y="52673250"/>
          <a:ext cx="6452406" cy="7848558"/>
          <a:chOff x="209550" y="52673250"/>
          <a:chExt cx="6452406" cy="7848558"/>
        </a:xfrm>
      </xdr:grpSpPr>
      <xdr:pic>
        <xdr:nvPicPr>
          <xdr:cNvPr id="56" name="Picture 55"/>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748573" y="58361808"/>
            <a:ext cx="2865387" cy="216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406891" y="52673250"/>
            <a:ext cx="2057724" cy="2736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604232" y="52673250"/>
            <a:ext cx="2057724" cy="2736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406891" y="55517529"/>
            <a:ext cx="2057724" cy="2736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001235" y="58361808"/>
            <a:ext cx="1617750" cy="216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09550" y="52673250"/>
            <a:ext cx="2057724" cy="2736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47128" y="58361808"/>
            <a:ext cx="1624519" cy="216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604232" y="55517529"/>
            <a:ext cx="2057724" cy="2736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09550" y="55517529"/>
            <a:ext cx="2057724" cy="2736000"/>
          </a:xfrm>
          <a:prstGeom prst="rect">
            <a:avLst/>
          </a:prstGeom>
          <a:ln>
            <a:solidFill>
              <a:schemeClr val="tx1"/>
            </a:solidFill>
          </a:ln>
        </xdr:spPr>
      </xdr:pic>
      <xdr:sp macro="" textlink="">
        <xdr:nvSpPr>
          <xdr:cNvPr id="65" name="Rectangle 64">
            <a:extLst>
              <a:ext uri="{FF2B5EF4-FFF2-40B4-BE49-F238E27FC236}">
                <a16:creationId xmlns:a16="http://schemas.microsoft.com/office/drawing/2014/main" id="{00000000-0008-0000-0000-000030000000}"/>
              </a:ext>
            </a:extLst>
          </xdr:cNvPr>
          <xdr:cNvSpPr/>
        </xdr:nvSpPr>
        <xdr:spPr>
          <a:xfrm>
            <a:off x="5442432" y="54781450"/>
            <a:ext cx="711904" cy="311496"/>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cap="none" spc="0">
                <a:ln w="0"/>
                <a:solidFill>
                  <a:srgbClr val="FFFF00"/>
                </a:solidFill>
                <a:effectLst>
                  <a:outerShdw blurRad="38100" dist="25400" dir="5400000" algn="ctr" rotWithShape="0">
                    <a:srgbClr val="6E747A">
                      <a:alpha val="43000"/>
                    </a:srgbClr>
                  </a:outerShdw>
                </a:effectLst>
              </a:rPr>
              <a:t>C Wing</a:t>
            </a:r>
            <a:endParaRPr lang="en-IN" sz="1400" b="1" cap="none" spc="0">
              <a:ln w="0"/>
              <a:solidFill>
                <a:srgbClr val="FFFF00"/>
              </a:solidFill>
              <a:effectLst>
                <a:outerShdw blurRad="38100" dist="25400" dir="5400000" algn="ctr" rotWithShape="0">
                  <a:srgbClr val="6E747A">
                    <a:alpha val="43000"/>
                  </a:srgb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369794</xdr:colOff>
      <xdr:row>264</xdr:row>
      <xdr:rowOff>78441</xdr:rowOff>
    </xdr:from>
    <xdr:to>
      <xdr:col>7</xdr:col>
      <xdr:colOff>172712</xdr:colOff>
      <xdr:row>280</xdr:row>
      <xdr:rowOff>91147</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69794" y="59099823"/>
          <a:ext cx="5775653" cy="3240000"/>
        </a:xfrm>
        <a:prstGeom prst="rect">
          <a:avLst/>
        </a:prstGeom>
        <a:ln>
          <a:solidFill>
            <a:schemeClr val="tx1"/>
          </a:solidFill>
        </a:ln>
      </xdr:spPr>
    </xdr:pic>
    <xdr:clientData/>
  </xdr:twoCellAnchor>
  <xdr:twoCellAnchor editAs="oneCell">
    <xdr:from>
      <xdr:col>0</xdr:col>
      <xdr:colOff>369794</xdr:colOff>
      <xdr:row>281</xdr:row>
      <xdr:rowOff>9675</xdr:rowOff>
    </xdr:from>
    <xdr:to>
      <xdr:col>7</xdr:col>
      <xdr:colOff>172712</xdr:colOff>
      <xdr:row>297</xdr:row>
      <xdr:rowOff>22381</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69794" y="62460057"/>
          <a:ext cx="5775653" cy="3240000"/>
        </a:xfrm>
        <a:prstGeom prst="rect">
          <a:avLst/>
        </a:prstGeom>
        <a:ln>
          <a:solidFill>
            <a:schemeClr val="tx1"/>
          </a:solidFill>
        </a:ln>
      </xdr:spPr>
    </xdr:pic>
    <xdr:clientData/>
  </xdr:twoCellAnchor>
  <xdr:twoCellAnchor editAs="oneCell">
    <xdr:from>
      <xdr:col>3</xdr:col>
      <xdr:colOff>297499</xdr:colOff>
      <xdr:row>244</xdr:row>
      <xdr:rowOff>14214</xdr:rowOff>
    </xdr:from>
    <xdr:to>
      <xdr:col>6</xdr:col>
      <xdr:colOff>746647</xdr:colOff>
      <xdr:row>254</xdr:row>
      <xdr:rowOff>157155</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t="-1" b="14106"/>
        <a:stretch/>
      </xdr:blipFill>
      <xdr:spPr>
        <a:xfrm>
          <a:off x="2830028" y="54026567"/>
          <a:ext cx="3048913" cy="2160000"/>
        </a:xfrm>
        <a:prstGeom prst="rect">
          <a:avLst/>
        </a:prstGeom>
        <a:ln>
          <a:solidFill>
            <a:schemeClr val="tx1"/>
          </a:solidFill>
        </a:ln>
      </xdr:spPr>
    </xdr:pic>
    <xdr:clientData/>
  </xdr:twoCellAnchor>
  <xdr:twoCellAnchor editAs="oneCell">
    <xdr:from>
      <xdr:col>5</xdr:col>
      <xdr:colOff>85045</xdr:colOff>
      <xdr:row>219</xdr:row>
      <xdr:rowOff>163422</xdr:rowOff>
    </xdr:from>
    <xdr:to>
      <xdr:col>7</xdr:col>
      <xdr:colOff>383209</xdr:colOff>
      <xdr:row>232</xdr:row>
      <xdr:rowOff>72452</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376898" y="49144334"/>
          <a:ext cx="1979046" cy="2520000"/>
        </a:xfrm>
        <a:prstGeom prst="rect">
          <a:avLst/>
        </a:prstGeom>
        <a:ln>
          <a:solidFill>
            <a:schemeClr val="tx1"/>
          </a:solidFill>
        </a:ln>
      </xdr:spPr>
    </xdr:pic>
    <xdr:clientData/>
  </xdr:twoCellAnchor>
  <xdr:twoCellAnchor editAs="oneCell">
    <xdr:from>
      <xdr:col>0</xdr:col>
      <xdr:colOff>156882</xdr:colOff>
      <xdr:row>232</xdr:row>
      <xdr:rowOff>185113</xdr:rowOff>
    </xdr:from>
    <xdr:to>
      <xdr:col>2</xdr:col>
      <xdr:colOff>579998</xdr:colOff>
      <xdr:row>243</xdr:row>
      <xdr:rowOff>126348</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56882" y="51776995"/>
          <a:ext cx="2036763" cy="2160000"/>
        </a:xfrm>
        <a:prstGeom prst="rect">
          <a:avLst/>
        </a:prstGeom>
        <a:ln>
          <a:solidFill>
            <a:schemeClr val="tx1"/>
          </a:solidFill>
        </a:ln>
      </xdr:spPr>
    </xdr:pic>
    <xdr:clientData/>
  </xdr:twoCellAnchor>
  <xdr:twoCellAnchor editAs="oneCell">
    <xdr:from>
      <xdr:col>0</xdr:col>
      <xdr:colOff>246529</xdr:colOff>
      <xdr:row>219</xdr:row>
      <xdr:rowOff>163424</xdr:rowOff>
    </xdr:from>
    <xdr:to>
      <xdr:col>2</xdr:col>
      <xdr:colOff>698732</xdr:colOff>
      <xdr:row>232</xdr:row>
      <xdr:rowOff>72454</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6529" y="49144336"/>
          <a:ext cx="2065850" cy="2520000"/>
        </a:xfrm>
        <a:prstGeom prst="rect">
          <a:avLst/>
        </a:prstGeom>
        <a:ln>
          <a:solidFill>
            <a:schemeClr val="tx1"/>
          </a:solidFill>
        </a:ln>
      </xdr:spPr>
    </xdr:pic>
    <xdr:clientData/>
  </xdr:twoCellAnchor>
  <xdr:twoCellAnchor editAs="oneCell">
    <xdr:from>
      <xdr:col>2</xdr:col>
      <xdr:colOff>777139</xdr:colOff>
      <xdr:row>219</xdr:row>
      <xdr:rowOff>179294</xdr:rowOff>
    </xdr:from>
    <xdr:to>
      <xdr:col>5</xdr:col>
      <xdr:colOff>20109</xdr:colOff>
      <xdr:row>232</xdr:row>
      <xdr:rowOff>88324</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390786" y="49160206"/>
          <a:ext cx="1921176" cy="2520000"/>
        </a:xfrm>
        <a:prstGeom prst="rect">
          <a:avLst/>
        </a:prstGeom>
        <a:ln>
          <a:solidFill>
            <a:schemeClr val="tx1"/>
          </a:solidFill>
        </a:ln>
      </xdr:spPr>
    </xdr:pic>
    <xdr:clientData/>
  </xdr:twoCellAnchor>
  <xdr:twoCellAnchor editAs="oneCell">
    <xdr:from>
      <xdr:col>0</xdr:col>
      <xdr:colOff>115115</xdr:colOff>
      <xdr:row>244</xdr:row>
      <xdr:rowOff>20872</xdr:rowOff>
    </xdr:from>
    <xdr:to>
      <xdr:col>3</xdr:col>
      <xdr:colOff>202401</xdr:colOff>
      <xdr:row>254</xdr:row>
      <xdr:rowOff>163813</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15115" y="54033225"/>
          <a:ext cx="2619815" cy="2160000"/>
        </a:xfrm>
        <a:prstGeom prst="rect">
          <a:avLst/>
        </a:prstGeom>
        <a:ln>
          <a:solidFill>
            <a:schemeClr val="tx1"/>
          </a:solidFill>
        </a:ln>
      </xdr:spPr>
    </xdr:pic>
    <xdr:clientData/>
  </xdr:twoCellAnchor>
  <xdr:twoCellAnchor editAs="oneCell">
    <xdr:from>
      <xdr:col>5</xdr:col>
      <xdr:colOff>433939</xdr:colOff>
      <xdr:row>232</xdr:row>
      <xdr:rowOff>184826</xdr:rowOff>
    </xdr:from>
    <xdr:to>
      <xdr:col>7</xdr:col>
      <xdr:colOff>831958</xdr:colOff>
      <xdr:row>243</xdr:row>
      <xdr:rowOff>126061</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a:ext>
          </a:extLst>
        </a:blip>
        <a:srcRect b="10465"/>
        <a:stretch/>
      </xdr:blipFill>
      <xdr:spPr>
        <a:xfrm>
          <a:off x="4725792" y="51776708"/>
          <a:ext cx="2078901" cy="2160000"/>
        </a:xfrm>
        <a:prstGeom prst="rect">
          <a:avLst/>
        </a:prstGeom>
        <a:ln>
          <a:solidFill>
            <a:schemeClr val="tx1"/>
          </a:solidFill>
        </a:ln>
      </xdr:spPr>
    </xdr:pic>
    <xdr:clientData/>
  </xdr:twoCellAnchor>
  <xdr:twoCellAnchor editAs="oneCell">
    <xdr:from>
      <xdr:col>2</xdr:col>
      <xdr:colOff>644015</xdr:colOff>
      <xdr:row>232</xdr:row>
      <xdr:rowOff>167966</xdr:rowOff>
    </xdr:from>
    <xdr:to>
      <xdr:col>5</xdr:col>
      <xdr:colOff>386597</xdr:colOff>
      <xdr:row>243</xdr:row>
      <xdr:rowOff>109201</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57662" y="51759848"/>
          <a:ext cx="2420788"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561975</xdr:colOff>
      <xdr:row>13</xdr:row>
      <xdr:rowOff>180975</xdr:rowOff>
    </xdr:from>
    <xdr:to>
      <xdr:col>7</xdr:col>
      <xdr:colOff>340659</xdr:colOff>
      <xdr:row>32</xdr:row>
      <xdr:rowOff>161925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90" t="9114" r="6999" b="20760"/>
        <a:stretch>
          <a:fillRect/>
        </a:stretch>
      </xdr:blipFill>
      <xdr:spPr bwMode="auto">
        <a:xfrm>
          <a:off x="561975" y="3238500"/>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495300</xdr:colOff>
      <xdr:row>33</xdr:row>
      <xdr:rowOff>142875</xdr:rowOff>
    </xdr:from>
    <xdr:to>
      <xdr:col>7</xdr:col>
      <xdr:colOff>350184</xdr:colOff>
      <xdr:row>52</xdr:row>
      <xdr:rowOff>123825</xdr:rowOff>
    </xdr:to>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375" t="9486" r="6375" b="20201"/>
        <a:stretch>
          <a:fillRect/>
        </a:stretch>
      </xdr:blipFill>
      <xdr:spPr bwMode="auto">
        <a:xfrm>
          <a:off x="495300" y="701040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466725</xdr:colOff>
      <xdr:row>53</xdr:row>
      <xdr:rowOff>85725</xdr:rowOff>
    </xdr:from>
    <xdr:to>
      <xdr:col>7</xdr:col>
      <xdr:colOff>321609</xdr:colOff>
      <xdr:row>72</xdr:row>
      <xdr:rowOff>66675</xdr:rowOff>
    </xdr:to>
    <xdr:pic>
      <xdr:nvPicPr>
        <xdr:cNvPr id="4" name="Picture 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6354" t="9300" r="6477" b="19829"/>
        <a:stretch>
          <a:fillRect/>
        </a:stretch>
      </xdr:blipFill>
      <xdr:spPr bwMode="auto">
        <a:xfrm>
          <a:off x="466725" y="1076325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428625</xdr:colOff>
      <xdr:row>73</xdr:row>
      <xdr:rowOff>57150</xdr:rowOff>
    </xdr:from>
    <xdr:to>
      <xdr:col>7</xdr:col>
      <xdr:colOff>264459</xdr:colOff>
      <xdr:row>92</xdr:row>
      <xdr:rowOff>38100</xdr:rowOff>
    </xdr:to>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4999" t="9486" r="7312" b="18713"/>
        <a:stretch>
          <a:fillRect/>
        </a:stretch>
      </xdr:blipFill>
      <xdr:spPr bwMode="auto">
        <a:xfrm>
          <a:off x="428625" y="14544675"/>
          <a:ext cx="81343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93</xdr:row>
      <xdr:rowOff>38100</xdr:rowOff>
    </xdr:from>
    <xdr:to>
      <xdr:col>7</xdr:col>
      <xdr:colOff>197784</xdr:colOff>
      <xdr:row>112</xdr:row>
      <xdr:rowOff>19050</xdr:rowOff>
    </xdr:to>
    <xdr:pic>
      <xdr:nvPicPr>
        <xdr:cNvPr id="6" name="Picture 6">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4659" t="9200" r="6323" b="20015"/>
        <a:stretch>
          <a:fillRect/>
        </a:stretch>
      </xdr:blipFill>
      <xdr:spPr bwMode="auto">
        <a:xfrm>
          <a:off x="419100" y="1833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113</xdr:row>
      <xdr:rowOff>38100</xdr:rowOff>
    </xdr:from>
    <xdr:to>
      <xdr:col>7</xdr:col>
      <xdr:colOff>178734</xdr:colOff>
      <xdr:row>132</xdr:row>
      <xdr:rowOff>19050</xdr:rowOff>
    </xdr:to>
    <xdr:pic>
      <xdr:nvPicPr>
        <xdr:cNvPr id="7" name="Picture 7">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793" t="9233" r="8308" b="11932"/>
        <a:stretch>
          <a:fillRect/>
        </a:stretch>
      </xdr:blipFill>
      <xdr:spPr bwMode="auto">
        <a:xfrm>
          <a:off x="400050" y="2214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132</xdr:row>
      <xdr:rowOff>171450</xdr:rowOff>
    </xdr:from>
    <xdr:to>
      <xdr:col>7</xdr:col>
      <xdr:colOff>112059</xdr:colOff>
      <xdr:row>155</xdr:row>
      <xdr:rowOff>85725</xdr:rowOff>
    </xdr:to>
    <xdr:pic>
      <xdr:nvPicPr>
        <xdr:cNvPr id="8" name="Picture 8">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793" t="9470" r="11882" b="6960"/>
        <a:stretch>
          <a:fillRect/>
        </a:stretch>
      </xdr:blipFill>
      <xdr:spPr bwMode="auto">
        <a:xfrm>
          <a:off x="400050" y="25898475"/>
          <a:ext cx="8010525" cy="4295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jN64RgBmCUcCDdpc8?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0"/>
  <sheetViews>
    <sheetView tabSelected="1" showWhiteSpace="0" view="pageBreakPreview" topLeftCell="A246" zoomScaleNormal="100" zoomScaleSheetLayoutView="100" zoomScalePageLayoutView="85" workbookViewId="0">
      <selection activeCell="A252" sqref="A252:H252"/>
    </sheetView>
  </sheetViews>
  <sheetFormatPr defaultColWidth="9.1796875" defaultRowHeight="15.5" x14ac:dyDescent="0.35"/>
  <cols>
    <col min="1" max="1" width="11.453125" style="114" customWidth="1"/>
    <col min="2" max="2" width="11.81640625" style="114" customWidth="1"/>
    <col min="3" max="3" width="12.7265625" style="114" customWidth="1"/>
    <col min="4" max="4" width="12.81640625" style="114" customWidth="1"/>
    <col min="5" max="7" width="11.7265625" style="114" customWidth="1"/>
    <col min="8" max="8" width="14.7265625" style="114" customWidth="1"/>
    <col min="9" max="9" width="20.453125" style="82" customWidth="1"/>
    <col min="10" max="10" width="9.81640625" style="82" bestFit="1" customWidth="1"/>
    <col min="11" max="252" width="9.1796875" style="82"/>
    <col min="253" max="253" width="8.7265625" style="82" customWidth="1"/>
    <col min="254" max="254" width="9.81640625" style="82" customWidth="1"/>
    <col min="255" max="255" width="14.453125" style="82" customWidth="1"/>
    <col min="256" max="256" width="7.26953125" style="82" customWidth="1"/>
    <col min="257" max="257" width="5.54296875" style="82" customWidth="1"/>
    <col min="258" max="258" width="9" style="82" customWidth="1"/>
    <col min="259" max="260" width="9.81640625" style="82" customWidth="1"/>
    <col min="261" max="261" width="11.1796875" style="82" customWidth="1"/>
    <col min="262" max="262" width="2.81640625" style="82" customWidth="1"/>
    <col min="263" max="263" width="3.54296875" style="82" customWidth="1"/>
    <col min="264" max="508" width="9.1796875" style="82"/>
    <col min="509" max="509" width="8.7265625" style="82" customWidth="1"/>
    <col min="510" max="510" width="9.81640625" style="82" customWidth="1"/>
    <col min="511" max="511" width="14.453125" style="82" customWidth="1"/>
    <col min="512" max="512" width="7.26953125" style="82" customWidth="1"/>
    <col min="513" max="513" width="5.54296875" style="82" customWidth="1"/>
    <col min="514" max="514" width="9" style="82" customWidth="1"/>
    <col min="515" max="516" width="9.81640625" style="82" customWidth="1"/>
    <col min="517" max="517" width="11.1796875" style="82" customWidth="1"/>
    <col min="518" max="518" width="2.81640625" style="82" customWidth="1"/>
    <col min="519" max="519" width="3.54296875" style="82" customWidth="1"/>
    <col min="520" max="764" width="9.1796875" style="82"/>
    <col min="765" max="765" width="8.7265625" style="82" customWidth="1"/>
    <col min="766" max="766" width="9.81640625" style="82" customWidth="1"/>
    <col min="767" max="767" width="14.453125" style="82" customWidth="1"/>
    <col min="768" max="768" width="7.26953125" style="82" customWidth="1"/>
    <col min="769" max="769" width="5.54296875" style="82" customWidth="1"/>
    <col min="770" max="770" width="9" style="82" customWidth="1"/>
    <col min="771" max="772" width="9.81640625" style="82" customWidth="1"/>
    <col min="773" max="773" width="11.1796875" style="82" customWidth="1"/>
    <col min="774" max="774" width="2.81640625" style="82" customWidth="1"/>
    <col min="775" max="775" width="3.54296875" style="82" customWidth="1"/>
    <col min="776" max="1020" width="9.1796875" style="82"/>
    <col min="1021" max="1021" width="8.7265625" style="82" customWidth="1"/>
    <col min="1022" max="1022" width="9.81640625" style="82" customWidth="1"/>
    <col min="1023" max="1023" width="14.453125" style="82" customWidth="1"/>
    <col min="1024" max="1024" width="7.26953125" style="82" customWidth="1"/>
    <col min="1025" max="1025" width="5.54296875" style="82" customWidth="1"/>
    <col min="1026" max="1026" width="9" style="82" customWidth="1"/>
    <col min="1027" max="1028" width="9.81640625" style="82" customWidth="1"/>
    <col min="1029" max="1029" width="11.1796875" style="82" customWidth="1"/>
    <col min="1030" max="1030" width="2.81640625" style="82" customWidth="1"/>
    <col min="1031" max="1031" width="3.54296875" style="82" customWidth="1"/>
    <col min="1032" max="1276" width="9.1796875" style="82"/>
    <col min="1277" max="1277" width="8.7265625" style="82" customWidth="1"/>
    <col min="1278" max="1278" width="9.81640625" style="82" customWidth="1"/>
    <col min="1279" max="1279" width="14.453125" style="82" customWidth="1"/>
    <col min="1280" max="1280" width="7.26953125" style="82" customWidth="1"/>
    <col min="1281" max="1281" width="5.54296875" style="82" customWidth="1"/>
    <col min="1282" max="1282" width="9" style="82" customWidth="1"/>
    <col min="1283" max="1284" width="9.81640625" style="82" customWidth="1"/>
    <col min="1285" max="1285" width="11.1796875" style="82" customWidth="1"/>
    <col min="1286" max="1286" width="2.81640625" style="82" customWidth="1"/>
    <col min="1287" max="1287" width="3.54296875" style="82" customWidth="1"/>
    <col min="1288" max="1532" width="9.1796875" style="82"/>
    <col min="1533" max="1533" width="8.7265625" style="82" customWidth="1"/>
    <col min="1534" max="1534" width="9.81640625" style="82" customWidth="1"/>
    <col min="1535" max="1535" width="14.453125" style="82" customWidth="1"/>
    <col min="1536" max="1536" width="7.26953125" style="82" customWidth="1"/>
    <col min="1537" max="1537" width="5.54296875" style="82" customWidth="1"/>
    <col min="1538" max="1538" width="9" style="82" customWidth="1"/>
    <col min="1539" max="1540" width="9.81640625" style="82" customWidth="1"/>
    <col min="1541" max="1541" width="11.1796875" style="82" customWidth="1"/>
    <col min="1542" max="1542" width="2.81640625" style="82" customWidth="1"/>
    <col min="1543" max="1543" width="3.54296875" style="82" customWidth="1"/>
    <col min="1544" max="1788" width="9.1796875" style="82"/>
    <col min="1789" max="1789" width="8.7265625" style="82" customWidth="1"/>
    <col min="1790" max="1790" width="9.81640625" style="82" customWidth="1"/>
    <col min="1791" max="1791" width="14.453125" style="82" customWidth="1"/>
    <col min="1792" max="1792" width="7.26953125" style="82" customWidth="1"/>
    <col min="1793" max="1793" width="5.54296875" style="82" customWidth="1"/>
    <col min="1794" max="1794" width="9" style="82" customWidth="1"/>
    <col min="1795" max="1796" width="9.81640625" style="82" customWidth="1"/>
    <col min="1797" max="1797" width="11.1796875" style="82" customWidth="1"/>
    <col min="1798" max="1798" width="2.81640625" style="82" customWidth="1"/>
    <col min="1799" max="1799" width="3.54296875" style="82" customWidth="1"/>
    <col min="1800" max="2044" width="9.1796875" style="82"/>
    <col min="2045" max="2045" width="8.7265625" style="82" customWidth="1"/>
    <col min="2046" max="2046" width="9.81640625" style="82" customWidth="1"/>
    <col min="2047" max="2047" width="14.453125" style="82" customWidth="1"/>
    <col min="2048" max="2048" width="7.26953125" style="82" customWidth="1"/>
    <col min="2049" max="2049" width="5.54296875" style="82" customWidth="1"/>
    <col min="2050" max="2050" width="9" style="82" customWidth="1"/>
    <col min="2051" max="2052" width="9.81640625" style="82" customWidth="1"/>
    <col min="2053" max="2053" width="11.1796875" style="82" customWidth="1"/>
    <col min="2054" max="2054" width="2.81640625" style="82" customWidth="1"/>
    <col min="2055" max="2055" width="3.54296875" style="82" customWidth="1"/>
    <col min="2056" max="2300" width="9.1796875" style="82"/>
    <col min="2301" max="2301" width="8.7265625" style="82" customWidth="1"/>
    <col min="2302" max="2302" width="9.81640625" style="82" customWidth="1"/>
    <col min="2303" max="2303" width="14.453125" style="82" customWidth="1"/>
    <col min="2304" max="2304" width="7.26953125" style="82" customWidth="1"/>
    <col min="2305" max="2305" width="5.54296875" style="82" customWidth="1"/>
    <col min="2306" max="2306" width="9" style="82" customWidth="1"/>
    <col min="2307" max="2308" width="9.81640625" style="82" customWidth="1"/>
    <col min="2309" max="2309" width="11.1796875" style="82" customWidth="1"/>
    <col min="2310" max="2310" width="2.81640625" style="82" customWidth="1"/>
    <col min="2311" max="2311" width="3.54296875" style="82" customWidth="1"/>
    <col min="2312" max="2556" width="9.1796875" style="82"/>
    <col min="2557" max="2557" width="8.7265625" style="82" customWidth="1"/>
    <col min="2558" max="2558" width="9.81640625" style="82" customWidth="1"/>
    <col min="2559" max="2559" width="14.453125" style="82" customWidth="1"/>
    <col min="2560" max="2560" width="7.26953125" style="82" customWidth="1"/>
    <col min="2561" max="2561" width="5.54296875" style="82" customWidth="1"/>
    <col min="2562" max="2562" width="9" style="82" customWidth="1"/>
    <col min="2563" max="2564" width="9.81640625" style="82" customWidth="1"/>
    <col min="2565" max="2565" width="11.1796875" style="82" customWidth="1"/>
    <col min="2566" max="2566" width="2.81640625" style="82" customWidth="1"/>
    <col min="2567" max="2567" width="3.54296875" style="82" customWidth="1"/>
    <col min="2568" max="2812" width="9.1796875" style="82"/>
    <col min="2813" max="2813" width="8.7265625" style="82" customWidth="1"/>
    <col min="2814" max="2814" width="9.81640625" style="82" customWidth="1"/>
    <col min="2815" max="2815" width="14.453125" style="82" customWidth="1"/>
    <col min="2816" max="2816" width="7.26953125" style="82" customWidth="1"/>
    <col min="2817" max="2817" width="5.54296875" style="82" customWidth="1"/>
    <col min="2818" max="2818" width="9" style="82" customWidth="1"/>
    <col min="2819" max="2820" width="9.81640625" style="82" customWidth="1"/>
    <col min="2821" max="2821" width="11.1796875" style="82" customWidth="1"/>
    <col min="2822" max="2822" width="2.81640625" style="82" customWidth="1"/>
    <col min="2823" max="2823" width="3.54296875" style="82" customWidth="1"/>
    <col min="2824" max="3068" width="9.1796875" style="82"/>
    <col min="3069" max="3069" width="8.7265625" style="82" customWidth="1"/>
    <col min="3070" max="3070" width="9.81640625" style="82" customWidth="1"/>
    <col min="3071" max="3071" width="14.453125" style="82" customWidth="1"/>
    <col min="3072" max="3072" width="7.26953125" style="82" customWidth="1"/>
    <col min="3073" max="3073" width="5.54296875" style="82" customWidth="1"/>
    <col min="3074" max="3074" width="9" style="82" customWidth="1"/>
    <col min="3075" max="3076" width="9.81640625" style="82" customWidth="1"/>
    <col min="3077" max="3077" width="11.1796875" style="82" customWidth="1"/>
    <col min="3078" max="3078" width="2.81640625" style="82" customWidth="1"/>
    <col min="3079" max="3079" width="3.54296875" style="82" customWidth="1"/>
    <col min="3080" max="3324" width="9.1796875" style="82"/>
    <col min="3325" max="3325" width="8.7265625" style="82" customWidth="1"/>
    <col min="3326" max="3326" width="9.81640625" style="82" customWidth="1"/>
    <col min="3327" max="3327" width="14.453125" style="82" customWidth="1"/>
    <col min="3328" max="3328" width="7.26953125" style="82" customWidth="1"/>
    <col min="3329" max="3329" width="5.54296875" style="82" customWidth="1"/>
    <col min="3330" max="3330" width="9" style="82" customWidth="1"/>
    <col min="3331" max="3332" width="9.81640625" style="82" customWidth="1"/>
    <col min="3333" max="3333" width="11.1796875" style="82" customWidth="1"/>
    <col min="3334" max="3334" width="2.81640625" style="82" customWidth="1"/>
    <col min="3335" max="3335" width="3.54296875" style="82" customWidth="1"/>
    <col min="3336" max="3580" width="9.1796875" style="82"/>
    <col min="3581" max="3581" width="8.7265625" style="82" customWidth="1"/>
    <col min="3582" max="3582" width="9.81640625" style="82" customWidth="1"/>
    <col min="3583" max="3583" width="14.453125" style="82" customWidth="1"/>
    <col min="3584" max="3584" width="7.26953125" style="82" customWidth="1"/>
    <col min="3585" max="3585" width="5.54296875" style="82" customWidth="1"/>
    <col min="3586" max="3586" width="9" style="82" customWidth="1"/>
    <col min="3587" max="3588" width="9.81640625" style="82" customWidth="1"/>
    <col min="3589" max="3589" width="11.1796875" style="82" customWidth="1"/>
    <col min="3590" max="3590" width="2.81640625" style="82" customWidth="1"/>
    <col min="3591" max="3591" width="3.54296875" style="82" customWidth="1"/>
    <col min="3592" max="3836" width="9.1796875" style="82"/>
    <col min="3837" max="3837" width="8.7265625" style="82" customWidth="1"/>
    <col min="3838" max="3838" width="9.81640625" style="82" customWidth="1"/>
    <col min="3839" max="3839" width="14.453125" style="82" customWidth="1"/>
    <col min="3840" max="3840" width="7.26953125" style="82" customWidth="1"/>
    <col min="3841" max="3841" width="5.54296875" style="82" customWidth="1"/>
    <col min="3842" max="3842" width="9" style="82" customWidth="1"/>
    <col min="3843" max="3844" width="9.81640625" style="82" customWidth="1"/>
    <col min="3845" max="3845" width="11.1796875" style="82" customWidth="1"/>
    <col min="3846" max="3846" width="2.81640625" style="82" customWidth="1"/>
    <col min="3847" max="3847" width="3.54296875" style="82" customWidth="1"/>
    <col min="3848" max="4092" width="9.1796875" style="82"/>
    <col min="4093" max="4093" width="8.7265625" style="82" customWidth="1"/>
    <col min="4094" max="4094" width="9.81640625" style="82" customWidth="1"/>
    <col min="4095" max="4095" width="14.453125" style="82" customWidth="1"/>
    <col min="4096" max="4096" width="7.26953125" style="82" customWidth="1"/>
    <col min="4097" max="4097" width="5.54296875" style="82" customWidth="1"/>
    <col min="4098" max="4098" width="9" style="82" customWidth="1"/>
    <col min="4099" max="4100" width="9.81640625" style="82" customWidth="1"/>
    <col min="4101" max="4101" width="11.1796875" style="82" customWidth="1"/>
    <col min="4102" max="4102" width="2.81640625" style="82" customWidth="1"/>
    <col min="4103" max="4103" width="3.54296875" style="82" customWidth="1"/>
    <col min="4104" max="4348" width="9.1796875" style="82"/>
    <col min="4349" max="4349" width="8.7265625" style="82" customWidth="1"/>
    <col min="4350" max="4350" width="9.81640625" style="82" customWidth="1"/>
    <col min="4351" max="4351" width="14.453125" style="82" customWidth="1"/>
    <col min="4352" max="4352" width="7.26953125" style="82" customWidth="1"/>
    <col min="4353" max="4353" width="5.54296875" style="82" customWidth="1"/>
    <col min="4354" max="4354" width="9" style="82" customWidth="1"/>
    <col min="4355" max="4356" width="9.81640625" style="82" customWidth="1"/>
    <col min="4357" max="4357" width="11.1796875" style="82" customWidth="1"/>
    <col min="4358" max="4358" width="2.81640625" style="82" customWidth="1"/>
    <col min="4359" max="4359" width="3.54296875" style="82" customWidth="1"/>
    <col min="4360" max="4604" width="9.1796875" style="82"/>
    <col min="4605" max="4605" width="8.7265625" style="82" customWidth="1"/>
    <col min="4606" max="4606" width="9.81640625" style="82" customWidth="1"/>
    <col min="4607" max="4607" width="14.453125" style="82" customWidth="1"/>
    <col min="4608" max="4608" width="7.26953125" style="82" customWidth="1"/>
    <col min="4609" max="4609" width="5.54296875" style="82" customWidth="1"/>
    <col min="4610" max="4610" width="9" style="82" customWidth="1"/>
    <col min="4611" max="4612" width="9.81640625" style="82" customWidth="1"/>
    <col min="4613" max="4613" width="11.1796875" style="82" customWidth="1"/>
    <col min="4614" max="4614" width="2.81640625" style="82" customWidth="1"/>
    <col min="4615" max="4615" width="3.54296875" style="82" customWidth="1"/>
    <col min="4616" max="4860" width="9.1796875" style="82"/>
    <col min="4861" max="4861" width="8.7265625" style="82" customWidth="1"/>
    <col min="4862" max="4862" width="9.81640625" style="82" customWidth="1"/>
    <col min="4863" max="4863" width="14.453125" style="82" customWidth="1"/>
    <col min="4864" max="4864" width="7.26953125" style="82" customWidth="1"/>
    <col min="4865" max="4865" width="5.54296875" style="82" customWidth="1"/>
    <col min="4866" max="4866" width="9" style="82" customWidth="1"/>
    <col min="4867" max="4868" width="9.81640625" style="82" customWidth="1"/>
    <col min="4869" max="4869" width="11.1796875" style="82" customWidth="1"/>
    <col min="4870" max="4870" width="2.81640625" style="82" customWidth="1"/>
    <col min="4871" max="4871" width="3.54296875" style="82" customWidth="1"/>
    <col min="4872" max="5116" width="9.1796875" style="82"/>
    <col min="5117" max="5117" width="8.7265625" style="82" customWidth="1"/>
    <col min="5118" max="5118" width="9.81640625" style="82" customWidth="1"/>
    <col min="5119" max="5119" width="14.453125" style="82" customWidth="1"/>
    <col min="5120" max="5120" width="7.26953125" style="82" customWidth="1"/>
    <col min="5121" max="5121" width="5.54296875" style="82" customWidth="1"/>
    <col min="5122" max="5122" width="9" style="82" customWidth="1"/>
    <col min="5123" max="5124" width="9.81640625" style="82" customWidth="1"/>
    <col min="5125" max="5125" width="11.1796875" style="82" customWidth="1"/>
    <col min="5126" max="5126" width="2.81640625" style="82" customWidth="1"/>
    <col min="5127" max="5127" width="3.54296875" style="82" customWidth="1"/>
    <col min="5128" max="5372" width="9.1796875" style="82"/>
    <col min="5373" max="5373" width="8.7265625" style="82" customWidth="1"/>
    <col min="5374" max="5374" width="9.81640625" style="82" customWidth="1"/>
    <col min="5375" max="5375" width="14.453125" style="82" customWidth="1"/>
    <col min="5376" max="5376" width="7.26953125" style="82" customWidth="1"/>
    <col min="5377" max="5377" width="5.54296875" style="82" customWidth="1"/>
    <col min="5378" max="5378" width="9" style="82" customWidth="1"/>
    <col min="5379" max="5380" width="9.81640625" style="82" customWidth="1"/>
    <col min="5381" max="5381" width="11.1796875" style="82" customWidth="1"/>
    <col min="5382" max="5382" width="2.81640625" style="82" customWidth="1"/>
    <col min="5383" max="5383" width="3.54296875" style="82" customWidth="1"/>
    <col min="5384" max="5628" width="9.1796875" style="82"/>
    <col min="5629" max="5629" width="8.7265625" style="82" customWidth="1"/>
    <col min="5630" max="5630" width="9.81640625" style="82" customWidth="1"/>
    <col min="5631" max="5631" width="14.453125" style="82" customWidth="1"/>
    <col min="5632" max="5632" width="7.26953125" style="82" customWidth="1"/>
    <col min="5633" max="5633" width="5.54296875" style="82" customWidth="1"/>
    <col min="5634" max="5634" width="9" style="82" customWidth="1"/>
    <col min="5635" max="5636" width="9.81640625" style="82" customWidth="1"/>
    <col min="5637" max="5637" width="11.1796875" style="82" customWidth="1"/>
    <col min="5638" max="5638" width="2.81640625" style="82" customWidth="1"/>
    <col min="5639" max="5639" width="3.54296875" style="82" customWidth="1"/>
    <col min="5640" max="5884" width="9.1796875" style="82"/>
    <col min="5885" max="5885" width="8.7265625" style="82" customWidth="1"/>
    <col min="5886" max="5886" width="9.81640625" style="82" customWidth="1"/>
    <col min="5887" max="5887" width="14.453125" style="82" customWidth="1"/>
    <col min="5888" max="5888" width="7.26953125" style="82" customWidth="1"/>
    <col min="5889" max="5889" width="5.54296875" style="82" customWidth="1"/>
    <col min="5890" max="5890" width="9" style="82" customWidth="1"/>
    <col min="5891" max="5892" width="9.81640625" style="82" customWidth="1"/>
    <col min="5893" max="5893" width="11.1796875" style="82" customWidth="1"/>
    <col min="5894" max="5894" width="2.81640625" style="82" customWidth="1"/>
    <col min="5895" max="5895" width="3.54296875" style="82" customWidth="1"/>
    <col min="5896" max="6140" width="9.1796875" style="82"/>
    <col min="6141" max="6141" width="8.7265625" style="82" customWidth="1"/>
    <col min="6142" max="6142" width="9.81640625" style="82" customWidth="1"/>
    <col min="6143" max="6143" width="14.453125" style="82" customWidth="1"/>
    <col min="6144" max="6144" width="7.26953125" style="82" customWidth="1"/>
    <col min="6145" max="6145" width="5.54296875" style="82" customWidth="1"/>
    <col min="6146" max="6146" width="9" style="82" customWidth="1"/>
    <col min="6147" max="6148" width="9.81640625" style="82" customWidth="1"/>
    <col min="6149" max="6149" width="11.1796875" style="82" customWidth="1"/>
    <col min="6150" max="6150" width="2.81640625" style="82" customWidth="1"/>
    <col min="6151" max="6151" width="3.54296875" style="82" customWidth="1"/>
    <col min="6152" max="6396" width="9.1796875" style="82"/>
    <col min="6397" max="6397" width="8.7265625" style="82" customWidth="1"/>
    <col min="6398" max="6398" width="9.81640625" style="82" customWidth="1"/>
    <col min="6399" max="6399" width="14.453125" style="82" customWidth="1"/>
    <col min="6400" max="6400" width="7.26953125" style="82" customWidth="1"/>
    <col min="6401" max="6401" width="5.54296875" style="82" customWidth="1"/>
    <col min="6402" max="6402" width="9" style="82" customWidth="1"/>
    <col min="6403" max="6404" width="9.81640625" style="82" customWidth="1"/>
    <col min="6405" max="6405" width="11.1796875" style="82" customWidth="1"/>
    <col min="6406" max="6406" width="2.81640625" style="82" customWidth="1"/>
    <col min="6407" max="6407" width="3.54296875" style="82" customWidth="1"/>
    <col min="6408" max="6652" width="9.1796875" style="82"/>
    <col min="6653" max="6653" width="8.7265625" style="82" customWidth="1"/>
    <col min="6654" max="6654" width="9.81640625" style="82" customWidth="1"/>
    <col min="6655" max="6655" width="14.453125" style="82" customWidth="1"/>
    <col min="6656" max="6656" width="7.26953125" style="82" customWidth="1"/>
    <col min="6657" max="6657" width="5.54296875" style="82" customWidth="1"/>
    <col min="6658" max="6658" width="9" style="82" customWidth="1"/>
    <col min="6659" max="6660" width="9.81640625" style="82" customWidth="1"/>
    <col min="6661" max="6661" width="11.1796875" style="82" customWidth="1"/>
    <col min="6662" max="6662" width="2.81640625" style="82" customWidth="1"/>
    <col min="6663" max="6663" width="3.54296875" style="82" customWidth="1"/>
    <col min="6664" max="6908" width="9.1796875" style="82"/>
    <col min="6909" max="6909" width="8.7265625" style="82" customWidth="1"/>
    <col min="6910" max="6910" width="9.81640625" style="82" customWidth="1"/>
    <col min="6911" max="6911" width="14.453125" style="82" customWidth="1"/>
    <col min="6912" max="6912" width="7.26953125" style="82" customWidth="1"/>
    <col min="6913" max="6913" width="5.54296875" style="82" customWidth="1"/>
    <col min="6914" max="6914" width="9" style="82" customWidth="1"/>
    <col min="6915" max="6916" width="9.81640625" style="82" customWidth="1"/>
    <col min="6917" max="6917" width="11.1796875" style="82" customWidth="1"/>
    <col min="6918" max="6918" width="2.81640625" style="82" customWidth="1"/>
    <col min="6919" max="6919" width="3.54296875" style="82" customWidth="1"/>
    <col min="6920" max="7164" width="9.1796875" style="82"/>
    <col min="7165" max="7165" width="8.7265625" style="82" customWidth="1"/>
    <col min="7166" max="7166" width="9.81640625" style="82" customWidth="1"/>
    <col min="7167" max="7167" width="14.453125" style="82" customWidth="1"/>
    <col min="7168" max="7168" width="7.26953125" style="82" customWidth="1"/>
    <col min="7169" max="7169" width="5.54296875" style="82" customWidth="1"/>
    <col min="7170" max="7170" width="9" style="82" customWidth="1"/>
    <col min="7171" max="7172" width="9.81640625" style="82" customWidth="1"/>
    <col min="7173" max="7173" width="11.1796875" style="82" customWidth="1"/>
    <col min="7174" max="7174" width="2.81640625" style="82" customWidth="1"/>
    <col min="7175" max="7175" width="3.54296875" style="82" customWidth="1"/>
    <col min="7176" max="7420" width="9.1796875" style="82"/>
    <col min="7421" max="7421" width="8.7265625" style="82" customWidth="1"/>
    <col min="7422" max="7422" width="9.81640625" style="82" customWidth="1"/>
    <col min="7423" max="7423" width="14.453125" style="82" customWidth="1"/>
    <col min="7424" max="7424" width="7.26953125" style="82" customWidth="1"/>
    <col min="7425" max="7425" width="5.54296875" style="82" customWidth="1"/>
    <col min="7426" max="7426" width="9" style="82" customWidth="1"/>
    <col min="7427" max="7428" width="9.81640625" style="82" customWidth="1"/>
    <col min="7429" max="7429" width="11.1796875" style="82" customWidth="1"/>
    <col min="7430" max="7430" width="2.81640625" style="82" customWidth="1"/>
    <col min="7431" max="7431" width="3.54296875" style="82" customWidth="1"/>
    <col min="7432" max="7676" width="9.1796875" style="82"/>
    <col min="7677" max="7677" width="8.7265625" style="82" customWidth="1"/>
    <col min="7678" max="7678" width="9.81640625" style="82" customWidth="1"/>
    <col min="7679" max="7679" width="14.453125" style="82" customWidth="1"/>
    <col min="7680" max="7680" width="7.26953125" style="82" customWidth="1"/>
    <col min="7681" max="7681" width="5.54296875" style="82" customWidth="1"/>
    <col min="7682" max="7682" width="9" style="82" customWidth="1"/>
    <col min="7683" max="7684" width="9.81640625" style="82" customWidth="1"/>
    <col min="7685" max="7685" width="11.1796875" style="82" customWidth="1"/>
    <col min="7686" max="7686" width="2.81640625" style="82" customWidth="1"/>
    <col min="7687" max="7687" width="3.54296875" style="82" customWidth="1"/>
    <col min="7688" max="7932" width="9.1796875" style="82"/>
    <col min="7933" max="7933" width="8.7265625" style="82" customWidth="1"/>
    <col min="7934" max="7934" width="9.81640625" style="82" customWidth="1"/>
    <col min="7935" max="7935" width="14.453125" style="82" customWidth="1"/>
    <col min="7936" max="7936" width="7.26953125" style="82" customWidth="1"/>
    <col min="7937" max="7937" width="5.54296875" style="82" customWidth="1"/>
    <col min="7938" max="7938" width="9" style="82" customWidth="1"/>
    <col min="7939" max="7940" width="9.81640625" style="82" customWidth="1"/>
    <col min="7941" max="7941" width="11.1796875" style="82" customWidth="1"/>
    <col min="7942" max="7942" width="2.81640625" style="82" customWidth="1"/>
    <col min="7943" max="7943" width="3.54296875" style="82" customWidth="1"/>
    <col min="7944" max="8188" width="9.1796875" style="82"/>
    <col min="8189" max="8189" width="8.7265625" style="82" customWidth="1"/>
    <col min="8190" max="8190" width="9.81640625" style="82" customWidth="1"/>
    <col min="8191" max="8191" width="14.453125" style="82" customWidth="1"/>
    <col min="8192" max="8192" width="7.26953125" style="82" customWidth="1"/>
    <col min="8193" max="8193" width="5.54296875" style="82" customWidth="1"/>
    <col min="8194" max="8194" width="9" style="82" customWidth="1"/>
    <col min="8195" max="8196" width="9.81640625" style="82" customWidth="1"/>
    <col min="8197" max="8197" width="11.1796875" style="82" customWidth="1"/>
    <col min="8198" max="8198" width="2.81640625" style="82" customWidth="1"/>
    <col min="8199" max="8199" width="3.54296875" style="82" customWidth="1"/>
    <col min="8200" max="8444" width="9.1796875" style="82"/>
    <col min="8445" max="8445" width="8.7265625" style="82" customWidth="1"/>
    <col min="8446" max="8446" width="9.81640625" style="82" customWidth="1"/>
    <col min="8447" max="8447" width="14.453125" style="82" customWidth="1"/>
    <col min="8448" max="8448" width="7.26953125" style="82" customWidth="1"/>
    <col min="8449" max="8449" width="5.54296875" style="82" customWidth="1"/>
    <col min="8450" max="8450" width="9" style="82" customWidth="1"/>
    <col min="8451" max="8452" width="9.81640625" style="82" customWidth="1"/>
    <col min="8453" max="8453" width="11.1796875" style="82" customWidth="1"/>
    <col min="8454" max="8454" width="2.81640625" style="82" customWidth="1"/>
    <col min="8455" max="8455" width="3.54296875" style="82" customWidth="1"/>
    <col min="8456" max="8700" width="9.1796875" style="82"/>
    <col min="8701" max="8701" width="8.7265625" style="82" customWidth="1"/>
    <col min="8702" max="8702" width="9.81640625" style="82" customWidth="1"/>
    <col min="8703" max="8703" width="14.453125" style="82" customWidth="1"/>
    <col min="8704" max="8704" width="7.26953125" style="82" customWidth="1"/>
    <col min="8705" max="8705" width="5.54296875" style="82" customWidth="1"/>
    <col min="8706" max="8706" width="9" style="82" customWidth="1"/>
    <col min="8707" max="8708" width="9.81640625" style="82" customWidth="1"/>
    <col min="8709" max="8709" width="11.1796875" style="82" customWidth="1"/>
    <col min="8710" max="8710" width="2.81640625" style="82" customWidth="1"/>
    <col min="8711" max="8711" width="3.54296875" style="82" customWidth="1"/>
    <col min="8712" max="8956" width="9.1796875" style="82"/>
    <col min="8957" max="8957" width="8.7265625" style="82" customWidth="1"/>
    <col min="8958" max="8958" width="9.81640625" style="82" customWidth="1"/>
    <col min="8959" max="8959" width="14.453125" style="82" customWidth="1"/>
    <col min="8960" max="8960" width="7.26953125" style="82" customWidth="1"/>
    <col min="8961" max="8961" width="5.54296875" style="82" customWidth="1"/>
    <col min="8962" max="8962" width="9" style="82" customWidth="1"/>
    <col min="8963" max="8964" width="9.81640625" style="82" customWidth="1"/>
    <col min="8965" max="8965" width="11.1796875" style="82" customWidth="1"/>
    <col min="8966" max="8966" width="2.81640625" style="82" customWidth="1"/>
    <col min="8967" max="8967" width="3.54296875" style="82" customWidth="1"/>
    <col min="8968" max="9212" width="9.1796875" style="82"/>
    <col min="9213" max="9213" width="8.7265625" style="82" customWidth="1"/>
    <col min="9214" max="9214" width="9.81640625" style="82" customWidth="1"/>
    <col min="9215" max="9215" width="14.453125" style="82" customWidth="1"/>
    <col min="9216" max="9216" width="7.26953125" style="82" customWidth="1"/>
    <col min="9217" max="9217" width="5.54296875" style="82" customWidth="1"/>
    <col min="9218" max="9218" width="9" style="82" customWidth="1"/>
    <col min="9219" max="9220" width="9.81640625" style="82" customWidth="1"/>
    <col min="9221" max="9221" width="11.1796875" style="82" customWidth="1"/>
    <col min="9222" max="9222" width="2.81640625" style="82" customWidth="1"/>
    <col min="9223" max="9223" width="3.54296875" style="82" customWidth="1"/>
    <col min="9224" max="9468" width="9.1796875" style="82"/>
    <col min="9469" max="9469" width="8.7265625" style="82" customWidth="1"/>
    <col min="9470" max="9470" width="9.81640625" style="82" customWidth="1"/>
    <col min="9471" max="9471" width="14.453125" style="82" customWidth="1"/>
    <col min="9472" max="9472" width="7.26953125" style="82" customWidth="1"/>
    <col min="9473" max="9473" width="5.54296875" style="82" customWidth="1"/>
    <col min="9474" max="9474" width="9" style="82" customWidth="1"/>
    <col min="9475" max="9476" width="9.81640625" style="82" customWidth="1"/>
    <col min="9477" max="9477" width="11.1796875" style="82" customWidth="1"/>
    <col min="9478" max="9478" width="2.81640625" style="82" customWidth="1"/>
    <col min="9479" max="9479" width="3.54296875" style="82" customWidth="1"/>
    <col min="9480" max="9724" width="9.1796875" style="82"/>
    <col min="9725" max="9725" width="8.7265625" style="82" customWidth="1"/>
    <col min="9726" max="9726" width="9.81640625" style="82" customWidth="1"/>
    <col min="9727" max="9727" width="14.453125" style="82" customWidth="1"/>
    <col min="9728" max="9728" width="7.26953125" style="82" customWidth="1"/>
    <col min="9729" max="9729" width="5.54296875" style="82" customWidth="1"/>
    <col min="9730" max="9730" width="9" style="82" customWidth="1"/>
    <col min="9731" max="9732" width="9.81640625" style="82" customWidth="1"/>
    <col min="9733" max="9733" width="11.1796875" style="82" customWidth="1"/>
    <col min="9734" max="9734" width="2.81640625" style="82" customWidth="1"/>
    <col min="9735" max="9735" width="3.54296875" style="82" customWidth="1"/>
    <col min="9736" max="9980" width="9.1796875" style="82"/>
    <col min="9981" max="9981" width="8.7265625" style="82" customWidth="1"/>
    <col min="9982" max="9982" width="9.81640625" style="82" customWidth="1"/>
    <col min="9983" max="9983" width="14.453125" style="82" customWidth="1"/>
    <col min="9984" max="9984" width="7.26953125" style="82" customWidth="1"/>
    <col min="9985" max="9985" width="5.54296875" style="82" customWidth="1"/>
    <col min="9986" max="9986" width="9" style="82" customWidth="1"/>
    <col min="9987" max="9988" width="9.81640625" style="82" customWidth="1"/>
    <col min="9989" max="9989" width="11.1796875" style="82" customWidth="1"/>
    <col min="9990" max="9990" width="2.81640625" style="82" customWidth="1"/>
    <col min="9991" max="9991" width="3.54296875" style="82" customWidth="1"/>
    <col min="9992" max="10236" width="9.1796875" style="82"/>
    <col min="10237" max="10237" width="8.7265625" style="82" customWidth="1"/>
    <col min="10238" max="10238" width="9.81640625" style="82" customWidth="1"/>
    <col min="10239" max="10239" width="14.453125" style="82" customWidth="1"/>
    <col min="10240" max="10240" width="7.26953125" style="82" customWidth="1"/>
    <col min="10241" max="10241" width="5.54296875" style="82" customWidth="1"/>
    <col min="10242" max="10242" width="9" style="82" customWidth="1"/>
    <col min="10243" max="10244" width="9.81640625" style="82" customWidth="1"/>
    <col min="10245" max="10245" width="11.1796875" style="82" customWidth="1"/>
    <col min="10246" max="10246" width="2.81640625" style="82" customWidth="1"/>
    <col min="10247" max="10247" width="3.54296875" style="82" customWidth="1"/>
    <col min="10248" max="10492" width="9.1796875" style="82"/>
    <col min="10493" max="10493" width="8.7265625" style="82" customWidth="1"/>
    <col min="10494" max="10494" width="9.81640625" style="82" customWidth="1"/>
    <col min="10495" max="10495" width="14.453125" style="82" customWidth="1"/>
    <col min="10496" max="10496" width="7.26953125" style="82" customWidth="1"/>
    <col min="10497" max="10497" width="5.54296875" style="82" customWidth="1"/>
    <col min="10498" max="10498" width="9" style="82" customWidth="1"/>
    <col min="10499" max="10500" width="9.81640625" style="82" customWidth="1"/>
    <col min="10501" max="10501" width="11.1796875" style="82" customWidth="1"/>
    <col min="10502" max="10502" width="2.81640625" style="82" customWidth="1"/>
    <col min="10503" max="10503" width="3.54296875" style="82" customWidth="1"/>
    <col min="10504" max="10748" width="9.1796875" style="82"/>
    <col min="10749" max="10749" width="8.7265625" style="82" customWidth="1"/>
    <col min="10750" max="10750" width="9.81640625" style="82" customWidth="1"/>
    <col min="10751" max="10751" width="14.453125" style="82" customWidth="1"/>
    <col min="10752" max="10752" width="7.26953125" style="82" customWidth="1"/>
    <col min="10753" max="10753" width="5.54296875" style="82" customWidth="1"/>
    <col min="10754" max="10754" width="9" style="82" customWidth="1"/>
    <col min="10755" max="10756" width="9.81640625" style="82" customWidth="1"/>
    <col min="10757" max="10757" width="11.1796875" style="82" customWidth="1"/>
    <col min="10758" max="10758" width="2.81640625" style="82" customWidth="1"/>
    <col min="10759" max="10759" width="3.54296875" style="82" customWidth="1"/>
    <col min="10760" max="11004" width="9.1796875" style="82"/>
    <col min="11005" max="11005" width="8.7265625" style="82" customWidth="1"/>
    <col min="11006" max="11006" width="9.81640625" style="82" customWidth="1"/>
    <col min="11007" max="11007" width="14.453125" style="82" customWidth="1"/>
    <col min="11008" max="11008" width="7.26953125" style="82" customWidth="1"/>
    <col min="11009" max="11009" width="5.54296875" style="82" customWidth="1"/>
    <col min="11010" max="11010" width="9" style="82" customWidth="1"/>
    <col min="11011" max="11012" width="9.81640625" style="82" customWidth="1"/>
    <col min="11013" max="11013" width="11.1796875" style="82" customWidth="1"/>
    <col min="11014" max="11014" width="2.81640625" style="82" customWidth="1"/>
    <col min="11015" max="11015" width="3.54296875" style="82" customWidth="1"/>
    <col min="11016" max="11260" width="9.1796875" style="82"/>
    <col min="11261" max="11261" width="8.7265625" style="82" customWidth="1"/>
    <col min="11262" max="11262" width="9.81640625" style="82" customWidth="1"/>
    <col min="11263" max="11263" width="14.453125" style="82" customWidth="1"/>
    <col min="11264" max="11264" width="7.26953125" style="82" customWidth="1"/>
    <col min="11265" max="11265" width="5.54296875" style="82" customWidth="1"/>
    <col min="11266" max="11266" width="9" style="82" customWidth="1"/>
    <col min="11267" max="11268" width="9.81640625" style="82" customWidth="1"/>
    <col min="11269" max="11269" width="11.1796875" style="82" customWidth="1"/>
    <col min="11270" max="11270" width="2.81640625" style="82" customWidth="1"/>
    <col min="11271" max="11271" width="3.54296875" style="82" customWidth="1"/>
    <col min="11272" max="11516" width="9.1796875" style="82"/>
    <col min="11517" max="11517" width="8.7265625" style="82" customWidth="1"/>
    <col min="11518" max="11518" width="9.81640625" style="82" customWidth="1"/>
    <col min="11519" max="11519" width="14.453125" style="82" customWidth="1"/>
    <col min="11520" max="11520" width="7.26953125" style="82" customWidth="1"/>
    <col min="11521" max="11521" width="5.54296875" style="82" customWidth="1"/>
    <col min="11522" max="11522" width="9" style="82" customWidth="1"/>
    <col min="11523" max="11524" width="9.81640625" style="82" customWidth="1"/>
    <col min="11525" max="11525" width="11.1796875" style="82" customWidth="1"/>
    <col min="11526" max="11526" width="2.81640625" style="82" customWidth="1"/>
    <col min="11527" max="11527" width="3.54296875" style="82" customWidth="1"/>
    <col min="11528" max="11772" width="9.1796875" style="82"/>
    <col min="11773" max="11773" width="8.7265625" style="82" customWidth="1"/>
    <col min="11774" max="11774" width="9.81640625" style="82" customWidth="1"/>
    <col min="11775" max="11775" width="14.453125" style="82" customWidth="1"/>
    <col min="11776" max="11776" width="7.26953125" style="82" customWidth="1"/>
    <col min="11777" max="11777" width="5.54296875" style="82" customWidth="1"/>
    <col min="11778" max="11778" width="9" style="82" customWidth="1"/>
    <col min="11779" max="11780" width="9.81640625" style="82" customWidth="1"/>
    <col min="11781" max="11781" width="11.1796875" style="82" customWidth="1"/>
    <col min="11782" max="11782" width="2.81640625" style="82" customWidth="1"/>
    <col min="11783" max="11783" width="3.54296875" style="82" customWidth="1"/>
    <col min="11784" max="12028" width="9.1796875" style="82"/>
    <col min="12029" max="12029" width="8.7265625" style="82" customWidth="1"/>
    <col min="12030" max="12030" width="9.81640625" style="82" customWidth="1"/>
    <col min="12031" max="12031" width="14.453125" style="82" customWidth="1"/>
    <col min="12032" max="12032" width="7.26953125" style="82" customWidth="1"/>
    <col min="12033" max="12033" width="5.54296875" style="82" customWidth="1"/>
    <col min="12034" max="12034" width="9" style="82" customWidth="1"/>
    <col min="12035" max="12036" width="9.81640625" style="82" customWidth="1"/>
    <col min="12037" max="12037" width="11.1796875" style="82" customWidth="1"/>
    <col min="12038" max="12038" width="2.81640625" style="82" customWidth="1"/>
    <col min="12039" max="12039" width="3.54296875" style="82" customWidth="1"/>
    <col min="12040" max="12284" width="9.1796875" style="82"/>
    <col min="12285" max="12285" width="8.7265625" style="82" customWidth="1"/>
    <col min="12286" max="12286" width="9.81640625" style="82" customWidth="1"/>
    <col min="12287" max="12287" width="14.453125" style="82" customWidth="1"/>
    <col min="12288" max="12288" width="7.26953125" style="82" customWidth="1"/>
    <col min="12289" max="12289" width="5.54296875" style="82" customWidth="1"/>
    <col min="12290" max="12290" width="9" style="82" customWidth="1"/>
    <col min="12291" max="12292" width="9.81640625" style="82" customWidth="1"/>
    <col min="12293" max="12293" width="11.1796875" style="82" customWidth="1"/>
    <col min="12294" max="12294" width="2.81640625" style="82" customWidth="1"/>
    <col min="12295" max="12295" width="3.54296875" style="82" customWidth="1"/>
    <col min="12296" max="12540" width="9.1796875" style="82"/>
    <col min="12541" max="12541" width="8.7265625" style="82" customWidth="1"/>
    <col min="12542" max="12542" width="9.81640625" style="82" customWidth="1"/>
    <col min="12543" max="12543" width="14.453125" style="82" customWidth="1"/>
    <col min="12544" max="12544" width="7.26953125" style="82" customWidth="1"/>
    <col min="12545" max="12545" width="5.54296875" style="82" customWidth="1"/>
    <col min="12546" max="12546" width="9" style="82" customWidth="1"/>
    <col min="12547" max="12548" width="9.81640625" style="82" customWidth="1"/>
    <col min="12549" max="12549" width="11.1796875" style="82" customWidth="1"/>
    <col min="12550" max="12550" width="2.81640625" style="82" customWidth="1"/>
    <col min="12551" max="12551" width="3.54296875" style="82" customWidth="1"/>
    <col min="12552" max="12796" width="9.1796875" style="82"/>
    <col min="12797" max="12797" width="8.7265625" style="82" customWidth="1"/>
    <col min="12798" max="12798" width="9.81640625" style="82" customWidth="1"/>
    <col min="12799" max="12799" width="14.453125" style="82" customWidth="1"/>
    <col min="12800" max="12800" width="7.26953125" style="82" customWidth="1"/>
    <col min="12801" max="12801" width="5.54296875" style="82" customWidth="1"/>
    <col min="12802" max="12802" width="9" style="82" customWidth="1"/>
    <col min="12803" max="12804" width="9.81640625" style="82" customWidth="1"/>
    <col min="12805" max="12805" width="11.1796875" style="82" customWidth="1"/>
    <col min="12806" max="12806" width="2.81640625" style="82" customWidth="1"/>
    <col min="12807" max="12807" width="3.54296875" style="82" customWidth="1"/>
    <col min="12808" max="13052" width="9.1796875" style="82"/>
    <col min="13053" max="13053" width="8.7265625" style="82" customWidth="1"/>
    <col min="13054" max="13054" width="9.81640625" style="82" customWidth="1"/>
    <col min="13055" max="13055" width="14.453125" style="82" customWidth="1"/>
    <col min="13056" max="13056" width="7.26953125" style="82" customWidth="1"/>
    <col min="13057" max="13057" width="5.54296875" style="82" customWidth="1"/>
    <col min="13058" max="13058" width="9" style="82" customWidth="1"/>
    <col min="13059" max="13060" width="9.81640625" style="82" customWidth="1"/>
    <col min="13061" max="13061" width="11.1796875" style="82" customWidth="1"/>
    <col min="13062" max="13062" width="2.81640625" style="82" customWidth="1"/>
    <col min="13063" max="13063" width="3.54296875" style="82" customWidth="1"/>
    <col min="13064" max="13308" width="9.1796875" style="82"/>
    <col min="13309" max="13309" width="8.7265625" style="82" customWidth="1"/>
    <col min="13310" max="13310" width="9.81640625" style="82" customWidth="1"/>
    <col min="13311" max="13311" width="14.453125" style="82" customWidth="1"/>
    <col min="13312" max="13312" width="7.26953125" style="82" customWidth="1"/>
    <col min="13313" max="13313" width="5.54296875" style="82" customWidth="1"/>
    <col min="13314" max="13314" width="9" style="82" customWidth="1"/>
    <col min="13315" max="13316" width="9.81640625" style="82" customWidth="1"/>
    <col min="13317" max="13317" width="11.1796875" style="82" customWidth="1"/>
    <col min="13318" max="13318" width="2.81640625" style="82" customWidth="1"/>
    <col min="13319" max="13319" width="3.54296875" style="82" customWidth="1"/>
    <col min="13320" max="13564" width="9.1796875" style="82"/>
    <col min="13565" max="13565" width="8.7265625" style="82" customWidth="1"/>
    <col min="13566" max="13566" width="9.81640625" style="82" customWidth="1"/>
    <col min="13567" max="13567" width="14.453125" style="82" customWidth="1"/>
    <col min="13568" max="13568" width="7.26953125" style="82" customWidth="1"/>
    <col min="13569" max="13569" width="5.54296875" style="82" customWidth="1"/>
    <col min="13570" max="13570" width="9" style="82" customWidth="1"/>
    <col min="13571" max="13572" width="9.81640625" style="82" customWidth="1"/>
    <col min="13573" max="13573" width="11.1796875" style="82" customWidth="1"/>
    <col min="13574" max="13574" width="2.81640625" style="82" customWidth="1"/>
    <col min="13575" max="13575" width="3.54296875" style="82" customWidth="1"/>
    <col min="13576" max="13820" width="9.1796875" style="82"/>
    <col min="13821" max="13821" width="8.7265625" style="82" customWidth="1"/>
    <col min="13822" max="13822" width="9.81640625" style="82" customWidth="1"/>
    <col min="13823" max="13823" width="14.453125" style="82" customWidth="1"/>
    <col min="13824" max="13824" width="7.26953125" style="82" customWidth="1"/>
    <col min="13825" max="13825" width="5.54296875" style="82" customWidth="1"/>
    <col min="13826" max="13826" width="9" style="82" customWidth="1"/>
    <col min="13827" max="13828" width="9.81640625" style="82" customWidth="1"/>
    <col min="13829" max="13829" width="11.1796875" style="82" customWidth="1"/>
    <col min="13830" max="13830" width="2.81640625" style="82" customWidth="1"/>
    <col min="13831" max="13831" width="3.54296875" style="82" customWidth="1"/>
    <col min="13832" max="14076" width="9.1796875" style="82"/>
    <col min="14077" max="14077" width="8.7265625" style="82" customWidth="1"/>
    <col min="14078" max="14078" width="9.81640625" style="82" customWidth="1"/>
    <col min="14079" max="14079" width="14.453125" style="82" customWidth="1"/>
    <col min="14080" max="14080" width="7.26953125" style="82" customWidth="1"/>
    <col min="14081" max="14081" width="5.54296875" style="82" customWidth="1"/>
    <col min="14082" max="14082" width="9" style="82" customWidth="1"/>
    <col min="14083" max="14084" width="9.81640625" style="82" customWidth="1"/>
    <col min="14085" max="14085" width="11.1796875" style="82" customWidth="1"/>
    <col min="14086" max="14086" width="2.81640625" style="82" customWidth="1"/>
    <col min="14087" max="14087" width="3.54296875" style="82" customWidth="1"/>
    <col min="14088" max="14332" width="9.1796875" style="82"/>
    <col min="14333" max="14333" width="8.7265625" style="82" customWidth="1"/>
    <col min="14334" max="14334" width="9.81640625" style="82" customWidth="1"/>
    <col min="14335" max="14335" width="14.453125" style="82" customWidth="1"/>
    <col min="14336" max="14336" width="7.26953125" style="82" customWidth="1"/>
    <col min="14337" max="14337" width="5.54296875" style="82" customWidth="1"/>
    <col min="14338" max="14338" width="9" style="82" customWidth="1"/>
    <col min="14339" max="14340" width="9.81640625" style="82" customWidth="1"/>
    <col min="14341" max="14341" width="11.1796875" style="82" customWidth="1"/>
    <col min="14342" max="14342" width="2.81640625" style="82" customWidth="1"/>
    <col min="14343" max="14343" width="3.54296875" style="82" customWidth="1"/>
    <col min="14344" max="14588" width="9.1796875" style="82"/>
    <col min="14589" max="14589" width="8.7265625" style="82" customWidth="1"/>
    <col min="14590" max="14590" width="9.81640625" style="82" customWidth="1"/>
    <col min="14591" max="14591" width="14.453125" style="82" customWidth="1"/>
    <col min="14592" max="14592" width="7.26953125" style="82" customWidth="1"/>
    <col min="14593" max="14593" width="5.54296875" style="82" customWidth="1"/>
    <col min="14594" max="14594" width="9" style="82" customWidth="1"/>
    <col min="14595" max="14596" width="9.81640625" style="82" customWidth="1"/>
    <col min="14597" max="14597" width="11.1796875" style="82" customWidth="1"/>
    <col min="14598" max="14598" width="2.81640625" style="82" customWidth="1"/>
    <col min="14599" max="14599" width="3.54296875" style="82" customWidth="1"/>
    <col min="14600" max="14844" width="9.1796875" style="82"/>
    <col min="14845" max="14845" width="8.7265625" style="82" customWidth="1"/>
    <col min="14846" max="14846" width="9.81640625" style="82" customWidth="1"/>
    <col min="14847" max="14847" width="14.453125" style="82" customWidth="1"/>
    <col min="14848" max="14848" width="7.26953125" style="82" customWidth="1"/>
    <col min="14849" max="14849" width="5.54296875" style="82" customWidth="1"/>
    <col min="14850" max="14850" width="9" style="82" customWidth="1"/>
    <col min="14851" max="14852" width="9.81640625" style="82" customWidth="1"/>
    <col min="14853" max="14853" width="11.1796875" style="82" customWidth="1"/>
    <col min="14854" max="14854" width="2.81640625" style="82" customWidth="1"/>
    <col min="14855" max="14855" width="3.54296875" style="82" customWidth="1"/>
    <col min="14856" max="15100" width="9.1796875" style="82"/>
    <col min="15101" max="15101" width="8.7265625" style="82" customWidth="1"/>
    <col min="15102" max="15102" width="9.81640625" style="82" customWidth="1"/>
    <col min="15103" max="15103" width="14.453125" style="82" customWidth="1"/>
    <col min="15104" max="15104" width="7.26953125" style="82" customWidth="1"/>
    <col min="15105" max="15105" width="5.54296875" style="82" customWidth="1"/>
    <col min="15106" max="15106" width="9" style="82" customWidth="1"/>
    <col min="15107" max="15108" width="9.81640625" style="82" customWidth="1"/>
    <col min="15109" max="15109" width="11.1796875" style="82" customWidth="1"/>
    <col min="15110" max="15110" width="2.81640625" style="82" customWidth="1"/>
    <col min="15111" max="15111" width="3.54296875" style="82" customWidth="1"/>
    <col min="15112" max="15356" width="9.1796875" style="82"/>
    <col min="15357" max="15357" width="8.7265625" style="82" customWidth="1"/>
    <col min="15358" max="15358" width="9.81640625" style="82" customWidth="1"/>
    <col min="15359" max="15359" width="14.453125" style="82" customWidth="1"/>
    <col min="15360" max="15360" width="7.26953125" style="82" customWidth="1"/>
    <col min="15361" max="15361" width="5.54296875" style="82" customWidth="1"/>
    <col min="15362" max="15362" width="9" style="82" customWidth="1"/>
    <col min="15363" max="15364" width="9.81640625" style="82" customWidth="1"/>
    <col min="15365" max="15365" width="11.1796875" style="82" customWidth="1"/>
    <col min="15366" max="15366" width="2.81640625" style="82" customWidth="1"/>
    <col min="15367" max="15367" width="3.54296875" style="82" customWidth="1"/>
    <col min="15368" max="15612" width="9.1796875" style="82"/>
    <col min="15613" max="15613" width="8.7265625" style="82" customWidth="1"/>
    <col min="15614" max="15614" width="9.81640625" style="82" customWidth="1"/>
    <col min="15615" max="15615" width="14.453125" style="82" customWidth="1"/>
    <col min="15616" max="15616" width="7.26953125" style="82" customWidth="1"/>
    <col min="15617" max="15617" width="5.54296875" style="82" customWidth="1"/>
    <col min="15618" max="15618" width="9" style="82" customWidth="1"/>
    <col min="15619" max="15620" width="9.81640625" style="82" customWidth="1"/>
    <col min="15621" max="15621" width="11.1796875" style="82" customWidth="1"/>
    <col min="15622" max="15622" width="2.81640625" style="82" customWidth="1"/>
    <col min="15623" max="15623" width="3.54296875" style="82" customWidth="1"/>
    <col min="15624" max="15868" width="9.1796875" style="82"/>
    <col min="15869" max="15869" width="8.7265625" style="82" customWidth="1"/>
    <col min="15870" max="15870" width="9.81640625" style="82" customWidth="1"/>
    <col min="15871" max="15871" width="14.453125" style="82" customWidth="1"/>
    <col min="15872" max="15872" width="7.26953125" style="82" customWidth="1"/>
    <col min="15873" max="15873" width="5.54296875" style="82" customWidth="1"/>
    <col min="15874" max="15874" width="9" style="82" customWidth="1"/>
    <col min="15875" max="15876" width="9.81640625" style="82" customWidth="1"/>
    <col min="15877" max="15877" width="11.1796875" style="82" customWidth="1"/>
    <col min="15878" max="15878" width="2.81640625" style="82" customWidth="1"/>
    <col min="15879" max="15879" width="3.54296875" style="82" customWidth="1"/>
    <col min="15880" max="16124" width="9.1796875" style="82"/>
    <col min="16125" max="16125" width="8.7265625" style="82" customWidth="1"/>
    <col min="16126" max="16126" width="9.81640625" style="82" customWidth="1"/>
    <col min="16127" max="16127" width="14.453125" style="82" customWidth="1"/>
    <col min="16128" max="16128" width="7.26953125" style="82" customWidth="1"/>
    <col min="16129" max="16129" width="5.54296875" style="82" customWidth="1"/>
    <col min="16130" max="16130" width="9" style="82" customWidth="1"/>
    <col min="16131" max="16132" width="9.81640625" style="82" customWidth="1"/>
    <col min="16133" max="16133" width="11.1796875" style="82" customWidth="1"/>
    <col min="16134" max="16134" width="2.81640625" style="82" customWidth="1"/>
    <col min="16135" max="16135" width="3.54296875" style="82" customWidth="1"/>
    <col min="16136" max="16384" width="9.1796875" style="82"/>
  </cols>
  <sheetData>
    <row r="1" spans="1:8" ht="46.5" customHeight="1" x14ac:dyDescent="0.35">
      <c r="A1" s="218" t="s">
        <v>283</v>
      </c>
      <c r="B1" s="218"/>
      <c r="C1" s="218"/>
      <c r="D1" s="218"/>
      <c r="E1" s="218"/>
      <c r="F1" s="218"/>
      <c r="G1" s="218"/>
      <c r="H1" s="218"/>
    </row>
    <row r="2" spans="1:8" ht="16.5" customHeight="1" x14ac:dyDescent="0.35">
      <c r="A2" s="164" t="s">
        <v>0</v>
      </c>
      <c r="B2" s="164"/>
      <c r="C2" s="164"/>
      <c r="D2" s="164"/>
      <c r="E2" s="164"/>
      <c r="F2" s="164"/>
      <c r="G2" s="164"/>
      <c r="H2" s="164"/>
    </row>
    <row r="3" spans="1:8" x14ac:dyDescent="0.35">
      <c r="A3" s="158" t="s">
        <v>1</v>
      </c>
      <c r="B3" s="158"/>
      <c r="C3" s="158"/>
      <c r="D3" s="158"/>
      <c r="E3" s="219" t="str">
        <f ca="1">TEXT(TODAY(),"DD/MM/YYYY")</f>
        <v>09/09/2025</v>
      </c>
      <c r="F3" s="219"/>
      <c r="G3" s="219"/>
      <c r="H3" s="219"/>
    </row>
    <row r="4" spans="1:8" ht="15" customHeight="1" x14ac:dyDescent="0.35">
      <c r="A4" s="158" t="s">
        <v>2</v>
      </c>
      <c r="B4" s="158"/>
      <c r="C4" s="158"/>
      <c r="D4" s="158"/>
      <c r="E4" s="212" t="s">
        <v>183</v>
      </c>
      <c r="F4" s="212"/>
      <c r="G4" s="212"/>
      <c r="H4" s="212"/>
    </row>
    <row r="5" spans="1:8" x14ac:dyDescent="0.35">
      <c r="A5" s="158" t="s">
        <v>3</v>
      </c>
      <c r="B5" s="158"/>
      <c r="C5" s="158"/>
      <c r="D5" s="158"/>
      <c r="E5" s="207">
        <v>45906</v>
      </c>
      <c r="F5" s="207"/>
      <c r="G5" s="207"/>
      <c r="H5" s="207"/>
    </row>
    <row r="6" spans="1:8" ht="16.5" customHeight="1" x14ac:dyDescent="0.35">
      <c r="A6" s="158" t="s">
        <v>4</v>
      </c>
      <c r="B6" s="158"/>
      <c r="C6" s="158"/>
      <c r="D6" s="158"/>
      <c r="E6" s="159" t="s">
        <v>224</v>
      </c>
      <c r="F6" s="159"/>
      <c r="G6" s="159"/>
      <c r="H6" s="159"/>
    </row>
    <row r="7" spans="1:8" ht="15" customHeight="1" x14ac:dyDescent="0.35">
      <c r="A7" s="158" t="s">
        <v>5</v>
      </c>
      <c r="B7" s="158"/>
      <c r="C7" s="158"/>
      <c r="D7" s="158"/>
      <c r="E7" s="159" t="str">
        <f>E6</f>
        <v>M/s. Jigar Enterprises</v>
      </c>
      <c r="F7" s="159"/>
      <c r="G7" s="159"/>
      <c r="H7" s="159"/>
    </row>
    <row r="8" spans="1:8" x14ac:dyDescent="0.35">
      <c r="A8" s="158" t="s">
        <v>6</v>
      </c>
      <c r="B8" s="158"/>
      <c r="C8" s="158"/>
      <c r="D8" s="158"/>
      <c r="E8" s="183" t="s">
        <v>185</v>
      </c>
      <c r="F8" s="183"/>
      <c r="G8" s="183"/>
      <c r="H8" s="183"/>
    </row>
    <row r="9" spans="1:8" x14ac:dyDescent="0.35">
      <c r="A9" s="158" t="s">
        <v>7</v>
      </c>
      <c r="B9" s="158"/>
      <c r="C9" s="158"/>
      <c r="D9" s="158"/>
      <c r="E9" s="158" t="s">
        <v>186</v>
      </c>
      <c r="F9" s="158"/>
      <c r="G9" s="158"/>
      <c r="H9" s="158"/>
    </row>
    <row r="10" spans="1:8" x14ac:dyDescent="0.35">
      <c r="A10" s="181" t="s">
        <v>8</v>
      </c>
      <c r="B10" s="181"/>
      <c r="C10" s="181"/>
      <c r="D10" s="181"/>
      <c r="E10" s="181" t="s">
        <v>285</v>
      </c>
      <c r="F10" s="181"/>
      <c r="G10" s="181"/>
      <c r="H10" s="181"/>
    </row>
    <row r="11" spans="1:8" x14ac:dyDescent="0.35">
      <c r="A11" s="158" t="s">
        <v>9</v>
      </c>
      <c r="B11" s="158"/>
      <c r="C11" s="158"/>
      <c r="D11" s="158"/>
      <c r="E11" s="182" t="s">
        <v>217</v>
      </c>
      <c r="F11" s="216"/>
      <c r="G11" s="216"/>
      <c r="H11" s="216"/>
    </row>
    <row r="12" spans="1:8" s="83" customFormat="1" ht="33.75" customHeight="1" x14ac:dyDescent="0.35">
      <c r="A12" s="181" t="s">
        <v>10</v>
      </c>
      <c r="B12" s="181"/>
      <c r="C12" s="181"/>
      <c r="D12" s="181"/>
      <c r="E12" s="182" t="s">
        <v>297</v>
      </c>
      <c r="F12" s="181"/>
      <c r="G12" s="181"/>
      <c r="H12" s="181"/>
    </row>
    <row r="13" spans="1:8" ht="30.75" customHeight="1" x14ac:dyDescent="0.35">
      <c r="A13" s="159" t="s">
        <v>11</v>
      </c>
      <c r="B13" s="159"/>
      <c r="C13" s="159" t="str">
        <f>CONCATENATE((IF(OR(E8="",E8="NA"),"",E8)),", ",(IF(OR(A14="",A14="NA"),"",A14)),".",(IF(OR(C14="",C14="NA"),"",C14)),", ",(IF(OR(C15="",C15="NA"),"",C15)),", ",(IF(OR(G15="",G15="NA"),"",G15)),", ",(IF(OR(C16="",C16="NA"),"",C16)),", ",(IF(OR(C17="",C17="NA"),"",C17)),", ",(IF(OR(G16="",G16="NA"),"",G16)),".")</f>
        <v>Umiya Nakshtra Heights, Survey/Hissa No.64/1/4 &amp; Old S.No/Hissa no. 64/2, Proposed Panvel Highway, Katrap, Badlapur, Ambernath, Thane.</v>
      </c>
      <c r="D13" s="159"/>
      <c r="E13" s="159"/>
      <c r="F13" s="159"/>
      <c r="G13" s="159"/>
      <c r="H13" s="159"/>
    </row>
    <row r="14" spans="1:8" ht="15.75" customHeight="1" x14ac:dyDescent="0.35">
      <c r="A14" s="159" t="s">
        <v>191</v>
      </c>
      <c r="B14" s="159"/>
      <c r="C14" s="182" t="s">
        <v>226</v>
      </c>
      <c r="D14" s="182"/>
      <c r="E14" s="182"/>
      <c r="F14" s="182"/>
      <c r="G14" s="182"/>
      <c r="H14" s="182"/>
    </row>
    <row r="15" spans="1:8" ht="15.75" customHeight="1" x14ac:dyDescent="0.35">
      <c r="A15" s="159" t="s">
        <v>12</v>
      </c>
      <c r="B15" s="159"/>
      <c r="C15" s="181" t="s">
        <v>235</v>
      </c>
      <c r="D15" s="181"/>
      <c r="E15" s="159" t="s">
        <v>115</v>
      </c>
      <c r="F15" s="159"/>
      <c r="G15" s="182" t="s">
        <v>189</v>
      </c>
      <c r="H15" s="182"/>
    </row>
    <row r="16" spans="1:8" x14ac:dyDescent="0.35">
      <c r="A16" s="158" t="s">
        <v>14</v>
      </c>
      <c r="B16" s="158"/>
      <c r="C16" s="182" t="s">
        <v>187</v>
      </c>
      <c r="D16" s="182"/>
      <c r="E16" s="159" t="s">
        <v>13</v>
      </c>
      <c r="F16" s="159"/>
      <c r="G16" s="217" t="s">
        <v>188</v>
      </c>
      <c r="H16" s="217"/>
    </row>
    <row r="17" spans="1:8" x14ac:dyDescent="0.35">
      <c r="A17" s="158" t="s">
        <v>116</v>
      </c>
      <c r="B17" s="158"/>
      <c r="C17" s="182" t="s">
        <v>227</v>
      </c>
      <c r="D17" s="182"/>
      <c r="E17" s="159" t="s">
        <v>15</v>
      </c>
      <c r="F17" s="159"/>
      <c r="G17" s="182">
        <v>421503</v>
      </c>
      <c r="H17" s="182"/>
    </row>
    <row r="18" spans="1:8" ht="32.25" customHeight="1" x14ac:dyDescent="0.35">
      <c r="A18" s="158" t="s">
        <v>16</v>
      </c>
      <c r="B18" s="158"/>
      <c r="C18" s="159" t="s">
        <v>236</v>
      </c>
      <c r="D18" s="159"/>
      <c r="E18" s="159" t="s">
        <v>17</v>
      </c>
      <c r="F18" s="159"/>
      <c r="G18" s="182" t="s">
        <v>190</v>
      </c>
      <c r="H18" s="216"/>
    </row>
    <row r="19" spans="1:8" ht="15" customHeight="1" x14ac:dyDescent="0.35">
      <c r="A19" s="159" t="s">
        <v>121</v>
      </c>
      <c r="B19" s="159"/>
      <c r="C19" s="159"/>
      <c r="D19" s="159"/>
      <c r="E19" s="181" t="s">
        <v>18</v>
      </c>
      <c r="F19" s="181"/>
      <c r="G19" s="181"/>
      <c r="H19" s="181"/>
    </row>
    <row r="20" spans="1:8" ht="18.75" customHeight="1" x14ac:dyDescent="0.35">
      <c r="A20" s="159"/>
      <c r="B20" s="159"/>
      <c r="C20" s="159"/>
      <c r="D20" s="159"/>
      <c r="E20" s="181"/>
      <c r="F20" s="181"/>
      <c r="G20" s="181"/>
      <c r="H20" s="181"/>
    </row>
    <row r="21" spans="1:8" ht="15" customHeight="1" x14ac:dyDescent="0.35">
      <c r="A21" s="159" t="s">
        <v>19</v>
      </c>
      <c r="B21" s="159"/>
      <c r="C21" s="159"/>
      <c r="D21" s="159"/>
      <c r="E21" s="182" t="s">
        <v>20</v>
      </c>
      <c r="F21" s="182"/>
      <c r="G21" s="182"/>
      <c r="H21" s="182"/>
    </row>
    <row r="22" spans="1:8" ht="15" customHeight="1" x14ac:dyDescent="0.35">
      <c r="A22" s="158" t="s">
        <v>21</v>
      </c>
      <c r="B22" s="158"/>
      <c r="C22" s="158"/>
      <c r="D22" s="158"/>
      <c r="E22" s="182" t="s">
        <v>192</v>
      </c>
      <c r="F22" s="216"/>
      <c r="G22" s="216"/>
      <c r="H22" s="216"/>
    </row>
    <row r="23" spans="1:8" x14ac:dyDescent="0.35">
      <c r="A23" s="158" t="s">
        <v>22</v>
      </c>
      <c r="B23" s="158"/>
      <c r="C23" s="158"/>
      <c r="D23" s="158"/>
      <c r="E23" s="182" t="s">
        <v>23</v>
      </c>
      <c r="F23" s="182"/>
      <c r="G23" s="182"/>
      <c r="H23" s="182"/>
    </row>
    <row r="24" spans="1:8" x14ac:dyDescent="0.35">
      <c r="A24" s="158" t="s">
        <v>24</v>
      </c>
      <c r="B24" s="158"/>
      <c r="C24" s="158"/>
      <c r="D24" s="158"/>
      <c r="E24" s="182" t="s">
        <v>193</v>
      </c>
      <c r="F24" s="216"/>
      <c r="G24" s="216"/>
      <c r="H24" s="216"/>
    </row>
    <row r="25" spans="1:8" x14ac:dyDescent="0.35">
      <c r="A25" s="158" t="s">
        <v>25</v>
      </c>
      <c r="B25" s="158"/>
      <c r="C25" s="158"/>
      <c r="D25" s="158"/>
      <c r="E25" s="182" t="s">
        <v>26</v>
      </c>
      <c r="F25" s="182"/>
      <c r="G25" s="182"/>
      <c r="H25" s="182"/>
    </row>
    <row r="26" spans="1:8" x14ac:dyDescent="0.35">
      <c r="A26" s="158" t="s">
        <v>130</v>
      </c>
      <c r="B26" s="158"/>
      <c r="C26" s="158"/>
      <c r="D26" s="158"/>
      <c r="E26" s="182" t="s">
        <v>131</v>
      </c>
      <c r="F26" s="182"/>
      <c r="G26" s="182"/>
      <c r="H26" s="182"/>
    </row>
    <row r="27" spans="1:8" ht="15" customHeight="1" x14ac:dyDescent="0.35">
      <c r="A27" s="159" t="s">
        <v>37</v>
      </c>
      <c r="B27" s="159"/>
      <c r="C27" s="159"/>
      <c r="D27" s="159"/>
      <c r="E27" s="212" t="s">
        <v>194</v>
      </c>
      <c r="F27" s="213"/>
      <c r="G27" s="213"/>
      <c r="H27" s="213"/>
    </row>
    <row r="28" spans="1:8" x14ac:dyDescent="0.35">
      <c r="A28" s="159" t="s">
        <v>144</v>
      </c>
      <c r="B28" s="159"/>
      <c r="C28" s="159"/>
      <c r="D28" s="159"/>
      <c r="E28" s="159" t="s">
        <v>38</v>
      </c>
      <c r="F28" s="159"/>
      <c r="G28" s="159"/>
      <c r="H28" s="159"/>
    </row>
    <row r="29" spans="1:8" s="84" customFormat="1" x14ac:dyDescent="0.35">
      <c r="A29" s="214" t="s">
        <v>145</v>
      </c>
      <c r="B29" s="214"/>
      <c r="C29" s="215" t="s">
        <v>31</v>
      </c>
      <c r="D29" s="215"/>
      <c r="E29" s="215"/>
      <c r="F29" s="215" t="s">
        <v>33</v>
      </c>
      <c r="G29" s="215"/>
      <c r="H29" s="215"/>
    </row>
    <row r="30" spans="1:8" s="84" customFormat="1" x14ac:dyDescent="0.35">
      <c r="A30" s="211" t="s">
        <v>27</v>
      </c>
      <c r="B30" s="211" t="s">
        <v>32</v>
      </c>
      <c r="C30" s="151" t="s">
        <v>32</v>
      </c>
      <c r="D30" s="151"/>
      <c r="E30" s="151"/>
      <c r="F30" s="151" t="s">
        <v>195</v>
      </c>
      <c r="G30" s="151"/>
      <c r="H30" s="151"/>
    </row>
    <row r="31" spans="1:8" x14ac:dyDescent="0.35">
      <c r="A31" s="211" t="s">
        <v>28</v>
      </c>
      <c r="B31" s="211" t="s">
        <v>32</v>
      </c>
      <c r="C31" s="151" t="s">
        <v>32</v>
      </c>
      <c r="D31" s="151"/>
      <c r="E31" s="151"/>
      <c r="F31" s="151" t="s">
        <v>196</v>
      </c>
      <c r="G31" s="151"/>
      <c r="H31" s="151"/>
    </row>
    <row r="32" spans="1:8" s="84" customFormat="1" x14ac:dyDescent="0.35">
      <c r="A32" s="211" t="s">
        <v>30</v>
      </c>
      <c r="B32" s="211" t="s">
        <v>32</v>
      </c>
      <c r="C32" s="151" t="s">
        <v>32</v>
      </c>
      <c r="D32" s="151"/>
      <c r="E32" s="151"/>
      <c r="F32" s="151" t="s">
        <v>196</v>
      </c>
      <c r="G32" s="151"/>
      <c r="H32" s="151"/>
    </row>
    <row r="33" spans="1:8" x14ac:dyDescent="0.35">
      <c r="A33" s="211" t="s">
        <v>29</v>
      </c>
      <c r="B33" s="211" t="s">
        <v>32</v>
      </c>
      <c r="C33" s="151" t="s">
        <v>32</v>
      </c>
      <c r="D33" s="151"/>
      <c r="E33" s="151"/>
      <c r="F33" s="151" t="s">
        <v>196</v>
      </c>
      <c r="G33" s="151"/>
      <c r="H33" s="151"/>
    </row>
    <row r="34" spans="1:8" x14ac:dyDescent="0.35">
      <c r="A34" s="158" t="s">
        <v>34</v>
      </c>
      <c r="B34" s="158"/>
      <c r="C34" s="158"/>
      <c r="D34" s="158"/>
      <c r="E34" s="158"/>
      <c r="F34" s="158"/>
      <c r="G34" s="158"/>
      <c r="H34" s="158"/>
    </row>
    <row r="35" spans="1:8" ht="15.75" customHeight="1" x14ac:dyDescent="0.35">
      <c r="A35" s="158" t="s">
        <v>298</v>
      </c>
      <c r="B35" s="158"/>
      <c r="C35" s="271" t="s">
        <v>299</v>
      </c>
      <c r="D35" s="271"/>
      <c r="E35" s="271"/>
      <c r="F35" s="271"/>
      <c r="G35" s="271"/>
      <c r="H35" s="271"/>
    </row>
    <row r="36" spans="1:8" ht="15.75" customHeight="1" x14ac:dyDescent="0.35">
      <c r="A36" s="158" t="s">
        <v>281</v>
      </c>
      <c r="B36" s="158"/>
      <c r="C36" s="272" t="s">
        <v>282</v>
      </c>
      <c r="D36" s="273"/>
      <c r="E36" s="273"/>
      <c r="F36" s="273"/>
      <c r="G36" s="273"/>
      <c r="H36" s="273"/>
    </row>
    <row r="37" spans="1:8" x14ac:dyDescent="0.35">
      <c r="A37" s="183" t="s">
        <v>39</v>
      </c>
      <c r="B37" s="183"/>
      <c r="C37" s="183"/>
      <c r="D37" s="183"/>
      <c r="E37" s="183"/>
      <c r="F37" s="183"/>
      <c r="G37" s="183"/>
      <c r="H37" s="183"/>
    </row>
    <row r="38" spans="1:8" x14ac:dyDescent="0.35">
      <c r="A38" s="158" t="s">
        <v>40</v>
      </c>
      <c r="B38" s="158"/>
      <c r="C38" s="158"/>
      <c r="D38" s="158"/>
      <c r="E38" s="210">
        <v>8504.24</v>
      </c>
      <c r="F38" s="210"/>
      <c r="G38" s="210"/>
      <c r="H38" s="210"/>
    </row>
    <row r="39" spans="1:8" x14ac:dyDescent="0.35">
      <c r="A39" s="158" t="s">
        <v>41</v>
      </c>
      <c r="B39" s="158"/>
      <c r="C39" s="158"/>
      <c r="D39" s="158"/>
      <c r="E39" s="208">
        <f>9354.66/E38</f>
        <v>1.0999995296463883</v>
      </c>
      <c r="F39" s="208"/>
      <c r="G39" s="208"/>
      <c r="H39" s="208"/>
    </row>
    <row r="40" spans="1:8" x14ac:dyDescent="0.35">
      <c r="A40" s="158" t="s">
        <v>42</v>
      </c>
      <c r="B40" s="158"/>
      <c r="C40" s="158"/>
      <c r="D40" s="158"/>
      <c r="E40" s="208">
        <f>E42/E38-E39</f>
        <v>1.7382458632399838</v>
      </c>
      <c r="F40" s="208"/>
      <c r="G40" s="208"/>
      <c r="H40" s="208"/>
    </row>
    <row r="41" spans="1:8" x14ac:dyDescent="0.35">
      <c r="A41" s="158" t="s">
        <v>43</v>
      </c>
      <c r="B41" s="158"/>
      <c r="C41" s="158"/>
      <c r="D41" s="158"/>
      <c r="E41" s="208">
        <f>E39+E40</f>
        <v>2.838245392886372</v>
      </c>
      <c r="F41" s="208"/>
      <c r="G41" s="208"/>
      <c r="H41" s="208"/>
    </row>
    <row r="42" spans="1:8" x14ac:dyDescent="0.35">
      <c r="A42" s="158" t="s">
        <v>143</v>
      </c>
      <c r="B42" s="158"/>
      <c r="C42" s="158"/>
      <c r="D42" s="158"/>
      <c r="E42" s="209">
        <v>24137.119999999999</v>
      </c>
      <c r="F42" s="209"/>
      <c r="G42" s="209"/>
      <c r="H42" s="209"/>
    </row>
    <row r="43" spans="1:8" x14ac:dyDescent="0.35">
      <c r="A43" s="181" t="s">
        <v>44</v>
      </c>
      <c r="B43" s="181"/>
      <c r="C43" s="181"/>
      <c r="D43" s="181"/>
      <c r="E43" s="181" t="s">
        <v>294</v>
      </c>
      <c r="F43" s="197"/>
      <c r="G43" s="197"/>
      <c r="H43" s="197"/>
    </row>
    <row r="44" spans="1:8" x14ac:dyDescent="0.35">
      <c r="A44" s="183" t="s">
        <v>45</v>
      </c>
      <c r="B44" s="183"/>
      <c r="C44" s="183"/>
      <c r="D44" s="183"/>
      <c r="E44" s="183"/>
      <c r="F44" s="183"/>
      <c r="G44" s="183"/>
      <c r="H44" s="183"/>
    </row>
    <row r="45" spans="1:8" x14ac:dyDescent="0.35">
      <c r="A45" s="159" t="s">
        <v>46</v>
      </c>
      <c r="B45" s="159"/>
      <c r="C45" s="182" t="s">
        <v>291</v>
      </c>
      <c r="D45" s="182"/>
      <c r="E45" s="182"/>
      <c r="F45" s="79" t="s">
        <v>47</v>
      </c>
      <c r="G45" s="206">
        <v>44608</v>
      </c>
      <c r="H45" s="182"/>
    </row>
    <row r="46" spans="1:8" ht="31.5" customHeight="1" x14ac:dyDescent="0.35">
      <c r="A46" s="159" t="s">
        <v>272</v>
      </c>
      <c r="B46" s="159"/>
      <c r="C46" s="182" t="s">
        <v>229</v>
      </c>
      <c r="D46" s="182"/>
      <c r="E46" s="182"/>
      <c r="F46" s="79" t="s">
        <v>47</v>
      </c>
      <c r="G46" s="182" t="s">
        <v>197</v>
      </c>
      <c r="H46" s="182"/>
    </row>
    <row r="47" spans="1:8" s="83" customFormat="1" x14ac:dyDescent="0.35">
      <c r="A47" s="182" t="s">
        <v>273</v>
      </c>
      <c r="B47" s="182"/>
      <c r="C47" s="182" t="s">
        <v>229</v>
      </c>
      <c r="D47" s="181"/>
      <c r="E47" s="181"/>
      <c r="F47" s="85" t="s">
        <v>47</v>
      </c>
      <c r="G47" s="199" t="s">
        <v>197</v>
      </c>
      <c r="H47" s="199"/>
    </row>
    <row r="48" spans="1:8" s="83" customFormat="1" ht="35.25" customHeight="1" x14ac:dyDescent="0.35">
      <c r="A48" s="182"/>
      <c r="B48" s="182"/>
      <c r="C48" s="200" t="s">
        <v>269</v>
      </c>
      <c r="D48" s="201"/>
      <c r="E48" s="201"/>
      <c r="F48" s="201"/>
      <c r="G48" s="201"/>
      <c r="H48" s="202"/>
    </row>
    <row r="49" spans="1:11" ht="34.5" customHeight="1" x14ac:dyDescent="0.35">
      <c r="A49" s="159" t="s">
        <v>286</v>
      </c>
      <c r="B49" s="159"/>
      <c r="C49" s="182" t="s">
        <v>291</v>
      </c>
      <c r="D49" s="182"/>
      <c r="E49" s="182"/>
      <c r="F49" s="80" t="s">
        <v>47</v>
      </c>
      <c r="G49" s="206">
        <v>44608</v>
      </c>
      <c r="H49" s="182"/>
    </row>
    <row r="50" spans="1:11" s="83" customFormat="1" ht="32.25" customHeight="1" x14ac:dyDescent="0.35">
      <c r="A50" s="182" t="s">
        <v>287</v>
      </c>
      <c r="B50" s="182"/>
      <c r="C50" s="182" t="s">
        <v>271</v>
      </c>
      <c r="D50" s="181"/>
      <c r="E50" s="181"/>
      <c r="F50" s="85" t="s">
        <v>47</v>
      </c>
      <c r="G50" s="207">
        <v>44608</v>
      </c>
      <c r="H50" s="199"/>
    </row>
    <row r="51" spans="1:11" s="83" customFormat="1" ht="18" customHeight="1" x14ac:dyDescent="0.35">
      <c r="A51" s="182"/>
      <c r="B51" s="182"/>
      <c r="C51" s="200" t="s">
        <v>290</v>
      </c>
      <c r="D51" s="201"/>
      <c r="E51" s="201"/>
      <c r="F51" s="201"/>
      <c r="G51" s="201"/>
      <c r="H51" s="202"/>
    </row>
    <row r="52" spans="1:11" ht="62.5" customHeight="1" x14ac:dyDescent="0.35">
      <c r="A52" s="203" t="s">
        <v>50</v>
      </c>
      <c r="B52" s="203"/>
      <c r="C52" s="185" t="s">
        <v>300</v>
      </c>
      <c r="D52" s="147"/>
      <c r="E52" s="147" t="s">
        <v>51</v>
      </c>
      <c r="F52" s="78" t="s">
        <v>47</v>
      </c>
      <c r="G52" s="204">
        <v>45238</v>
      </c>
      <c r="H52" s="205"/>
    </row>
    <row r="53" spans="1:11" x14ac:dyDescent="0.35">
      <c r="A53" s="198" t="s">
        <v>53</v>
      </c>
      <c r="B53" s="198"/>
      <c r="C53" s="198"/>
      <c r="D53" s="198"/>
      <c r="E53" s="198"/>
      <c r="F53" s="198"/>
      <c r="G53" s="198"/>
      <c r="H53" s="198"/>
    </row>
    <row r="54" spans="1:11" x14ac:dyDescent="0.35">
      <c r="A54" s="159" t="s">
        <v>142</v>
      </c>
      <c r="B54" s="159"/>
      <c r="C54" s="159"/>
      <c r="D54" s="158">
        <f>E42</f>
        <v>24137.119999999999</v>
      </c>
      <c r="E54" s="158"/>
      <c r="F54" s="158"/>
      <c r="G54" s="158"/>
      <c r="H54" s="158"/>
    </row>
    <row r="55" spans="1:11" x14ac:dyDescent="0.35">
      <c r="A55" s="182" t="s">
        <v>54</v>
      </c>
      <c r="B55" s="181"/>
      <c r="C55" s="181"/>
      <c r="D55" s="182" t="s">
        <v>293</v>
      </c>
      <c r="E55" s="197"/>
      <c r="F55" s="197"/>
      <c r="G55" s="197"/>
      <c r="H55" s="197"/>
    </row>
    <row r="56" spans="1:11" ht="36" customHeight="1" x14ac:dyDescent="0.35">
      <c r="A56" s="182" t="s">
        <v>55</v>
      </c>
      <c r="B56" s="181"/>
      <c r="C56" s="181"/>
      <c r="D56" s="182" t="s">
        <v>288</v>
      </c>
      <c r="E56" s="197"/>
      <c r="F56" s="197"/>
      <c r="G56" s="197"/>
      <c r="H56" s="197"/>
    </row>
    <row r="57" spans="1:11" ht="33" customHeight="1" x14ac:dyDescent="0.35">
      <c r="A57" s="182" t="s">
        <v>140</v>
      </c>
      <c r="B57" s="181"/>
      <c r="C57" s="181"/>
      <c r="D57" s="182" t="s">
        <v>289</v>
      </c>
      <c r="E57" s="197"/>
      <c r="F57" s="197"/>
      <c r="G57" s="197"/>
      <c r="H57" s="197"/>
    </row>
    <row r="58" spans="1:11" ht="48" customHeight="1" x14ac:dyDescent="0.35">
      <c r="A58" s="158" t="s">
        <v>52</v>
      </c>
      <c r="B58" s="158"/>
      <c r="C58" s="158"/>
      <c r="D58" s="159" t="s">
        <v>302</v>
      </c>
      <c r="E58" s="159"/>
      <c r="F58" s="159"/>
      <c r="G58" s="159"/>
      <c r="H58" s="159"/>
    </row>
    <row r="59" spans="1:11" ht="15.75" customHeight="1" x14ac:dyDescent="0.35">
      <c r="A59" s="158" t="s">
        <v>137</v>
      </c>
      <c r="B59" s="158"/>
      <c r="C59" s="158"/>
      <c r="D59" s="159" t="s">
        <v>138</v>
      </c>
      <c r="E59" s="159"/>
      <c r="F59" s="159"/>
      <c r="G59" s="159"/>
      <c r="H59" s="159"/>
    </row>
    <row r="60" spans="1:11" ht="15.75" customHeight="1" x14ac:dyDescent="0.35">
      <c r="A60" s="158" t="s">
        <v>139</v>
      </c>
      <c r="B60" s="158"/>
      <c r="C60" s="158"/>
      <c r="D60" s="159" t="s">
        <v>26</v>
      </c>
      <c r="E60" s="159"/>
      <c r="F60" s="159"/>
      <c r="G60" s="159"/>
      <c r="H60" s="159"/>
      <c r="J60" s="86"/>
      <c r="K60" s="86"/>
    </row>
    <row r="61" spans="1:11" ht="15.75" customHeight="1" thickBot="1" x14ac:dyDescent="0.4">
      <c r="A61" s="194" t="s">
        <v>136</v>
      </c>
      <c r="B61" s="194"/>
      <c r="C61" s="194"/>
      <c r="D61" s="195" t="s">
        <v>219</v>
      </c>
      <c r="E61" s="196"/>
      <c r="F61" s="196"/>
      <c r="G61" s="196"/>
      <c r="H61" s="196"/>
      <c r="J61" s="86"/>
      <c r="K61" s="86"/>
    </row>
    <row r="62" spans="1:11" ht="15.75" customHeight="1" x14ac:dyDescent="0.35">
      <c r="A62" s="142" t="s">
        <v>250</v>
      </c>
      <c r="B62" s="143"/>
      <c r="C62" s="144" t="s">
        <v>280</v>
      </c>
      <c r="D62" s="145"/>
      <c r="E62" s="145"/>
      <c r="F62" s="145"/>
      <c r="G62" s="145"/>
      <c r="H62" s="146"/>
      <c r="I62" s="72" t="str">
        <f ca="1">(IF(C68=0,"Work not yet Started.",IF(D68=25%,"Piling work in process",IF(D68=50%,"Excavation work in process",IF(D68=100%,"Excavation work completed, ","0")))&amp;(IF(C69=0%,"",IF(C69=K70,"Footing work is process",IF(C69=K71,"Footing work Completed",IF(C69=K72,"1st Basement Completed",IF(C69=K73,"1st &amp; 2nd Basement Completed",IF(C69=K74,"1st to 3rd Basement Completed",IF(C69=K75,"1st to 4th Basement Completed",IF(C69=K76,"Plinth work is process",IF(C69=K77,"Plinth work completed","0")))))))))))&amp;(IF(C70&gt;0,", RCC upto "&amp;C70&amp;" Slab completed",""))&amp;(IF(C71&gt;0,", Brickwork upto "&amp;C71&amp;" Floor completed"," "))&amp;(IF(C72&gt;0,", Internal Plaster upto "&amp;C72&amp;" Floor completed"," "))&amp;(IF(C73&gt;0,", External Plaster upto "&amp;C73&amp;" Floor completed"," "))&amp;(IF(C74&gt;0,", Flooring upto "&amp;C74&amp;" Floor completed"," "))&amp;(IF(C75&gt;0,", Painting upto "&amp;C75&amp;" Floor completed"," "))&amp;(IF(C76&gt;0,", Finishing upto "&amp;C76&amp;" Floor completed"," ")))</f>
        <v>Excavation work completed, Plinth work completed, RCC upto 19 Slab completed, Brickwork upto 18 Floor completed, Internal Plaster upto 18 Floor completed, External Plaster upto 18 Floor completed, Flooring upto 18 Floor completed, Painting upto 18 Floor completed, Finishing upto 18 Floor completed</v>
      </c>
      <c r="J62" s="72"/>
      <c r="K62" s="87"/>
    </row>
    <row r="63" spans="1:11" x14ac:dyDescent="0.35">
      <c r="A63" s="75" t="s">
        <v>112</v>
      </c>
      <c r="B63" s="76">
        <v>0</v>
      </c>
      <c r="C63" s="76" t="s">
        <v>114</v>
      </c>
      <c r="D63" s="76">
        <v>1</v>
      </c>
      <c r="E63" s="76" t="s">
        <v>113</v>
      </c>
      <c r="F63" s="76">
        <v>0</v>
      </c>
      <c r="G63" s="76" t="s">
        <v>129</v>
      </c>
      <c r="H63" s="62">
        <f ca="1">--TRIM(RIGHT(SUBSTITUTE(LEFT(C62,_xlfn.AGGREGATE(16,6,FIND({0,1,2,3,4,5,6,7,8,9},C62,ROW(INDIRECT("1:"&amp;LEN(C62)))),1))," ",REPT(" ",LEN(C62))),LEN(C62)))</f>
        <v>18</v>
      </c>
      <c r="I63" s="73" t="s">
        <v>251</v>
      </c>
      <c r="J63" s="73"/>
      <c r="K63" s="88"/>
    </row>
    <row r="64" spans="1:11" x14ac:dyDescent="0.35">
      <c r="A64" s="147" t="s">
        <v>141</v>
      </c>
      <c r="B64" s="147"/>
      <c r="C64" s="185" t="str">
        <f>I64</f>
        <v>All work Completed. OC Received.</v>
      </c>
      <c r="D64" s="185"/>
      <c r="E64" s="185"/>
      <c r="F64" s="185"/>
      <c r="G64" s="185"/>
      <c r="H64" s="185"/>
      <c r="I64" s="73" t="s">
        <v>163</v>
      </c>
      <c r="J64" s="73"/>
      <c r="K64" s="88"/>
    </row>
    <row r="65" spans="1:11" x14ac:dyDescent="0.35">
      <c r="A65" s="152" t="s">
        <v>135</v>
      </c>
      <c r="B65" s="152"/>
      <c r="C65" s="153">
        <v>1</v>
      </c>
      <c r="D65" s="154"/>
      <c r="E65" s="154" t="s">
        <v>134</v>
      </c>
      <c r="F65" s="154"/>
      <c r="G65" s="153">
        <v>1</v>
      </c>
      <c r="H65" s="154"/>
      <c r="I65" s="73"/>
      <c r="J65" s="73"/>
      <c r="K65" s="88"/>
    </row>
    <row r="66" spans="1:11" ht="16" thickBot="1" x14ac:dyDescent="0.4">
      <c r="A66" s="152"/>
      <c r="B66" s="152"/>
      <c r="C66" s="154"/>
      <c r="D66" s="154"/>
      <c r="E66" s="154"/>
      <c r="F66" s="154"/>
      <c r="G66" s="154"/>
      <c r="H66" s="154"/>
      <c r="I66" s="73"/>
      <c r="J66" s="73"/>
      <c r="K66" s="88"/>
    </row>
    <row r="67" spans="1:11" ht="31.5" hidden="1" thickBot="1" x14ac:dyDescent="0.4">
      <c r="A67" s="149" t="s">
        <v>56</v>
      </c>
      <c r="B67" s="149"/>
      <c r="C67" s="129" t="s">
        <v>252</v>
      </c>
      <c r="D67" s="129" t="s">
        <v>133</v>
      </c>
      <c r="E67" s="149" t="s">
        <v>135</v>
      </c>
      <c r="F67" s="149"/>
      <c r="G67" s="149" t="s">
        <v>134</v>
      </c>
      <c r="H67" s="149"/>
      <c r="I67" s="60" t="s">
        <v>253</v>
      </c>
      <c r="J67" s="89"/>
      <c r="K67" s="90">
        <f ca="1">H63*25%</f>
        <v>4.5</v>
      </c>
    </row>
    <row r="68" spans="1:11" ht="16" hidden="1" thickBot="1" x14ac:dyDescent="0.4">
      <c r="A68" s="149" t="s">
        <v>254</v>
      </c>
      <c r="B68" s="149"/>
      <c r="C68" s="91">
        <f ca="1">K69</f>
        <v>18</v>
      </c>
      <c r="D68" s="130">
        <f ca="1">((100/H63)*C68)/100</f>
        <v>1</v>
      </c>
      <c r="E68" s="150" t="str">
        <f>(IF(C64=I63,"100%",IF(C64=I64,"100%",(((C69/H63*10)+(40/(D63+F63+H63)*C70)+(7.5/(H63)*C71)+(7.5/(H63)*C72)+(10/H63*C73)+(10/H63*C74)+(5/H63*C75)+(5/H63*C76)+(5/H63*C77))/100))))</f>
        <v>100%</v>
      </c>
      <c r="F68" s="150"/>
      <c r="G68" s="150">
        <f ca="1">((((C68/H63)*20)+((C69/H63)*25)+(30/(H63+F63+D63)*C70)+(5/H63*C71)+(5/H63*C72)+(5/H63*C73)+(5/H63*C74)+(0/H63*C75)+(0/H63*C76)+(5/H63*C77))/100)</f>
        <v>1</v>
      </c>
      <c r="H68" s="150"/>
      <c r="I68" s="60" t="s">
        <v>154</v>
      </c>
      <c r="J68" s="93"/>
      <c r="K68" s="96">
        <f ca="1">H63*50%</f>
        <v>9</v>
      </c>
    </row>
    <row r="69" spans="1:11" ht="16" hidden="1" thickBot="1" x14ac:dyDescent="0.4">
      <c r="A69" s="149" t="s">
        <v>57</v>
      </c>
      <c r="B69" s="149"/>
      <c r="C69" s="92">
        <f ca="1">K77</f>
        <v>18</v>
      </c>
      <c r="D69" s="130">
        <f ca="1">((100/H63)*C69)/100</f>
        <v>1</v>
      </c>
      <c r="E69" s="150"/>
      <c r="F69" s="150"/>
      <c r="G69" s="150"/>
      <c r="H69" s="150"/>
      <c r="I69" s="60" t="s">
        <v>155</v>
      </c>
      <c r="J69" s="93"/>
      <c r="K69" s="96">
        <f ca="1">H63</f>
        <v>18</v>
      </c>
    </row>
    <row r="70" spans="1:11" ht="15.75" hidden="1" customHeight="1" x14ac:dyDescent="0.4">
      <c r="A70" s="151" t="s">
        <v>255</v>
      </c>
      <c r="B70" s="151"/>
      <c r="C70" s="92">
        <f ca="1">D63+F63+H63</f>
        <v>19</v>
      </c>
      <c r="D70" s="130">
        <f ca="1">((100/(D63+F63+H63))*C70)/100</f>
        <v>1</v>
      </c>
      <c r="E70" s="150"/>
      <c r="F70" s="150"/>
      <c r="G70" s="150"/>
      <c r="H70" s="150"/>
      <c r="I70" s="60" t="s">
        <v>156</v>
      </c>
      <c r="J70" s="93"/>
      <c r="K70" s="97">
        <f ca="1">(IF(B63=0,H63/4,(H63/(B63+4))))</f>
        <v>4.5</v>
      </c>
    </row>
    <row r="71" spans="1:11" ht="15.75" hidden="1" customHeight="1" x14ac:dyDescent="0.4">
      <c r="A71" s="149" t="s">
        <v>256</v>
      </c>
      <c r="B71" s="149" t="s">
        <v>257</v>
      </c>
      <c r="C71" s="91">
        <v>18</v>
      </c>
      <c r="D71" s="130">
        <f ca="1">((100/H63)*C71)/100</f>
        <v>1</v>
      </c>
      <c r="E71" s="150"/>
      <c r="F71" s="150"/>
      <c r="G71" s="150"/>
      <c r="H71" s="150"/>
      <c r="I71" s="60" t="s">
        <v>157</v>
      </c>
      <c r="J71" s="93"/>
      <c r="K71" s="97">
        <f ca="1">(IF(B63=0,H63/4+K70,(H63/(B63+4)+K70)))</f>
        <v>9</v>
      </c>
    </row>
    <row r="72" spans="1:11" ht="15.75" hidden="1" customHeight="1" x14ac:dyDescent="0.4">
      <c r="A72" s="149" t="s">
        <v>258</v>
      </c>
      <c r="B72" s="149" t="s">
        <v>257</v>
      </c>
      <c r="C72" s="91">
        <v>18</v>
      </c>
      <c r="D72" s="130">
        <f ca="1">((100/H63)*C72)/100</f>
        <v>1</v>
      </c>
      <c r="E72" s="150"/>
      <c r="F72" s="150"/>
      <c r="G72" s="150"/>
      <c r="H72" s="150"/>
      <c r="I72" s="60" t="s">
        <v>259</v>
      </c>
      <c r="J72" s="98"/>
      <c r="K72" s="97">
        <f>(IF(B63=0,0,(H63/(B63+4)+K71)))</f>
        <v>0</v>
      </c>
    </row>
    <row r="73" spans="1:11" ht="15" hidden="1" customHeight="1" x14ac:dyDescent="0.4">
      <c r="A73" s="151" t="s">
        <v>260</v>
      </c>
      <c r="B73" s="151" t="s">
        <v>261</v>
      </c>
      <c r="C73" s="91">
        <v>18</v>
      </c>
      <c r="D73" s="130">
        <f ca="1">((100/(H63))*C73)/100</f>
        <v>1</v>
      </c>
      <c r="E73" s="150"/>
      <c r="F73" s="150"/>
      <c r="G73" s="150"/>
      <c r="H73" s="150"/>
      <c r="I73" s="60" t="s">
        <v>262</v>
      </c>
      <c r="J73" s="98"/>
      <c r="K73" s="97">
        <f>(IF(B63&gt;1,(H63/(B63+4)+K72),0))</f>
        <v>0</v>
      </c>
    </row>
    <row r="74" spans="1:11" ht="15.75" hidden="1" customHeight="1" x14ac:dyDescent="0.4">
      <c r="A74" s="149" t="s">
        <v>263</v>
      </c>
      <c r="B74" s="149" t="s">
        <v>263</v>
      </c>
      <c r="C74" s="91">
        <v>18</v>
      </c>
      <c r="D74" s="130">
        <f ca="1">((100/H63)*C74)/100</f>
        <v>1</v>
      </c>
      <c r="E74" s="150"/>
      <c r="F74" s="150"/>
      <c r="G74" s="150"/>
      <c r="H74" s="150"/>
      <c r="I74" s="60" t="s">
        <v>264</v>
      </c>
      <c r="J74" s="99"/>
      <c r="K74" s="100">
        <f>(IF(B63&gt;2,(H63/(B63+4)+K73),0))</f>
        <v>0</v>
      </c>
    </row>
    <row r="75" spans="1:11" ht="15.75" hidden="1" customHeight="1" x14ac:dyDescent="0.4">
      <c r="A75" s="149" t="s">
        <v>265</v>
      </c>
      <c r="B75" s="149"/>
      <c r="C75" s="91">
        <v>18</v>
      </c>
      <c r="D75" s="130">
        <f ca="1">((100/H63)*C75)/100</f>
        <v>1</v>
      </c>
      <c r="E75" s="150"/>
      <c r="F75" s="150"/>
      <c r="G75" s="150"/>
      <c r="H75" s="150"/>
      <c r="I75" s="60" t="s">
        <v>266</v>
      </c>
      <c r="J75" s="101"/>
      <c r="K75" s="102">
        <f>(IF(B63&gt;3,(H63/(B63+4)+K74),0))</f>
        <v>0</v>
      </c>
    </row>
    <row r="76" spans="1:11" ht="15.75" hidden="1" customHeight="1" x14ac:dyDescent="0.4">
      <c r="A76" s="149" t="s">
        <v>267</v>
      </c>
      <c r="B76" s="149" t="s">
        <v>267</v>
      </c>
      <c r="C76" s="91">
        <v>18</v>
      </c>
      <c r="D76" s="130">
        <f ca="1">((100/(H63))*C76)/100</f>
        <v>1</v>
      </c>
      <c r="E76" s="150"/>
      <c r="F76" s="150"/>
      <c r="G76" s="150"/>
      <c r="H76" s="150"/>
      <c r="I76" s="60" t="s">
        <v>158</v>
      </c>
      <c r="J76" s="93"/>
      <c r="K76" s="97">
        <f ca="1">(IF(B63=0,H63/4+K71,(H63/(B63+4)+K71+MAX(0,K72-K71)+MAX(0,K73-K72)+MAX(0,K74-K73)+MAX(0,K75-K74))))</f>
        <v>13.5</v>
      </c>
    </row>
    <row r="77" spans="1:11" ht="16" hidden="1" thickBot="1" x14ac:dyDescent="0.4">
      <c r="A77" s="149" t="s">
        <v>268</v>
      </c>
      <c r="B77" s="149"/>
      <c r="C77" s="91">
        <v>18</v>
      </c>
      <c r="D77" s="130">
        <f ca="1">((100/(H63))*C77)/100</f>
        <v>1</v>
      </c>
      <c r="E77" s="150"/>
      <c r="F77" s="150"/>
      <c r="G77" s="150"/>
      <c r="H77" s="150"/>
      <c r="I77" s="74" t="s">
        <v>159</v>
      </c>
      <c r="J77" s="95"/>
      <c r="K77" s="103">
        <f ca="1">(IF(B63=0,H63/4+K76,(H63/(B63+4)+K76)))</f>
        <v>18</v>
      </c>
    </row>
    <row r="78" spans="1:11" ht="15.75" customHeight="1" x14ac:dyDescent="0.35">
      <c r="A78" s="155" t="s">
        <v>250</v>
      </c>
      <c r="B78" s="155"/>
      <c r="C78" s="185" t="s">
        <v>284</v>
      </c>
      <c r="D78" s="185"/>
      <c r="E78" s="185"/>
      <c r="F78" s="185"/>
      <c r="G78" s="185"/>
      <c r="H78" s="185"/>
      <c r="I78" s="72" t="str">
        <f ca="1">(IF(C83=0,"Work not yet Started.",IF(D83=25%,"Piling work in process",IF(D83=50%,"Excavation work in process",IF(D83=100%,"Excavation work completed, ","0")))&amp;(IF(C84=0%,"",IF(C84=K85,"Footing work is process",IF(C84=K86,"Footing work Completed",IF(C84=K87,"1st Basement Completed",IF(C84=K88,"1st &amp; 2nd Basement Completed",IF(C84=K89,"1st to 3rd Basement Completed",IF(C84=K90,"1st to 4th Basement Completed",IF(C84=K91,"Plinth work is process",IF(C84=K92,"Plinth work completed","0")))))))))))&amp;(IF(C85&gt;0,", RCC upto "&amp;C85&amp;" Slab completed",""))&amp;(IF(C86&gt;0,", Brickwork upto "&amp;C86&amp;" Floor completed"," "))&amp;(IF(C87&gt;0,", Internal Plaster upto "&amp;C87&amp;" Floor completed"," "))&amp;(IF(C88&gt;0,", External Plaster upto "&amp;C88&amp;" Floor completed"," "))&amp;(IF(C89&gt;0,", Flooring upto "&amp;C89&amp;" Floor completed"," "))&amp;(IF(C90&gt;0,", Painting upto "&amp;C90&amp;" Floor completed"," "))&amp;(IF(C91&gt;0,", Finishing upto "&amp;C91&amp;" Floor completed"," ")))</f>
        <v>Excavation work completed, Plinth work completed, RCC upto 18 Slab completed, Brickwork upto 17 Floor completed, Internal Plaster upto 17 Floor completed, External Plaster upto 17 Floor completed, Flooring upto 17 Floor completed, Painting upto 17 Floor completed, Finishing upto 17 Floor completed</v>
      </c>
      <c r="J78" s="72"/>
      <c r="K78" s="87"/>
    </row>
    <row r="79" spans="1:11" x14ac:dyDescent="0.35">
      <c r="A79" s="131" t="s">
        <v>112</v>
      </c>
      <c r="B79" s="131">
        <v>0</v>
      </c>
      <c r="C79" s="131" t="s">
        <v>114</v>
      </c>
      <c r="D79" s="131">
        <v>1</v>
      </c>
      <c r="E79" s="131" t="s">
        <v>113</v>
      </c>
      <c r="F79" s="131">
        <v>0</v>
      </c>
      <c r="G79" s="131" t="s">
        <v>129</v>
      </c>
      <c r="H79" s="131">
        <f ca="1">--TRIM(RIGHT(SUBSTITUTE(LEFT(C78,_xlfn.AGGREGATE(16,6,FIND({0,1,2,3,4,5,6,7,8,9},C78,ROW(INDIRECT("1:"&amp;LEN(C78)))),1))," ",REPT(" ",LEN(C78))),LEN(C78)))</f>
        <v>17</v>
      </c>
      <c r="I79" s="73" t="s">
        <v>251</v>
      </c>
      <c r="J79" s="73"/>
      <c r="K79" s="88"/>
    </row>
    <row r="80" spans="1:11" x14ac:dyDescent="0.35">
      <c r="A80" s="147" t="s">
        <v>141</v>
      </c>
      <c r="B80" s="147"/>
      <c r="C80" s="185" t="str">
        <f>I79</f>
        <v>All work Completed. Provide OC.</v>
      </c>
      <c r="D80" s="185"/>
      <c r="E80" s="185"/>
      <c r="F80" s="185"/>
      <c r="G80" s="185"/>
      <c r="H80" s="185"/>
      <c r="I80" s="73" t="s">
        <v>163</v>
      </c>
      <c r="J80" s="73"/>
      <c r="K80" s="88"/>
    </row>
    <row r="81" spans="1:11" s="128" customFormat="1" ht="30.75" customHeight="1" thickBot="1" x14ac:dyDescent="0.4">
      <c r="A81" s="152" t="s">
        <v>135</v>
      </c>
      <c r="B81" s="152"/>
      <c r="C81" s="153">
        <v>1</v>
      </c>
      <c r="D81" s="154"/>
      <c r="E81" s="154" t="s">
        <v>134</v>
      </c>
      <c r="F81" s="154"/>
      <c r="G81" s="153">
        <v>1</v>
      </c>
      <c r="H81" s="154"/>
      <c r="I81" s="126"/>
      <c r="J81" s="126"/>
      <c r="K81" s="127"/>
    </row>
    <row r="82" spans="1:11" ht="31.5" hidden="1" thickBot="1" x14ac:dyDescent="0.4">
      <c r="A82" s="149" t="s">
        <v>56</v>
      </c>
      <c r="B82" s="149"/>
      <c r="C82" s="129" t="s">
        <v>252</v>
      </c>
      <c r="D82" s="129" t="s">
        <v>133</v>
      </c>
      <c r="E82" s="149" t="s">
        <v>135</v>
      </c>
      <c r="F82" s="149"/>
      <c r="G82" s="149" t="s">
        <v>134</v>
      </c>
      <c r="H82" s="149"/>
      <c r="I82" s="60" t="s">
        <v>253</v>
      </c>
      <c r="J82" s="89"/>
      <c r="K82" s="90">
        <f ca="1">H79*25%</f>
        <v>4.25</v>
      </c>
    </row>
    <row r="83" spans="1:11" ht="16" hidden="1" thickBot="1" x14ac:dyDescent="0.4">
      <c r="A83" s="149" t="s">
        <v>254</v>
      </c>
      <c r="B83" s="149"/>
      <c r="C83" s="91">
        <f ca="1">K84</f>
        <v>17</v>
      </c>
      <c r="D83" s="130">
        <f ca="1">((100/H79)*C83)/100</f>
        <v>1</v>
      </c>
      <c r="E83" s="150" t="str">
        <f>(IF(C80=I79,"100%",IF(C80=I80,"100%",(((C84/H79*10)+(40/(D79+F79+H79)*C85)+(7.5/(H79)*C86)+(7.5/(H79)*C87)+(10/H79*C88)+(10/H79*C89)+(5/H79*C90)+(5/H79*C91)+(5/H79*C92))/100))))</f>
        <v>100%</v>
      </c>
      <c r="F83" s="150"/>
      <c r="G83" s="150">
        <f ca="1">((((C83/H79)*20)+((C84/H79)*25)+(30/(H79+F79+D79)*C85)+(5/H79*C86)+(5/H79*C87)+(5/H79*C88)+(5/H79*C89)+(0/H79*C90)+(0/H79*C91)+(5/H79*C92))/100)</f>
        <v>1</v>
      </c>
      <c r="H83" s="150"/>
      <c r="I83" s="60" t="s">
        <v>154</v>
      </c>
      <c r="J83" s="93"/>
      <c r="K83" s="96">
        <f ca="1">H79*50%</f>
        <v>8.5</v>
      </c>
    </row>
    <row r="84" spans="1:11" ht="16" hidden="1" thickBot="1" x14ac:dyDescent="0.4">
      <c r="A84" s="149" t="s">
        <v>57</v>
      </c>
      <c r="B84" s="149"/>
      <c r="C84" s="92">
        <f ca="1">K92</f>
        <v>17</v>
      </c>
      <c r="D84" s="130">
        <f ca="1">((100/H79)*C84)/100</f>
        <v>1</v>
      </c>
      <c r="E84" s="150"/>
      <c r="F84" s="150"/>
      <c r="G84" s="150"/>
      <c r="H84" s="150"/>
      <c r="I84" s="60" t="s">
        <v>155</v>
      </c>
      <c r="J84" s="93"/>
      <c r="K84" s="96">
        <f ca="1">H79</f>
        <v>17</v>
      </c>
    </row>
    <row r="85" spans="1:11" ht="15.75" hidden="1" customHeight="1" x14ac:dyDescent="0.4">
      <c r="A85" s="151" t="s">
        <v>255</v>
      </c>
      <c r="B85" s="151"/>
      <c r="C85" s="92">
        <v>18</v>
      </c>
      <c r="D85" s="130">
        <f ca="1">((100/(D79+F79+H79))*C85)/100</f>
        <v>1</v>
      </c>
      <c r="E85" s="150"/>
      <c r="F85" s="150"/>
      <c r="G85" s="150"/>
      <c r="H85" s="150"/>
      <c r="I85" s="60" t="s">
        <v>156</v>
      </c>
      <c r="J85" s="93"/>
      <c r="K85" s="97">
        <f ca="1">(IF(B79=0,H79/4,(H79/(B79+4))))</f>
        <v>4.25</v>
      </c>
    </row>
    <row r="86" spans="1:11" ht="15.75" hidden="1" customHeight="1" x14ac:dyDescent="0.4">
      <c r="A86" s="149" t="s">
        <v>256</v>
      </c>
      <c r="B86" s="149" t="s">
        <v>257</v>
      </c>
      <c r="C86" s="91">
        <v>17</v>
      </c>
      <c r="D86" s="130">
        <f ca="1">((100/H79)*C86)/100</f>
        <v>1</v>
      </c>
      <c r="E86" s="150"/>
      <c r="F86" s="150"/>
      <c r="G86" s="150"/>
      <c r="H86" s="150"/>
      <c r="I86" s="60" t="s">
        <v>157</v>
      </c>
      <c r="J86" s="93"/>
      <c r="K86" s="97">
        <f ca="1">(IF(B79=0,H79/4+K85,(H79/(B79+4)+K85)))</f>
        <v>8.5</v>
      </c>
    </row>
    <row r="87" spans="1:11" ht="15.75" hidden="1" customHeight="1" x14ac:dyDescent="0.4">
      <c r="A87" s="149" t="s">
        <v>258</v>
      </c>
      <c r="B87" s="149" t="s">
        <v>257</v>
      </c>
      <c r="C87" s="91">
        <v>17</v>
      </c>
      <c r="D87" s="130">
        <f ca="1">((100/H79)*C87)/100</f>
        <v>1</v>
      </c>
      <c r="E87" s="150"/>
      <c r="F87" s="150"/>
      <c r="G87" s="150"/>
      <c r="H87" s="150"/>
      <c r="I87" s="60" t="s">
        <v>259</v>
      </c>
      <c r="J87" s="98"/>
      <c r="K87" s="97">
        <f>(IF(B79=0,0,(H79/(B79+4)+K86)))</f>
        <v>0</v>
      </c>
    </row>
    <row r="88" spans="1:11" ht="15" hidden="1" customHeight="1" x14ac:dyDescent="0.4">
      <c r="A88" s="151" t="s">
        <v>260</v>
      </c>
      <c r="B88" s="151" t="s">
        <v>261</v>
      </c>
      <c r="C88" s="91">
        <v>17</v>
      </c>
      <c r="D88" s="130">
        <f ca="1">((100/(H79))*C88)/100</f>
        <v>1</v>
      </c>
      <c r="E88" s="150"/>
      <c r="F88" s="150"/>
      <c r="G88" s="150"/>
      <c r="H88" s="150"/>
      <c r="I88" s="60" t="s">
        <v>262</v>
      </c>
      <c r="J88" s="98"/>
      <c r="K88" s="97">
        <f>(IF(B79&gt;1,(H79/(B79+4)+K87),0))</f>
        <v>0</v>
      </c>
    </row>
    <row r="89" spans="1:11" ht="15.75" hidden="1" customHeight="1" x14ac:dyDescent="0.4">
      <c r="A89" s="149" t="s">
        <v>263</v>
      </c>
      <c r="B89" s="149" t="s">
        <v>263</v>
      </c>
      <c r="C89" s="91">
        <v>17</v>
      </c>
      <c r="D89" s="130">
        <f ca="1">((100/H79)*C89)/100</f>
        <v>1</v>
      </c>
      <c r="E89" s="150"/>
      <c r="F89" s="150"/>
      <c r="G89" s="150"/>
      <c r="H89" s="150"/>
      <c r="I89" s="60" t="s">
        <v>264</v>
      </c>
      <c r="J89" s="99"/>
      <c r="K89" s="100">
        <f>(IF(B79&gt;2,(H79/(B79+4)+K88),0))</f>
        <v>0</v>
      </c>
    </row>
    <row r="90" spans="1:11" ht="15.75" hidden="1" customHeight="1" x14ac:dyDescent="0.4">
      <c r="A90" s="149" t="s">
        <v>265</v>
      </c>
      <c r="B90" s="149"/>
      <c r="C90" s="91">
        <v>17</v>
      </c>
      <c r="D90" s="130">
        <f ca="1">((100/H79)*C90)/100</f>
        <v>1</v>
      </c>
      <c r="E90" s="150"/>
      <c r="F90" s="150"/>
      <c r="G90" s="150"/>
      <c r="H90" s="150"/>
      <c r="I90" s="60" t="s">
        <v>266</v>
      </c>
      <c r="J90" s="101"/>
      <c r="K90" s="102">
        <f>(IF(B79&gt;3,(H79/(B79+4)+K89),0))</f>
        <v>0</v>
      </c>
    </row>
    <row r="91" spans="1:11" ht="15.75" hidden="1" customHeight="1" x14ac:dyDescent="0.4">
      <c r="A91" s="149" t="s">
        <v>267</v>
      </c>
      <c r="B91" s="149" t="s">
        <v>267</v>
      </c>
      <c r="C91" s="91">
        <v>17</v>
      </c>
      <c r="D91" s="130">
        <f ca="1">((100/(H79))*C91)/100</f>
        <v>1</v>
      </c>
      <c r="E91" s="150"/>
      <c r="F91" s="150"/>
      <c r="G91" s="150"/>
      <c r="H91" s="150"/>
      <c r="I91" s="60" t="s">
        <v>158</v>
      </c>
      <c r="J91" s="93"/>
      <c r="K91" s="97">
        <f ca="1">(IF(B79=0,H79/4+K86,(H79/(B79+4)+K86+MAX(0,K87-K86)+MAX(0,K88-K87)+MAX(0,K89-K88)+MAX(0,K90-K89))))</f>
        <v>12.75</v>
      </c>
    </row>
    <row r="92" spans="1:11" ht="16" hidden="1" thickBot="1" x14ac:dyDescent="0.4">
      <c r="A92" s="149" t="s">
        <v>268</v>
      </c>
      <c r="B92" s="149"/>
      <c r="C92" s="91">
        <v>17</v>
      </c>
      <c r="D92" s="130">
        <f ca="1">((100/(H79))*C92)/100</f>
        <v>1</v>
      </c>
      <c r="E92" s="150"/>
      <c r="F92" s="150"/>
      <c r="G92" s="150"/>
      <c r="H92" s="150"/>
      <c r="I92" s="74" t="s">
        <v>159</v>
      </c>
      <c r="J92" s="95"/>
      <c r="K92" s="103">
        <f ca="1">(IF(B79=0,H79/4+K91,(H79/(B79+4)+K91)))</f>
        <v>17</v>
      </c>
    </row>
    <row r="93" spans="1:11" ht="15.75" customHeight="1" x14ac:dyDescent="0.35">
      <c r="A93" s="155" t="s">
        <v>250</v>
      </c>
      <c r="B93" s="155"/>
      <c r="C93" s="185" t="s">
        <v>295</v>
      </c>
      <c r="D93" s="185"/>
      <c r="E93" s="185"/>
      <c r="F93" s="185"/>
      <c r="G93" s="185"/>
      <c r="H93" s="185"/>
      <c r="I93" s="72" t="str">
        <f ca="1">(IF(C97=0,"Work not yet Started.",IF(D97=25%,"Piling work in process",IF(D97=50%,"Excavation work in process",IF(D97=100%,"Excavation work completed, ","0")))&amp;(IF(C98=0%,"",IF(C98=K99,"Footing work is process",IF(C98=K100,"Footing work Completed",IF(C98=K101,"1st Basement Completed",IF(C98=K102,"1st &amp; 2nd Basement Completed",IF(C98=K103,"1st to 3rd Basement Completed",IF(C98=K104,"1st to 4th Basement Completed",IF(C98=K105,"Plinth work is process",IF(C98=K106,"Plinth work completed","0")))))))))))&amp;(IF(C99&gt;0,", RCC upto "&amp;C99&amp;" Slab completed",""))&amp;(IF(C100&gt;0,", Brickwork upto "&amp;C100&amp;" Floor completed"," "))&amp;(IF(C101&gt;0,", Internal Plaster upto "&amp;C101&amp;" Floor completed"," "))&amp;(IF(C102&gt;0,", External Plaster upto "&amp;C102&amp;" Floor completed"," "))&amp;(IF(C103&gt;0,", Flooring upto "&amp;C103&amp;" Floor completed"," "))&amp;(IF(C104&gt;0,", Painting upto "&amp;C104&amp;" Floor completed"," "))&amp;(IF(C105&gt;0,", Finishing upto "&amp;C105&amp;" Floor completed"," ")))</f>
        <v xml:space="preserve">Excavation work completed, Plinth work completed, RCC upto 18 Slab completed, Brickwork upto 17 Floor completed, Internal Plaster upto 17 Floor completed, External Plaster upto 17 Floor completed, Flooring upto 15 Floor completed, Painting upto 12 Floor completed </v>
      </c>
      <c r="J93" s="72"/>
      <c r="K93" s="87"/>
    </row>
    <row r="94" spans="1:11" x14ac:dyDescent="0.35">
      <c r="A94" s="131" t="s">
        <v>112</v>
      </c>
      <c r="B94" s="131">
        <v>0</v>
      </c>
      <c r="C94" s="131" t="s">
        <v>114</v>
      </c>
      <c r="D94" s="131">
        <v>1</v>
      </c>
      <c r="E94" s="131" t="s">
        <v>113</v>
      </c>
      <c r="F94" s="131">
        <v>0</v>
      </c>
      <c r="G94" s="131" t="s">
        <v>129</v>
      </c>
      <c r="H94" s="131">
        <f ca="1">--TRIM(RIGHT(SUBSTITUTE(LEFT(C93,_xlfn.AGGREGATE(16,6,FIND({0,1,2,3,4,5,6,7,8,9},C93,ROW(INDIRECT("1:"&amp;LEN(C93)))),1))," ",REPT(" ",LEN(C93))),LEN(C93)))</f>
        <v>17</v>
      </c>
      <c r="I94" s="73" t="s">
        <v>251</v>
      </c>
      <c r="J94" s="73"/>
      <c r="K94" s="88"/>
    </row>
    <row r="95" spans="1:11" ht="62.25" customHeight="1" x14ac:dyDescent="0.35">
      <c r="A95" s="147" t="s">
        <v>141</v>
      </c>
      <c r="B95" s="147"/>
      <c r="C95" s="185" t="str">
        <f ca="1">I93</f>
        <v xml:space="preserve">Excavation work completed, Plinth work completed, RCC upto 18 Slab completed, Brickwork upto 17 Floor completed, Internal Plaster upto 17 Floor completed, External Plaster upto 17 Floor completed, Flooring upto 15 Floor completed, Painting upto 12 Floor completed </v>
      </c>
      <c r="D95" s="185"/>
      <c r="E95" s="185"/>
      <c r="F95" s="185"/>
      <c r="G95" s="185"/>
      <c r="H95" s="185"/>
      <c r="I95" s="73" t="s">
        <v>163</v>
      </c>
      <c r="J95" s="73"/>
      <c r="K95" s="88"/>
    </row>
    <row r="96" spans="1:11" ht="31" x14ac:dyDescent="0.35">
      <c r="A96" s="186" t="s">
        <v>56</v>
      </c>
      <c r="B96" s="149"/>
      <c r="C96" s="119" t="s">
        <v>252</v>
      </c>
      <c r="D96" s="119" t="s">
        <v>133</v>
      </c>
      <c r="E96" s="149" t="s">
        <v>135</v>
      </c>
      <c r="F96" s="149"/>
      <c r="G96" s="149" t="s">
        <v>134</v>
      </c>
      <c r="H96" s="187"/>
      <c r="I96" s="60" t="s">
        <v>253</v>
      </c>
      <c r="J96" s="89"/>
      <c r="K96" s="90">
        <f ca="1">H94*25%</f>
        <v>4.25</v>
      </c>
    </row>
    <row r="97" spans="1:11" x14ac:dyDescent="0.35">
      <c r="A97" s="186" t="s">
        <v>254</v>
      </c>
      <c r="B97" s="149"/>
      <c r="C97" s="91">
        <f ca="1">K98</f>
        <v>17</v>
      </c>
      <c r="D97" s="120">
        <f ca="1">((100/H94)*C97)/100</f>
        <v>1</v>
      </c>
      <c r="E97" s="150">
        <f ca="1">(IF(C95=I94,"100%",IF(C95=I95,"100%",(((C98/H94*10)+(40/(D94+F94+H94)*C99)+(7.5/(H94)*C100)+(7.5/(H94)*C101)+(10/H94*C102)+(10/H94*C103)+(5/H94*C104)+(5/H94*C105)+(5/H94*C106))/100))))</f>
        <v>0.87352941176470589</v>
      </c>
      <c r="F97" s="150"/>
      <c r="G97" s="150">
        <f ca="1">((((C97/H94)*20)+((C98/H94)*25)+(30/(H94+F94+D94)*C99)+(5/H94*C100)+(5/H94*C101)+(5/H94*C102)+(5/H94*C103)+(0/H94*C104)+(0/H94*C105)+(5/H94*C106))/100)</f>
        <v>0.94411764705882351</v>
      </c>
      <c r="H97" s="189"/>
      <c r="I97" s="60" t="s">
        <v>154</v>
      </c>
      <c r="J97" s="93"/>
      <c r="K97" s="96">
        <f ca="1">H94*50%</f>
        <v>8.5</v>
      </c>
    </row>
    <row r="98" spans="1:11" x14ac:dyDescent="0.35">
      <c r="A98" s="186" t="s">
        <v>57</v>
      </c>
      <c r="B98" s="149"/>
      <c r="C98" s="92">
        <f ca="1">K106</f>
        <v>17</v>
      </c>
      <c r="D98" s="120">
        <f ca="1">((100/H94)*C98)/100</f>
        <v>1</v>
      </c>
      <c r="E98" s="150"/>
      <c r="F98" s="150"/>
      <c r="G98" s="150"/>
      <c r="H98" s="189"/>
      <c r="I98" s="60" t="s">
        <v>155</v>
      </c>
      <c r="J98" s="93"/>
      <c r="K98" s="96">
        <f ca="1">H94</f>
        <v>17</v>
      </c>
    </row>
    <row r="99" spans="1:11" ht="15.75" customHeight="1" x14ac:dyDescent="0.35">
      <c r="A99" s="191" t="s">
        <v>255</v>
      </c>
      <c r="B99" s="151"/>
      <c r="C99" s="92">
        <v>18</v>
      </c>
      <c r="D99" s="120">
        <f ca="1">((100/(D94+F94+H94))*C99)/100</f>
        <v>1</v>
      </c>
      <c r="E99" s="150"/>
      <c r="F99" s="150"/>
      <c r="G99" s="150"/>
      <c r="H99" s="189"/>
      <c r="I99" s="60" t="s">
        <v>156</v>
      </c>
      <c r="J99" s="93"/>
      <c r="K99" s="97">
        <f ca="1">(IF(B94=0,H94/4,(H94/(B94+4))))</f>
        <v>4.25</v>
      </c>
    </row>
    <row r="100" spans="1:11" ht="15.75" customHeight="1" x14ac:dyDescent="0.35">
      <c r="A100" s="186" t="s">
        <v>256</v>
      </c>
      <c r="B100" s="149" t="s">
        <v>257</v>
      </c>
      <c r="C100" s="91">
        <v>17</v>
      </c>
      <c r="D100" s="120">
        <f ca="1">((100/H94)*C100)/100</f>
        <v>1</v>
      </c>
      <c r="E100" s="150"/>
      <c r="F100" s="150"/>
      <c r="G100" s="150"/>
      <c r="H100" s="189"/>
      <c r="I100" s="60" t="s">
        <v>157</v>
      </c>
      <c r="J100" s="93"/>
      <c r="K100" s="97">
        <f ca="1">(IF(B94=0,H94/4+K99,(H94/(B94+4)+K99)))</f>
        <v>8.5</v>
      </c>
    </row>
    <row r="101" spans="1:11" ht="15.75" customHeight="1" x14ac:dyDescent="0.35">
      <c r="A101" s="186" t="s">
        <v>258</v>
      </c>
      <c r="B101" s="149" t="s">
        <v>257</v>
      </c>
      <c r="C101" s="91">
        <v>17</v>
      </c>
      <c r="D101" s="120">
        <f ca="1">((100/H94)*C101)/100</f>
        <v>1</v>
      </c>
      <c r="E101" s="150"/>
      <c r="F101" s="150"/>
      <c r="G101" s="150"/>
      <c r="H101" s="189"/>
      <c r="I101" s="60" t="s">
        <v>259</v>
      </c>
      <c r="J101" s="98"/>
      <c r="K101" s="97">
        <f>(IF(B94=0,0,(H94/(B94+4)+K100)))</f>
        <v>0</v>
      </c>
    </row>
    <row r="102" spans="1:11" ht="15" customHeight="1" x14ac:dyDescent="0.35">
      <c r="A102" s="191" t="s">
        <v>260</v>
      </c>
      <c r="B102" s="151" t="s">
        <v>261</v>
      </c>
      <c r="C102" s="91">
        <v>17</v>
      </c>
      <c r="D102" s="120">
        <f ca="1">((100/(H94))*C102)/100</f>
        <v>1</v>
      </c>
      <c r="E102" s="150"/>
      <c r="F102" s="150"/>
      <c r="G102" s="150"/>
      <c r="H102" s="189"/>
      <c r="I102" s="60" t="s">
        <v>262</v>
      </c>
      <c r="J102" s="98"/>
      <c r="K102" s="97">
        <f>(IF(B94&gt;1,(H94/(B94+4)+K101),0))</f>
        <v>0</v>
      </c>
    </row>
    <row r="103" spans="1:11" ht="15.75" customHeight="1" x14ac:dyDescent="0.35">
      <c r="A103" s="186" t="s">
        <v>263</v>
      </c>
      <c r="B103" s="149" t="s">
        <v>263</v>
      </c>
      <c r="C103" s="91">
        <v>15</v>
      </c>
      <c r="D103" s="120">
        <f ca="1">((100/H94)*C103)/100</f>
        <v>0.88235294117647067</v>
      </c>
      <c r="E103" s="150"/>
      <c r="F103" s="150"/>
      <c r="G103" s="150"/>
      <c r="H103" s="189"/>
      <c r="I103" s="60" t="s">
        <v>264</v>
      </c>
      <c r="J103" s="99"/>
      <c r="K103" s="100">
        <f>(IF(B94&gt;2,(H94/(B94+4)+K102),0))</f>
        <v>0</v>
      </c>
    </row>
    <row r="104" spans="1:11" ht="15.75" customHeight="1" x14ac:dyDescent="0.35">
      <c r="A104" s="186" t="s">
        <v>265</v>
      </c>
      <c r="B104" s="149"/>
      <c r="C104" s="91">
        <v>12</v>
      </c>
      <c r="D104" s="120">
        <f ca="1">((100/H94)*C104)/100</f>
        <v>0.70588235294117652</v>
      </c>
      <c r="E104" s="150"/>
      <c r="F104" s="150"/>
      <c r="G104" s="150"/>
      <c r="H104" s="189"/>
      <c r="I104" s="60" t="s">
        <v>266</v>
      </c>
      <c r="J104" s="101"/>
      <c r="K104" s="102">
        <f>(IF(B94&gt;3,(H94/(B94+4)+K103),0))</f>
        <v>0</v>
      </c>
    </row>
    <row r="105" spans="1:11" ht="15.75" customHeight="1" x14ac:dyDescent="0.35">
      <c r="A105" s="186" t="s">
        <v>267</v>
      </c>
      <c r="B105" s="149" t="s">
        <v>267</v>
      </c>
      <c r="C105" s="91">
        <v>0</v>
      </c>
      <c r="D105" s="120">
        <f ca="1">((100/(H94))*C105)/100</f>
        <v>0</v>
      </c>
      <c r="E105" s="150"/>
      <c r="F105" s="150"/>
      <c r="G105" s="150"/>
      <c r="H105" s="189"/>
      <c r="I105" s="60" t="s">
        <v>158</v>
      </c>
      <c r="J105" s="93"/>
      <c r="K105" s="97">
        <f ca="1">(IF(B94=0,H94/4+K100,(H94/(B94+4)+K100+MAX(0,K101-K100)+MAX(0,K102-K101)+MAX(0,K103-K102)+MAX(0,K104-K103))))</f>
        <v>12.75</v>
      </c>
    </row>
    <row r="106" spans="1:11" ht="16" thickBot="1" x14ac:dyDescent="0.4">
      <c r="A106" s="192" t="s">
        <v>268</v>
      </c>
      <c r="B106" s="193"/>
      <c r="C106" s="94">
        <v>0</v>
      </c>
      <c r="D106" s="121">
        <f ca="1">((100/(H94))*C106)/100</f>
        <v>0</v>
      </c>
      <c r="E106" s="188"/>
      <c r="F106" s="188"/>
      <c r="G106" s="188"/>
      <c r="H106" s="190"/>
      <c r="I106" s="74" t="s">
        <v>159</v>
      </c>
      <c r="J106" s="95"/>
      <c r="K106" s="103">
        <f ca="1">(IF(B94=0,H94/4+K105,(H94/(B94+4)+K105)))</f>
        <v>17</v>
      </c>
    </row>
    <row r="107" spans="1:11" x14ac:dyDescent="0.35">
      <c r="A107" s="184" t="s">
        <v>220</v>
      </c>
      <c r="B107" s="184"/>
      <c r="C107" s="184"/>
      <c r="D107" s="184"/>
      <c r="E107" s="184"/>
      <c r="F107" s="184"/>
      <c r="G107" s="184"/>
      <c r="H107" s="184"/>
      <c r="I107" s="60"/>
      <c r="J107" s="93"/>
      <c r="K107" s="93"/>
    </row>
    <row r="108" spans="1:11" x14ac:dyDescent="0.35">
      <c r="A108" s="158" t="s">
        <v>63</v>
      </c>
      <c r="B108" s="158"/>
      <c r="C108" s="158"/>
      <c r="D108" s="158"/>
      <c r="E108" s="158"/>
      <c r="F108" s="158"/>
      <c r="G108" s="158"/>
      <c r="H108" s="158"/>
      <c r="I108" s="60"/>
      <c r="J108" s="93"/>
      <c r="K108" s="93"/>
    </row>
    <row r="109" spans="1:11" x14ac:dyDescent="0.35">
      <c r="A109" s="147" t="s">
        <v>117</v>
      </c>
      <c r="B109" s="147"/>
      <c r="C109" s="185" t="s">
        <v>118</v>
      </c>
      <c r="D109" s="185"/>
      <c r="E109" s="185"/>
      <c r="F109" s="185"/>
      <c r="G109" s="185"/>
      <c r="H109" s="185"/>
    </row>
    <row r="110" spans="1:11" x14ac:dyDescent="0.35">
      <c r="A110" s="183" t="s">
        <v>64</v>
      </c>
      <c r="B110" s="183"/>
      <c r="C110" s="183"/>
      <c r="D110" s="183"/>
      <c r="E110" s="183"/>
      <c r="F110" s="183"/>
      <c r="G110" s="183"/>
      <c r="H110" s="183"/>
    </row>
    <row r="111" spans="1:11" ht="15" customHeight="1" x14ac:dyDescent="0.35">
      <c r="A111" s="158" t="s">
        <v>119</v>
      </c>
      <c r="B111" s="158"/>
      <c r="C111" s="158"/>
      <c r="D111" s="158"/>
      <c r="E111" s="158"/>
      <c r="F111" s="181">
        <v>5200</v>
      </c>
      <c r="G111" s="181"/>
      <c r="H111" s="181"/>
    </row>
    <row r="112" spans="1:11" hidden="1" x14ac:dyDescent="0.35">
      <c r="A112" s="158" t="s">
        <v>146</v>
      </c>
      <c r="B112" s="158"/>
      <c r="C112" s="158"/>
      <c r="D112" s="158"/>
      <c r="E112" s="158"/>
      <c r="F112" s="181" t="s">
        <v>32</v>
      </c>
      <c r="G112" s="181"/>
      <c r="H112" s="181"/>
    </row>
    <row r="113" spans="1:8" hidden="1" x14ac:dyDescent="0.35">
      <c r="A113" s="158" t="s">
        <v>147</v>
      </c>
      <c r="B113" s="158"/>
      <c r="C113" s="158"/>
      <c r="D113" s="158"/>
      <c r="E113" s="158"/>
      <c r="F113" s="181" t="s">
        <v>32</v>
      </c>
      <c r="G113" s="181"/>
      <c r="H113" s="181"/>
    </row>
    <row r="114" spans="1:8" s="104" customFormat="1" hidden="1" x14ac:dyDescent="0.3">
      <c r="A114" s="158" t="s">
        <v>148</v>
      </c>
      <c r="B114" s="158"/>
      <c r="C114" s="158"/>
      <c r="D114" s="158"/>
      <c r="E114" s="158"/>
      <c r="F114" s="181" t="s">
        <v>32</v>
      </c>
      <c r="G114" s="181"/>
      <c r="H114" s="181"/>
    </row>
    <row r="115" spans="1:8" s="104" customFormat="1" hidden="1" x14ac:dyDescent="0.3">
      <c r="A115" s="158" t="s">
        <v>149</v>
      </c>
      <c r="B115" s="158"/>
      <c r="C115" s="158"/>
      <c r="D115" s="158"/>
      <c r="E115" s="158"/>
      <c r="F115" s="181" t="s">
        <v>32</v>
      </c>
      <c r="G115" s="181"/>
      <c r="H115" s="181"/>
    </row>
    <row r="116" spans="1:8" s="104" customFormat="1" hidden="1" x14ac:dyDescent="0.3">
      <c r="A116" s="158" t="s">
        <v>150</v>
      </c>
      <c r="B116" s="158"/>
      <c r="C116" s="158"/>
      <c r="D116" s="158"/>
      <c r="E116" s="158"/>
      <c r="F116" s="181" t="s">
        <v>32</v>
      </c>
      <c r="G116" s="181"/>
      <c r="H116" s="181"/>
    </row>
    <row r="117" spans="1:8" s="104" customFormat="1" hidden="1" x14ac:dyDescent="0.3">
      <c r="A117" s="158" t="s">
        <v>151</v>
      </c>
      <c r="B117" s="158"/>
      <c r="C117" s="158"/>
      <c r="D117" s="158"/>
      <c r="E117" s="158"/>
      <c r="F117" s="181" t="s">
        <v>32</v>
      </c>
      <c r="G117" s="181"/>
      <c r="H117" s="181"/>
    </row>
    <row r="118" spans="1:8" s="104" customFormat="1" hidden="1" x14ac:dyDescent="0.3">
      <c r="A118" s="158" t="s">
        <v>152</v>
      </c>
      <c r="B118" s="158"/>
      <c r="C118" s="158"/>
      <c r="D118" s="158"/>
      <c r="E118" s="158"/>
      <c r="F118" s="181" t="s">
        <v>32</v>
      </c>
      <c r="G118" s="181"/>
      <c r="H118" s="181"/>
    </row>
    <row r="119" spans="1:8" s="104" customFormat="1" x14ac:dyDescent="0.3">
      <c r="A119" s="158" t="s">
        <v>249</v>
      </c>
      <c r="B119" s="158"/>
      <c r="C119" s="158"/>
      <c r="D119" s="158"/>
      <c r="E119" s="158"/>
      <c r="F119" s="181" t="s">
        <v>270</v>
      </c>
      <c r="G119" s="181"/>
      <c r="H119" s="181"/>
    </row>
    <row r="120" spans="1:8" s="104" customFormat="1" x14ac:dyDescent="0.3">
      <c r="A120" s="158" t="s">
        <v>65</v>
      </c>
      <c r="B120" s="158"/>
      <c r="C120" s="158"/>
      <c r="D120" s="158"/>
      <c r="E120" s="158"/>
      <c r="F120" s="182" t="s">
        <v>248</v>
      </c>
      <c r="G120" s="182"/>
      <c r="H120" s="182"/>
    </row>
    <row r="121" spans="1:8" s="104" customFormat="1" x14ac:dyDescent="0.3">
      <c r="A121" s="183" t="s">
        <v>66</v>
      </c>
      <c r="B121" s="183"/>
      <c r="C121" s="183"/>
      <c r="D121" s="183"/>
      <c r="E121" s="183"/>
      <c r="F121" s="181">
        <f>F111*0.8</f>
        <v>4160</v>
      </c>
      <c r="G121" s="181"/>
      <c r="H121" s="181"/>
    </row>
    <row r="122" spans="1:8" x14ac:dyDescent="0.35">
      <c r="A122" s="166" t="s">
        <v>111</v>
      </c>
      <c r="B122" s="166"/>
      <c r="C122" s="166"/>
      <c r="D122" s="166"/>
      <c r="E122" s="166"/>
      <c r="F122" s="166"/>
      <c r="G122" s="166"/>
      <c r="H122" s="166"/>
    </row>
    <row r="123" spans="1:8" s="106" customFormat="1" x14ac:dyDescent="0.35">
      <c r="A123" s="167" t="s">
        <v>67</v>
      </c>
      <c r="B123" s="167"/>
      <c r="C123" s="105" t="s">
        <v>123</v>
      </c>
      <c r="D123" s="168" t="s">
        <v>68</v>
      </c>
      <c r="E123" s="168"/>
      <c r="F123" s="167" t="s">
        <v>69</v>
      </c>
      <c r="G123" s="167"/>
      <c r="H123" s="167"/>
    </row>
    <row r="124" spans="1:8" s="108" customFormat="1" ht="15.75" hidden="1" customHeight="1" x14ac:dyDescent="0.35">
      <c r="A124" s="169"/>
      <c r="B124" s="169"/>
      <c r="C124" s="107"/>
      <c r="D124" s="170"/>
      <c r="E124" s="170"/>
      <c r="F124" s="180"/>
      <c r="G124" s="180"/>
      <c r="H124" s="180"/>
    </row>
    <row r="125" spans="1:8" s="108" customFormat="1" ht="15.75" hidden="1" customHeight="1" x14ac:dyDescent="0.35">
      <c r="A125" s="166" t="s">
        <v>111</v>
      </c>
      <c r="B125" s="166"/>
      <c r="C125" s="166"/>
      <c r="D125" s="166"/>
      <c r="E125" s="166"/>
      <c r="F125" s="166"/>
      <c r="G125" s="166"/>
      <c r="H125" s="166"/>
    </row>
    <row r="126" spans="1:8" s="108" customFormat="1" hidden="1" x14ac:dyDescent="0.35">
      <c r="A126" s="167" t="s">
        <v>67</v>
      </c>
      <c r="B126" s="167"/>
      <c r="C126" s="105" t="s">
        <v>123</v>
      </c>
      <c r="D126" s="168" t="s">
        <v>68</v>
      </c>
      <c r="E126" s="168"/>
      <c r="F126" s="167" t="s">
        <v>69</v>
      </c>
      <c r="G126" s="167"/>
      <c r="H126" s="167"/>
    </row>
    <row r="127" spans="1:8" s="108" customFormat="1" x14ac:dyDescent="0.35">
      <c r="A127" s="169" t="s">
        <v>206</v>
      </c>
      <c r="B127" s="169"/>
      <c r="C127" s="107">
        <f>COUNT(D138:D143)+COUNT(D145:D150)*5+COUNT(D152:D157)*6+COUNT(D159:D164)+COUNT(D166:D171)*2+COUNT(D173:D177)*2+COUNT(D180:D185)</f>
        <v>105</v>
      </c>
      <c r="D127" s="170">
        <f>SUM(D138:D143)+SUM(D145:D150)*5+SUM(D152:D157)*6+SUM(D159:D164)+SUM(D166:D171)*2+SUM(D173:D177)*2+SUM(D180:D185)</f>
        <v>53541.6795576</v>
      </c>
      <c r="E127" s="170"/>
      <c r="F127" s="170">
        <f>SUM(F138:F143)+SUM(F145:F150)*5+SUM(F152:F157)*6+SUM(F159:F164)+SUM(F166:F171)*2+SUM(F173:F177)*2+SUM(F180:F185)</f>
        <v>88590.815726399989</v>
      </c>
      <c r="G127" s="170"/>
      <c r="H127" s="170"/>
    </row>
    <row r="128" spans="1:8" s="108" customFormat="1" x14ac:dyDescent="0.35">
      <c r="A128" s="169" t="s">
        <v>279</v>
      </c>
      <c r="B128" s="169"/>
      <c r="C128" s="107">
        <f>COUNT(D189:D194)+COUNT(D196:D201)*7+COUNT(D203:D208)*7+COUNT(D210:D215,D217:D222)</f>
        <v>102</v>
      </c>
      <c r="D128" s="170">
        <f>SUM(D189:D194)+SUM(D196:D201)*7+SUM(D203:D208)*7+SUM(D210:D215,D217:D222)</f>
        <v>54736.59012120001</v>
      </c>
      <c r="E128" s="170"/>
      <c r="F128" s="170">
        <f>SUM(F189:F194)+SUM(F196:F201)*7+SUM(F203:F208)*7+SUM(F210:F215,F217:F222)</f>
        <v>93237.579091799998</v>
      </c>
      <c r="G128" s="170"/>
      <c r="H128" s="170"/>
    </row>
    <row r="129" spans="1:9" s="108" customFormat="1" x14ac:dyDescent="0.35">
      <c r="A129" s="175" t="s">
        <v>215</v>
      </c>
      <c r="B129" s="176"/>
      <c r="C129" s="107">
        <f>COUNT(D226:D229)+COUNT(D231:D234)*7+COUNT(D236:D239)*7+COUNT(D241:D244)+COUNT(D246:D249)</f>
        <v>68</v>
      </c>
      <c r="D129" s="170">
        <f>SUM(D226:D229)+SUM(D231:D234)*7+SUM(D236:D239)*7+SUM(D241:D244)+SUM(D246:D249)</f>
        <v>44921.777939999993</v>
      </c>
      <c r="E129" s="170"/>
      <c r="F129" s="177">
        <f>SUM(F226:F229)+SUM(F231:F234)*7+SUM(F236:F239)*7+SUM(F241:F244)+SUM(F246:F249)</f>
        <v>76604.906897999987</v>
      </c>
      <c r="G129" s="178"/>
      <c r="H129" s="179"/>
    </row>
    <row r="130" spans="1:9" s="108" customFormat="1" x14ac:dyDescent="0.35">
      <c r="A130" s="166" t="s">
        <v>71</v>
      </c>
      <c r="B130" s="166"/>
      <c r="C130" s="118">
        <f>SUM(C127:C129)</f>
        <v>275</v>
      </c>
      <c r="D130" s="171">
        <f>SUM(D127:D129)</f>
        <v>153200.04761880002</v>
      </c>
      <c r="E130" s="171"/>
      <c r="F130" s="172">
        <f>SUM(F127:F129)</f>
        <v>258433.30171619996</v>
      </c>
      <c r="G130" s="173"/>
      <c r="H130" s="174"/>
    </row>
    <row r="131" spans="1:9" s="108" customFormat="1" x14ac:dyDescent="0.35">
      <c r="A131" s="164" t="s">
        <v>72</v>
      </c>
      <c r="B131" s="164"/>
      <c r="C131" s="164"/>
      <c r="D131" s="164"/>
      <c r="E131" s="164"/>
      <c r="F131" s="164"/>
      <c r="G131" s="164"/>
      <c r="H131" s="164"/>
    </row>
    <row r="132" spans="1:9" s="108" customFormat="1" x14ac:dyDescent="0.35">
      <c r="A132" s="164" t="s">
        <v>73</v>
      </c>
      <c r="B132" s="164"/>
      <c r="C132" s="164"/>
      <c r="D132" s="164"/>
      <c r="E132" s="164"/>
      <c r="F132" s="164"/>
      <c r="G132" s="164"/>
      <c r="H132" s="164"/>
    </row>
    <row r="133" spans="1:9" s="106" customFormat="1" ht="49.5" customHeight="1" x14ac:dyDescent="0.35">
      <c r="A133" s="165" t="s">
        <v>120</v>
      </c>
      <c r="B133" s="165"/>
      <c r="C133" s="132" t="s">
        <v>74</v>
      </c>
      <c r="D133" s="132" t="s">
        <v>75</v>
      </c>
      <c r="E133" s="18" t="s">
        <v>76</v>
      </c>
      <c r="F133" s="132" t="s">
        <v>77</v>
      </c>
      <c r="G133" s="165" t="s">
        <v>78</v>
      </c>
      <c r="H133" s="165"/>
    </row>
    <row r="134" spans="1:9" x14ac:dyDescent="0.35">
      <c r="A134" s="135" t="s">
        <v>241</v>
      </c>
      <c r="B134" s="135"/>
      <c r="C134" s="135"/>
      <c r="D134" s="135"/>
      <c r="E134" s="135"/>
      <c r="F134" s="135"/>
      <c r="G134" s="135"/>
      <c r="H134" s="135"/>
    </row>
    <row r="135" spans="1:9" x14ac:dyDescent="0.35">
      <c r="A135" s="135" t="s">
        <v>206</v>
      </c>
      <c r="B135" s="135"/>
      <c r="C135" s="135"/>
      <c r="D135" s="135"/>
      <c r="E135" s="135"/>
      <c r="F135" s="135"/>
      <c r="G135" s="135"/>
      <c r="H135" s="135"/>
    </row>
    <row r="136" spans="1:9" ht="19.5" customHeight="1" x14ac:dyDescent="0.35">
      <c r="A136" s="135" t="s">
        <v>242</v>
      </c>
      <c r="B136" s="135"/>
      <c r="C136" s="135"/>
      <c r="D136" s="135"/>
      <c r="E136" s="135"/>
      <c r="F136" s="135"/>
      <c r="G136" s="135"/>
      <c r="H136" s="135"/>
    </row>
    <row r="137" spans="1:9" s="109" customFormat="1" x14ac:dyDescent="0.35">
      <c r="A137" s="135" t="s">
        <v>243</v>
      </c>
      <c r="B137" s="135"/>
      <c r="C137" s="135"/>
      <c r="D137" s="135"/>
      <c r="E137" s="135"/>
      <c r="F137" s="135"/>
      <c r="G137" s="135"/>
      <c r="H137" s="135"/>
    </row>
    <row r="138" spans="1:9" s="109" customFormat="1" ht="15.75" customHeight="1" x14ac:dyDescent="0.35">
      <c r="A138" s="134">
        <v>1</v>
      </c>
      <c r="B138" s="134"/>
      <c r="C138" s="133" t="s">
        <v>200</v>
      </c>
      <c r="D138" s="133">
        <f>((4.87*3.2+1.57*2.13+3.57*2.74+2.9*1.68+1.22*1.82+2.28*1.22+3.19*1.53)+(2*2.5+1.98*2.9+0.5*2+2*0.5+0.5*2+0.5*0.4))*10.764</f>
        <v>617.92464239999993</v>
      </c>
      <c r="E138" s="133">
        <f>(2.79*2.75)*10.764</f>
        <v>82.586789999999993</v>
      </c>
      <c r="F138" s="133">
        <f t="shared" ref="F138:F143" si="0">D138*1.5+E138</f>
        <v>1009.4737535999999</v>
      </c>
      <c r="G138" s="134" t="s">
        <v>198</v>
      </c>
      <c r="H138" s="134"/>
      <c r="I138" s="110">
        <f>5275000/F138</f>
        <v>5225.494948420619</v>
      </c>
    </row>
    <row r="139" spans="1:9" s="109" customFormat="1" x14ac:dyDescent="0.35">
      <c r="A139" s="134">
        <v>2</v>
      </c>
      <c r="B139" s="134"/>
      <c r="C139" s="133" t="s">
        <v>200</v>
      </c>
      <c r="D139" s="133">
        <f>((4.87*3.2+1.57*2.13+3.57*2.74+2.9*1.68+1.22*1.82+2.28*1.22+3.19*1.53)+(2*2.5+1.98*2.9+0.5*2+2*0.5+0.5*2+0.5*0.4))*10.764</f>
        <v>617.92464239999993</v>
      </c>
      <c r="E139" s="133">
        <f>(2.36*2.75)*10.764</f>
        <v>69.85835999999999</v>
      </c>
      <c r="F139" s="133">
        <f t="shared" si="0"/>
        <v>996.74532359999989</v>
      </c>
      <c r="G139" s="134"/>
      <c r="H139" s="134"/>
      <c r="I139" s="110">
        <f>5275000/F139</f>
        <v>5292.2244781124155</v>
      </c>
    </row>
    <row r="140" spans="1:9" s="109" customFormat="1" x14ac:dyDescent="0.35">
      <c r="A140" s="134">
        <v>3</v>
      </c>
      <c r="B140" s="134"/>
      <c r="C140" s="133" t="s">
        <v>199</v>
      </c>
      <c r="D140" s="133">
        <f>((3.95*2.9+1.5*2.13+3.35*2.74+0.9*0.7+1.22*1.82+1.82*1.22+0.91*0.91+0.91*1.7+0.5*1.22)+( 2.63*1.93)+(1.68*0.45+1.8*0.45+2.74*0.75))*10.764</f>
        <v>436.82249519999999</v>
      </c>
      <c r="E140" s="133">
        <f>(2.5*2.83)*10.764</f>
        <v>76.155299999999997</v>
      </c>
      <c r="F140" s="133">
        <f t="shared" si="0"/>
        <v>731.38904279999997</v>
      </c>
      <c r="G140" s="134"/>
      <c r="H140" s="134"/>
      <c r="I140" s="110">
        <f>3475000/F140</f>
        <v>4751.2333336257634</v>
      </c>
    </row>
    <row r="141" spans="1:9" s="109" customFormat="1" x14ac:dyDescent="0.35">
      <c r="A141" s="134">
        <v>4</v>
      </c>
      <c r="B141" s="134"/>
      <c r="C141" s="133" t="s">
        <v>199</v>
      </c>
      <c r="D141" s="133">
        <f>((3.95*2.9+1.5*2.13+3.35*2.74+0.9*0.7+1.22*1.82+1.82*1.22+0.91*0.91+0.91*1.7+0.5*1.22)+( 2.63*1.93)+(1.68*0.45+1.8*0.45+2.74*0.75))*10.764</f>
        <v>436.82249519999999</v>
      </c>
      <c r="E141" s="133">
        <f>(2.5*2.83)*10.764</f>
        <v>76.155299999999997</v>
      </c>
      <c r="F141" s="133">
        <f t="shared" si="0"/>
        <v>731.38904279999997</v>
      </c>
      <c r="G141" s="134"/>
      <c r="H141" s="134"/>
      <c r="I141" s="110">
        <f t="shared" ref="I141:I143" si="1">3475000/F141</f>
        <v>4751.2333336257634</v>
      </c>
    </row>
    <row r="142" spans="1:9" s="109" customFormat="1" x14ac:dyDescent="0.35">
      <c r="A142" s="134">
        <v>5</v>
      </c>
      <c r="B142" s="134"/>
      <c r="C142" s="133" t="s">
        <v>199</v>
      </c>
      <c r="D142" s="133">
        <f>((3.95*2.9+1.5*2.13+3.35*2.74+0.9*0.7+1.22*1.82+1.82*1.22+0.91*0.91+0.91*1.7+0.5*1.22)+( 2.63*1.93)+(1.68*0.45+1.8*0.45+2.74*0.75))*10.764</f>
        <v>436.82249519999999</v>
      </c>
      <c r="E142" s="133">
        <f>(3.4*2.5)*10.764</f>
        <v>91.494</v>
      </c>
      <c r="F142" s="133">
        <f t="shared" si="0"/>
        <v>746.72774279999999</v>
      </c>
      <c r="G142" s="134"/>
      <c r="H142" s="134"/>
      <c r="I142" s="110">
        <f t="shared" si="1"/>
        <v>4653.6371970991941</v>
      </c>
    </row>
    <row r="143" spans="1:9" s="109" customFormat="1" x14ac:dyDescent="0.35">
      <c r="A143" s="134">
        <v>6</v>
      </c>
      <c r="B143" s="134"/>
      <c r="C143" s="133" t="s">
        <v>199</v>
      </c>
      <c r="D143" s="133">
        <f>((3.95*2.9+1.5*2.13+3.35*2.74+0.9*0.7+1.22*1.82+1.82*1.22+0.91*0.91+0.91*1.7+0.5*1.22)+( 2.63*1.93)+(1.68*0.45+1.8*0.45+2.74*0.75))*10.764</f>
        <v>436.82249519999999</v>
      </c>
      <c r="E143" s="133">
        <f>(3.4*2.5)*10.764</f>
        <v>91.494</v>
      </c>
      <c r="F143" s="133">
        <f t="shared" si="0"/>
        <v>746.72774279999999</v>
      </c>
      <c r="G143" s="134"/>
      <c r="H143" s="134"/>
      <c r="I143" s="110">
        <f t="shared" si="1"/>
        <v>4653.6371970991941</v>
      </c>
    </row>
    <row r="144" spans="1:9" s="109" customFormat="1" x14ac:dyDescent="0.35">
      <c r="A144" s="135" t="s">
        <v>222</v>
      </c>
      <c r="B144" s="135"/>
      <c r="C144" s="135"/>
      <c r="D144" s="135"/>
      <c r="E144" s="135"/>
      <c r="F144" s="135"/>
      <c r="G144" s="135"/>
      <c r="H144" s="135"/>
    </row>
    <row r="145" spans="1:9" s="109" customFormat="1" x14ac:dyDescent="0.35">
      <c r="A145" s="134">
        <v>1</v>
      </c>
      <c r="B145" s="134"/>
      <c r="C145" s="77" t="s">
        <v>200</v>
      </c>
      <c r="D145" s="77">
        <f>((4.87*3.2+1.57*2.13+3.57*2.74+2.9*1.68+1.22*1.82+2.28*1.22+3.19*1.53)+(2*2.5+1.98*2.9+0.5*2+2*0.5+0.5*2+0.5*0.4)+(2.74+2.75)*0.75)*10.764</f>
        <v>662.24541239999996</v>
      </c>
      <c r="E145" s="77">
        <f>((4.2*3.1)-(2.4*0.5))*10.764</f>
        <v>127.23048000000001</v>
      </c>
      <c r="F145" s="77">
        <f>D145*1.5+E145/2</f>
        <v>1056.9833586</v>
      </c>
      <c r="G145" s="136" t="str">
        <f>A144</f>
        <v>2nd, 4th, 10th, 12th &amp; 16th Floor for Residential</v>
      </c>
      <c r="H145" s="137"/>
      <c r="I145" s="110">
        <f>5275000/F145</f>
        <v>4990.6178343118527</v>
      </c>
    </row>
    <row r="146" spans="1:9" s="109" customFormat="1" ht="15.75" customHeight="1" x14ac:dyDescent="0.35">
      <c r="A146" s="134">
        <v>2</v>
      </c>
      <c r="B146" s="134"/>
      <c r="C146" s="77" t="s">
        <v>200</v>
      </c>
      <c r="D146" s="77">
        <f>((4.87*3.2+1.57*2.13+3.57*2.74+2.9*1.68+1.22*1.82+2.28*1.22+3.19*1.53)+(2*2.5+1.98*2.9+0.5*2+2*0.5+0.5*2+0.5*0.4)+(2.74+2.75)*0.75)*10.764</f>
        <v>662.24541239999996</v>
      </c>
      <c r="E146" s="77">
        <f>((4.2*3.1)-(2.4*0.5))*10.764</f>
        <v>127.23048000000001</v>
      </c>
      <c r="F146" s="77">
        <f>D146*1.5+E146/2</f>
        <v>1056.9833586</v>
      </c>
      <c r="G146" s="138"/>
      <c r="H146" s="139"/>
      <c r="I146" s="110">
        <f>5275000/F146</f>
        <v>4990.6178343118527</v>
      </c>
    </row>
    <row r="147" spans="1:9" s="109" customFormat="1" x14ac:dyDescent="0.35">
      <c r="A147" s="134">
        <v>3</v>
      </c>
      <c r="B147" s="134"/>
      <c r="C147" s="77" t="s">
        <v>199</v>
      </c>
      <c r="D147" s="77">
        <f>((3.95*2.9+1.5*2.13+3.35*2.74+0.9*0.7+1.22*1.82+1.82*1.22+0.91*0.91+0.91*1.7+0.5*1.22)+( 2.63*1.93)+(1.68*0.45+1.8*0.45+2.5*0.75))*10.764</f>
        <v>434.88497519999999</v>
      </c>
      <c r="E147" s="77">
        <f>(2.71*3)*10.764</f>
        <v>87.511319999999984</v>
      </c>
      <c r="F147" s="77">
        <f t="shared" ref="F147:F177" si="2">D147*1.5+E147</f>
        <v>739.83878279999988</v>
      </c>
      <c r="G147" s="138"/>
      <c r="H147" s="139"/>
      <c r="I147" s="110">
        <f>3475000/F147</f>
        <v>4696.9692327407965</v>
      </c>
    </row>
    <row r="148" spans="1:9" s="109" customFormat="1" x14ac:dyDescent="0.35">
      <c r="A148" s="134">
        <v>4</v>
      </c>
      <c r="B148" s="134"/>
      <c r="C148" s="77" t="s">
        <v>199</v>
      </c>
      <c r="D148" s="77">
        <f>((3.95*2.9+1.5*2.13+3.35*2.74+0.9*0.7+1.22*1.82+1.82*1.22+0.91*0.91+0.91*1.7+0.5*1.22)+( 2.63*1.93)+(1.68*0.45+1.8*0.45+2.5*0.75))*10.764</f>
        <v>434.88497519999999</v>
      </c>
      <c r="E148" s="77">
        <f>(2.71*3)*10.764</f>
        <v>87.511319999999984</v>
      </c>
      <c r="F148" s="77">
        <f t="shared" si="2"/>
        <v>739.83878279999988</v>
      </c>
      <c r="G148" s="138"/>
      <c r="H148" s="139"/>
      <c r="I148" s="110">
        <f t="shared" ref="I148:I150" si="3">3475000/F148</f>
        <v>4696.9692327407965</v>
      </c>
    </row>
    <row r="149" spans="1:9" s="109" customFormat="1" x14ac:dyDescent="0.35">
      <c r="A149" s="134">
        <v>5</v>
      </c>
      <c r="B149" s="134"/>
      <c r="C149" s="77" t="s">
        <v>199</v>
      </c>
      <c r="D149" s="77">
        <f>((3.95*2.9+1.5*2.13+3.35*2.74+0.9*0.7+1.22*1.82+1.82*1.22+0.91*0.91+0.91*1.7+0.5*1.22)+( 2.63*1.93)+(1.68*0.45+1.8*0.45+2.5*0.75))*10.764</f>
        <v>434.88497519999999</v>
      </c>
      <c r="E149" s="77">
        <f>(2.71*3)*10.764</f>
        <v>87.511319999999984</v>
      </c>
      <c r="F149" s="77">
        <f t="shared" si="2"/>
        <v>739.83878279999988</v>
      </c>
      <c r="G149" s="138"/>
      <c r="H149" s="139"/>
      <c r="I149" s="110">
        <f t="shared" si="3"/>
        <v>4696.9692327407965</v>
      </c>
    </row>
    <row r="150" spans="1:9" s="109" customFormat="1" x14ac:dyDescent="0.35">
      <c r="A150" s="134">
        <v>6</v>
      </c>
      <c r="B150" s="134"/>
      <c r="C150" s="77" t="s">
        <v>199</v>
      </c>
      <c r="D150" s="77">
        <f>((3.95*2.9+1.5*2.13+3.35*2.74+0.9*0.7+1.22*1.82+1.82*1.22+0.91*0.91+0.91*1.7+0.5*1.22)+( 2.63*1.93)+(1.68*0.45+1.8*0.45+2.5*0.75))*10.764</f>
        <v>434.88497519999999</v>
      </c>
      <c r="E150" s="77">
        <f>(2.71*3)*10.764</f>
        <v>87.511319999999984</v>
      </c>
      <c r="F150" s="77">
        <f t="shared" si="2"/>
        <v>739.83878279999988</v>
      </c>
      <c r="G150" s="140"/>
      <c r="H150" s="141"/>
      <c r="I150" s="110">
        <f t="shared" si="3"/>
        <v>4696.9692327407965</v>
      </c>
    </row>
    <row r="151" spans="1:9" s="109" customFormat="1" x14ac:dyDescent="0.35">
      <c r="A151" s="135" t="s">
        <v>202</v>
      </c>
      <c r="B151" s="135"/>
      <c r="C151" s="135"/>
      <c r="D151" s="135"/>
      <c r="E151" s="135"/>
      <c r="F151" s="135"/>
      <c r="G151" s="135"/>
      <c r="H151" s="135"/>
    </row>
    <row r="152" spans="1:9" s="109" customFormat="1" ht="15.75" customHeight="1" x14ac:dyDescent="0.35">
      <c r="A152" s="134">
        <v>1</v>
      </c>
      <c r="B152" s="134"/>
      <c r="C152" s="77" t="s">
        <v>200</v>
      </c>
      <c r="D152" s="77">
        <f>((4.87*3.2+1.57*2.13+3.57*2.74+2.9*1.68+1.22*1.82+2.28*1.22+3.19*1.53)+(2*2.5+1.98*2.9+0.5*2+2*0.5+0.5*2+0.5*0.4)+2.74*0.75)*10.764</f>
        <v>640.04466239999988</v>
      </c>
      <c r="E152" s="77">
        <f>(4.26*2.75)*10.764</f>
        <v>126.10025999999999</v>
      </c>
      <c r="F152" s="77">
        <f>D152*1.5+E152/2</f>
        <v>1023.1171235999998</v>
      </c>
      <c r="G152" s="136" t="str">
        <f>A151</f>
        <v>3rd, 7th, 9th, 11th, 15th, 17th Floor for Residential</v>
      </c>
      <c r="H152" s="137"/>
      <c r="I152" s="110">
        <f>5275000/F152</f>
        <v>5155.8124464177436</v>
      </c>
    </row>
    <row r="153" spans="1:9" s="109" customFormat="1" x14ac:dyDescent="0.35">
      <c r="A153" s="134">
        <v>2</v>
      </c>
      <c r="B153" s="134"/>
      <c r="C153" s="77" t="s">
        <v>200</v>
      </c>
      <c r="D153" s="77">
        <f>((4.87*3.2+1.57*2.13+3.57*2.74+2.9*1.68+1.22*1.82+2.28*1.22+3.19*1.53)+(2*2.5+1.98*2.9+0.5*2+2*0.5+0.5*2+0.5*0.4)+2.74*0.75)*10.764</f>
        <v>640.04466239999988</v>
      </c>
      <c r="E153" s="77">
        <f>(4.26*2.75)*10.764</f>
        <v>126.10025999999999</v>
      </c>
      <c r="F153" s="77">
        <f>D153*1.5+E153/2</f>
        <v>1023.1171235999998</v>
      </c>
      <c r="G153" s="138"/>
      <c r="H153" s="139"/>
      <c r="I153" s="110">
        <f>5275000/F153</f>
        <v>5155.8124464177436</v>
      </c>
    </row>
    <row r="154" spans="1:9" s="109" customFormat="1" x14ac:dyDescent="0.35">
      <c r="A154" s="134">
        <v>3</v>
      </c>
      <c r="B154" s="134"/>
      <c r="C154" s="77" t="s">
        <v>199</v>
      </c>
      <c r="D154" s="77">
        <f>((3.95*2.9+1.5*2.13+3.35*2.74+0.9*0.7+1.22*1.82+1.82*1.22+0.91*0.91+0.91*1.7+0.5*1.22)+( 2.63*1.93)+(1.68*0.45+1.8*0.45+2.74*0.75))*10.764</f>
        <v>436.82249519999999</v>
      </c>
      <c r="E154" s="77">
        <f>(3.4*2.5)*10.764</f>
        <v>91.494</v>
      </c>
      <c r="F154" s="77">
        <f t="shared" si="2"/>
        <v>746.72774279999999</v>
      </c>
      <c r="G154" s="138"/>
      <c r="H154" s="139"/>
      <c r="I154" s="110">
        <f>3475000/F154</f>
        <v>4653.6371970991941</v>
      </c>
    </row>
    <row r="155" spans="1:9" s="109" customFormat="1" x14ac:dyDescent="0.35">
      <c r="A155" s="134">
        <v>4</v>
      </c>
      <c r="B155" s="134"/>
      <c r="C155" s="77" t="s">
        <v>199</v>
      </c>
      <c r="D155" s="77">
        <f>((3.95*2.9+1.5*2.13+3.35*2.74+0.9*0.7+1.22*1.82+1.82*1.22+0.91*0.91+0.91*1.7+0.5*1.22)+( 2.63*1.93)+(1.68*0.45+1.8*0.45+2.74*0.75))*10.764</f>
        <v>436.82249519999999</v>
      </c>
      <c r="E155" s="77">
        <f>(3.4*2.5)*10.764</f>
        <v>91.494</v>
      </c>
      <c r="F155" s="77">
        <f t="shared" si="2"/>
        <v>746.72774279999999</v>
      </c>
      <c r="G155" s="138"/>
      <c r="H155" s="139"/>
      <c r="I155" s="110">
        <f t="shared" ref="I155:I157" si="4">3475000/F155</f>
        <v>4653.6371970991941</v>
      </c>
    </row>
    <row r="156" spans="1:9" s="109" customFormat="1" x14ac:dyDescent="0.35">
      <c r="A156" s="134">
        <v>5</v>
      </c>
      <c r="B156" s="134"/>
      <c r="C156" s="77" t="s">
        <v>199</v>
      </c>
      <c r="D156" s="77">
        <f>((3.95*2.9+1.5*2.13+3.35*2.74+0.9*0.7+1.22*1.82+1.82*1.22+0.91*0.91+0.91*1.7+0.5*1.22)+( 2.63*1.93)+(1.68*0.45+1.8*0.45+2.74*0.75))*10.764</f>
        <v>436.82249519999999</v>
      </c>
      <c r="E156" s="77">
        <f>(3.4*2.5)*10.764</f>
        <v>91.494</v>
      </c>
      <c r="F156" s="77">
        <f t="shared" si="2"/>
        <v>746.72774279999999</v>
      </c>
      <c r="G156" s="138"/>
      <c r="H156" s="139"/>
      <c r="I156" s="110">
        <f t="shared" si="4"/>
        <v>4653.6371970991941</v>
      </c>
    </row>
    <row r="157" spans="1:9" s="109" customFormat="1" x14ac:dyDescent="0.35">
      <c r="A157" s="134">
        <v>6</v>
      </c>
      <c r="B157" s="134"/>
      <c r="C157" s="77" t="s">
        <v>199</v>
      </c>
      <c r="D157" s="77">
        <f>((3.95*2.9+1.5*2.13+3.35*2.74+0.9*0.7+1.22*1.82+1.82*1.22+0.91*0.91+0.91*1.7+0.5*1.22)+( 2.63*1.93)+(1.68*0.45+1.8*0.45+2.74*0.75))*10.764</f>
        <v>436.82249519999999</v>
      </c>
      <c r="E157" s="77">
        <f>(3.4*2.5)*10.764</f>
        <v>91.494</v>
      </c>
      <c r="F157" s="77">
        <f t="shared" si="2"/>
        <v>746.72774279999999</v>
      </c>
      <c r="G157" s="140"/>
      <c r="H157" s="141"/>
      <c r="I157" s="110">
        <f t="shared" si="4"/>
        <v>4653.6371970991941</v>
      </c>
    </row>
    <row r="158" spans="1:9" s="109" customFormat="1" x14ac:dyDescent="0.35">
      <c r="A158" s="135" t="s">
        <v>244</v>
      </c>
      <c r="B158" s="135"/>
      <c r="C158" s="135"/>
      <c r="D158" s="135"/>
      <c r="E158" s="135"/>
      <c r="F158" s="135"/>
      <c r="G158" s="135"/>
      <c r="H158" s="135"/>
    </row>
    <row r="159" spans="1:9" s="109" customFormat="1" ht="15.75" customHeight="1" x14ac:dyDescent="0.35">
      <c r="A159" s="156">
        <v>1</v>
      </c>
      <c r="B159" s="157"/>
      <c r="C159" s="77" t="s">
        <v>200</v>
      </c>
      <c r="D159" s="77">
        <f>((4.87*3.2+1.57*2.13+3.57*2.74+2.9*1.68+1.22*1.82+2.28*1.22+3.19*1.53)+(2*2.5+1.98*2.9+0.5*2+2*0.5+0.5*2+0.5*0.4)+2.74*0.75)*10.764</f>
        <v>640.04466239999988</v>
      </c>
      <c r="E159" s="77">
        <f>(4.26*2.75)*10.764</f>
        <v>126.10025999999999</v>
      </c>
      <c r="F159" s="77">
        <f>D159*1.5+E159/2</f>
        <v>1023.1171235999998</v>
      </c>
      <c r="G159" s="136" t="str">
        <f>A158</f>
        <v>5th Floor</v>
      </c>
      <c r="H159" s="137"/>
      <c r="I159" s="110">
        <f>5275000/F159</f>
        <v>5155.8124464177436</v>
      </c>
    </row>
    <row r="160" spans="1:9" s="109" customFormat="1" x14ac:dyDescent="0.35">
      <c r="A160" s="156">
        <v>2</v>
      </c>
      <c r="B160" s="157"/>
      <c r="C160" s="77" t="s">
        <v>200</v>
      </c>
      <c r="D160" s="77">
        <f>((4.87*3.2+1.57*2.13+3.57*2.74+2.9*1.68+1.22*1.82+2.28*1.22+3.19*1.53)+(2*2.5+1.98*2.9+0.5*2+2*0.5+0.5*2+0.5*0.4)+2.74*0.75)*10.764</f>
        <v>640.04466239999988</v>
      </c>
      <c r="E160" s="77">
        <f>(4.26*2.75)*10.764</f>
        <v>126.10025999999999</v>
      </c>
      <c r="F160" s="77">
        <f>D160*1.5+E160/2</f>
        <v>1023.1171235999998</v>
      </c>
      <c r="G160" s="138"/>
      <c r="H160" s="139"/>
      <c r="I160" s="110">
        <f>5275000/F160</f>
        <v>5155.8124464177436</v>
      </c>
    </row>
    <row r="161" spans="1:9" s="109" customFormat="1" x14ac:dyDescent="0.35">
      <c r="A161" s="156">
        <v>3</v>
      </c>
      <c r="B161" s="157"/>
      <c r="C161" s="77" t="s">
        <v>199</v>
      </c>
      <c r="D161" s="77">
        <f>((3.95*2.9+1.5*2.13+3.35*2.74+0.9*0.7+1.22*1.82+1.82*1.22+0.91*0.91+0.91*1.7+0.5*1.22)+( 2.63*1.93)+(1.68*0.45+1.8*0.45+2.74*0.75))*10.764</f>
        <v>436.82249519999999</v>
      </c>
      <c r="E161" s="77">
        <f>(3.4*2.5)*10.764</f>
        <v>91.494</v>
      </c>
      <c r="F161" s="77">
        <f t="shared" si="2"/>
        <v>746.72774279999999</v>
      </c>
      <c r="G161" s="138"/>
      <c r="H161" s="139"/>
      <c r="I161" s="110">
        <f>3475000/F161</f>
        <v>4653.6371970991941</v>
      </c>
    </row>
    <row r="162" spans="1:9" s="109" customFormat="1" x14ac:dyDescent="0.35">
      <c r="A162" s="156">
        <v>4</v>
      </c>
      <c r="B162" s="157"/>
      <c r="C162" s="77" t="s">
        <v>204</v>
      </c>
      <c r="D162" s="77">
        <f>((3.95*2.9+1.5*2.13+1.22*0.91+1.82*1.22+0.91*0.91)+(0.91*2.4+0.4*1.3+0.5*0.6)+(0.5*1.84+1.93*2.7))*10.764</f>
        <v>300.78598679999999</v>
      </c>
      <c r="E162" s="77">
        <f>(3.4*2.5)*10.764</f>
        <v>91.494</v>
      </c>
      <c r="F162" s="77">
        <f t="shared" si="2"/>
        <v>542.67298019999998</v>
      </c>
      <c r="G162" s="138"/>
      <c r="H162" s="139"/>
      <c r="I162" s="110">
        <f t="shared" ref="I162:I164" si="5">3475000/F162</f>
        <v>6403.4881536193352</v>
      </c>
    </row>
    <row r="163" spans="1:9" s="109" customFormat="1" x14ac:dyDescent="0.35">
      <c r="A163" s="156">
        <v>5</v>
      </c>
      <c r="B163" s="157"/>
      <c r="C163" s="77" t="s">
        <v>199</v>
      </c>
      <c r="D163" s="77">
        <f>((3.95*2.9+1.5*2.13+3.35*2.74+0.9*0.7+1.22*1.82+1.82*1.22+0.91*0.91+0.91*1.7+0.5*1.22)+( 2.63*1.93)+(1.68*0.45+1.8*0.45+2.74*0.75))*10.764</f>
        <v>436.82249519999999</v>
      </c>
      <c r="E163" s="77">
        <f>(3.4*2.5)*10.764</f>
        <v>91.494</v>
      </c>
      <c r="F163" s="77">
        <f t="shared" si="2"/>
        <v>746.72774279999999</v>
      </c>
      <c r="G163" s="138"/>
      <c r="H163" s="139"/>
      <c r="I163" s="110">
        <f t="shared" si="5"/>
        <v>4653.6371970991941</v>
      </c>
    </row>
    <row r="164" spans="1:9" s="109" customFormat="1" x14ac:dyDescent="0.35">
      <c r="A164" s="156">
        <v>6</v>
      </c>
      <c r="B164" s="157"/>
      <c r="C164" s="77" t="s">
        <v>199</v>
      </c>
      <c r="D164" s="77">
        <f>((3.95*2.9+1.5*2.13+3.35*2.74+0.9*0.7+1.22*1.82+1.82*1.22+0.91*0.91+0.91*1.7+0.5*1.22)+( 2.63*1.93)+(1.68*0.45+1.8*0.45+2.74*0.75))*10.764</f>
        <v>436.82249519999999</v>
      </c>
      <c r="E164" s="77">
        <f>(3.4*2.5)*10.764</f>
        <v>91.494</v>
      </c>
      <c r="F164" s="77">
        <f t="shared" si="2"/>
        <v>746.72774279999999</v>
      </c>
      <c r="G164" s="140"/>
      <c r="H164" s="141"/>
      <c r="I164" s="110">
        <f t="shared" si="5"/>
        <v>4653.6371970991941</v>
      </c>
    </row>
    <row r="165" spans="1:9" s="109" customFormat="1" x14ac:dyDescent="0.35">
      <c r="A165" s="135" t="s">
        <v>205</v>
      </c>
      <c r="B165" s="135"/>
      <c r="C165" s="135"/>
      <c r="D165" s="135"/>
      <c r="E165" s="135"/>
      <c r="F165" s="135"/>
      <c r="G165" s="135"/>
      <c r="H165" s="135"/>
    </row>
    <row r="166" spans="1:9" s="109" customFormat="1" ht="15.75" customHeight="1" x14ac:dyDescent="0.35">
      <c r="A166" s="134">
        <v>1</v>
      </c>
      <c r="B166" s="134"/>
      <c r="C166" s="125" t="s">
        <v>200</v>
      </c>
      <c r="D166" s="125">
        <f>((4.87*3.2+1.57*2.13+3.57*2.74+2.9*1.68+1.22*1.82+2.28*1.22+3.19*1.53)+(2*2.5+1.98*2.9+0.5*2+2*0.5+0.5*2+0.5*0.4)+(2.74+2.75)*0.75)*10.764</f>
        <v>662.24541239999996</v>
      </c>
      <c r="E166" s="125">
        <f>((4.2*3.1)-(2.4*0.5))*10.764</f>
        <v>127.23048000000001</v>
      </c>
      <c r="F166" s="125">
        <f>D166*1.5+E166/2</f>
        <v>1056.9833586</v>
      </c>
      <c r="G166" s="134" t="str">
        <f>A165</f>
        <v>6th &amp; 14th Floor for Residential</v>
      </c>
      <c r="H166" s="134"/>
      <c r="I166" s="110">
        <f>5275000/F166</f>
        <v>4990.6178343118527</v>
      </c>
    </row>
    <row r="167" spans="1:9" s="109" customFormat="1" x14ac:dyDescent="0.35">
      <c r="A167" s="134">
        <v>2</v>
      </c>
      <c r="B167" s="134"/>
      <c r="C167" s="125" t="s">
        <v>200</v>
      </c>
      <c r="D167" s="125">
        <f>((4.87*3.2+1.57*2.13+3.57*2.74+2.9*1.68+1.22*1.82+2.28*1.22+3.19*1.53)+(2*2.5+1.98*2.9+0.5*2+2*0.5+0.5*2+0.5*0.4)+(2.74+2.75)*0.75)*10.764</f>
        <v>662.24541239999996</v>
      </c>
      <c r="E167" s="125">
        <f>((4.2*3.1)-(2.4*0.5))*10.764</f>
        <v>127.23048000000001</v>
      </c>
      <c r="F167" s="125">
        <f>D167*1.5+E167/2</f>
        <v>1056.9833586</v>
      </c>
      <c r="G167" s="134"/>
      <c r="H167" s="134"/>
      <c r="I167" s="110">
        <f>5275000/F167</f>
        <v>4990.6178343118527</v>
      </c>
    </row>
    <row r="168" spans="1:9" s="109" customFormat="1" x14ac:dyDescent="0.35">
      <c r="A168" s="134">
        <v>3</v>
      </c>
      <c r="B168" s="134"/>
      <c r="C168" s="125" t="s">
        <v>199</v>
      </c>
      <c r="D168" s="125">
        <f>((3.95*2.9+1.5*2.13+3.35*2.74+0.9*0.7+1.22*1.82+1.82*1.22+0.91*0.91+0.91*1.7+0.5*1.22)+( 2.63*1.93)+(1.68*0.45+1.8*0.45+2.5*0.75))*10.764</f>
        <v>434.88497519999999</v>
      </c>
      <c r="E168" s="125">
        <f>(2.71*3)*10.764</f>
        <v>87.511319999999984</v>
      </c>
      <c r="F168" s="125">
        <f t="shared" si="2"/>
        <v>739.83878279999988</v>
      </c>
      <c r="G168" s="134"/>
      <c r="H168" s="134"/>
      <c r="I168" s="110">
        <f>3475000/F168</f>
        <v>4696.9692327407965</v>
      </c>
    </row>
    <row r="169" spans="1:9" s="109" customFormat="1" x14ac:dyDescent="0.35">
      <c r="A169" s="134">
        <v>4</v>
      </c>
      <c r="B169" s="134"/>
      <c r="C169" s="125" t="s">
        <v>204</v>
      </c>
      <c r="D169" s="125">
        <f>((3.95*2.9+1.5*2.13+1.22*0.91+1.82*1.22+0.91*0.91)+(0.91*2.4+0.4*1.3+0.5*0.6)+(0.5*1.84+1.93*2.7+2.5*0.75))*10.764</f>
        <v>320.96848679999999</v>
      </c>
      <c r="E169" s="125">
        <v>0</v>
      </c>
      <c r="F169" s="125">
        <f t="shared" si="2"/>
        <v>481.45273020000002</v>
      </c>
      <c r="G169" s="134"/>
      <c r="H169" s="134"/>
      <c r="I169" s="110">
        <f t="shared" ref="I169:I171" si="6">3475000/F169</f>
        <v>7217.7386937996016</v>
      </c>
    </row>
    <row r="170" spans="1:9" s="109" customFormat="1" x14ac:dyDescent="0.35">
      <c r="A170" s="134">
        <v>5</v>
      </c>
      <c r="B170" s="134"/>
      <c r="C170" s="125" t="s">
        <v>199</v>
      </c>
      <c r="D170" s="125">
        <f>((3.95*2.9+1.5*2.13+3.35*2.74+0.9*0.7+1.22*1.82+1.82*1.22+0.91*0.91+0.91*1.7+0.5*1.22)+( 2.63*1.93)+(1.68*0.45+1.8*0.45+2.5*0.75))*10.764</f>
        <v>434.88497519999999</v>
      </c>
      <c r="E170" s="125">
        <f>(2.71*3)*10.764</f>
        <v>87.511319999999984</v>
      </c>
      <c r="F170" s="125">
        <f t="shared" si="2"/>
        <v>739.83878279999988</v>
      </c>
      <c r="G170" s="134"/>
      <c r="H170" s="134"/>
      <c r="I170" s="110">
        <f t="shared" si="6"/>
        <v>4696.9692327407965</v>
      </c>
    </row>
    <row r="171" spans="1:9" s="109" customFormat="1" x14ac:dyDescent="0.35">
      <c r="A171" s="134">
        <v>6</v>
      </c>
      <c r="B171" s="134"/>
      <c r="C171" s="125" t="s">
        <v>199</v>
      </c>
      <c r="D171" s="125">
        <f>((3.95*2.9+1.5*2.13+3.35*2.74+0.9*0.7+1.22*1.82+1.82*1.22+0.91*0.91+0.91*1.7+0.5*1.22)+( 2.63*1.93)+(1.68*0.45+1.8*0.45+2.5*0.75))*10.764</f>
        <v>434.88497519999999</v>
      </c>
      <c r="E171" s="125">
        <f>(2.71*3)*10.764</f>
        <v>87.511319999999984</v>
      </c>
      <c r="F171" s="125">
        <f t="shared" si="2"/>
        <v>739.83878279999988</v>
      </c>
      <c r="G171" s="134"/>
      <c r="H171" s="134"/>
      <c r="I171" s="110">
        <f t="shared" si="6"/>
        <v>4696.9692327407965</v>
      </c>
    </row>
    <row r="172" spans="1:9" s="109" customFormat="1" x14ac:dyDescent="0.35">
      <c r="A172" s="135" t="s">
        <v>246</v>
      </c>
      <c r="B172" s="135"/>
      <c r="C172" s="135"/>
      <c r="D172" s="135"/>
      <c r="E172" s="135"/>
      <c r="F172" s="135"/>
      <c r="G172" s="135"/>
      <c r="H172" s="135"/>
    </row>
    <row r="173" spans="1:9" s="109" customFormat="1" ht="15.75" customHeight="1" x14ac:dyDescent="0.35">
      <c r="A173" s="134">
        <v>1</v>
      </c>
      <c r="B173" s="134"/>
      <c r="C173" s="133" t="s">
        <v>200</v>
      </c>
      <c r="D173" s="133">
        <f>((4.87*3.2+1.57*2.13+3.57*2.74+2.9*1.68+1.22*1.82+2.28*1.22+3.19*1.53)+(2*2.5+1.98*2.9+0.5*2+2*0.5+0.5*2+0.5*0.4)+(2.74+2.75)*0.75)*10.764</f>
        <v>662.24541239999996</v>
      </c>
      <c r="E173" s="133">
        <f>((4.2*3.1)-(0.5*2.4))*10.764</f>
        <v>127.23048000000001</v>
      </c>
      <c r="F173" s="133">
        <f>D173*1.5+E173/2</f>
        <v>1056.9833586</v>
      </c>
      <c r="G173" s="134" t="str">
        <f>A172</f>
        <v>8th &amp; 18th Floor (Part Refuge Area)</v>
      </c>
      <c r="H173" s="134"/>
      <c r="I173" s="110">
        <f>5275000/F173</f>
        <v>4990.6178343118527</v>
      </c>
    </row>
    <row r="174" spans="1:9" s="109" customFormat="1" x14ac:dyDescent="0.35">
      <c r="A174" s="134">
        <v>2</v>
      </c>
      <c r="B174" s="134"/>
      <c r="C174" s="133" t="s">
        <v>200</v>
      </c>
      <c r="D174" s="133">
        <f>((4.87*3.2+1.57*2.13+3.57*2.74+2.9*1.68+1.22*1.82+2.28*1.22+3.19*1.53)+(2*2.5+1.98*2.9+0.5*2+2*0.5+0.5*2+0.5*0.4)+(2.74+2.75)*0.75)*10.764</f>
        <v>662.24541239999996</v>
      </c>
      <c r="E174" s="133">
        <f>((4.2*3.1)-(0.5*2.4))*10.764</f>
        <v>127.23048000000001</v>
      </c>
      <c r="F174" s="133">
        <f>D174*1.5+E174/2</f>
        <v>1056.9833586</v>
      </c>
      <c r="G174" s="134"/>
      <c r="H174" s="134"/>
      <c r="I174" s="110">
        <f>5275000/F174</f>
        <v>4990.6178343118527</v>
      </c>
    </row>
    <row r="175" spans="1:9" s="109" customFormat="1" x14ac:dyDescent="0.35">
      <c r="A175" s="134">
        <v>3</v>
      </c>
      <c r="B175" s="134"/>
      <c r="C175" s="133" t="s">
        <v>199</v>
      </c>
      <c r="D175" s="133">
        <f>((3.95*2.9+1.5*2.13+3.35*2.74+0.9*0.7+1.22*1.82+1.82*1.22+0.91*0.91+0.91*1.7+0.5*1.22)+( 2.63*1.93)+(1.68*0.45+1.8*0.45+2.5*0.75))*10.764</f>
        <v>434.88497519999999</v>
      </c>
      <c r="E175" s="133">
        <f>(2.71*3)*10.764</f>
        <v>87.511319999999984</v>
      </c>
      <c r="F175" s="133">
        <f t="shared" si="2"/>
        <v>739.83878279999988</v>
      </c>
      <c r="G175" s="134"/>
      <c r="H175" s="134"/>
      <c r="I175" s="110">
        <f>3475000/F175</f>
        <v>4696.9692327407965</v>
      </c>
    </row>
    <row r="176" spans="1:9" s="109" customFormat="1" x14ac:dyDescent="0.35">
      <c r="A176" s="134">
        <v>4</v>
      </c>
      <c r="B176" s="134"/>
      <c r="C176" s="133" t="s">
        <v>199</v>
      </c>
      <c r="D176" s="133">
        <f>((3.95*2.9+1.5*2.13+3.35*2.74+0.9*0.7+1.22*1.82+1.82*1.22+0.91*0.91+0.91*1.7+0.5*1.22)+( 2.63*1.93)+(1.68*0.45+1.8*0.45+2.5*0.75))*10.764</f>
        <v>434.88497519999999</v>
      </c>
      <c r="E176" s="133">
        <f>(2.71*3)*10.764</f>
        <v>87.511319999999984</v>
      </c>
      <c r="F176" s="133">
        <f t="shared" si="2"/>
        <v>739.83878279999988</v>
      </c>
      <c r="G176" s="134"/>
      <c r="H176" s="134"/>
      <c r="I176" s="110">
        <f t="shared" ref="I176" si="7">3475000/F176</f>
        <v>4696.9692327407965</v>
      </c>
    </row>
    <row r="177" spans="1:9" s="109" customFormat="1" x14ac:dyDescent="0.35">
      <c r="A177" s="134">
        <v>5</v>
      </c>
      <c r="B177" s="134"/>
      <c r="C177" s="133" t="s">
        <v>200</v>
      </c>
      <c r="D177" s="133">
        <f>((3.95*2.9+1.5*2.13+3.35*2.74+0.9*0.7+1.22*1.82+1.82*1.22+0.91*0.91+0.91*1.7+0.5*1.22+3.95*2.9+2.28*1.22+0.91*0.91+0.74*0.77+1.68*0.45)+( 2.63*1.93)+(1.68*0.45+1.8*0.45+2.5*0.75+2.5*0.75))*10.764</f>
        <v>631.49481719999994</v>
      </c>
      <c r="E177" s="133">
        <f>(2.71*3)*10.764</f>
        <v>87.511319999999984</v>
      </c>
      <c r="F177" s="133">
        <f t="shared" si="2"/>
        <v>1034.7535458</v>
      </c>
      <c r="G177" s="134"/>
      <c r="H177" s="134"/>
      <c r="I177" s="110">
        <f>5275000/F177</f>
        <v>5097.8322533040791</v>
      </c>
    </row>
    <row r="178" spans="1:9" s="109" customFormat="1" x14ac:dyDescent="0.35">
      <c r="A178" s="134">
        <v>6</v>
      </c>
      <c r="B178" s="134"/>
      <c r="C178" s="134" t="s">
        <v>245</v>
      </c>
      <c r="D178" s="134"/>
      <c r="E178" s="134"/>
      <c r="F178" s="134"/>
      <c r="G178" s="134"/>
      <c r="H178" s="134"/>
      <c r="I178" s="110"/>
    </row>
    <row r="179" spans="1:9" s="109" customFormat="1" x14ac:dyDescent="0.35">
      <c r="A179" s="135" t="s">
        <v>247</v>
      </c>
      <c r="B179" s="135"/>
      <c r="C179" s="135"/>
      <c r="D179" s="135"/>
      <c r="E179" s="135"/>
      <c r="F179" s="135"/>
      <c r="G179" s="135"/>
      <c r="H179" s="135"/>
    </row>
    <row r="180" spans="1:9" s="109" customFormat="1" ht="15.75" customHeight="1" x14ac:dyDescent="0.35">
      <c r="A180" s="134">
        <v>1</v>
      </c>
      <c r="B180" s="134"/>
      <c r="C180" s="133" t="s">
        <v>200</v>
      </c>
      <c r="D180" s="133">
        <f>((4.87*3.2+1.57*2.13+3.57*2.74+2.9*1.68+1.22*1.82+2.28*1.22+3.19*1.53)+(2*2.5+1.98*2.9+0.5*2+2*0.5+0.5*2+0.5*0.4)+2.74*0.75)*10.764</f>
        <v>640.04466239999988</v>
      </c>
      <c r="E180" s="133">
        <f>(4.26*2.75)*10.764</f>
        <v>126.10025999999999</v>
      </c>
      <c r="F180" s="133">
        <f>D180*1.5+E180/2</f>
        <v>1023.1171235999998</v>
      </c>
      <c r="G180" s="134" t="str">
        <f>A179</f>
        <v>13th Floor (Part Refuge Area)</v>
      </c>
      <c r="H180" s="134"/>
      <c r="I180" s="110">
        <f>5275000/F180</f>
        <v>5155.8124464177436</v>
      </c>
    </row>
    <row r="181" spans="1:9" s="109" customFormat="1" x14ac:dyDescent="0.35">
      <c r="A181" s="134">
        <v>2</v>
      </c>
      <c r="B181" s="134"/>
      <c r="C181" s="133" t="s">
        <v>200</v>
      </c>
      <c r="D181" s="133">
        <f>((4.87*3.2+1.57*2.13+3.57*2.74+2.9*1.68+1.22*1.82+2.28*1.22+3.19*1.53)+(2*2.5+1.98*2.9+0.5*2+2*0.5+0.5*2+0.5*0.4)+2.74*0.75)*10.764</f>
        <v>640.04466239999988</v>
      </c>
      <c r="E181" s="133">
        <f>(4.26*2.75)*10.764</f>
        <v>126.10025999999999</v>
      </c>
      <c r="F181" s="133">
        <f>D181*1.5+E181/2</f>
        <v>1023.1171235999998</v>
      </c>
      <c r="G181" s="134"/>
      <c r="H181" s="134"/>
      <c r="I181" s="110">
        <f>5275000/F181</f>
        <v>5155.8124464177436</v>
      </c>
    </row>
    <row r="182" spans="1:9" s="109" customFormat="1" x14ac:dyDescent="0.35">
      <c r="A182" s="134">
        <v>3</v>
      </c>
      <c r="B182" s="134"/>
      <c r="C182" s="133" t="s">
        <v>199</v>
      </c>
      <c r="D182" s="133">
        <f>((3.95*2.9+1.5*2.13+3.35*2.74+0.9*0.7+1.22*1.82+1.82*1.22+0.91*0.91+0.91*1.7+0.5*1.22)+( 2.63*1.93)+(1.68*0.45+1.8*0.45+2.74*0.75))*10.764</f>
        <v>436.82249519999999</v>
      </c>
      <c r="E182" s="133">
        <f>(3.4*2.5)*10.764</f>
        <v>91.494</v>
      </c>
      <c r="F182" s="133">
        <f>D182*1.5+E182</f>
        <v>746.72774279999999</v>
      </c>
      <c r="G182" s="134"/>
      <c r="H182" s="134"/>
      <c r="I182" s="110">
        <f>3475000/F182</f>
        <v>4653.6371970991941</v>
      </c>
    </row>
    <row r="183" spans="1:9" s="109" customFormat="1" x14ac:dyDescent="0.35">
      <c r="A183" s="134">
        <v>4</v>
      </c>
      <c r="B183" s="134"/>
      <c r="C183" s="133" t="s">
        <v>204</v>
      </c>
      <c r="D183" s="133">
        <f>((3.95*2.9+1.5*2.13+1.22*0.91+1.82*1.22+0.91*0.91)+(0.91*2.4+0.4*1.3+0.5*0.6)+(0.5*1.84+1.93*2.7))*10.764</f>
        <v>300.78598679999999</v>
      </c>
      <c r="E183" s="133">
        <f>(3.4*2.5)*10.764</f>
        <v>91.494</v>
      </c>
      <c r="F183" s="133">
        <f>D183*1.5+E183</f>
        <v>542.67298019999998</v>
      </c>
      <c r="G183" s="134"/>
      <c r="H183" s="134"/>
      <c r="I183" s="110">
        <f t="shared" ref="I183" si="8">3475000/F183</f>
        <v>6403.4881536193352</v>
      </c>
    </row>
    <row r="184" spans="1:9" s="109" customFormat="1" x14ac:dyDescent="0.35">
      <c r="A184" s="134">
        <v>5</v>
      </c>
      <c r="B184" s="134"/>
      <c r="C184" s="133" t="s">
        <v>200</v>
      </c>
      <c r="D184" s="133">
        <f>((3.95*2.9+1.5*2.13+3.35*2.74+0.9*0.7+1.22*1.82+1.82*1.22+0.91*0.91+0.91*1.7+0.5*1.22+3.95*2.9+2.28*1.22+0.91*0.91+0.74*0.77+1.68*0.45)+( 2.63*1.93)+(1.68*0.45+1.8*0.45+2.75*0.75))*10.764</f>
        <v>613.3305671999999</v>
      </c>
      <c r="E184" s="133">
        <f>(3.4*2.5*2)*10.764</f>
        <v>182.988</v>
      </c>
      <c r="F184" s="133">
        <f>D184*1.5+E184/2</f>
        <v>1011.4898507999999</v>
      </c>
      <c r="G184" s="134"/>
      <c r="H184" s="134"/>
      <c r="I184" s="110">
        <f>5275000/F184</f>
        <v>5215.0795144686199</v>
      </c>
    </row>
    <row r="185" spans="1:9" s="109" customFormat="1" x14ac:dyDescent="0.35">
      <c r="A185" s="134">
        <v>6</v>
      </c>
      <c r="B185" s="134"/>
      <c r="C185" s="134" t="s">
        <v>245</v>
      </c>
      <c r="D185" s="134"/>
      <c r="E185" s="134"/>
      <c r="F185" s="134"/>
      <c r="G185" s="134"/>
      <c r="H185" s="134"/>
    </row>
    <row r="186" spans="1:9" s="109" customFormat="1" x14ac:dyDescent="0.35">
      <c r="A186" s="135" t="s">
        <v>209</v>
      </c>
      <c r="B186" s="135"/>
      <c r="C186" s="135"/>
      <c r="D186" s="135"/>
      <c r="E186" s="135"/>
      <c r="F186" s="135"/>
      <c r="G186" s="135"/>
      <c r="H186" s="135"/>
    </row>
    <row r="187" spans="1:9" s="109" customFormat="1" x14ac:dyDescent="0.35">
      <c r="A187" s="135" t="s">
        <v>274</v>
      </c>
      <c r="B187" s="135"/>
      <c r="C187" s="135"/>
      <c r="D187" s="135"/>
      <c r="E187" s="135"/>
      <c r="F187" s="135"/>
      <c r="G187" s="135"/>
      <c r="H187" s="135"/>
    </row>
    <row r="188" spans="1:9" s="109" customFormat="1" x14ac:dyDescent="0.35">
      <c r="A188" s="135" t="s">
        <v>216</v>
      </c>
      <c r="B188" s="135"/>
      <c r="C188" s="135"/>
      <c r="D188" s="135"/>
      <c r="E188" s="135"/>
      <c r="F188" s="135"/>
      <c r="G188" s="135"/>
      <c r="H188" s="135"/>
    </row>
    <row r="189" spans="1:9" s="109" customFormat="1" x14ac:dyDescent="0.35">
      <c r="A189" s="134">
        <v>1</v>
      </c>
      <c r="B189" s="134"/>
      <c r="C189" s="77" t="s">
        <v>199</v>
      </c>
      <c r="D189" s="77">
        <f>(2.9*3.88+2.13*2.94+2.74*3.2+1.63*0.53+0.9*0.45+1.22*0.45+1.67*0.53+1.22*1.83+0.91*0.91+1.83*1.22+2.78*1.4)*10.764</f>
        <v>410.86726200000004</v>
      </c>
      <c r="E189" s="77">
        <f>(2.55*2.5+2.94*1.5)*10.764</f>
        <v>116.08973999999999</v>
      </c>
      <c r="F189" s="77">
        <f t="shared" ref="F189:F215" si="9">D189*1.5+E189</f>
        <v>732.39063300000009</v>
      </c>
      <c r="G189" s="136" t="s">
        <v>210</v>
      </c>
      <c r="H189" s="137"/>
    </row>
    <row r="190" spans="1:9" s="109" customFormat="1" x14ac:dyDescent="0.35">
      <c r="A190" s="134">
        <v>2</v>
      </c>
      <c r="B190" s="134"/>
      <c r="C190" s="77" t="s">
        <v>199</v>
      </c>
      <c r="D190" s="77">
        <f>(2.9*3.88+2.13*2.93+2.74*3.2+1.63*0.53+0.9*0.45+1.22*0.45+1.67*0.53+1.22*1.83+1.83*1.22+0.91*0.91+2.78*1.4)*10.764</f>
        <v>410.63798880000007</v>
      </c>
      <c r="E190" s="81">
        <f>(2.55*2.5+2.94*1.5)*10.764</f>
        <v>116.08973999999999</v>
      </c>
      <c r="F190" s="77">
        <f t="shared" si="9"/>
        <v>732.04672320000009</v>
      </c>
      <c r="G190" s="138"/>
      <c r="H190" s="139"/>
    </row>
    <row r="191" spans="1:9" s="109" customFormat="1" x14ac:dyDescent="0.35">
      <c r="A191" s="134">
        <v>3</v>
      </c>
      <c r="B191" s="134"/>
      <c r="C191" s="77" t="s">
        <v>199</v>
      </c>
      <c r="D191" s="81">
        <f>(2.9*3.88+2.13*2.93+2.74*3.2+1.63*0.53+0.9*0.45+1.22*0.45+1.67*0.53+1.22*1.83+1.83*1.22+0.91*0.91+2.78*1.4)*10.764</f>
        <v>410.63798880000007</v>
      </c>
      <c r="E191" s="81">
        <f>(2.55*2.5+2.94*1.5)*10.764</f>
        <v>116.08973999999999</v>
      </c>
      <c r="F191" s="77">
        <f t="shared" si="9"/>
        <v>732.04672320000009</v>
      </c>
      <c r="G191" s="138"/>
      <c r="H191" s="139"/>
    </row>
    <row r="192" spans="1:9" s="109" customFormat="1" x14ac:dyDescent="0.35">
      <c r="A192" s="134">
        <v>4</v>
      </c>
      <c r="B192" s="134"/>
      <c r="C192" s="77" t="s">
        <v>173</v>
      </c>
      <c r="D192" s="77">
        <f>(4.88*3.2+2.25*2.13+2.25*2.74+2.9*3.65+3.6*3.05+2.29*1.22+1.22*1.83+2.04*1.22+1.34*0.45+1.83*0.53+1.35*0.53+1.3*0.53+1.99*0.7+3.2*1.53+(2.13+2.74)*1.1)*10.764</f>
        <v>756.46270440000001</v>
      </c>
      <c r="E192" s="77">
        <f>(3.2*3+3.7*1.8)*10.764</f>
        <v>175.02264</v>
      </c>
      <c r="F192" s="77">
        <f t="shared" si="9"/>
        <v>1309.7166966</v>
      </c>
      <c r="G192" s="138"/>
      <c r="H192" s="139"/>
    </row>
    <row r="193" spans="1:8" s="109" customFormat="1" x14ac:dyDescent="0.35">
      <c r="A193" s="134">
        <v>5</v>
      </c>
      <c r="B193" s="134"/>
      <c r="C193" s="77" t="s">
        <v>200</v>
      </c>
      <c r="D193" s="77">
        <f>(4.88*3.2+2.6*2.13+2.6*2.74+3.05*3.52+1.37*1.83+2.29*1.22+3.2*1.28+1.44*0.45+1.7*0.53+1.83*0.53+(2.5+2.74)*1+1.85*0.75)*10.764</f>
        <v>619.54677720000007</v>
      </c>
      <c r="E193" s="77">
        <f>(2.95*3.2+3*1.5)*10.764</f>
        <v>150.05016000000001</v>
      </c>
      <c r="F193" s="77">
        <f t="shared" si="9"/>
        <v>1079.3703258</v>
      </c>
      <c r="G193" s="138"/>
      <c r="H193" s="139"/>
    </row>
    <row r="194" spans="1:8" s="109" customFormat="1" x14ac:dyDescent="0.35">
      <c r="A194" s="134">
        <v>6</v>
      </c>
      <c r="B194" s="134"/>
      <c r="C194" s="77" t="s">
        <v>200</v>
      </c>
      <c r="D194" s="77">
        <f>(4.42*3.05+3.02*2.13+3.35*2.74+3.27*2.6+1.83*1.22*2+0.91*0.91+1*1.35+0.9*0.45+1.22*0.45+1.07*0.92+1.67*0.53+1.25*0.53+2.74*0.75+2.6*0.74+2.5*1.4)*10.764</f>
        <v>594.20401560000005</v>
      </c>
      <c r="E194" s="77">
        <f>(2.7*3.2)*10.764</f>
        <v>93.000960000000006</v>
      </c>
      <c r="F194" s="77">
        <f t="shared" si="9"/>
        <v>984.30698340000004</v>
      </c>
      <c r="G194" s="140"/>
      <c r="H194" s="141"/>
    </row>
    <row r="195" spans="1:8" s="109" customFormat="1" x14ac:dyDescent="0.35">
      <c r="A195" s="135" t="s">
        <v>275</v>
      </c>
      <c r="B195" s="135"/>
      <c r="C195" s="135"/>
      <c r="D195" s="135"/>
      <c r="E195" s="135" t="s">
        <v>211</v>
      </c>
      <c r="F195" s="135"/>
      <c r="G195" s="135"/>
      <c r="H195" s="135"/>
    </row>
    <row r="196" spans="1:8" s="109" customFormat="1" x14ac:dyDescent="0.35">
      <c r="A196" s="134">
        <v>1</v>
      </c>
      <c r="B196" s="134"/>
      <c r="C196" s="81" t="s">
        <v>199</v>
      </c>
      <c r="D196" s="81">
        <f>(2.9*3.88+2.13*2.94+2.74*3.2+1.63*0.53+0.9*0.45+1.22*0.45+1.67*0.53+1.22*1.83+0.91*0.91+1.83*1.22+2.78*1.4)*10.764</f>
        <v>410.86726200000004</v>
      </c>
      <c r="E196" s="81">
        <f>(2.55*2.5+2.94*1.5)*10.764</f>
        <v>116.08973999999999</v>
      </c>
      <c r="F196" s="77">
        <f t="shared" si="9"/>
        <v>732.39063300000009</v>
      </c>
      <c r="G196" s="136" t="s">
        <v>212</v>
      </c>
      <c r="H196" s="137"/>
    </row>
    <row r="197" spans="1:8" s="109" customFormat="1" x14ac:dyDescent="0.35">
      <c r="A197" s="134">
        <v>2</v>
      </c>
      <c r="B197" s="134"/>
      <c r="C197" s="81" t="s">
        <v>199</v>
      </c>
      <c r="D197" s="81">
        <f>(2.9*3.88+2.13*2.93+2.74*3.2+1.63*0.53+0.9*0.45+1.22*0.45+1.67*0.53+1.22*1.83+1.83*1.22+0.91*0.91+2.78*1.4)*10.764</f>
        <v>410.63798880000007</v>
      </c>
      <c r="E197" s="81">
        <f>(2.55*2.5+2.94*1.5)*10.764</f>
        <v>116.08973999999999</v>
      </c>
      <c r="F197" s="77">
        <f t="shared" si="9"/>
        <v>732.04672320000009</v>
      </c>
      <c r="G197" s="138"/>
      <c r="H197" s="139"/>
    </row>
    <row r="198" spans="1:8" s="109" customFormat="1" x14ac:dyDescent="0.35">
      <c r="A198" s="134">
        <v>3</v>
      </c>
      <c r="B198" s="134"/>
      <c r="C198" s="81" t="s">
        <v>199</v>
      </c>
      <c r="D198" s="81">
        <f>(2.9*3.88+2.13*2.93+2.74*3.2+1.63*0.53+0.9*0.45+1.22*0.45+1.67*0.53+1.22*1.83+1.83*1.22+0.91*0.91+2.78*1.4)*10.764</f>
        <v>410.63798880000007</v>
      </c>
      <c r="E198" s="81">
        <f>(2.55*2.5+2.94*1.5)*10.764</f>
        <v>116.08973999999999</v>
      </c>
      <c r="F198" s="77">
        <f t="shared" si="9"/>
        <v>732.04672320000009</v>
      </c>
      <c r="G198" s="138"/>
      <c r="H198" s="139"/>
    </row>
    <row r="199" spans="1:8" s="109" customFormat="1" x14ac:dyDescent="0.35">
      <c r="A199" s="134">
        <v>4</v>
      </c>
      <c r="B199" s="134"/>
      <c r="C199" s="81" t="s">
        <v>173</v>
      </c>
      <c r="D199" s="81">
        <f>(4.88*3.2+2.25*2.13+2.25*2.74+2.9*3.65+3.6*3.05+2.29*1.22+1.22*1.83+2.04*1.22+1.34*0.45+1.83*0.53+1.35*0.53+1.3*0.53+1.99*0.7+3.2*1.53+(2.13+2.74)*1.1)*10.764</f>
        <v>756.46270440000001</v>
      </c>
      <c r="E199" s="81">
        <f>(3.2*3+3.7*1.8)*10.764</f>
        <v>175.02264</v>
      </c>
      <c r="F199" s="77">
        <f t="shared" si="9"/>
        <v>1309.7166966</v>
      </c>
      <c r="G199" s="138"/>
      <c r="H199" s="139"/>
    </row>
    <row r="200" spans="1:8" s="109" customFormat="1" x14ac:dyDescent="0.35">
      <c r="A200" s="134">
        <v>5</v>
      </c>
      <c r="B200" s="134"/>
      <c r="C200" s="81" t="s">
        <v>200</v>
      </c>
      <c r="D200" s="81">
        <f>(4.88*3.2+2.6*2.13+2.6*2.74+3.05*3.52+1.37*1.83+2.29*1.22+3.2*1.28+1.44*0.45+1.7*0.53+1.83*0.53+(2.5+2.74)*1+1.85*0.75)*10.764</f>
        <v>619.54677720000007</v>
      </c>
      <c r="E200" s="81">
        <f>(2.95*3.2+3*1.5)*10.764</f>
        <v>150.05016000000001</v>
      </c>
      <c r="F200" s="77">
        <f t="shared" si="9"/>
        <v>1079.3703258</v>
      </c>
      <c r="G200" s="138"/>
      <c r="H200" s="139"/>
    </row>
    <row r="201" spans="1:8" s="109" customFormat="1" x14ac:dyDescent="0.35">
      <c r="A201" s="134">
        <v>6</v>
      </c>
      <c r="B201" s="134"/>
      <c r="C201" s="81" t="s">
        <v>200</v>
      </c>
      <c r="D201" s="81">
        <f>(4.42*3.05+3.02*2.13+3.35*2.74+3.27*2.6+1.83*1.22*2+0.91*0.91+1*1.35+0.9*0.45+1.22*0.45+1.07*0.92+1.67*0.53+1.25*0.53+2.74*0.75+2.6*0.75+2.5*1.4)*10.764</f>
        <v>594.48387960000002</v>
      </c>
      <c r="E201" s="81">
        <f>(2.7*3.2)*10.764</f>
        <v>93.000960000000006</v>
      </c>
      <c r="F201" s="77">
        <f t="shared" si="9"/>
        <v>984.72677940000005</v>
      </c>
      <c r="G201" s="140"/>
      <c r="H201" s="141"/>
    </row>
    <row r="202" spans="1:8" s="109" customFormat="1" x14ac:dyDescent="0.35">
      <c r="A202" s="135" t="s">
        <v>276</v>
      </c>
      <c r="B202" s="135"/>
      <c r="C202" s="135"/>
      <c r="D202" s="135"/>
      <c r="E202" s="135" t="s">
        <v>211</v>
      </c>
      <c r="F202" s="135"/>
      <c r="G202" s="135"/>
      <c r="H202" s="135"/>
    </row>
    <row r="203" spans="1:8" s="109" customFormat="1" x14ac:dyDescent="0.35">
      <c r="A203" s="134">
        <v>1</v>
      </c>
      <c r="B203" s="134"/>
      <c r="C203" s="77" t="s">
        <v>199</v>
      </c>
      <c r="D203" s="116">
        <f>(2.9*3.88+2.13*2.93+2.74*3.2+1.22*1.83*2+0.91*0.91+1.63*0.53+1.22*0.45+0.9*0.45+1.67*0.53+2.83*1.4+2.74*0.75)*10.764</f>
        <v>433.5114888</v>
      </c>
      <c r="E203" s="77">
        <f>2.55*2.55*10.764</f>
        <v>69.992909999999995</v>
      </c>
      <c r="F203" s="77">
        <f>D203*1.5+E203</f>
        <v>720.2601431999999</v>
      </c>
      <c r="G203" s="136" t="s">
        <v>213</v>
      </c>
      <c r="H203" s="137"/>
    </row>
    <row r="204" spans="1:8" s="109" customFormat="1" x14ac:dyDescent="0.35">
      <c r="A204" s="134">
        <v>2</v>
      </c>
      <c r="B204" s="134"/>
      <c r="C204" s="77" t="s">
        <v>199</v>
      </c>
      <c r="D204" s="77">
        <f>(2.9*3.88+2.13*2.93+2.74*3.2+1.22*1.83*2+0.91*0.91+1.63*0.53+1.22*0.45+0.9*0.45+1.67*0.53+2.83*1.4+2.74*0.75)*10.764</f>
        <v>433.5114888</v>
      </c>
      <c r="E204" s="77">
        <f>2.55*2.7*10.764</f>
        <v>74.110139999999987</v>
      </c>
      <c r="F204" s="77">
        <f t="shared" si="9"/>
        <v>724.37737319999997</v>
      </c>
      <c r="G204" s="138"/>
      <c r="H204" s="139"/>
    </row>
    <row r="205" spans="1:8" s="109" customFormat="1" x14ac:dyDescent="0.35">
      <c r="A205" s="134">
        <v>3</v>
      </c>
      <c r="B205" s="134"/>
      <c r="C205" s="77" t="s">
        <v>199</v>
      </c>
      <c r="D205" s="116">
        <f>(2.9*3.88+2.13*2.93+2.74*3.2+1.22*1.83*2+0.91*0.91+1.63*0.53+1.22*0.45+0.9*0.45+1.67*0.53+2.83*1.4+2.74*0.75)*10.764</f>
        <v>433.5114888</v>
      </c>
      <c r="E205" s="116">
        <f>2.55*2.7*10.764</f>
        <v>74.110139999999987</v>
      </c>
      <c r="F205" s="77">
        <f t="shared" si="9"/>
        <v>724.37737319999997</v>
      </c>
      <c r="G205" s="138"/>
      <c r="H205" s="139"/>
    </row>
    <row r="206" spans="1:8" s="109" customFormat="1" x14ac:dyDescent="0.35">
      <c r="A206" s="134">
        <v>4</v>
      </c>
      <c r="B206" s="134"/>
      <c r="C206" s="77" t="s">
        <v>173</v>
      </c>
      <c r="D206" s="77">
        <f>(4.88*3.2+2.25*2.13+2.25*2.74+2.9*3.66+3.6*3.05+2.29*1.22+1.22*1.83+3.2*1.53+1.34*0.45+1.35*0.53+1.83*0.53+1.39*0.53+2.74*1.1+2.5*1.1+2.04*1.22+1.99*0.75)*10.764</f>
        <v>762.74026920000006</v>
      </c>
      <c r="E206" s="77">
        <f>(3*2.7+3.7*1.8)*10.764</f>
        <v>158.87664000000001</v>
      </c>
      <c r="F206" s="77">
        <f t="shared" si="9"/>
        <v>1302.9870438</v>
      </c>
      <c r="G206" s="138"/>
      <c r="H206" s="139"/>
    </row>
    <row r="207" spans="1:8" s="109" customFormat="1" x14ac:dyDescent="0.35">
      <c r="A207" s="134">
        <v>5</v>
      </c>
      <c r="B207" s="134"/>
      <c r="C207" s="77" t="s">
        <v>200</v>
      </c>
      <c r="D207" s="77">
        <f>(4.88*3.2+2.6*2.13+2.6*2.74+3.05*3.52+1.37*1.83+2.29*1.22+3.2*1.28+1.44*0.45+1.7*0.53+1.83*0.53+1.85*0.75+2.5*1+2.74*1)*10.764</f>
        <v>619.54677720000007</v>
      </c>
      <c r="E207" s="77">
        <f>2.95*3.2*10.764</f>
        <v>101.61216</v>
      </c>
      <c r="F207" s="77">
        <f t="shared" si="9"/>
        <v>1030.9323257999999</v>
      </c>
      <c r="G207" s="138"/>
      <c r="H207" s="139"/>
    </row>
    <row r="208" spans="1:8" s="109" customFormat="1" x14ac:dyDescent="0.35">
      <c r="A208" s="134">
        <v>6</v>
      </c>
      <c r="B208" s="134"/>
      <c r="C208" s="77" t="s">
        <v>200</v>
      </c>
      <c r="D208" s="116">
        <f>(4.42*3.05+3.02*2.13+3.35*2.74+3.27*2.6+1.83*1.22*2+0.91*0.91+1*1.35+0.9*0.45+1.22*0.45+1.07*0.92+1.67*0.53+1.25*0.53+2.74*0.75+2.6*0.75+2.5*1.4)*10.764</f>
        <v>594.48387960000002</v>
      </c>
      <c r="E208" s="77">
        <f>2.7*3.2*10.764</f>
        <v>93.000960000000006</v>
      </c>
      <c r="F208" s="77">
        <f t="shared" si="9"/>
        <v>984.72677940000005</v>
      </c>
      <c r="G208" s="140"/>
      <c r="H208" s="141"/>
    </row>
    <row r="209" spans="1:8" s="109" customFormat="1" x14ac:dyDescent="0.35">
      <c r="A209" s="135" t="s">
        <v>277</v>
      </c>
      <c r="B209" s="135"/>
      <c r="C209" s="135"/>
      <c r="D209" s="135"/>
      <c r="E209" s="135"/>
      <c r="F209" s="135"/>
      <c r="G209" s="135"/>
      <c r="H209" s="135"/>
    </row>
    <row r="210" spans="1:8" s="109" customFormat="1" x14ac:dyDescent="0.35">
      <c r="A210" s="134">
        <v>1</v>
      </c>
      <c r="B210" s="134"/>
      <c r="C210" s="125" t="s">
        <v>199</v>
      </c>
      <c r="D210" s="125">
        <f>(2.9*3.88+2.13*2.94+2.74*3.2+1.63*0.53+0.9*0.45+1.22*0.45+1.67*0.53+1.22*1.83+0.91*0.91+1.83*1.22+2.78*1.4)*10.764</f>
        <v>410.86726200000004</v>
      </c>
      <c r="E210" s="125">
        <f>2.55*2.55*10.764</f>
        <v>69.992909999999995</v>
      </c>
      <c r="F210" s="125">
        <f t="shared" si="9"/>
        <v>686.29380300000003</v>
      </c>
      <c r="G210" s="134" t="s">
        <v>214</v>
      </c>
      <c r="H210" s="134"/>
    </row>
    <row r="211" spans="1:8" s="109" customFormat="1" x14ac:dyDescent="0.35">
      <c r="A211" s="134">
        <v>2</v>
      </c>
      <c r="B211" s="134"/>
      <c r="C211" s="125" t="s">
        <v>199</v>
      </c>
      <c r="D211" s="125">
        <f>(2.9*3.88+2.13*2.93+2.74*3.2+1.63*0.53+0.9*0.45+1.22*0.45+1.67*0.53+1.22*1.83+1.83*1.22+0.91*0.91+2.78*1.4)*10.764</f>
        <v>410.63798880000007</v>
      </c>
      <c r="E211" s="125">
        <f>2.55*2.7*10.764</f>
        <v>74.110139999999987</v>
      </c>
      <c r="F211" s="125">
        <f t="shared" si="9"/>
        <v>690.06712320000008</v>
      </c>
      <c r="G211" s="134"/>
      <c r="H211" s="134"/>
    </row>
    <row r="212" spans="1:8" s="109" customFormat="1" x14ac:dyDescent="0.35">
      <c r="A212" s="134">
        <v>3</v>
      </c>
      <c r="B212" s="134"/>
      <c r="C212" s="125" t="s">
        <v>199</v>
      </c>
      <c r="D212" s="125">
        <f>(2.9*3.88+2.13*2.93+2.74*3.2+1.63*0.53+0.9*0.45+1.22*0.45+1.67*0.53+1.22*1.83+1.83*1.22+0.91*0.91+2.78*1.4)*10.764</f>
        <v>410.63798880000007</v>
      </c>
      <c r="E212" s="125">
        <f>2.55*2.7*10.764</f>
        <v>74.110139999999987</v>
      </c>
      <c r="F212" s="125">
        <f t="shared" si="9"/>
        <v>690.06712320000008</v>
      </c>
      <c r="G212" s="134"/>
      <c r="H212" s="134"/>
    </row>
    <row r="213" spans="1:8" s="109" customFormat="1" x14ac:dyDescent="0.35">
      <c r="A213" s="134">
        <v>4</v>
      </c>
      <c r="B213" s="134"/>
      <c r="C213" s="125" t="s">
        <v>200</v>
      </c>
      <c r="D213" s="125">
        <f>(4.88*3.2+2.25*2.13+2.25*2.74+2.9*3.65+2.29*1.22+1.22*1.83+1.34*0.45+1.83*0.53+1.35*0.53+1.99*0.7+3.2*1.53+(2.13+2.74)*1.1)*10.764</f>
        <v>604.0681452</v>
      </c>
      <c r="E213" s="125">
        <f>(3*2.7)*10.764</f>
        <v>87.188400000000016</v>
      </c>
      <c r="F213" s="125">
        <f t="shared" si="9"/>
        <v>993.29061780000006</v>
      </c>
      <c r="G213" s="134"/>
      <c r="H213" s="134"/>
    </row>
    <row r="214" spans="1:8" s="109" customFormat="1" x14ac:dyDescent="0.35">
      <c r="A214" s="134">
        <v>5</v>
      </c>
      <c r="B214" s="134"/>
      <c r="C214" s="125" t="s">
        <v>200</v>
      </c>
      <c r="D214" s="125">
        <f>(4.88*3.2+2.6*2.13+2.6*2.74+3.05*3.52+1.37*1.83+2.29*1.22+3.2*1.28+1.44*0.45+1.7*0.53+1.83*0.53+(2.5+2.74)*1+1.85*0.75)*10.764</f>
        <v>619.54677720000007</v>
      </c>
      <c r="E214" s="125">
        <f>2.95*3.2*10.764</f>
        <v>101.61216</v>
      </c>
      <c r="F214" s="125">
        <f t="shared" si="9"/>
        <v>1030.9323257999999</v>
      </c>
      <c r="G214" s="134"/>
      <c r="H214" s="134"/>
    </row>
    <row r="215" spans="1:8" s="109" customFormat="1" x14ac:dyDescent="0.35">
      <c r="A215" s="134">
        <v>6</v>
      </c>
      <c r="B215" s="134"/>
      <c r="C215" s="125" t="s">
        <v>200</v>
      </c>
      <c r="D215" s="125">
        <f>(4.42*3.05+3.02*2.13+3.35*2.74+3.27*2.6+1.83*1.22*2+0.91*0.91+1*1.35+0.9*0.45+1.22*0.45+1.07*0.92+1.67*0.53+1.25*0.53+2.74*0.75+2.6*0.75+2.5*1.4)*10.764</f>
        <v>594.48387960000002</v>
      </c>
      <c r="E215" s="125">
        <f>2.7*3.2*10.764</f>
        <v>93.000960000000006</v>
      </c>
      <c r="F215" s="125">
        <f t="shared" si="9"/>
        <v>984.72677940000005</v>
      </c>
      <c r="G215" s="134"/>
      <c r="H215" s="134"/>
    </row>
    <row r="216" spans="1:8" s="109" customFormat="1" x14ac:dyDescent="0.35">
      <c r="A216" s="135" t="s">
        <v>278</v>
      </c>
      <c r="B216" s="135"/>
      <c r="C216" s="135"/>
      <c r="D216" s="135"/>
      <c r="E216" s="135"/>
      <c r="F216" s="135"/>
      <c r="G216" s="135"/>
      <c r="H216" s="135"/>
    </row>
    <row r="217" spans="1:8" s="109" customFormat="1" x14ac:dyDescent="0.35">
      <c r="A217" s="134">
        <v>1</v>
      </c>
      <c r="B217" s="134"/>
      <c r="C217" s="117" t="s">
        <v>199</v>
      </c>
      <c r="D217" s="117">
        <f>(2.9*3.88+2.13*2.93+2.74*3.2+1.22*1.83*2+0.91*0.91+1.63*0.53+1.22*0.45+0.9*0.45+1.67*0.53+2.83*1.4+2.74*0.75)*10.764</f>
        <v>433.5114888</v>
      </c>
      <c r="E217" s="117">
        <f>2.55*2.55*10.764</f>
        <v>69.992909999999995</v>
      </c>
      <c r="F217" s="117">
        <f t="shared" ref="F217:F222" si="10">D217*1.5+E217</f>
        <v>720.2601431999999</v>
      </c>
      <c r="G217" s="136" t="s">
        <v>214</v>
      </c>
      <c r="H217" s="137"/>
    </row>
    <row r="218" spans="1:8" s="109" customFormat="1" x14ac:dyDescent="0.35">
      <c r="A218" s="134">
        <v>2</v>
      </c>
      <c r="B218" s="134"/>
      <c r="C218" s="117" t="s">
        <v>199</v>
      </c>
      <c r="D218" s="117">
        <f>(2.9*3.88+2.13*2.93+2.74*3.2+1.22*1.83*2+0.91*0.91+1.63*0.53+1.22*0.45+0.9*0.45+1.67*0.53+2.83*1.4+2.74*0.75)*10.764</f>
        <v>433.5114888</v>
      </c>
      <c r="E218" s="117">
        <f>2.55*2.7*10.764</f>
        <v>74.110139999999987</v>
      </c>
      <c r="F218" s="117">
        <f t="shared" si="10"/>
        <v>724.37737319999997</v>
      </c>
      <c r="G218" s="138"/>
      <c r="H218" s="139"/>
    </row>
    <row r="219" spans="1:8" s="109" customFormat="1" x14ac:dyDescent="0.35">
      <c r="A219" s="134">
        <v>3</v>
      </c>
      <c r="B219" s="134"/>
      <c r="C219" s="117" t="s">
        <v>199</v>
      </c>
      <c r="D219" s="117">
        <f>(2.9*3.88+2.13*2.93+2.74*3.2+1.22*1.83*2+0.91*0.91+1.63*0.53+1.22*0.45+0.9*0.45+1.67*0.53+2.83*1.4+2.74*0.75)*10.764</f>
        <v>433.5114888</v>
      </c>
      <c r="E219" s="117">
        <f>2.55*2.7*10.764</f>
        <v>74.110139999999987</v>
      </c>
      <c r="F219" s="117">
        <f t="shared" si="10"/>
        <v>724.37737319999997</v>
      </c>
      <c r="G219" s="138"/>
      <c r="H219" s="139"/>
    </row>
    <row r="220" spans="1:8" s="109" customFormat="1" x14ac:dyDescent="0.35">
      <c r="A220" s="134">
        <v>4</v>
      </c>
      <c r="B220" s="134"/>
      <c r="C220" s="117" t="s">
        <v>200</v>
      </c>
      <c r="D220" s="117">
        <f>(4.88*3.2+2.25*2.13+2.25*2.74+2.9*3.66+2.29*1.22+1.22*1.83+3.2*1.53+1.34*0.45+1.35*0.53+1.83*0.53+2.74*1.1+2.5*1.1+1.99*0.75)*10.764</f>
        <v>609.83226719999993</v>
      </c>
      <c r="E220" s="117">
        <f>(3*2.7)*10.764</f>
        <v>87.188400000000016</v>
      </c>
      <c r="F220" s="117">
        <f t="shared" si="10"/>
        <v>1001.9368007999999</v>
      </c>
      <c r="G220" s="138"/>
      <c r="H220" s="139"/>
    </row>
    <row r="221" spans="1:8" s="109" customFormat="1" x14ac:dyDescent="0.35">
      <c r="A221" s="134">
        <v>5</v>
      </c>
      <c r="B221" s="134"/>
      <c r="C221" s="117" t="s">
        <v>200</v>
      </c>
      <c r="D221" s="117">
        <f>(4.88*3.2+2.6*2.13+2.6*2.74+3.05*3.52+1.37*1.83+2.29*1.22+3.2*1.28+1.44*0.45+1.7*0.53+1.83*0.53+1.85*0.75+2.5*1+2.74*1)*10.764</f>
        <v>619.54677720000007</v>
      </c>
      <c r="E221" s="117">
        <f>2.95*3.2*10.764</f>
        <v>101.61216</v>
      </c>
      <c r="F221" s="117">
        <f t="shared" si="10"/>
        <v>1030.9323257999999</v>
      </c>
      <c r="G221" s="138"/>
      <c r="H221" s="139"/>
    </row>
    <row r="222" spans="1:8" s="109" customFormat="1" x14ac:dyDescent="0.35">
      <c r="A222" s="134">
        <v>6</v>
      </c>
      <c r="B222" s="134"/>
      <c r="C222" s="117" t="s">
        <v>200</v>
      </c>
      <c r="D222" s="117">
        <f>(4.42*3.05+3.02*2.13+3.35*2.74+3.27*2.6+1.83*1.22*2+0.91*0.91+1*1.35+0.9*0.45+1.22*0.45+1.07*0.92+1.67*0.53+1.25*0.53+2.74*0.75+2.6*0.75+2.5*1.4)*10.764</f>
        <v>594.48387960000002</v>
      </c>
      <c r="E222" s="117">
        <f>2.7*3.2*10.764</f>
        <v>93.000960000000006</v>
      </c>
      <c r="F222" s="117">
        <f t="shared" si="10"/>
        <v>984.72677940000005</v>
      </c>
      <c r="G222" s="140"/>
      <c r="H222" s="141"/>
    </row>
    <row r="223" spans="1:8" s="109" customFormat="1" x14ac:dyDescent="0.35">
      <c r="A223" s="135" t="s">
        <v>215</v>
      </c>
      <c r="B223" s="135"/>
      <c r="C223" s="135"/>
      <c r="D223" s="135"/>
      <c r="E223" s="135"/>
      <c r="F223" s="135"/>
      <c r="G223" s="135"/>
      <c r="H223" s="135"/>
    </row>
    <row r="224" spans="1:8" s="109" customFormat="1" x14ac:dyDescent="0.35">
      <c r="A224" s="135" t="s">
        <v>292</v>
      </c>
      <c r="B224" s="135"/>
      <c r="C224" s="135"/>
      <c r="D224" s="135"/>
      <c r="E224" s="135"/>
      <c r="F224" s="135"/>
      <c r="G224" s="135"/>
      <c r="H224" s="135"/>
    </row>
    <row r="225" spans="1:10" s="109" customFormat="1" x14ac:dyDescent="0.35">
      <c r="A225" s="135" t="s">
        <v>216</v>
      </c>
      <c r="B225" s="135"/>
      <c r="C225" s="135"/>
      <c r="D225" s="135"/>
      <c r="E225" s="135"/>
      <c r="F225" s="135"/>
      <c r="G225" s="135"/>
      <c r="H225" s="135"/>
      <c r="J225" s="124">
        <v>10.763999999999999</v>
      </c>
    </row>
    <row r="226" spans="1:10" s="109" customFormat="1" x14ac:dyDescent="0.35">
      <c r="A226" s="134">
        <v>1</v>
      </c>
      <c r="B226" s="134"/>
      <c r="C226" s="77" t="s">
        <v>173</v>
      </c>
      <c r="D226" s="124">
        <f>(1.2*1.22+3.2*5.1+2.28*2.9+1.22*0.45+0.77*0.45+2.74*2+1.48*0.53+2.25*2.74+1.65*0.53+2.74*3.2+1.5*0.53+1.22*1.83+0.91*0.91+1.22*1.83+1.98*1.22+(1.44*2.7)+(1*2.74+1.1*2.74)+0.75*1.67+1.1*0.9)*10.764</f>
        <v>729.28037519999987</v>
      </c>
      <c r="E226" s="77">
        <f>(4.3*2.5)*10.764</f>
        <v>115.71299999999999</v>
      </c>
      <c r="F226" s="77">
        <f>D226*1.5+E226</f>
        <v>1209.6335627999997</v>
      </c>
      <c r="G226" s="136" t="str">
        <f>A225</f>
        <v>1st Floor for Residential</v>
      </c>
      <c r="H226" s="137"/>
      <c r="I226" s="109">
        <f>1.2*1.22+3.2*5.1+2.28*2.9+1.22*0.45+0.77*0.45+2.74*2+1.48*0.53+2.25*2.74+1.65*0.53+2.74*3.2+1.5*0.53+1.22*1.83+0.91*0.91+1.22*1.83+1.98*1.22+(1.44*2.7)+(1*2.74+1.1*2.74)+0.75*1.67+1.1*0.9</f>
        <v>67.751799999999989</v>
      </c>
      <c r="J226" s="123"/>
    </row>
    <row r="227" spans="1:10" s="109" customFormat="1" x14ac:dyDescent="0.35">
      <c r="A227" s="134">
        <v>2</v>
      </c>
      <c r="B227" s="134"/>
      <c r="C227" s="77" t="s">
        <v>173</v>
      </c>
      <c r="D227" s="124">
        <f>(1.2*1.22+3.2*5.1+2.28*2.9+1.22*0.45+0.77*0.45+2.74*2+1.48*0.53+2.25*2.74+1.65*0.53+2.74*3.2+1.5*0.53+1.22*1.83+0.91*0.91+1.22*1.83+1.98*1.22+(1.44*2.7)+(1*2.74+1.1*2.74)+0.75*1.67+1.1*0.9)*10.764</f>
        <v>729.28037519999987</v>
      </c>
      <c r="E227" s="77">
        <f>(2.75*4.4+1.3*1.49+1.4*0.88)*10.764</f>
        <v>164.35551599999999</v>
      </c>
      <c r="F227" s="77">
        <f>D227*1.5+E227</f>
        <v>1258.2760787999998</v>
      </c>
      <c r="G227" s="138"/>
      <c r="H227" s="139"/>
      <c r="J227" s="123"/>
    </row>
    <row r="228" spans="1:10" s="109" customFormat="1" x14ac:dyDescent="0.35">
      <c r="A228" s="134">
        <v>3</v>
      </c>
      <c r="B228" s="134"/>
      <c r="C228" s="77" t="s">
        <v>200</v>
      </c>
      <c r="D228" s="124">
        <f>(1.99*1.22+3.2*5.1+2.13*2.9+0.77*0.45+1.22*0.45+2.74*3.2+1.52*0.53+2.74*2.85+1.84*1.95+1.98*1.22+1.22*1.83+0.91*0.91+(1.44*2.6))*10.764</f>
        <v>602.90455679999991</v>
      </c>
      <c r="E228" s="77">
        <f>(2.7*2.5+2.9*1.4+2.9*1.3)*10.764</f>
        <v>156.93911999999997</v>
      </c>
      <c r="F228" s="77">
        <f>D228*1.5+E228</f>
        <v>1061.2959551999998</v>
      </c>
      <c r="G228" s="138"/>
      <c r="H228" s="139"/>
      <c r="J228" s="123"/>
    </row>
    <row r="229" spans="1:10" s="109" customFormat="1" x14ac:dyDescent="0.35">
      <c r="A229" s="134">
        <v>4</v>
      </c>
      <c r="B229" s="134"/>
      <c r="C229" s="77" t="s">
        <v>200</v>
      </c>
      <c r="D229" s="124">
        <f>(1.99*1.22+3.2*5.1+2.13*2.9+0.77*0.45+1.22*0.45+2.74*3.2+1.52*0.53+2.74*3.2+1.98*1.22+1.22*1.83+0.91*0.91+(1.44*2.6))*10.764</f>
        <v>574.60600079999995</v>
      </c>
      <c r="E229" s="77">
        <f>(5.6*2.5+2.8*1.3)*10.764</f>
        <v>189.87696</v>
      </c>
      <c r="F229" s="77">
        <f>D229*1.5+E229</f>
        <v>1051.7859612</v>
      </c>
      <c r="G229" s="140"/>
      <c r="H229" s="141"/>
      <c r="J229" s="123"/>
    </row>
    <row r="230" spans="1:10" s="109" customFormat="1" x14ac:dyDescent="0.35">
      <c r="A230" s="135" t="s">
        <v>275</v>
      </c>
      <c r="B230" s="135"/>
      <c r="C230" s="135"/>
      <c r="D230" s="135"/>
      <c r="E230" s="135"/>
      <c r="F230" s="135"/>
      <c r="G230" s="135"/>
      <c r="H230" s="135"/>
    </row>
    <row r="231" spans="1:10" s="109" customFormat="1" x14ac:dyDescent="0.35">
      <c r="A231" s="134">
        <v>1</v>
      </c>
      <c r="B231" s="134"/>
      <c r="C231" s="122" t="s">
        <v>173</v>
      </c>
      <c r="D231" s="124">
        <f>(1.2*1.22+3.2*5.1+2.28*2.9+1.22*0.45+0.77*0.45+2.74*2+1.48*0.53+2.25*2.74+1.65*0.53+2.74*3.2+1.5*0.53+1.22*1.83+0.91*0.91+1.22*1.83+1.98*1.22+(1.44*2.7)+(1*2.74+1.1*2.74)+0.75*1.67+1.1*0.9)*10.764</f>
        <v>729.28037519999987</v>
      </c>
      <c r="E231" s="122">
        <f>(4.3*1.4+2.5*1.3+1.9*1.8+2.5*0.8)*10.764</f>
        <v>158.12315999999998</v>
      </c>
      <c r="F231" s="122">
        <f>D231*1.5+E231</f>
        <v>1252.0437227999996</v>
      </c>
      <c r="G231" s="136" t="str">
        <f>A230</f>
        <v>2nd, 4th, 6th, 10th, 12th, 14th &amp; 16th Floor</v>
      </c>
      <c r="H231" s="137"/>
      <c r="J231" s="123"/>
    </row>
    <row r="232" spans="1:10" s="109" customFormat="1" x14ac:dyDescent="0.35">
      <c r="A232" s="134">
        <v>2</v>
      </c>
      <c r="B232" s="134"/>
      <c r="C232" s="122" t="s">
        <v>173</v>
      </c>
      <c r="D232" s="124">
        <f>(1.2*1.22+3.2*5.1+2.28*2.9+1.22*0.45+0.77*0.45+2.74*2+1.48*0.53+2.25*2.74+1.65*0.53+2.74*3.2+1.5*0.53+1.22*1.83+0.91*0.91+1.22*1.83+1.98*1.22+(1.44*2.7)+(1*2.74+1.1*2.74)+0.75*1.67+1.1*0.9)*10.764</f>
        <v>729.28037519999987</v>
      </c>
      <c r="E232" s="122">
        <f>(4.3*1.4+2.5*1.3+1.9*1.8+2.5*0.8)*10.764</f>
        <v>158.12315999999998</v>
      </c>
      <c r="F232" s="122">
        <f>D232*1.5+E232</f>
        <v>1252.0437227999996</v>
      </c>
      <c r="G232" s="138"/>
      <c r="H232" s="139"/>
      <c r="J232" s="123"/>
    </row>
    <row r="233" spans="1:10" s="109" customFormat="1" x14ac:dyDescent="0.35">
      <c r="A233" s="134">
        <v>3</v>
      </c>
      <c r="B233" s="134"/>
      <c r="C233" s="122" t="s">
        <v>200</v>
      </c>
      <c r="D233" s="124">
        <f>(1.99*1.22+3.2*5.1+2.13*2.9+0.77*0.45+1.22*0.45+2.74*3.2+1.52*0.53+2.74*2.85+1.84*1.95+1.98*1.22+1.22*1.83+0.91*0.91+(1.44*2.6))*10.764</f>
        <v>602.90455679999991</v>
      </c>
      <c r="E233" s="122">
        <f>(2.7*1.9+2.7*0.6+2.74*1.9)*10.764</f>
        <v>128.69438399999999</v>
      </c>
      <c r="F233" s="122">
        <f>D233*1.5+E233</f>
        <v>1033.0512191999999</v>
      </c>
      <c r="G233" s="138"/>
      <c r="H233" s="139"/>
      <c r="J233" s="123"/>
    </row>
    <row r="234" spans="1:10" s="109" customFormat="1" x14ac:dyDescent="0.35">
      <c r="A234" s="134">
        <v>4</v>
      </c>
      <c r="B234" s="134"/>
      <c r="C234" s="122" t="s">
        <v>200</v>
      </c>
      <c r="D234" s="124">
        <f>(1.99*1.22+3.2*5.1+2.13*2.9+0.77*0.45+1.22*0.45+2.74*3.2+1.52*0.53+2.74*3.2+1.98*1.22+1.22*1.83+0.91*0.91+(1.44*2.6))*10.764</f>
        <v>574.60600079999995</v>
      </c>
      <c r="E234" s="122">
        <f>(5.6*1.4+2.8*1.8)*10.764</f>
        <v>138.64031999999997</v>
      </c>
      <c r="F234" s="122">
        <f>D234*1.5+E234</f>
        <v>1000.5493211999999</v>
      </c>
      <c r="G234" s="140"/>
      <c r="H234" s="141"/>
      <c r="J234" s="123"/>
    </row>
    <row r="235" spans="1:10" s="109" customFormat="1" x14ac:dyDescent="0.35">
      <c r="A235" s="135" t="s">
        <v>276</v>
      </c>
      <c r="B235" s="135"/>
      <c r="C235" s="135"/>
      <c r="D235" s="135"/>
      <c r="E235" s="135"/>
      <c r="F235" s="135"/>
      <c r="G235" s="135"/>
      <c r="H235" s="135"/>
    </row>
    <row r="236" spans="1:10" s="109" customFormat="1" x14ac:dyDescent="0.35">
      <c r="A236" s="134">
        <v>1</v>
      </c>
      <c r="B236" s="134"/>
      <c r="C236" s="122" t="s">
        <v>173</v>
      </c>
      <c r="D236" s="124">
        <f>(1.2*1.22+3.2*5.1+2.28*2.9+1.22*0.45+0.77*0.45+2.74*2+1.48*0.53+2.25*2.74+1.65*0.53+2.74*3.2+1.5*0.53+1.22*1.83+0.91*0.91+1.22*1.83+1.98*1.22+(1.44*2.7)+(1*2.74+1.1*2.74)+0.75*1.67+1.1*0.9)*10.764</f>
        <v>729.28037519999987</v>
      </c>
      <c r="E236" s="122">
        <f>(4.3*2.5)*10.764</f>
        <v>115.71299999999999</v>
      </c>
      <c r="F236" s="122">
        <f>D236*1.5+E236</f>
        <v>1209.6335627999997</v>
      </c>
      <c r="G236" s="136" t="str">
        <f>A235</f>
        <v xml:space="preserve">3rd, 5th, 7th, 9th, 11th, 15th &amp; 17th Floor </v>
      </c>
      <c r="H236" s="137"/>
      <c r="J236" s="123"/>
    </row>
    <row r="237" spans="1:10" s="109" customFormat="1" x14ac:dyDescent="0.35">
      <c r="A237" s="134">
        <v>2</v>
      </c>
      <c r="B237" s="134"/>
      <c r="C237" s="122" t="s">
        <v>173</v>
      </c>
      <c r="D237" s="124">
        <f>(1.2*1.22+3.2*5.1+2.28*2.9+1.22*0.45+0.77*0.45+2.74*2+1.48*0.53+2.25*2.74+1.65*0.53+2.74*3.2+1.5*0.53+1.22*1.83+0.91*0.91+1.22*1.83+1.98*1.22+(1.44*2.7)+(1*2.74+1.1*2.74)+0.75*1.67+1.1*0.9)*10.764</f>
        <v>729.28037519999987</v>
      </c>
      <c r="E237" s="122">
        <f>(4.3*2.5)*10.764</f>
        <v>115.71299999999999</v>
      </c>
      <c r="F237" s="122">
        <f>D237*1.5+E237</f>
        <v>1209.6335627999997</v>
      </c>
      <c r="G237" s="138"/>
      <c r="H237" s="139"/>
      <c r="J237" s="123"/>
    </row>
    <row r="238" spans="1:10" s="109" customFormat="1" x14ac:dyDescent="0.35">
      <c r="A238" s="134">
        <v>3</v>
      </c>
      <c r="B238" s="134"/>
      <c r="C238" s="122" t="s">
        <v>200</v>
      </c>
      <c r="D238" s="124">
        <f>(1.99*1.22+3.2*5.1+2.13*2.9+0.77*0.45+1.22*0.45+2.74*3.2+1.52*0.53+2.74*2.85+1.84*1.95+1.98*1.22+1.22*1.83+0.91*0.91+(1.44*2.6)+0.75*2.74)*10.764</f>
        <v>625.02457679999986</v>
      </c>
      <c r="E238" s="122">
        <f>(2.7*2.5+2.9*1.4)*10.764</f>
        <v>116.35883999999997</v>
      </c>
      <c r="F238" s="122">
        <f>D238*1.5+E238</f>
        <v>1053.8957051999996</v>
      </c>
      <c r="G238" s="138"/>
      <c r="H238" s="139"/>
      <c r="J238" s="123"/>
    </row>
    <row r="239" spans="1:10" s="109" customFormat="1" x14ac:dyDescent="0.35">
      <c r="A239" s="134">
        <v>4</v>
      </c>
      <c r="B239" s="134"/>
      <c r="C239" s="122" t="s">
        <v>200</v>
      </c>
      <c r="D239" s="124">
        <f>(1.99*1.22+3.2*5.1+2.13*2.9+0.77*0.45+1.22*0.45+2.74*3.2+1.52*0.53+2.74*3.2+1.98*1.22+1.22*1.83+0.91*0.91+(1.44*2.6)+0.75*2.74)*10.764</f>
        <v>596.7260207999999</v>
      </c>
      <c r="E239" s="122">
        <f>(5.6*2.5)*10.764</f>
        <v>150.696</v>
      </c>
      <c r="F239" s="122">
        <f>D239*1.5+E239</f>
        <v>1045.7850311999998</v>
      </c>
      <c r="G239" s="140"/>
      <c r="H239" s="141"/>
      <c r="J239" s="123"/>
    </row>
    <row r="240" spans="1:10" s="109" customFormat="1" x14ac:dyDescent="0.35">
      <c r="A240" s="135" t="s">
        <v>277</v>
      </c>
      <c r="B240" s="135"/>
      <c r="C240" s="135"/>
      <c r="D240" s="135"/>
      <c r="E240" s="135"/>
      <c r="F240" s="135"/>
      <c r="G240" s="135"/>
      <c r="H240" s="135"/>
    </row>
    <row r="241" spans="1:10" s="109" customFormat="1" x14ac:dyDescent="0.35">
      <c r="A241" s="134">
        <v>1</v>
      </c>
      <c r="B241" s="134"/>
      <c r="C241" s="122" t="s">
        <v>173</v>
      </c>
      <c r="D241" s="124">
        <f>(1.2*1.22+3.2*5.1+2.28*2.9+1.22*0.45+0.77*0.45+2.74*2+1.48*0.53+2.25*2.74+1.65*0.53+2.74*3.2+1.5*0.53+1.22*1.83+0.91*0.91+1.22*1.83+1.98*1.22+(1.44*2.7)+(1*2.74+1.1*2.74)+0.75*1.67+1.1*0.9)*10.764</f>
        <v>729.28037519999987</v>
      </c>
      <c r="E241" s="122">
        <f>(4.3*1.4+2.5*1.3+1.9*1.8+2.5*0.8)*10.764</f>
        <v>158.12315999999998</v>
      </c>
      <c r="F241" s="122">
        <f>D241*1.5+E241</f>
        <v>1252.0437227999996</v>
      </c>
      <c r="G241" s="136" t="str">
        <f>A240</f>
        <v>8th Floor(Part Refuge Area)</v>
      </c>
      <c r="H241" s="137"/>
      <c r="J241" s="123"/>
    </row>
    <row r="242" spans="1:10" s="109" customFormat="1" x14ac:dyDescent="0.35">
      <c r="A242" s="134">
        <v>2</v>
      </c>
      <c r="B242" s="134"/>
      <c r="C242" s="122" t="s">
        <v>173</v>
      </c>
      <c r="D242" s="124">
        <f>(1.2*1.22+3.2*5.1+2.28*2.9+1.22*0.45+0.77*0.45+2.74*2+1.48*0.53+2.25*2.74+1.65*0.53+2.74*3.2+1.5*0.53+1.22*1.83+0.91*0.91+1.22*1.83+1.98*1.22+(1.44*2.7)+(1*2.74+1.1*2.74)+0.75*1.67+1.1*0.9)*10.764</f>
        <v>729.28037519999987</v>
      </c>
      <c r="E242" s="122">
        <f>(4.3*1.4+2.5*1.3+1.9*1.8+2.5*0.8)*10.764</f>
        <v>158.12315999999998</v>
      </c>
      <c r="F242" s="122">
        <f>D242*1.5+E242</f>
        <v>1252.0437227999996</v>
      </c>
      <c r="G242" s="138"/>
      <c r="H242" s="139"/>
      <c r="J242" s="123"/>
    </row>
    <row r="243" spans="1:10" s="109" customFormat="1" x14ac:dyDescent="0.35">
      <c r="A243" s="134">
        <v>3</v>
      </c>
      <c r="B243" s="134"/>
      <c r="C243" s="122" t="s">
        <v>199</v>
      </c>
      <c r="D243" s="124">
        <f>(1.99*1.22+3.2*5.1+2.13*2.9+0.77*0.45+1.22*0.45+2.74*3.2+1.52*0.53+1.98*1.22+1.22*1.83+0.91*0.91+(1.44*2.6))*10.764</f>
        <v>480.22724879999993</v>
      </c>
      <c r="E243" s="122">
        <f>(2.7*1.9+2.74*1.9)*10.764</f>
        <v>111.256704</v>
      </c>
      <c r="F243" s="122">
        <f>D243*1.5+E243</f>
        <v>831.59757719999993</v>
      </c>
      <c r="G243" s="138"/>
      <c r="H243" s="139"/>
      <c r="J243" s="123"/>
    </row>
    <row r="244" spans="1:10" s="109" customFormat="1" x14ac:dyDescent="0.35">
      <c r="A244" s="134">
        <v>4</v>
      </c>
      <c r="B244" s="134"/>
      <c r="C244" s="122" t="s">
        <v>200</v>
      </c>
      <c r="D244" s="124">
        <f>(1.99*1.22+3.2*5.1+2.13*2.9+0.77*0.45+1.22*0.45+2.74*3.2+1.52*0.53+2.74*3.2+1.98*1.22+1.22*1.83+0.91*0.91+(1.44*2.6))*10.764</f>
        <v>574.60600079999995</v>
      </c>
      <c r="E244" s="122">
        <f>(5.6*1.4+2.8*1.8)*10.764</f>
        <v>138.64031999999997</v>
      </c>
      <c r="F244" s="122">
        <f>D244*1.5+E244</f>
        <v>1000.5493211999999</v>
      </c>
      <c r="G244" s="140"/>
      <c r="H244" s="141"/>
      <c r="J244" s="123"/>
    </row>
    <row r="245" spans="1:10" s="109" customFormat="1" x14ac:dyDescent="0.35">
      <c r="A245" s="135" t="s">
        <v>247</v>
      </c>
      <c r="B245" s="135"/>
      <c r="C245" s="135"/>
      <c r="D245" s="135"/>
      <c r="E245" s="135"/>
      <c r="F245" s="135"/>
      <c r="G245" s="135"/>
      <c r="H245" s="135"/>
    </row>
    <row r="246" spans="1:10" s="109" customFormat="1" x14ac:dyDescent="0.35">
      <c r="A246" s="134">
        <v>1</v>
      </c>
      <c r="B246" s="134"/>
      <c r="C246" s="122" t="s">
        <v>173</v>
      </c>
      <c r="D246" s="124">
        <f>(1.2*1.22+3.2*5.1+2.28*2.9+1.22*0.45+0.77*0.45+2.74*2+1.48*0.53+2.25*2.74+1.65*0.53+2.74*3.2+1.5*0.53+1.22*1.83+0.91*0.91+1.22*1.83+1.98*1.22+(1.44*2.7)+(1*2.74+1.1*2.74)+0.75*1.67+1.1*0.9)*10.764</f>
        <v>729.28037519999987</v>
      </c>
      <c r="E246" s="122">
        <f>(4.3*2.5)*10.764</f>
        <v>115.71299999999999</v>
      </c>
      <c r="F246" s="122">
        <f>D246*1.5+E246</f>
        <v>1209.6335627999997</v>
      </c>
      <c r="G246" s="136" t="str">
        <f>A245</f>
        <v>13th Floor (Part Refuge Area)</v>
      </c>
      <c r="H246" s="137"/>
      <c r="J246" s="123"/>
    </row>
    <row r="247" spans="1:10" s="109" customFormat="1" x14ac:dyDescent="0.35">
      <c r="A247" s="134">
        <v>2</v>
      </c>
      <c r="B247" s="134"/>
      <c r="C247" s="122" t="s">
        <v>173</v>
      </c>
      <c r="D247" s="124">
        <f>(1.2*1.22+3.2*5.1+2.28*2.9+1.22*0.45+0.77*0.45+2.74*2+1.48*0.53+2.25*2.74+1.65*0.53+2.74*3.2+1.5*0.53+1.22*1.83+0.91*0.91+1.22*1.83+1.98*1.22+(1.44*2.7)+(1*2.74+1.1*2.74)+0.75*1.67+1.1*0.9)*10.764</f>
        <v>729.28037519999987</v>
      </c>
      <c r="E247" s="122">
        <f>(4.3*2.5)*10.764</f>
        <v>115.71299999999999</v>
      </c>
      <c r="F247" s="122">
        <f>D247*1.5+E247</f>
        <v>1209.6335627999997</v>
      </c>
      <c r="G247" s="138"/>
      <c r="H247" s="139"/>
      <c r="J247" s="123"/>
    </row>
    <row r="248" spans="1:10" s="109" customFormat="1" x14ac:dyDescent="0.35">
      <c r="A248" s="134">
        <v>3</v>
      </c>
      <c r="B248" s="134"/>
      <c r="C248" s="122" t="s">
        <v>199</v>
      </c>
      <c r="D248" s="124">
        <f>(1.99*1.22+3.2*5.1+2.13*2.9+0.77*0.45+1.22*0.45+2.74*3.2+1.52*0.53+1.98*1.22+1.22*1.83+0.91*0.91+(1.44*2.6)+0.75*2.74)*10.764</f>
        <v>502.34726879999994</v>
      </c>
      <c r="E248" s="122">
        <f>(2.7*2.5)*10.764</f>
        <v>72.656999999999996</v>
      </c>
      <c r="F248" s="122">
        <f>D248*1.5+E248</f>
        <v>826.17790319999995</v>
      </c>
      <c r="G248" s="138"/>
      <c r="H248" s="139"/>
      <c r="J248" s="123"/>
    </row>
    <row r="249" spans="1:10" s="109" customFormat="1" x14ac:dyDescent="0.35">
      <c r="A249" s="134">
        <v>4</v>
      </c>
      <c r="B249" s="134"/>
      <c r="C249" s="122" t="s">
        <v>200</v>
      </c>
      <c r="D249" s="124">
        <f>(1.99*1.22+3.2*5.1+2.13*2.9+0.77*0.45+1.22*0.45+2.74*3.2+1.52*0.53+2.74*3.2+1.98*1.22+1.22*1.83+0.91*0.91+(1.44*2.6)+0.75*2.74)*10.764</f>
        <v>596.7260207999999</v>
      </c>
      <c r="E249" s="122">
        <f>(5.6*2.5)*10.764</f>
        <v>150.696</v>
      </c>
      <c r="F249" s="122">
        <f>D249*1.5+E249</f>
        <v>1045.7850311999998</v>
      </c>
      <c r="G249" s="140"/>
      <c r="H249" s="141"/>
      <c r="J249" s="123"/>
    </row>
    <row r="250" spans="1:10" s="109" customFormat="1" x14ac:dyDescent="0.35">
      <c r="A250" s="161" t="s">
        <v>88</v>
      </c>
      <c r="B250" s="161"/>
      <c r="C250" s="161"/>
      <c r="D250" s="161"/>
      <c r="E250" s="161"/>
      <c r="F250" s="161"/>
      <c r="G250" s="161"/>
      <c r="H250" s="161"/>
    </row>
    <row r="251" spans="1:10" s="108" customFormat="1" ht="200" customHeight="1" x14ac:dyDescent="0.35">
      <c r="A251" s="162" t="s">
        <v>301</v>
      </c>
      <c r="B251" s="162"/>
      <c r="C251" s="162"/>
      <c r="D251" s="162"/>
      <c r="E251" s="162"/>
      <c r="F251" s="162"/>
      <c r="G251" s="162"/>
      <c r="H251" s="162"/>
    </row>
    <row r="252" spans="1:10" s="111" customFormat="1" x14ac:dyDescent="0.35">
      <c r="A252" s="163" t="s">
        <v>79</v>
      </c>
      <c r="B252" s="163"/>
      <c r="C252" s="163"/>
      <c r="D252" s="163"/>
      <c r="E252" s="163"/>
      <c r="F252" s="163"/>
      <c r="G252" s="163"/>
      <c r="H252" s="163"/>
    </row>
    <row r="253" spans="1:10" x14ac:dyDescent="0.35">
      <c r="A253" s="158" t="s">
        <v>80</v>
      </c>
      <c r="B253" s="158"/>
      <c r="C253" s="158"/>
      <c r="D253" s="158"/>
      <c r="E253" s="158"/>
      <c r="F253" s="158"/>
      <c r="G253" s="158"/>
      <c r="H253" s="158"/>
    </row>
    <row r="254" spans="1:10" x14ac:dyDescent="0.35">
      <c r="A254" s="163" t="s">
        <v>81</v>
      </c>
      <c r="B254" s="163"/>
      <c r="C254" s="163"/>
      <c r="D254" s="163"/>
      <c r="E254" s="163"/>
      <c r="F254" s="163"/>
      <c r="G254" s="163"/>
      <c r="H254" s="163"/>
    </row>
    <row r="255" spans="1:10" ht="15.75" customHeight="1" x14ac:dyDescent="0.35">
      <c r="A255" s="158" t="s">
        <v>82</v>
      </c>
      <c r="B255" s="158"/>
      <c r="C255" s="158"/>
      <c r="D255" s="158"/>
      <c r="E255" s="158"/>
      <c r="F255" s="158"/>
      <c r="G255" s="158"/>
      <c r="H255" s="158"/>
    </row>
    <row r="256" spans="1:10" x14ac:dyDescent="0.35">
      <c r="A256" s="158" t="s">
        <v>83</v>
      </c>
      <c r="B256" s="158"/>
      <c r="C256" s="158"/>
      <c r="D256" s="158"/>
      <c r="E256" s="158"/>
      <c r="F256" s="158"/>
      <c r="G256" s="158"/>
      <c r="H256" s="158"/>
    </row>
    <row r="257" spans="1:8" hidden="1" x14ac:dyDescent="0.35">
      <c r="A257" s="158" t="s">
        <v>84</v>
      </c>
      <c r="B257" s="158"/>
      <c r="C257" s="158"/>
      <c r="D257" s="158"/>
      <c r="E257" s="158"/>
      <c r="F257" s="158"/>
      <c r="G257" s="158"/>
      <c r="H257" s="158"/>
    </row>
    <row r="258" spans="1:8" hidden="1" x14ac:dyDescent="0.35">
      <c r="A258" s="159" t="s">
        <v>85</v>
      </c>
      <c r="B258" s="159"/>
      <c r="C258" s="159"/>
      <c r="D258" s="159"/>
      <c r="E258" s="159"/>
      <c r="F258" s="159"/>
      <c r="G258" s="159"/>
      <c r="H258" s="159"/>
    </row>
    <row r="259" spans="1:8" x14ac:dyDescent="0.35">
      <c r="A259" s="160" t="s">
        <v>122</v>
      </c>
      <c r="B259" s="160"/>
      <c r="C259" s="160" t="s">
        <v>127</v>
      </c>
      <c r="D259" s="160"/>
      <c r="E259" s="160" t="s">
        <v>165</v>
      </c>
      <c r="F259" s="160"/>
      <c r="G259" s="160" t="s">
        <v>303</v>
      </c>
      <c r="H259" s="160"/>
    </row>
    <row r="260" spans="1:8" x14ac:dyDescent="0.35">
      <c r="A260" s="155" t="s">
        <v>125</v>
      </c>
      <c r="B260" s="155"/>
      <c r="C260" s="155"/>
      <c r="D260" s="155"/>
      <c r="E260" s="155"/>
      <c r="F260" s="155"/>
      <c r="G260" s="155"/>
      <c r="H260" s="155"/>
    </row>
    <row r="261" spans="1:8" x14ac:dyDescent="0.35">
      <c r="A261" s="155"/>
      <c r="B261" s="155"/>
      <c r="C261" s="155"/>
      <c r="D261" s="155"/>
      <c r="E261" s="155"/>
      <c r="F261" s="155"/>
      <c r="G261" s="155"/>
      <c r="H261" s="155"/>
    </row>
    <row r="262" spans="1:8" x14ac:dyDescent="0.35">
      <c r="A262" s="155"/>
      <c r="B262" s="155"/>
      <c r="C262" s="155"/>
      <c r="D262" s="155"/>
      <c r="E262" s="155"/>
      <c r="F262" s="155"/>
      <c r="G262" s="155"/>
      <c r="H262" s="155"/>
    </row>
    <row r="263" spans="1:8" x14ac:dyDescent="0.35">
      <c r="A263" s="155"/>
      <c r="B263" s="155"/>
      <c r="C263" s="155"/>
      <c r="D263" s="155"/>
      <c r="E263" s="155"/>
      <c r="F263" s="155"/>
      <c r="G263" s="155"/>
      <c r="H263" s="155"/>
    </row>
    <row r="264" spans="1:8" ht="18.75" customHeight="1" x14ac:dyDescent="0.35">
      <c r="A264" s="112" t="s">
        <v>86</v>
      </c>
      <c r="B264" s="113"/>
      <c r="C264" s="113"/>
      <c r="D264" s="112" t="str">
        <f>E8</f>
        <v>Umiya Nakshtra Heights</v>
      </c>
      <c r="F264" s="113"/>
      <c r="G264" s="113"/>
      <c r="H264" s="113"/>
    </row>
    <row r="265" spans="1:8" x14ac:dyDescent="0.35">
      <c r="A265" s="113"/>
      <c r="B265" s="113"/>
      <c r="C265" s="113"/>
      <c r="D265" s="113"/>
      <c r="E265" s="113"/>
      <c r="F265" s="113"/>
      <c r="G265" s="113"/>
      <c r="H265" s="113"/>
    </row>
    <row r="266" spans="1:8" x14ac:dyDescent="0.35">
      <c r="A266" s="113"/>
      <c r="B266" s="113"/>
      <c r="C266" s="113"/>
      <c r="D266" s="113"/>
      <c r="E266" s="113"/>
      <c r="F266" s="113"/>
      <c r="G266" s="113"/>
      <c r="H266" s="113"/>
    </row>
    <row r="268" spans="1:8" ht="15" customHeight="1" x14ac:dyDescent="0.35"/>
    <row r="307" spans="1:1" x14ac:dyDescent="0.35">
      <c r="A307" s="115" t="s">
        <v>296</v>
      </c>
    </row>
    <row r="340" spans="1:1" x14ac:dyDescent="0.35">
      <c r="A340" s="115" t="s">
        <v>87</v>
      </c>
    </row>
  </sheetData>
  <mergeCells count="399">
    <mergeCell ref="A78:B78"/>
    <mergeCell ref="C78:H78"/>
    <mergeCell ref="A80:B80"/>
    <mergeCell ref="C80:H80"/>
    <mergeCell ref="A82:B82"/>
    <mergeCell ref="E82:F82"/>
    <mergeCell ref="G82:H82"/>
    <mergeCell ref="A83:B83"/>
    <mergeCell ref="E83:F92"/>
    <mergeCell ref="G83:H92"/>
    <mergeCell ref="A84:B84"/>
    <mergeCell ref="A85:B85"/>
    <mergeCell ref="A86:B86"/>
    <mergeCell ref="A87:B87"/>
    <mergeCell ref="A88:B88"/>
    <mergeCell ref="A89:B89"/>
    <mergeCell ref="A90:B90"/>
    <mergeCell ref="A91:B91"/>
    <mergeCell ref="A92:B92"/>
    <mergeCell ref="A81:B81"/>
    <mergeCell ref="C81:D81"/>
    <mergeCell ref="E81:F81"/>
    <mergeCell ref="G81:H81"/>
    <mergeCell ref="A5:D5"/>
    <mergeCell ref="E5:H5"/>
    <mergeCell ref="A6:D6"/>
    <mergeCell ref="E6:H6"/>
    <mergeCell ref="A7:D7"/>
    <mergeCell ref="E7:H7"/>
    <mergeCell ref="A1:H1"/>
    <mergeCell ref="A2:H2"/>
    <mergeCell ref="A3:D3"/>
    <mergeCell ref="E3:H3"/>
    <mergeCell ref="A4:D4"/>
    <mergeCell ref="E4:H4"/>
    <mergeCell ref="A11:D11"/>
    <mergeCell ref="E11:H11"/>
    <mergeCell ref="A12:D12"/>
    <mergeCell ref="E12:H12"/>
    <mergeCell ref="A13:B13"/>
    <mergeCell ref="C13:H13"/>
    <mergeCell ref="A8:D8"/>
    <mergeCell ref="E8:H8"/>
    <mergeCell ref="A9:D9"/>
    <mergeCell ref="E9:H9"/>
    <mergeCell ref="A10:D10"/>
    <mergeCell ref="E10:H10"/>
    <mergeCell ref="A16:B16"/>
    <mergeCell ref="C16:D16"/>
    <mergeCell ref="E16:F16"/>
    <mergeCell ref="G16:H16"/>
    <mergeCell ref="A17:B17"/>
    <mergeCell ref="C17:D17"/>
    <mergeCell ref="E17:F17"/>
    <mergeCell ref="G17:H17"/>
    <mergeCell ref="A14:B14"/>
    <mergeCell ref="C14:H14"/>
    <mergeCell ref="A15:B15"/>
    <mergeCell ref="C15:D15"/>
    <mergeCell ref="E15:F15"/>
    <mergeCell ref="G15:H15"/>
    <mergeCell ref="A21:D21"/>
    <mergeCell ref="E21:H21"/>
    <mergeCell ref="A22:D22"/>
    <mergeCell ref="E22:H22"/>
    <mergeCell ref="A23:D23"/>
    <mergeCell ref="E23:H23"/>
    <mergeCell ref="A18:B18"/>
    <mergeCell ref="C18:D18"/>
    <mergeCell ref="E18:F18"/>
    <mergeCell ref="G18:H18"/>
    <mergeCell ref="A19:D20"/>
    <mergeCell ref="E19:H20"/>
    <mergeCell ref="A27:D27"/>
    <mergeCell ref="E27:H27"/>
    <mergeCell ref="A28:D28"/>
    <mergeCell ref="E28:H28"/>
    <mergeCell ref="A29:B29"/>
    <mergeCell ref="C29:E29"/>
    <mergeCell ref="F29:H29"/>
    <mergeCell ref="A24:D24"/>
    <mergeCell ref="E24:H24"/>
    <mergeCell ref="A25:D25"/>
    <mergeCell ref="E25:H25"/>
    <mergeCell ref="A26:D26"/>
    <mergeCell ref="E26:H26"/>
    <mergeCell ref="A32:B32"/>
    <mergeCell ref="C32:E32"/>
    <mergeCell ref="F32:H32"/>
    <mergeCell ref="A33:B33"/>
    <mergeCell ref="C33:E33"/>
    <mergeCell ref="F33:H33"/>
    <mergeCell ref="A30:B30"/>
    <mergeCell ref="C30:E30"/>
    <mergeCell ref="F30:H30"/>
    <mergeCell ref="A31:B31"/>
    <mergeCell ref="C31:E31"/>
    <mergeCell ref="F31:H31"/>
    <mergeCell ref="A38:D38"/>
    <mergeCell ref="E38:H38"/>
    <mergeCell ref="A39:D39"/>
    <mergeCell ref="E39:H39"/>
    <mergeCell ref="A40:D40"/>
    <mergeCell ref="E40:H40"/>
    <mergeCell ref="A34:H34"/>
    <mergeCell ref="A35:B35"/>
    <mergeCell ref="A37:H37"/>
    <mergeCell ref="A36:B36"/>
    <mergeCell ref="C36:H36"/>
    <mergeCell ref="C35:H35"/>
    <mergeCell ref="A44:H44"/>
    <mergeCell ref="A45:B45"/>
    <mergeCell ref="C45:E45"/>
    <mergeCell ref="G45:H45"/>
    <mergeCell ref="A46:B46"/>
    <mergeCell ref="C46:E46"/>
    <mergeCell ref="G46:H46"/>
    <mergeCell ref="A41:D41"/>
    <mergeCell ref="E41:H41"/>
    <mergeCell ref="A42:D42"/>
    <mergeCell ref="E42:H42"/>
    <mergeCell ref="A43:D43"/>
    <mergeCell ref="E43:H43"/>
    <mergeCell ref="A53:H53"/>
    <mergeCell ref="A54:C54"/>
    <mergeCell ref="D54:H54"/>
    <mergeCell ref="A55:C55"/>
    <mergeCell ref="D55:H55"/>
    <mergeCell ref="A56:C56"/>
    <mergeCell ref="D56:H56"/>
    <mergeCell ref="A47:B48"/>
    <mergeCell ref="C47:E47"/>
    <mergeCell ref="G47:H47"/>
    <mergeCell ref="C48:H48"/>
    <mergeCell ref="A52:B52"/>
    <mergeCell ref="C52:E52"/>
    <mergeCell ref="G52:H52"/>
    <mergeCell ref="A49:B49"/>
    <mergeCell ref="C49:E49"/>
    <mergeCell ref="G49:H49"/>
    <mergeCell ref="A50:B51"/>
    <mergeCell ref="C50:E50"/>
    <mergeCell ref="G50:H50"/>
    <mergeCell ref="C51:H51"/>
    <mergeCell ref="A60:C60"/>
    <mergeCell ref="D60:H60"/>
    <mergeCell ref="A61:C61"/>
    <mergeCell ref="D61:H61"/>
    <mergeCell ref="A57:C57"/>
    <mergeCell ref="D57:H57"/>
    <mergeCell ref="A58:C58"/>
    <mergeCell ref="D58:H58"/>
    <mergeCell ref="A59:C59"/>
    <mergeCell ref="D59:H59"/>
    <mergeCell ref="A93:B93"/>
    <mergeCell ref="C93:H93"/>
    <mergeCell ref="A95:B95"/>
    <mergeCell ref="C95:H95"/>
    <mergeCell ref="A96:B96"/>
    <mergeCell ref="E96:F96"/>
    <mergeCell ref="G96:H96"/>
    <mergeCell ref="A97:B97"/>
    <mergeCell ref="E97:F106"/>
    <mergeCell ref="G97:H106"/>
    <mergeCell ref="A98:B98"/>
    <mergeCell ref="A99:B99"/>
    <mergeCell ref="A100:B100"/>
    <mergeCell ref="A101:B101"/>
    <mergeCell ref="A102:B102"/>
    <mergeCell ref="A103:B103"/>
    <mergeCell ref="A104:B104"/>
    <mergeCell ref="A105:B105"/>
    <mergeCell ref="A106:B106"/>
    <mergeCell ref="A112:E112"/>
    <mergeCell ref="F112:H112"/>
    <mergeCell ref="A107:H107"/>
    <mergeCell ref="A108:H108"/>
    <mergeCell ref="A109:B109"/>
    <mergeCell ref="C109:H109"/>
    <mergeCell ref="A110:H110"/>
    <mergeCell ref="A111:E111"/>
    <mergeCell ref="F111:H111"/>
    <mergeCell ref="A116:E116"/>
    <mergeCell ref="F116:H116"/>
    <mergeCell ref="A117:E117"/>
    <mergeCell ref="F117:H117"/>
    <mergeCell ref="A118:E118"/>
    <mergeCell ref="F118:H118"/>
    <mergeCell ref="A113:E113"/>
    <mergeCell ref="F113:H113"/>
    <mergeCell ref="A114:E114"/>
    <mergeCell ref="F114:H114"/>
    <mergeCell ref="A115:E115"/>
    <mergeCell ref="F115:H115"/>
    <mergeCell ref="A122:H122"/>
    <mergeCell ref="A123:B123"/>
    <mergeCell ref="D123:E123"/>
    <mergeCell ref="F123:H123"/>
    <mergeCell ref="A124:B124"/>
    <mergeCell ref="D124:E124"/>
    <mergeCell ref="F124:H124"/>
    <mergeCell ref="A119:E119"/>
    <mergeCell ref="F119:H119"/>
    <mergeCell ref="A120:E120"/>
    <mergeCell ref="F120:H120"/>
    <mergeCell ref="A121:E121"/>
    <mergeCell ref="F121:H121"/>
    <mergeCell ref="A131:H131"/>
    <mergeCell ref="A132:H132"/>
    <mergeCell ref="A133:B133"/>
    <mergeCell ref="G133:H133"/>
    <mergeCell ref="A125:H125"/>
    <mergeCell ref="A126:B126"/>
    <mergeCell ref="D126:E126"/>
    <mergeCell ref="F126:H126"/>
    <mergeCell ref="A127:B127"/>
    <mergeCell ref="D127:E127"/>
    <mergeCell ref="F127:H127"/>
    <mergeCell ref="A128:B128"/>
    <mergeCell ref="D128:E128"/>
    <mergeCell ref="F128:H128"/>
    <mergeCell ref="A130:B130"/>
    <mergeCell ref="D130:E130"/>
    <mergeCell ref="F130:H130"/>
    <mergeCell ref="A129:B129"/>
    <mergeCell ref="D129:E129"/>
    <mergeCell ref="F129:H129"/>
    <mergeCell ref="A134:H134"/>
    <mergeCell ref="A135:H135"/>
    <mergeCell ref="A136:H136"/>
    <mergeCell ref="A137:H137"/>
    <mergeCell ref="A138:B138"/>
    <mergeCell ref="G138:H143"/>
    <mergeCell ref="A139:B139"/>
    <mergeCell ref="A140:B140"/>
    <mergeCell ref="A141:B141"/>
    <mergeCell ref="A142:B142"/>
    <mergeCell ref="A151:H151"/>
    <mergeCell ref="A152:B152"/>
    <mergeCell ref="G152:H157"/>
    <mergeCell ref="A153:B153"/>
    <mergeCell ref="A154:B154"/>
    <mergeCell ref="A155:B155"/>
    <mergeCell ref="A156:B156"/>
    <mergeCell ref="A157:B157"/>
    <mergeCell ref="A143:B143"/>
    <mergeCell ref="A144:H144"/>
    <mergeCell ref="A145:B145"/>
    <mergeCell ref="A146:B146"/>
    <mergeCell ref="A147:B147"/>
    <mergeCell ref="A148:B148"/>
    <mergeCell ref="A149:B149"/>
    <mergeCell ref="A150:B150"/>
    <mergeCell ref="A165:H165"/>
    <mergeCell ref="A166:B166"/>
    <mergeCell ref="G166:H171"/>
    <mergeCell ref="A167:B167"/>
    <mergeCell ref="A168:B168"/>
    <mergeCell ref="A169:B169"/>
    <mergeCell ref="A170:B170"/>
    <mergeCell ref="A171:B171"/>
    <mergeCell ref="A158:H158"/>
    <mergeCell ref="A159:B159"/>
    <mergeCell ref="G159:H164"/>
    <mergeCell ref="A160:B160"/>
    <mergeCell ref="A161:B161"/>
    <mergeCell ref="A162:B162"/>
    <mergeCell ref="A163:B163"/>
    <mergeCell ref="A164:B164"/>
    <mergeCell ref="A179:H179"/>
    <mergeCell ref="A180:B180"/>
    <mergeCell ref="A181:B181"/>
    <mergeCell ref="A182:B182"/>
    <mergeCell ref="A184:B184"/>
    <mergeCell ref="A185:B185"/>
    <mergeCell ref="A172:H172"/>
    <mergeCell ref="A173:B173"/>
    <mergeCell ref="A174:B174"/>
    <mergeCell ref="A175:B175"/>
    <mergeCell ref="A176:B176"/>
    <mergeCell ref="A177:B177"/>
    <mergeCell ref="A183:B183"/>
    <mergeCell ref="C185:F185"/>
    <mergeCell ref="G180:H185"/>
    <mergeCell ref="A186:H186"/>
    <mergeCell ref="A188:H188"/>
    <mergeCell ref="A189:B189"/>
    <mergeCell ref="G189:H194"/>
    <mergeCell ref="A190:B190"/>
    <mergeCell ref="A191:B191"/>
    <mergeCell ref="A192:B192"/>
    <mergeCell ref="A193:B193"/>
    <mergeCell ref="A194:B194"/>
    <mergeCell ref="A187:H187"/>
    <mergeCell ref="A222:B222"/>
    <mergeCell ref="A195:H195"/>
    <mergeCell ref="A196:B196"/>
    <mergeCell ref="G196:H201"/>
    <mergeCell ref="A197:B197"/>
    <mergeCell ref="A198:B198"/>
    <mergeCell ref="A199:B199"/>
    <mergeCell ref="A200:B200"/>
    <mergeCell ref="A201:B201"/>
    <mergeCell ref="A202:H202"/>
    <mergeCell ref="A203:B203"/>
    <mergeCell ref="G203:H208"/>
    <mergeCell ref="A204:B204"/>
    <mergeCell ref="A205:B205"/>
    <mergeCell ref="A206:B206"/>
    <mergeCell ref="A207:B207"/>
    <mergeCell ref="A208:B208"/>
    <mergeCell ref="G210:H215"/>
    <mergeCell ref="A211:B211"/>
    <mergeCell ref="A212:B212"/>
    <mergeCell ref="A213:B213"/>
    <mergeCell ref="A214:B214"/>
    <mergeCell ref="A215:B215"/>
    <mergeCell ref="A260:H263"/>
    <mergeCell ref="A178:B178"/>
    <mergeCell ref="G173:H178"/>
    <mergeCell ref="G145:H150"/>
    <mergeCell ref="C178:F178"/>
    <mergeCell ref="A256:H256"/>
    <mergeCell ref="A257:H257"/>
    <mergeCell ref="A258:H258"/>
    <mergeCell ref="A259:B259"/>
    <mergeCell ref="C259:D259"/>
    <mergeCell ref="E259:F259"/>
    <mergeCell ref="G259:H259"/>
    <mergeCell ref="A250:H250"/>
    <mergeCell ref="A251:H251"/>
    <mergeCell ref="A252:H252"/>
    <mergeCell ref="A253:H253"/>
    <mergeCell ref="A254:H254"/>
    <mergeCell ref="A255:H255"/>
    <mergeCell ref="A223:H223"/>
    <mergeCell ref="A225:H225"/>
    <mergeCell ref="A226:B226"/>
    <mergeCell ref="G226:H229"/>
    <mergeCell ref="A227:B227"/>
    <mergeCell ref="A228:B228"/>
    <mergeCell ref="A62:B62"/>
    <mergeCell ref="C62:H62"/>
    <mergeCell ref="A64:B64"/>
    <mergeCell ref="C64:H64"/>
    <mergeCell ref="A67:B67"/>
    <mergeCell ref="E67:F67"/>
    <mergeCell ref="G67:H67"/>
    <mergeCell ref="A68:B68"/>
    <mergeCell ref="E68:F77"/>
    <mergeCell ref="G68:H77"/>
    <mergeCell ref="A69:B69"/>
    <mergeCell ref="A70:B70"/>
    <mergeCell ref="A71:B71"/>
    <mergeCell ref="A72:B72"/>
    <mergeCell ref="A73:B73"/>
    <mergeCell ref="A74:B74"/>
    <mergeCell ref="A75:B75"/>
    <mergeCell ref="A76:B76"/>
    <mergeCell ref="A77:B77"/>
    <mergeCell ref="A65:B66"/>
    <mergeCell ref="C65:D66"/>
    <mergeCell ref="E65:F66"/>
    <mergeCell ref="G65:H66"/>
    <mergeCell ref="A241:B241"/>
    <mergeCell ref="G241:H244"/>
    <mergeCell ref="A242:B242"/>
    <mergeCell ref="A243:B243"/>
    <mergeCell ref="A244:B244"/>
    <mergeCell ref="A245:H245"/>
    <mergeCell ref="A246:B246"/>
    <mergeCell ref="G246:H249"/>
    <mergeCell ref="A247:B247"/>
    <mergeCell ref="A248:B248"/>
    <mergeCell ref="A249:B249"/>
    <mergeCell ref="A229:B229"/>
    <mergeCell ref="A209:H209"/>
    <mergeCell ref="A210:B210"/>
    <mergeCell ref="A240:H240"/>
    <mergeCell ref="A231:B231"/>
    <mergeCell ref="A232:B232"/>
    <mergeCell ref="A230:H230"/>
    <mergeCell ref="G231:H234"/>
    <mergeCell ref="A233:B233"/>
    <mergeCell ref="A234:B234"/>
    <mergeCell ref="A235:H235"/>
    <mergeCell ref="A236:B236"/>
    <mergeCell ref="G236:H239"/>
    <mergeCell ref="A237:B237"/>
    <mergeCell ref="A238:B238"/>
    <mergeCell ref="A239:B239"/>
    <mergeCell ref="A224:H224"/>
    <mergeCell ref="A216:H216"/>
    <mergeCell ref="A217:B217"/>
    <mergeCell ref="G217:H222"/>
    <mergeCell ref="A218:B218"/>
    <mergeCell ref="A219:B219"/>
    <mergeCell ref="A220:B220"/>
    <mergeCell ref="A221:B221"/>
  </mergeCells>
  <hyperlinks>
    <hyperlink ref="C36" r:id="rId1"/>
  </hyperlinks>
  <printOptions horizontalCentered="1"/>
  <pageMargins left="0.39370078740157483" right="0.39370078740157483" top="0.86614173228346458" bottom="0.78740157480314965" header="0.19685039370078741" footer="0.19685039370078741"/>
  <pageSetup scale="99" fitToHeight="0" orientation="portrait" r:id="rId2"/>
  <headerFooter>
    <oddHeader>&amp;C&amp;G</oddHeader>
    <oddFooter>&amp;L&amp;"Times New Roman,Bold"&amp;12Ref No: &amp;F&amp;C&amp;G&amp;R&amp;"Times New Roman,Bold"&amp;12           
 &amp;P</oddFooter>
  </headerFooter>
  <rowBreaks count="4" manualBreakCount="4">
    <brk id="77" max="16383" man="1"/>
    <brk id="263" max="16383" man="1"/>
    <brk id="306" max="7" man="1"/>
    <brk id="33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3"/>
  <sheetViews>
    <sheetView showWhiteSpace="0" view="pageLayout" topLeftCell="A46" zoomScale="85" zoomScaleNormal="100" zoomScaleSheetLayoutView="110" zoomScalePageLayoutView="85" workbookViewId="0">
      <selection activeCell="A69" sqref="A69:XFD75"/>
    </sheetView>
  </sheetViews>
  <sheetFormatPr defaultColWidth="9.1796875" defaultRowHeight="15.5" x14ac:dyDescent="0.35"/>
  <cols>
    <col min="1" max="1" width="11.453125" style="21" customWidth="1"/>
    <col min="2" max="2" width="11.1796875" style="21" customWidth="1"/>
    <col min="3" max="3" width="12.7265625" style="21" customWidth="1"/>
    <col min="4" max="4" width="12.81640625" style="21" customWidth="1"/>
    <col min="5" max="7" width="11.7265625" style="21" customWidth="1"/>
    <col min="8" max="8" width="12.453125" style="21" customWidth="1"/>
    <col min="9" max="9" width="20.453125" style="8" customWidth="1"/>
    <col min="10" max="10" width="9.81640625" style="8" bestFit="1" customWidth="1"/>
    <col min="11"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8" ht="46.5" customHeight="1" x14ac:dyDescent="0.35">
      <c r="A1" s="250" t="s">
        <v>124</v>
      </c>
      <c r="B1" s="250"/>
      <c r="C1" s="250"/>
      <c r="D1" s="250"/>
      <c r="E1" s="250"/>
      <c r="F1" s="250"/>
      <c r="G1" s="250"/>
      <c r="H1" s="250"/>
    </row>
    <row r="2" spans="1:8" ht="16.5" customHeight="1" x14ac:dyDescent="0.35">
      <c r="A2" s="251" t="s">
        <v>0</v>
      </c>
      <c r="B2" s="251"/>
      <c r="C2" s="251"/>
      <c r="D2" s="251"/>
      <c r="E2" s="251"/>
      <c r="F2" s="251"/>
      <c r="G2" s="251"/>
      <c r="H2" s="251"/>
    </row>
    <row r="3" spans="1:8" x14ac:dyDescent="0.35">
      <c r="A3" s="252" t="s">
        <v>1</v>
      </c>
      <c r="B3" s="252"/>
      <c r="C3" s="252"/>
      <c r="D3" s="252"/>
      <c r="E3" s="253" t="s">
        <v>234</v>
      </c>
      <c r="F3" s="253"/>
      <c r="G3" s="253"/>
      <c r="H3" s="253"/>
    </row>
    <row r="4" spans="1:8" ht="15" customHeight="1" x14ac:dyDescent="0.35">
      <c r="A4" s="252" t="s">
        <v>2</v>
      </c>
      <c r="B4" s="252"/>
      <c r="C4" s="252"/>
      <c r="D4" s="252"/>
      <c r="E4" s="212" t="s">
        <v>183</v>
      </c>
      <c r="F4" s="212"/>
      <c r="G4" s="212"/>
      <c r="H4" s="212"/>
    </row>
    <row r="5" spans="1:8" x14ac:dyDescent="0.35">
      <c r="A5" s="252" t="s">
        <v>3</v>
      </c>
      <c r="B5" s="252"/>
      <c r="C5" s="252"/>
      <c r="D5" s="252"/>
      <c r="E5" s="255" t="s">
        <v>184</v>
      </c>
      <c r="F5" s="255"/>
      <c r="G5" s="255"/>
      <c r="H5" s="255"/>
    </row>
    <row r="6" spans="1:8" ht="16.5" customHeight="1" x14ac:dyDescent="0.35">
      <c r="A6" s="252" t="s">
        <v>4</v>
      </c>
      <c r="B6" s="252"/>
      <c r="C6" s="252"/>
      <c r="D6" s="252"/>
      <c r="E6" s="256" t="s">
        <v>224</v>
      </c>
      <c r="F6" s="256"/>
      <c r="G6" s="256"/>
      <c r="H6" s="256"/>
    </row>
    <row r="7" spans="1:8" ht="15" customHeight="1" x14ac:dyDescent="0.35">
      <c r="A7" s="252" t="s">
        <v>5</v>
      </c>
      <c r="B7" s="252"/>
      <c r="C7" s="252"/>
      <c r="D7" s="252"/>
      <c r="E7" s="256" t="str">
        <f>E6</f>
        <v>M/s. Jigar Enterprises</v>
      </c>
      <c r="F7" s="256"/>
      <c r="G7" s="256"/>
      <c r="H7" s="256"/>
    </row>
    <row r="8" spans="1:8" x14ac:dyDescent="0.35">
      <c r="A8" s="252" t="s">
        <v>6</v>
      </c>
      <c r="B8" s="252"/>
      <c r="C8" s="252"/>
      <c r="D8" s="252"/>
      <c r="E8" s="252" t="s">
        <v>185</v>
      </c>
      <c r="F8" s="252"/>
      <c r="G8" s="252"/>
      <c r="H8" s="252"/>
    </row>
    <row r="9" spans="1:8" x14ac:dyDescent="0.35">
      <c r="A9" s="252" t="s">
        <v>7</v>
      </c>
      <c r="B9" s="252"/>
      <c r="C9" s="252"/>
      <c r="D9" s="252"/>
      <c r="E9" s="252" t="s">
        <v>186</v>
      </c>
      <c r="F9" s="252"/>
      <c r="G9" s="252"/>
      <c r="H9" s="252"/>
    </row>
    <row r="10" spans="1:8" x14ac:dyDescent="0.35">
      <c r="A10" s="254" t="s">
        <v>8</v>
      </c>
      <c r="B10" s="254"/>
      <c r="C10" s="254"/>
      <c r="D10" s="254"/>
      <c r="E10" s="254" t="s">
        <v>233</v>
      </c>
      <c r="F10" s="254"/>
      <c r="G10" s="254"/>
      <c r="H10" s="254"/>
    </row>
    <row r="11" spans="1:8" x14ac:dyDescent="0.35">
      <c r="A11" s="252" t="s">
        <v>9</v>
      </c>
      <c r="B11" s="252"/>
      <c r="C11" s="252"/>
      <c r="D11" s="252"/>
      <c r="E11" s="257" t="s">
        <v>217</v>
      </c>
      <c r="F11" s="258"/>
      <c r="G11" s="258"/>
      <c r="H11" s="258"/>
    </row>
    <row r="12" spans="1:8" s="11" customFormat="1" ht="35.25" customHeight="1" x14ac:dyDescent="0.35">
      <c r="A12" s="254" t="s">
        <v>10</v>
      </c>
      <c r="B12" s="254"/>
      <c r="C12" s="254"/>
      <c r="D12" s="254"/>
      <c r="E12" s="257" t="s">
        <v>225</v>
      </c>
      <c r="F12" s="254"/>
      <c r="G12" s="254"/>
      <c r="H12" s="254"/>
    </row>
    <row r="13" spans="1:8" ht="34.5" customHeight="1" x14ac:dyDescent="0.35">
      <c r="A13" s="256" t="s">
        <v>11</v>
      </c>
      <c r="B13" s="256"/>
      <c r="C13" s="256" t="str">
        <f>CONCATENATE((IF(OR(E8="",E8="NA"),"",E8)),", ",(IF(OR(A14="",A14="NA"),"",A14)),".",(IF(OR(C14="",C14="NA"),"",C14)),", ",(IF(OR(C15="",C15="NA"),"",C15)),", ",(IF(OR(G15="",G15="NA"),"",G15)),", ",(IF(OR(C16="",C16="NA"),"",C16)),", ",(IF(OR(C17="",C17="NA"),"",C17)),", ",(IF(OR(G16="",G16="NA"),"",G16)),".")</f>
        <v>Umiya Nakshtra Heights, Survey/Hissa No.64/1/4 &amp; Old S.No/Hissa no. 64/2, Proposed Panvel Highway, Katrap, Badlapur, Ambernath, Thane.</v>
      </c>
      <c r="D13" s="256"/>
      <c r="E13" s="256"/>
      <c r="F13" s="256"/>
      <c r="G13" s="256"/>
      <c r="H13" s="256"/>
    </row>
    <row r="14" spans="1:8" ht="15.75" customHeight="1" x14ac:dyDescent="0.35">
      <c r="A14" s="159" t="s">
        <v>191</v>
      </c>
      <c r="B14" s="159"/>
      <c r="C14" s="182" t="s">
        <v>226</v>
      </c>
      <c r="D14" s="182"/>
      <c r="E14" s="182"/>
      <c r="F14" s="182"/>
      <c r="G14" s="182"/>
      <c r="H14" s="182"/>
    </row>
    <row r="15" spans="1:8" ht="15.75" customHeight="1" x14ac:dyDescent="0.35">
      <c r="A15" s="159" t="s">
        <v>12</v>
      </c>
      <c r="B15" s="159"/>
      <c r="C15" s="181" t="s">
        <v>235</v>
      </c>
      <c r="D15" s="181"/>
      <c r="E15" s="159" t="s">
        <v>115</v>
      </c>
      <c r="F15" s="159"/>
      <c r="G15" s="182" t="s">
        <v>189</v>
      </c>
      <c r="H15" s="182"/>
    </row>
    <row r="16" spans="1:8" x14ac:dyDescent="0.35">
      <c r="A16" s="158" t="s">
        <v>14</v>
      </c>
      <c r="B16" s="158"/>
      <c r="C16" s="182" t="s">
        <v>187</v>
      </c>
      <c r="D16" s="182"/>
      <c r="E16" s="159" t="s">
        <v>13</v>
      </c>
      <c r="F16" s="159"/>
      <c r="G16" s="249" t="s">
        <v>188</v>
      </c>
      <c r="H16" s="249"/>
    </row>
    <row r="17" spans="1:8" x14ac:dyDescent="0.35">
      <c r="A17" s="158" t="s">
        <v>116</v>
      </c>
      <c r="B17" s="158"/>
      <c r="C17" s="182" t="s">
        <v>227</v>
      </c>
      <c r="D17" s="182"/>
      <c r="E17" s="159" t="s">
        <v>15</v>
      </c>
      <c r="F17" s="159"/>
      <c r="G17" s="182">
        <v>421503</v>
      </c>
      <c r="H17" s="182"/>
    </row>
    <row r="18" spans="1:8" ht="32.25" customHeight="1" x14ac:dyDescent="0.35">
      <c r="A18" s="158" t="s">
        <v>16</v>
      </c>
      <c r="B18" s="158"/>
      <c r="C18" s="259" t="s">
        <v>236</v>
      </c>
      <c r="D18" s="259"/>
      <c r="E18" s="159" t="s">
        <v>17</v>
      </c>
      <c r="F18" s="159"/>
      <c r="G18" s="182" t="s">
        <v>190</v>
      </c>
      <c r="H18" s="216"/>
    </row>
    <row r="19" spans="1:8" ht="15" customHeight="1" x14ac:dyDescent="0.35">
      <c r="A19" s="159" t="s">
        <v>121</v>
      </c>
      <c r="B19" s="159"/>
      <c r="C19" s="159"/>
      <c r="D19" s="159"/>
      <c r="E19" s="181" t="s">
        <v>18</v>
      </c>
      <c r="F19" s="181"/>
      <c r="G19" s="181"/>
      <c r="H19" s="181"/>
    </row>
    <row r="20" spans="1:8" ht="18.75" customHeight="1" x14ac:dyDescent="0.35">
      <c r="A20" s="159"/>
      <c r="B20" s="159"/>
      <c r="C20" s="159"/>
      <c r="D20" s="159"/>
      <c r="E20" s="181"/>
      <c r="F20" s="181"/>
      <c r="G20" s="181"/>
      <c r="H20" s="181"/>
    </row>
    <row r="21" spans="1:8" ht="15" customHeight="1" x14ac:dyDescent="0.35">
      <c r="A21" s="159" t="s">
        <v>19</v>
      </c>
      <c r="B21" s="159"/>
      <c r="C21" s="159"/>
      <c r="D21" s="159"/>
      <c r="E21" s="182" t="s">
        <v>20</v>
      </c>
      <c r="F21" s="182"/>
      <c r="G21" s="182"/>
      <c r="H21" s="182"/>
    </row>
    <row r="22" spans="1:8" ht="15" customHeight="1" x14ac:dyDescent="0.35">
      <c r="A22" s="158" t="s">
        <v>21</v>
      </c>
      <c r="B22" s="158"/>
      <c r="C22" s="158"/>
      <c r="D22" s="158"/>
      <c r="E22" s="182" t="s">
        <v>192</v>
      </c>
      <c r="F22" s="216"/>
      <c r="G22" s="216"/>
      <c r="H22" s="216"/>
    </row>
    <row r="23" spans="1:8" x14ac:dyDescent="0.35">
      <c r="A23" s="158" t="s">
        <v>22</v>
      </c>
      <c r="B23" s="158"/>
      <c r="C23" s="158"/>
      <c r="D23" s="158"/>
      <c r="E23" s="182" t="s">
        <v>23</v>
      </c>
      <c r="F23" s="182"/>
      <c r="G23" s="182"/>
      <c r="H23" s="182"/>
    </row>
    <row r="24" spans="1:8" x14ac:dyDescent="0.35">
      <c r="A24" s="158" t="s">
        <v>24</v>
      </c>
      <c r="B24" s="158"/>
      <c r="C24" s="158"/>
      <c r="D24" s="158"/>
      <c r="E24" s="182" t="s">
        <v>193</v>
      </c>
      <c r="F24" s="216"/>
      <c r="G24" s="216"/>
      <c r="H24" s="216"/>
    </row>
    <row r="25" spans="1:8" x14ac:dyDescent="0.35">
      <c r="A25" s="158" t="s">
        <v>25</v>
      </c>
      <c r="B25" s="158"/>
      <c r="C25" s="158"/>
      <c r="D25" s="158"/>
      <c r="E25" s="182" t="s">
        <v>26</v>
      </c>
      <c r="F25" s="182"/>
      <c r="G25" s="182"/>
      <c r="H25" s="182"/>
    </row>
    <row r="26" spans="1:8" x14ac:dyDescent="0.35">
      <c r="A26" s="158" t="s">
        <v>130</v>
      </c>
      <c r="B26" s="158"/>
      <c r="C26" s="158"/>
      <c r="D26" s="158"/>
      <c r="E26" s="182" t="s">
        <v>131</v>
      </c>
      <c r="F26" s="182"/>
      <c r="G26" s="182"/>
      <c r="H26" s="182"/>
    </row>
    <row r="27" spans="1:8" ht="15" customHeight="1" x14ac:dyDescent="0.35">
      <c r="A27" s="159" t="s">
        <v>37</v>
      </c>
      <c r="B27" s="159"/>
      <c r="C27" s="159"/>
      <c r="D27" s="159"/>
      <c r="E27" s="212" t="s">
        <v>194</v>
      </c>
      <c r="F27" s="213"/>
      <c r="G27" s="213"/>
      <c r="H27" s="213"/>
    </row>
    <row r="28" spans="1:8" x14ac:dyDescent="0.35">
      <c r="A28" s="159" t="s">
        <v>144</v>
      </c>
      <c r="B28" s="159"/>
      <c r="C28" s="159"/>
      <c r="D28" s="159"/>
      <c r="E28" s="159" t="s">
        <v>38</v>
      </c>
      <c r="F28" s="159"/>
      <c r="G28" s="159"/>
      <c r="H28" s="159"/>
    </row>
    <row r="29" spans="1:8" s="12" customFormat="1" x14ac:dyDescent="0.35">
      <c r="A29" s="241" t="s">
        <v>145</v>
      </c>
      <c r="B29" s="241"/>
      <c r="C29" s="215" t="s">
        <v>31</v>
      </c>
      <c r="D29" s="215"/>
      <c r="E29" s="215"/>
      <c r="F29" s="215" t="s">
        <v>33</v>
      </c>
      <c r="G29" s="215"/>
      <c r="H29" s="215"/>
    </row>
    <row r="30" spans="1:8" s="12" customFormat="1" x14ac:dyDescent="0.35">
      <c r="A30" s="240" t="s">
        <v>27</v>
      </c>
      <c r="B30" s="240" t="s">
        <v>32</v>
      </c>
      <c r="C30" s="151" t="s">
        <v>32</v>
      </c>
      <c r="D30" s="151"/>
      <c r="E30" s="151"/>
      <c r="F30" s="151" t="s">
        <v>195</v>
      </c>
      <c r="G30" s="151"/>
      <c r="H30" s="151"/>
    </row>
    <row r="31" spans="1:8" x14ac:dyDescent="0.35">
      <c r="A31" s="240" t="s">
        <v>28</v>
      </c>
      <c r="B31" s="240" t="s">
        <v>32</v>
      </c>
      <c r="C31" s="151" t="s">
        <v>32</v>
      </c>
      <c r="D31" s="151"/>
      <c r="E31" s="151"/>
      <c r="F31" s="151" t="s">
        <v>196</v>
      </c>
      <c r="G31" s="151"/>
      <c r="H31" s="151"/>
    </row>
    <row r="32" spans="1:8" s="12" customFormat="1" x14ac:dyDescent="0.35">
      <c r="A32" s="240" t="s">
        <v>30</v>
      </c>
      <c r="B32" s="240" t="s">
        <v>32</v>
      </c>
      <c r="C32" s="151" t="s">
        <v>32</v>
      </c>
      <c r="D32" s="151"/>
      <c r="E32" s="151"/>
      <c r="F32" s="151" t="s">
        <v>196</v>
      </c>
      <c r="G32" s="151"/>
      <c r="H32" s="151"/>
    </row>
    <row r="33" spans="1:8" x14ac:dyDescent="0.35">
      <c r="A33" s="240" t="s">
        <v>29</v>
      </c>
      <c r="B33" s="240" t="s">
        <v>32</v>
      </c>
      <c r="C33" s="151" t="s">
        <v>32</v>
      </c>
      <c r="D33" s="151"/>
      <c r="E33" s="151"/>
      <c r="F33" s="151" t="s">
        <v>196</v>
      </c>
      <c r="G33" s="151"/>
      <c r="H33" s="151"/>
    </row>
    <row r="34" spans="1:8" x14ac:dyDescent="0.35">
      <c r="A34" s="158" t="s">
        <v>34</v>
      </c>
      <c r="B34" s="158"/>
      <c r="C34" s="158"/>
      <c r="D34" s="158"/>
      <c r="E34" s="158"/>
      <c r="F34" s="158"/>
      <c r="G34" s="158"/>
      <c r="H34" s="158"/>
    </row>
    <row r="35" spans="1:8" ht="15.75" customHeight="1" x14ac:dyDescent="0.35">
      <c r="A35" s="164" t="s">
        <v>35</v>
      </c>
      <c r="B35" s="164"/>
      <c r="C35" s="234">
        <v>19.171752000000001</v>
      </c>
      <c r="D35" s="234"/>
      <c r="E35" s="164" t="s">
        <v>36</v>
      </c>
      <c r="F35" s="164"/>
      <c r="G35" s="235">
        <v>73.223230000000001</v>
      </c>
      <c r="H35" s="235"/>
    </row>
    <row r="36" spans="1:8" x14ac:dyDescent="0.35">
      <c r="A36" s="183" t="s">
        <v>39</v>
      </c>
      <c r="B36" s="183"/>
      <c r="C36" s="183"/>
      <c r="D36" s="183"/>
      <c r="E36" s="183"/>
      <c r="F36" s="183"/>
      <c r="G36" s="183"/>
      <c r="H36" s="183"/>
    </row>
    <row r="37" spans="1:8" x14ac:dyDescent="0.35">
      <c r="A37" s="158" t="s">
        <v>40</v>
      </c>
      <c r="B37" s="158"/>
      <c r="C37" s="158"/>
      <c r="D37" s="158"/>
      <c r="E37" s="210">
        <v>7653.82</v>
      </c>
      <c r="F37" s="210"/>
      <c r="G37" s="210"/>
      <c r="H37" s="210"/>
    </row>
    <row r="38" spans="1:8" x14ac:dyDescent="0.35">
      <c r="A38" s="158" t="s">
        <v>41</v>
      </c>
      <c r="B38" s="158"/>
      <c r="C38" s="158"/>
      <c r="D38" s="158"/>
      <c r="E38" s="208">
        <v>1.2</v>
      </c>
      <c r="F38" s="208"/>
      <c r="G38" s="208"/>
      <c r="H38" s="208"/>
    </row>
    <row r="39" spans="1:8" x14ac:dyDescent="0.35">
      <c r="A39" s="158" t="s">
        <v>42</v>
      </c>
      <c r="B39" s="158"/>
      <c r="C39" s="158"/>
      <c r="D39" s="158"/>
      <c r="E39" s="208">
        <f>E41/E37-E38</f>
        <v>0.19999895477029783</v>
      </c>
      <c r="F39" s="208"/>
      <c r="G39" s="208"/>
      <c r="H39" s="208"/>
    </row>
    <row r="40" spans="1:8" x14ac:dyDescent="0.35">
      <c r="A40" s="158" t="s">
        <v>43</v>
      </c>
      <c r="B40" s="158"/>
      <c r="C40" s="158"/>
      <c r="D40" s="158"/>
      <c r="E40" s="208">
        <f>E38+E39</f>
        <v>1.3999989547702978</v>
      </c>
      <c r="F40" s="208"/>
      <c r="G40" s="208"/>
      <c r="H40" s="208"/>
    </row>
    <row r="41" spans="1:8" x14ac:dyDescent="0.35">
      <c r="A41" s="158" t="s">
        <v>143</v>
      </c>
      <c r="B41" s="158"/>
      <c r="C41" s="158"/>
      <c r="D41" s="158"/>
      <c r="E41" s="209">
        <v>10715.34</v>
      </c>
      <c r="F41" s="209"/>
      <c r="G41" s="209"/>
      <c r="H41" s="209"/>
    </row>
    <row r="42" spans="1:8" x14ac:dyDescent="0.35">
      <c r="A42" s="181" t="s">
        <v>44</v>
      </c>
      <c r="B42" s="181"/>
      <c r="C42" s="181"/>
      <c r="D42" s="181"/>
      <c r="E42" s="181" t="s">
        <v>228</v>
      </c>
      <c r="F42" s="197"/>
      <c r="G42" s="197"/>
      <c r="H42" s="197"/>
    </row>
    <row r="43" spans="1:8" x14ac:dyDescent="0.35">
      <c r="A43" s="183" t="s">
        <v>45</v>
      </c>
      <c r="B43" s="183"/>
      <c r="C43" s="183"/>
      <c r="D43" s="183"/>
      <c r="E43" s="183"/>
      <c r="F43" s="183"/>
      <c r="G43" s="183"/>
      <c r="H43" s="183"/>
    </row>
    <row r="44" spans="1:8" x14ac:dyDescent="0.35">
      <c r="A44" s="159" t="s">
        <v>46</v>
      </c>
      <c r="B44" s="159"/>
      <c r="C44" s="242" t="s">
        <v>229</v>
      </c>
      <c r="D44" s="242"/>
      <c r="E44" s="242"/>
      <c r="F44" s="57" t="s">
        <v>47</v>
      </c>
      <c r="G44" s="206" t="s">
        <v>197</v>
      </c>
      <c r="H44" s="182"/>
    </row>
    <row r="45" spans="1:8" ht="31.5" customHeight="1" x14ac:dyDescent="0.35">
      <c r="A45" s="159" t="s">
        <v>48</v>
      </c>
      <c r="B45" s="159"/>
      <c r="C45" s="242" t="str">
        <f>C44</f>
        <v>KBNP/NRV/BP/7351-92</v>
      </c>
      <c r="D45" s="242"/>
      <c r="E45" s="242"/>
      <c r="F45" s="57" t="s">
        <v>47</v>
      </c>
      <c r="G45" s="182" t="str">
        <f>G44</f>
        <v>05/10/2018.</v>
      </c>
      <c r="H45" s="182"/>
    </row>
    <row r="46" spans="1:8" s="11" customFormat="1" x14ac:dyDescent="0.35">
      <c r="A46" s="182" t="s">
        <v>49</v>
      </c>
      <c r="B46" s="182"/>
      <c r="C46" s="242" t="str">
        <f>C44</f>
        <v>KBNP/NRV/BP/7351-92</v>
      </c>
      <c r="D46" s="229"/>
      <c r="E46" s="229"/>
      <c r="F46" s="14" t="s">
        <v>47</v>
      </c>
      <c r="G46" s="236" t="str">
        <f>G45</f>
        <v>05/10/2018.</v>
      </c>
      <c r="H46" s="236"/>
    </row>
    <row r="47" spans="1:8" s="11" customFormat="1" ht="65.25" customHeight="1" x14ac:dyDescent="0.35">
      <c r="A47" s="182"/>
      <c r="B47" s="182"/>
      <c r="C47" s="237" t="s">
        <v>230</v>
      </c>
      <c r="D47" s="238"/>
      <c r="E47" s="238"/>
      <c r="F47" s="238"/>
      <c r="G47" s="238"/>
      <c r="H47" s="239"/>
    </row>
    <row r="48" spans="1:8" x14ac:dyDescent="0.35">
      <c r="A48" s="203" t="s">
        <v>50</v>
      </c>
      <c r="B48" s="203"/>
      <c r="C48" s="232" t="s">
        <v>164</v>
      </c>
      <c r="D48" s="233"/>
      <c r="E48" s="233" t="s">
        <v>51</v>
      </c>
      <c r="F48" s="15" t="s">
        <v>47</v>
      </c>
      <c r="G48" s="148" t="s">
        <v>32</v>
      </c>
      <c r="H48" s="205"/>
    </row>
    <row r="49" spans="1:11" x14ac:dyDescent="0.35">
      <c r="A49" s="198" t="s">
        <v>53</v>
      </c>
      <c r="B49" s="198"/>
      <c r="C49" s="198"/>
      <c r="D49" s="198"/>
      <c r="E49" s="198"/>
      <c r="F49" s="198"/>
      <c r="G49" s="198"/>
      <c r="H49" s="198"/>
    </row>
    <row r="50" spans="1:11" x14ac:dyDescent="0.35">
      <c r="A50" s="159" t="s">
        <v>142</v>
      </c>
      <c r="B50" s="159"/>
      <c r="C50" s="159"/>
      <c r="D50" s="158">
        <f>E41</f>
        <v>10715.34</v>
      </c>
      <c r="E50" s="158"/>
      <c r="F50" s="158"/>
      <c r="G50" s="158"/>
      <c r="H50" s="158"/>
    </row>
    <row r="51" spans="1:11" x14ac:dyDescent="0.35">
      <c r="A51" s="182" t="s">
        <v>54</v>
      </c>
      <c r="B51" s="181"/>
      <c r="C51" s="181"/>
      <c r="D51" s="182" t="s">
        <v>231</v>
      </c>
      <c r="E51" s="197"/>
      <c r="F51" s="197"/>
      <c r="G51" s="197"/>
      <c r="H51" s="197"/>
    </row>
    <row r="52" spans="1:11" ht="51.75" customHeight="1" x14ac:dyDescent="0.35">
      <c r="A52" s="182" t="s">
        <v>55</v>
      </c>
      <c r="B52" s="181"/>
      <c r="C52" s="181"/>
      <c r="D52" s="182" t="s">
        <v>232</v>
      </c>
      <c r="E52" s="197"/>
      <c r="F52" s="197"/>
      <c r="G52" s="197"/>
      <c r="H52" s="197"/>
    </row>
    <row r="53" spans="1:11" ht="46.5" customHeight="1" x14ac:dyDescent="0.35">
      <c r="A53" s="182" t="s">
        <v>140</v>
      </c>
      <c r="B53" s="181"/>
      <c r="C53" s="181"/>
      <c r="D53" s="182" t="s">
        <v>237</v>
      </c>
      <c r="E53" s="181"/>
      <c r="F53" s="181"/>
      <c r="G53" s="181"/>
      <c r="H53" s="181"/>
    </row>
    <row r="54" spans="1:11" ht="15.75" customHeight="1" x14ac:dyDescent="0.35">
      <c r="A54" s="158" t="s">
        <v>52</v>
      </c>
      <c r="B54" s="158"/>
      <c r="C54" s="158"/>
      <c r="D54" s="159" t="s">
        <v>218</v>
      </c>
      <c r="E54" s="159"/>
      <c r="F54" s="159"/>
      <c r="G54" s="159"/>
      <c r="H54" s="159"/>
    </row>
    <row r="55" spans="1:11" ht="15.75" customHeight="1" x14ac:dyDescent="0.35">
      <c r="A55" s="158" t="s">
        <v>137</v>
      </c>
      <c r="B55" s="158"/>
      <c r="C55" s="158"/>
      <c r="D55" s="159" t="s">
        <v>138</v>
      </c>
      <c r="E55" s="159"/>
      <c r="F55" s="159"/>
      <c r="G55" s="159"/>
      <c r="H55" s="159"/>
    </row>
    <row r="56" spans="1:11" ht="15.75" customHeight="1" x14ac:dyDescent="0.35">
      <c r="A56" s="158" t="s">
        <v>139</v>
      </c>
      <c r="B56" s="158"/>
      <c r="C56" s="158"/>
      <c r="D56" s="159" t="s">
        <v>26</v>
      </c>
      <c r="E56" s="159"/>
      <c r="F56" s="159"/>
      <c r="G56" s="159"/>
      <c r="H56" s="159"/>
      <c r="J56" s="23"/>
      <c r="K56" s="23"/>
    </row>
    <row r="57" spans="1:11" ht="15.75" customHeight="1" thickBot="1" x14ac:dyDescent="0.4">
      <c r="A57" s="194" t="s">
        <v>136</v>
      </c>
      <c r="B57" s="194"/>
      <c r="C57" s="194"/>
      <c r="D57" s="195" t="s">
        <v>219</v>
      </c>
      <c r="E57" s="196"/>
      <c r="F57" s="196"/>
      <c r="G57" s="196"/>
      <c r="H57" s="196"/>
      <c r="J57" s="23"/>
      <c r="K57" s="23"/>
    </row>
    <row r="58" spans="1:11" x14ac:dyDescent="0.35">
      <c r="A58" s="231" t="s">
        <v>238</v>
      </c>
      <c r="B58" s="220"/>
      <c r="C58" s="220"/>
      <c r="D58" s="220"/>
      <c r="E58" s="220"/>
      <c r="F58" s="220"/>
      <c r="G58" s="220"/>
      <c r="H58" s="221"/>
      <c r="I58" s="27" t="str">
        <f>(IF(C62=0,"Work not yet Started.",IF(C62=1,"Excavation work in process",IF(C62=2,"Excavation work completed",IF(C62=4,"Footing work is process",IF(C62=5,"Footing work Completed",IF(C62=7,"Plinth work is process",IF(C62=10,"Plinth work completed","0")))))))&amp;(IF(C63&gt;0,", RCC upto "&amp;C63&amp;" Slab completed",""))&amp;(IF(C64&gt;0,", Brickwork upto "&amp;C64&amp;" Floor completed"," "))&amp;(IF(C65&gt;0,", Plaster upto "&amp;C65&amp;" Floor completed"," "))&amp;(IF(C66&gt;0,", Flooring upto "&amp;C66&amp;" Floor completed"," "))&amp;(IF(C67&gt;0,", Painting upto "&amp;C67&amp;" Floor completed"," "))&amp;(IF(C68&gt;0,", Finishing upto "&amp;C68&amp;" Floor completed"," ")))</f>
        <v xml:space="preserve">Plinth work completed, RCC upto 14 Slab completed, Brickwork upto 9 Floor completed, Plaster upto 3 Floor completed, Flooring upto 1 Floor completed  </v>
      </c>
      <c r="J58" s="28"/>
      <c r="K58" s="29"/>
    </row>
    <row r="59" spans="1:11" x14ac:dyDescent="0.35">
      <c r="A59" s="26" t="s">
        <v>112</v>
      </c>
      <c r="B59" s="61">
        <v>0</v>
      </c>
      <c r="C59" s="61" t="s">
        <v>114</v>
      </c>
      <c r="D59" s="61">
        <v>1</v>
      </c>
      <c r="E59" s="61" t="s">
        <v>113</v>
      </c>
      <c r="F59" s="61">
        <v>0</v>
      </c>
      <c r="G59" s="61" t="s">
        <v>129</v>
      </c>
      <c r="H59" s="62">
        <v>18</v>
      </c>
      <c r="I59" s="30" t="s">
        <v>162</v>
      </c>
      <c r="J59" s="31"/>
      <c r="K59" s="32"/>
    </row>
    <row r="60" spans="1:11" ht="35.25" customHeight="1" x14ac:dyDescent="0.35">
      <c r="A60" s="230" t="s">
        <v>141</v>
      </c>
      <c r="B60" s="215"/>
      <c r="C60" s="185" t="str">
        <f>I58</f>
        <v xml:space="preserve">Plinth work completed, RCC upto 14 Slab completed, Brickwork upto 9 Floor completed, Plaster upto 3 Floor completed, Flooring upto 1 Floor completed  </v>
      </c>
      <c r="D60" s="185"/>
      <c r="E60" s="185"/>
      <c r="F60" s="185"/>
      <c r="G60" s="185"/>
      <c r="H60" s="222"/>
      <c r="I60" s="30" t="s">
        <v>161</v>
      </c>
      <c r="J60" s="31"/>
      <c r="K60" s="32"/>
    </row>
    <row r="61" spans="1:11" ht="36" customHeight="1" x14ac:dyDescent="0.35">
      <c r="A61" s="186" t="s">
        <v>56</v>
      </c>
      <c r="B61" s="149"/>
      <c r="C61" s="63" t="s">
        <v>132</v>
      </c>
      <c r="D61" s="64" t="s">
        <v>133</v>
      </c>
      <c r="E61" s="223" t="s">
        <v>135</v>
      </c>
      <c r="F61" s="223"/>
      <c r="G61" s="223" t="s">
        <v>134</v>
      </c>
      <c r="H61" s="224"/>
      <c r="I61" s="30" t="s">
        <v>163</v>
      </c>
      <c r="J61" s="33"/>
      <c r="K61" s="34"/>
    </row>
    <row r="62" spans="1:11" x14ac:dyDescent="0.35">
      <c r="A62" s="186" t="s">
        <v>57</v>
      </c>
      <c r="B62" s="149"/>
      <c r="C62" s="65">
        <v>10</v>
      </c>
      <c r="D62" s="66">
        <f>((100/10)*C62)/100</f>
        <v>1</v>
      </c>
      <c r="E62" s="225">
        <f>(IF(C60=I60,"100%",IF(C60=I61,"100%",((C62+(40/(B59+D59+F59+H59)*C63)+(15/H59*C64)+(10/H59*C65)+(10/H59*C66)+(5/H59*C67)+(5/H59*C68))/100))))</f>
        <v>0.49195906432748537</v>
      </c>
      <c r="F62" s="225"/>
      <c r="G62" s="225">
        <f>((IF(C62=1,"2",IF(C62=2,"4",IF(C62=4,"8",IF(C62=5,"15",IF(C62=7,"20",IF(C62=10,"30","0")))))))/100)+(((30/(H59+F59+D59+B59)*C63)+(15/H59*C64)+(10/H59*C65)+(5/H59*C66)+(5/H59*C67)+(5/H59*C68))/100)</f>
        <v>0.61549707602339176</v>
      </c>
      <c r="H62" s="227"/>
      <c r="I62" s="35"/>
      <c r="J62" s="33"/>
      <c r="K62" s="34"/>
    </row>
    <row r="63" spans="1:11" x14ac:dyDescent="0.35">
      <c r="A63" s="186" t="s">
        <v>160</v>
      </c>
      <c r="B63" s="149"/>
      <c r="C63" s="67">
        <v>14</v>
      </c>
      <c r="D63" s="66">
        <f>((100/(B59+F59+D59+H59))*C63)/100</f>
        <v>0.73684210526315796</v>
      </c>
      <c r="E63" s="225"/>
      <c r="F63" s="225"/>
      <c r="G63" s="225"/>
      <c r="H63" s="227"/>
      <c r="I63" s="36" t="s">
        <v>154</v>
      </c>
      <c r="J63" s="37">
        <v>0.01</v>
      </c>
      <c r="K63" s="38">
        <v>0.02</v>
      </c>
    </row>
    <row r="64" spans="1:11" x14ac:dyDescent="0.35">
      <c r="A64" s="186" t="s">
        <v>58</v>
      </c>
      <c r="B64" s="149"/>
      <c r="C64" s="65">
        <v>9</v>
      </c>
      <c r="D64" s="66">
        <f>((100/H59)*C64)/100</f>
        <v>0.5</v>
      </c>
      <c r="E64" s="225"/>
      <c r="F64" s="225"/>
      <c r="G64" s="225"/>
      <c r="H64" s="227"/>
      <c r="I64" s="36" t="s">
        <v>155</v>
      </c>
      <c r="J64" s="37">
        <v>0.02</v>
      </c>
      <c r="K64" s="38">
        <v>0.04</v>
      </c>
    </row>
    <row r="65" spans="1:11" x14ac:dyDescent="0.35">
      <c r="A65" s="186" t="s">
        <v>59</v>
      </c>
      <c r="B65" s="149"/>
      <c r="C65" s="65">
        <v>3</v>
      </c>
      <c r="D65" s="66">
        <f>((100/H59)*C65)/100</f>
        <v>0.16666666666666663</v>
      </c>
      <c r="E65" s="225"/>
      <c r="F65" s="225"/>
      <c r="G65" s="225"/>
      <c r="H65" s="227"/>
      <c r="I65" s="36" t="s">
        <v>156</v>
      </c>
      <c r="J65" s="37">
        <v>0.04</v>
      </c>
      <c r="K65" s="38">
        <v>0.08</v>
      </c>
    </row>
    <row r="66" spans="1:11" x14ac:dyDescent="0.35">
      <c r="A66" s="186" t="s">
        <v>60</v>
      </c>
      <c r="B66" s="149"/>
      <c r="C66" s="65">
        <v>1</v>
      </c>
      <c r="D66" s="66">
        <f>((100/H59)*C66)/100</f>
        <v>5.5555555555555552E-2</v>
      </c>
      <c r="E66" s="225"/>
      <c r="F66" s="225"/>
      <c r="G66" s="225"/>
      <c r="H66" s="227"/>
      <c r="I66" s="36" t="s">
        <v>157</v>
      </c>
      <c r="J66" s="37">
        <v>0.05</v>
      </c>
      <c r="K66" s="38">
        <v>0.15</v>
      </c>
    </row>
    <row r="67" spans="1:11" ht="15" customHeight="1" x14ac:dyDescent="0.35">
      <c r="A67" s="186" t="s">
        <v>61</v>
      </c>
      <c r="B67" s="149"/>
      <c r="C67" s="65">
        <v>0</v>
      </c>
      <c r="D67" s="66">
        <f>((100/H59)*C67)/100</f>
        <v>0</v>
      </c>
      <c r="E67" s="225"/>
      <c r="F67" s="225"/>
      <c r="G67" s="225"/>
      <c r="H67" s="227"/>
      <c r="I67" s="36" t="s">
        <v>158</v>
      </c>
      <c r="J67" s="37">
        <v>7.0000000000000007E-2</v>
      </c>
      <c r="K67" s="38">
        <v>0.2</v>
      </c>
    </row>
    <row r="68" spans="1:11" ht="16" thickBot="1" x14ac:dyDescent="0.4">
      <c r="A68" s="192" t="s">
        <v>62</v>
      </c>
      <c r="B68" s="193"/>
      <c r="C68" s="68">
        <v>0</v>
      </c>
      <c r="D68" s="69">
        <f>((100/H59)*C68)/100</f>
        <v>0</v>
      </c>
      <c r="E68" s="226"/>
      <c r="F68" s="226"/>
      <c r="G68" s="226"/>
      <c r="H68" s="228"/>
      <c r="I68" s="39" t="s">
        <v>159</v>
      </c>
      <c r="J68" s="40">
        <v>0.1</v>
      </c>
      <c r="K68" s="41">
        <v>0.3</v>
      </c>
    </row>
    <row r="69" spans="1:11" x14ac:dyDescent="0.35">
      <c r="A69" s="231" t="s">
        <v>239</v>
      </c>
      <c r="B69" s="220"/>
      <c r="C69" s="220"/>
      <c r="D69" s="220"/>
      <c r="E69" s="220"/>
      <c r="F69" s="220"/>
      <c r="G69" s="220"/>
      <c r="H69" s="221"/>
      <c r="I69" s="27" t="str">
        <f>(IF(C73=0,"Work not yet Started.",IF(C73=1,"Excavation work in process",IF(C73=2,"Excavation work completed",IF(C73=4,"Footing work is process",IF(C73=5,"Footing work Completed",IF(C73=7,"Plinth work is process",IF(C73=10,"Plinth work completed","0")))))))&amp;(IF(C74&gt;0,", RCC upto "&amp;C74&amp;" Slab completed",""))&amp;(IF(C75&gt;0,", Brickwork upto "&amp;C75&amp;" Floor completed"," "))&amp;(IF(C76&gt;0,", Plaster upto "&amp;C76&amp;" Floor completed"," "))&amp;(IF(C77&gt;0,", Flooring upto "&amp;C77&amp;" Floor completed"," "))&amp;(IF(C78&gt;0,", Painting upto "&amp;C78&amp;" Floor completed"," "))&amp;(IF(C79&gt;0,", Finishing upto "&amp;C79&amp;" Floor completed"," ")))</f>
        <v xml:space="preserve">Work not yet Started.     </v>
      </c>
      <c r="J69" s="28"/>
      <c r="K69" s="29"/>
    </row>
    <row r="70" spans="1:11" x14ac:dyDescent="0.35">
      <c r="A70" s="26" t="s">
        <v>112</v>
      </c>
      <c r="B70" s="61">
        <v>0</v>
      </c>
      <c r="C70" s="61" t="s">
        <v>114</v>
      </c>
      <c r="D70" s="61">
        <v>1</v>
      </c>
      <c r="E70" s="61" t="s">
        <v>113</v>
      </c>
      <c r="F70" s="61">
        <v>0</v>
      </c>
      <c r="G70" s="61" t="s">
        <v>129</v>
      </c>
      <c r="H70" s="62">
        <v>18</v>
      </c>
      <c r="I70" s="30" t="s">
        <v>162</v>
      </c>
      <c r="J70" s="31"/>
      <c r="K70" s="32"/>
    </row>
    <row r="71" spans="1:11" ht="15.75" customHeight="1" x14ac:dyDescent="0.35">
      <c r="A71" s="230" t="s">
        <v>141</v>
      </c>
      <c r="B71" s="215"/>
      <c r="C71" s="185" t="str">
        <f>I69</f>
        <v xml:space="preserve">Work not yet Started.     </v>
      </c>
      <c r="D71" s="185"/>
      <c r="E71" s="185"/>
      <c r="F71" s="185"/>
      <c r="G71" s="185"/>
      <c r="H71" s="222"/>
      <c r="I71" s="30" t="s">
        <v>161</v>
      </c>
      <c r="J71" s="31"/>
      <c r="K71" s="32"/>
    </row>
    <row r="72" spans="1:11" ht="31" x14ac:dyDescent="0.35">
      <c r="A72" s="186" t="s">
        <v>56</v>
      </c>
      <c r="B72" s="149"/>
      <c r="C72" s="63" t="s">
        <v>132</v>
      </c>
      <c r="D72" s="64" t="s">
        <v>133</v>
      </c>
      <c r="E72" s="223" t="s">
        <v>135</v>
      </c>
      <c r="F72" s="223"/>
      <c r="G72" s="223" t="s">
        <v>134</v>
      </c>
      <c r="H72" s="224"/>
      <c r="I72" s="30" t="s">
        <v>163</v>
      </c>
      <c r="J72" s="33"/>
      <c r="K72" s="34"/>
    </row>
    <row r="73" spans="1:11" x14ac:dyDescent="0.35">
      <c r="A73" s="186" t="s">
        <v>57</v>
      </c>
      <c r="B73" s="149"/>
      <c r="C73" s="65">
        <v>0</v>
      </c>
      <c r="D73" s="66">
        <f>((100/10)*C73)/100</f>
        <v>0</v>
      </c>
      <c r="E73" s="225">
        <f>(IF(C71=I73,"100%",IF(C71=I74,"100%",((C73+(40/(B70+D70+F70+H70)*C74)+(15/H70*C75)+(10/H70*C76)+(10/H70*C77)+(5/H70*C78)+(5/H70*C79))/100))))</f>
        <v>0</v>
      </c>
      <c r="F73" s="225"/>
      <c r="G73" s="225">
        <f>((IF(C73=1,"2",IF(C73=2,"4",IF(C73=4,"8",IF(C73=5,"15",IF(C73=7,"20",IF(C73=10,"30","0")))))))/100)+(((30/(H70+F70+D70+B70)*C74)+(15/H70*C75)+(10/H70*C76)+(5/H70*C77)+(5/H70*C78)+(5/H70*C79))/100)</f>
        <v>0</v>
      </c>
      <c r="H73" s="227"/>
      <c r="I73" s="35"/>
      <c r="J73" s="33"/>
      <c r="K73" s="34"/>
    </row>
    <row r="74" spans="1:11" x14ac:dyDescent="0.35">
      <c r="A74" s="186" t="s">
        <v>160</v>
      </c>
      <c r="B74" s="149"/>
      <c r="C74" s="67">
        <v>0</v>
      </c>
      <c r="D74" s="66">
        <f>((100/(B70+F70+D70+H70))*C74)/100</f>
        <v>0</v>
      </c>
      <c r="E74" s="225"/>
      <c r="F74" s="225"/>
      <c r="G74" s="225"/>
      <c r="H74" s="227"/>
      <c r="I74" s="36" t="s">
        <v>154</v>
      </c>
      <c r="J74" s="37">
        <v>0.01</v>
      </c>
      <c r="K74" s="38">
        <v>0.02</v>
      </c>
    </row>
    <row r="75" spans="1:11" x14ac:dyDescent="0.35">
      <c r="A75" s="186" t="s">
        <v>58</v>
      </c>
      <c r="B75" s="149"/>
      <c r="C75" s="65">
        <v>0</v>
      </c>
      <c r="D75" s="66">
        <f>((100/H70)*C75)/100</f>
        <v>0</v>
      </c>
      <c r="E75" s="225"/>
      <c r="F75" s="225"/>
      <c r="G75" s="225"/>
      <c r="H75" s="227"/>
      <c r="I75" s="36" t="s">
        <v>155</v>
      </c>
      <c r="J75" s="37">
        <v>0.02</v>
      </c>
      <c r="K75" s="38">
        <v>0.04</v>
      </c>
    </row>
    <row r="76" spans="1:11" x14ac:dyDescent="0.35">
      <c r="A76" s="186" t="s">
        <v>59</v>
      </c>
      <c r="B76" s="149"/>
      <c r="C76" s="65">
        <v>0</v>
      </c>
      <c r="D76" s="66">
        <f>((100/H70)*C76)/100</f>
        <v>0</v>
      </c>
      <c r="E76" s="225"/>
      <c r="F76" s="225"/>
      <c r="G76" s="225"/>
      <c r="H76" s="227"/>
      <c r="I76" s="36" t="s">
        <v>156</v>
      </c>
      <c r="J76" s="37">
        <v>0.04</v>
      </c>
      <c r="K76" s="38">
        <v>0.08</v>
      </c>
    </row>
    <row r="77" spans="1:11" x14ac:dyDescent="0.35">
      <c r="A77" s="186" t="s">
        <v>60</v>
      </c>
      <c r="B77" s="149"/>
      <c r="C77" s="65">
        <v>0</v>
      </c>
      <c r="D77" s="66">
        <f>((100/H70)*C77)/100</f>
        <v>0</v>
      </c>
      <c r="E77" s="225"/>
      <c r="F77" s="225"/>
      <c r="G77" s="225"/>
      <c r="H77" s="227"/>
      <c r="I77" s="36" t="s">
        <v>157</v>
      </c>
      <c r="J77" s="37">
        <v>0.05</v>
      </c>
      <c r="K77" s="38">
        <v>0.15</v>
      </c>
    </row>
    <row r="78" spans="1:11" x14ac:dyDescent="0.35">
      <c r="A78" s="186" t="s">
        <v>61</v>
      </c>
      <c r="B78" s="149"/>
      <c r="C78" s="65">
        <v>0</v>
      </c>
      <c r="D78" s="66">
        <f>((100/H70)*C78)/100</f>
        <v>0</v>
      </c>
      <c r="E78" s="225"/>
      <c r="F78" s="225"/>
      <c r="G78" s="225"/>
      <c r="H78" s="227"/>
      <c r="I78" s="36" t="s">
        <v>158</v>
      </c>
      <c r="J78" s="37">
        <v>7.0000000000000007E-2</v>
      </c>
      <c r="K78" s="38">
        <v>0.2</v>
      </c>
    </row>
    <row r="79" spans="1:11" ht="16" thickBot="1" x14ac:dyDescent="0.4">
      <c r="A79" s="192" t="s">
        <v>62</v>
      </c>
      <c r="B79" s="193"/>
      <c r="C79" s="68">
        <v>0</v>
      </c>
      <c r="D79" s="69">
        <f>((100/H70)*C79)/100</f>
        <v>0</v>
      </c>
      <c r="E79" s="226"/>
      <c r="F79" s="226"/>
      <c r="G79" s="226"/>
      <c r="H79" s="228"/>
      <c r="I79" s="39" t="s">
        <v>159</v>
      </c>
      <c r="J79" s="40">
        <v>0.1</v>
      </c>
      <c r="K79" s="41">
        <v>0.3</v>
      </c>
    </row>
    <row r="80" spans="1:11" x14ac:dyDescent="0.35">
      <c r="A80" s="231" t="s">
        <v>240</v>
      </c>
      <c r="B80" s="220"/>
      <c r="C80" s="220"/>
      <c r="D80" s="220"/>
      <c r="E80" s="220"/>
      <c r="F80" s="220"/>
      <c r="G80" s="220"/>
      <c r="H80" s="221"/>
      <c r="I80" s="27" t="str">
        <f>(IF(C84=0,"Work not yet Started.",IF(C84=1,"Excavation work in process",IF(C84=2,"Excavation work completed",IF(C84=4,"Footing work is process",IF(C84=5,"Footing work Completed",IF(C84=7,"Plinth work is process",IF(C84=10,"Plinth work completed","0")))))))&amp;(IF(C85&gt;0,", RCC upto "&amp;C85&amp;" Slab completed",""))&amp;(IF(C86&gt;0,", Brickwork upto "&amp;C86&amp;" Floor completed"," "))&amp;(IF(C87&gt;0,", Plaster upto "&amp;C87&amp;" Floor completed"," "))&amp;(IF(C88&gt;0,", Flooring upto "&amp;C88&amp;" Floor completed"," "))&amp;(IF(C89&gt;0,", Painting upto "&amp;C89&amp;" Floor completed"," "))&amp;(IF(C90&gt;0,", Finishing upto "&amp;C90&amp;" Floor completed"," ")))</f>
        <v xml:space="preserve">Work not yet Started.     </v>
      </c>
      <c r="J80" s="28"/>
      <c r="K80" s="29"/>
    </row>
    <row r="81" spans="1:11" x14ac:dyDescent="0.35">
      <c r="A81" s="26" t="s">
        <v>112</v>
      </c>
      <c r="B81" s="61">
        <v>0</v>
      </c>
      <c r="C81" s="61" t="s">
        <v>114</v>
      </c>
      <c r="D81" s="61">
        <v>1</v>
      </c>
      <c r="E81" s="61" t="s">
        <v>113</v>
      </c>
      <c r="F81" s="61">
        <v>0</v>
      </c>
      <c r="G81" s="61" t="s">
        <v>129</v>
      </c>
      <c r="H81" s="62">
        <v>18</v>
      </c>
      <c r="I81" s="30" t="s">
        <v>162</v>
      </c>
      <c r="J81" s="31"/>
      <c r="K81" s="32"/>
    </row>
    <row r="82" spans="1:11" ht="15.75" customHeight="1" x14ac:dyDescent="0.35">
      <c r="A82" s="230" t="s">
        <v>141</v>
      </c>
      <c r="B82" s="215"/>
      <c r="C82" s="185" t="str">
        <f>I80</f>
        <v xml:space="preserve">Work not yet Started.     </v>
      </c>
      <c r="D82" s="185"/>
      <c r="E82" s="185"/>
      <c r="F82" s="185"/>
      <c r="G82" s="185"/>
      <c r="H82" s="222"/>
      <c r="I82" s="30" t="s">
        <v>161</v>
      </c>
      <c r="J82" s="31"/>
      <c r="K82" s="32"/>
    </row>
    <row r="83" spans="1:11" ht="31" x14ac:dyDescent="0.35">
      <c r="A83" s="186" t="s">
        <v>56</v>
      </c>
      <c r="B83" s="149"/>
      <c r="C83" s="63" t="s">
        <v>132</v>
      </c>
      <c r="D83" s="64" t="s">
        <v>133</v>
      </c>
      <c r="E83" s="223" t="s">
        <v>135</v>
      </c>
      <c r="F83" s="223"/>
      <c r="G83" s="223" t="s">
        <v>134</v>
      </c>
      <c r="H83" s="224"/>
      <c r="I83" s="30" t="s">
        <v>163</v>
      </c>
      <c r="J83" s="33"/>
      <c r="K83" s="34"/>
    </row>
    <row r="84" spans="1:11" x14ac:dyDescent="0.35">
      <c r="A84" s="186" t="s">
        <v>57</v>
      </c>
      <c r="B84" s="149"/>
      <c r="C84" s="65">
        <v>0</v>
      </c>
      <c r="D84" s="66">
        <f>((100/10)*C84)/100</f>
        <v>0</v>
      </c>
      <c r="E84" s="225">
        <f>(IF(C82=I84,"100%",IF(C82=I85,"100%",((C84+(40/(B81+D81+F81+H81)*C85)+(15/H81*C86)+(10/H81*C87)+(10/H81*C88)+(5/H81*C89)+(5/H81*C90))/100))))</f>
        <v>0</v>
      </c>
      <c r="F84" s="225"/>
      <c r="G84" s="225">
        <f>((IF(C84=1,"2",IF(C84=2,"4",IF(C84=4,"8",IF(C84=5,"15",IF(C84=7,"20",IF(C84=10,"30","0")))))))/100)+(((30/(H81+F81+D81+B81)*C85)+(15/H81*C86)+(10/H81*C87)+(5/H81*C88)+(5/H81*C89)+(5/H81*C90))/100)</f>
        <v>0</v>
      </c>
      <c r="H84" s="227"/>
      <c r="I84" s="35"/>
      <c r="J84" s="33"/>
      <c r="K84" s="34"/>
    </row>
    <row r="85" spans="1:11" x14ac:dyDescent="0.35">
      <c r="A85" s="186" t="s">
        <v>160</v>
      </c>
      <c r="B85" s="149"/>
      <c r="C85" s="67">
        <v>0</v>
      </c>
      <c r="D85" s="66">
        <f>((100/(B81+F81+D81+H81))*C85)/100</f>
        <v>0</v>
      </c>
      <c r="E85" s="225"/>
      <c r="F85" s="225"/>
      <c r="G85" s="225"/>
      <c r="H85" s="227"/>
      <c r="I85" s="36" t="s">
        <v>154</v>
      </c>
      <c r="J85" s="37">
        <v>0.01</v>
      </c>
      <c r="K85" s="38">
        <v>0.02</v>
      </c>
    </row>
    <row r="86" spans="1:11" x14ac:dyDescent="0.35">
      <c r="A86" s="186" t="s">
        <v>58</v>
      </c>
      <c r="B86" s="149"/>
      <c r="C86" s="65">
        <v>0</v>
      </c>
      <c r="D86" s="66">
        <f>((100/H81)*C86)/100</f>
        <v>0</v>
      </c>
      <c r="E86" s="225"/>
      <c r="F86" s="225"/>
      <c r="G86" s="225"/>
      <c r="H86" s="227"/>
      <c r="I86" s="36" t="s">
        <v>155</v>
      </c>
      <c r="J86" s="37">
        <v>0.02</v>
      </c>
      <c r="K86" s="38">
        <v>0.04</v>
      </c>
    </row>
    <row r="87" spans="1:11" x14ac:dyDescent="0.35">
      <c r="A87" s="186" t="s">
        <v>59</v>
      </c>
      <c r="B87" s="149"/>
      <c r="C87" s="65">
        <v>0</v>
      </c>
      <c r="D87" s="66">
        <f>((100/H81)*C87)/100</f>
        <v>0</v>
      </c>
      <c r="E87" s="225"/>
      <c r="F87" s="225"/>
      <c r="G87" s="225"/>
      <c r="H87" s="227"/>
      <c r="I87" s="36" t="s">
        <v>156</v>
      </c>
      <c r="J87" s="37">
        <v>0.04</v>
      </c>
      <c r="K87" s="38">
        <v>0.08</v>
      </c>
    </row>
    <row r="88" spans="1:11" x14ac:dyDescent="0.35">
      <c r="A88" s="186" t="s">
        <v>60</v>
      </c>
      <c r="B88" s="149"/>
      <c r="C88" s="65">
        <v>0</v>
      </c>
      <c r="D88" s="66">
        <f>((100/H81)*C88)/100</f>
        <v>0</v>
      </c>
      <c r="E88" s="225"/>
      <c r="F88" s="225"/>
      <c r="G88" s="225"/>
      <c r="H88" s="227"/>
      <c r="I88" s="36" t="s">
        <v>157</v>
      </c>
      <c r="J88" s="37">
        <v>0.05</v>
      </c>
      <c r="K88" s="38">
        <v>0.15</v>
      </c>
    </row>
    <row r="89" spans="1:11" x14ac:dyDescent="0.35">
      <c r="A89" s="186" t="s">
        <v>61</v>
      </c>
      <c r="B89" s="149"/>
      <c r="C89" s="65">
        <v>0</v>
      </c>
      <c r="D89" s="66">
        <f>((100/H81)*C89)/100</f>
        <v>0</v>
      </c>
      <c r="E89" s="225"/>
      <c r="F89" s="225"/>
      <c r="G89" s="225"/>
      <c r="H89" s="227"/>
      <c r="I89" s="36" t="s">
        <v>158</v>
      </c>
      <c r="J89" s="37">
        <v>7.0000000000000007E-2</v>
      </c>
      <c r="K89" s="38">
        <v>0.2</v>
      </c>
    </row>
    <row r="90" spans="1:11" ht="16" thickBot="1" x14ac:dyDescent="0.4">
      <c r="A90" s="192" t="s">
        <v>62</v>
      </c>
      <c r="B90" s="193"/>
      <c r="C90" s="68">
        <v>0</v>
      </c>
      <c r="D90" s="69">
        <f>((100/H81)*C90)/100</f>
        <v>0</v>
      </c>
      <c r="E90" s="226"/>
      <c r="F90" s="226"/>
      <c r="G90" s="226"/>
      <c r="H90" s="228"/>
      <c r="I90" s="39" t="s">
        <v>159</v>
      </c>
      <c r="J90" s="40">
        <v>0.1</v>
      </c>
      <c r="K90" s="41">
        <v>0.3</v>
      </c>
    </row>
    <row r="91" spans="1:11" x14ac:dyDescent="0.35">
      <c r="A91" s="184" t="s">
        <v>220</v>
      </c>
      <c r="B91" s="184"/>
      <c r="C91" s="184"/>
      <c r="D91" s="184"/>
      <c r="E91" s="184"/>
      <c r="F91" s="184"/>
      <c r="G91" s="184"/>
      <c r="H91" s="184"/>
      <c r="I91" s="60"/>
      <c r="J91" s="37"/>
      <c r="K91" s="37"/>
    </row>
    <row r="92" spans="1:11" x14ac:dyDescent="0.35">
      <c r="A92" s="158" t="s">
        <v>63</v>
      </c>
      <c r="B92" s="158"/>
      <c r="C92" s="158"/>
      <c r="D92" s="158"/>
      <c r="E92" s="158"/>
      <c r="F92" s="158"/>
      <c r="G92" s="158"/>
      <c r="H92" s="158"/>
      <c r="I92" s="60"/>
      <c r="J92" s="37"/>
      <c r="K92" s="37"/>
    </row>
    <row r="93" spans="1:11" x14ac:dyDescent="0.35">
      <c r="A93" s="147" t="s">
        <v>117</v>
      </c>
      <c r="B93" s="147"/>
      <c r="C93" s="185" t="s">
        <v>118</v>
      </c>
      <c r="D93" s="185"/>
      <c r="E93" s="185"/>
      <c r="F93" s="185"/>
      <c r="G93" s="185"/>
      <c r="H93" s="185"/>
    </row>
    <row r="94" spans="1:11" x14ac:dyDescent="0.35">
      <c r="A94" s="183" t="s">
        <v>64</v>
      </c>
      <c r="B94" s="183"/>
      <c r="C94" s="183"/>
      <c r="D94" s="183"/>
      <c r="E94" s="183"/>
      <c r="F94" s="183"/>
      <c r="G94" s="183"/>
      <c r="H94" s="183"/>
    </row>
    <row r="95" spans="1:11" ht="15" customHeight="1" x14ac:dyDescent="0.35">
      <c r="A95" s="158" t="s">
        <v>119</v>
      </c>
      <c r="B95" s="158"/>
      <c r="C95" s="158"/>
      <c r="D95" s="158"/>
      <c r="E95" s="158"/>
      <c r="F95" s="229"/>
      <c r="G95" s="229"/>
      <c r="H95" s="229"/>
    </row>
    <row r="96" spans="1:11" x14ac:dyDescent="0.35">
      <c r="A96" s="158" t="s">
        <v>126</v>
      </c>
      <c r="B96" s="158"/>
      <c r="C96" s="158"/>
      <c r="D96" s="158"/>
      <c r="E96" s="158"/>
      <c r="F96" s="229"/>
      <c r="G96" s="229"/>
      <c r="H96" s="229"/>
    </row>
    <row r="97" spans="1:8" x14ac:dyDescent="0.35">
      <c r="A97" s="158" t="s">
        <v>128</v>
      </c>
      <c r="B97" s="158"/>
      <c r="C97" s="158"/>
      <c r="D97" s="158"/>
      <c r="E97" s="158"/>
      <c r="F97" s="229"/>
      <c r="G97" s="229"/>
      <c r="H97" s="229"/>
    </row>
    <row r="98" spans="1:8" x14ac:dyDescent="0.35">
      <c r="A98" s="158" t="s">
        <v>146</v>
      </c>
      <c r="B98" s="158"/>
      <c r="C98" s="158"/>
      <c r="D98" s="158"/>
      <c r="E98" s="158"/>
      <c r="F98" s="229" t="s">
        <v>32</v>
      </c>
      <c r="G98" s="229"/>
      <c r="H98" s="229"/>
    </row>
    <row r="99" spans="1:8" x14ac:dyDescent="0.35">
      <c r="A99" s="158" t="s">
        <v>147</v>
      </c>
      <c r="B99" s="158"/>
      <c r="C99" s="158"/>
      <c r="D99" s="158"/>
      <c r="E99" s="158"/>
      <c r="F99" s="229" t="s">
        <v>32</v>
      </c>
      <c r="G99" s="229"/>
      <c r="H99" s="229"/>
    </row>
    <row r="100" spans="1:8" s="13" customFormat="1" x14ac:dyDescent="0.3">
      <c r="A100" s="158" t="s">
        <v>148</v>
      </c>
      <c r="B100" s="158"/>
      <c r="C100" s="158"/>
      <c r="D100" s="158"/>
      <c r="E100" s="158"/>
      <c r="F100" s="229" t="s">
        <v>32</v>
      </c>
      <c r="G100" s="229"/>
      <c r="H100" s="229"/>
    </row>
    <row r="101" spans="1:8" s="13" customFormat="1" x14ac:dyDescent="0.3">
      <c r="A101" s="158" t="s">
        <v>149</v>
      </c>
      <c r="B101" s="158"/>
      <c r="C101" s="158"/>
      <c r="D101" s="158"/>
      <c r="E101" s="158"/>
      <c r="F101" s="229" t="s">
        <v>32</v>
      </c>
      <c r="G101" s="229"/>
      <c r="H101" s="229"/>
    </row>
    <row r="102" spans="1:8" s="13" customFormat="1" x14ac:dyDescent="0.3">
      <c r="A102" s="158" t="s">
        <v>150</v>
      </c>
      <c r="B102" s="158"/>
      <c r="C102" s="158"/>
      <c r="D102" s="158"/>
      <c r="E102" s="158"/>
      <c r="F102" s="229" t="s">
        <v>32</v>
      </c>
      <c r="G102" s="229"/>
      <c r="H102" s="229"/>
    </row>
    <row r="103" spans="1:8" s="13" customFormat="1" x14ac:dyDescent="0.3">
      <c r="A103" s="158" t="s">
        <v>151</v>
      </c>
      <c r="B103" s="158"/>
      <c r="C103" s="158"/>
      <c r="D103" s="158"/>
      <c r="E103" s="158"/>
      <c r="F103" s="229" t="s">
        <v>32</v>
      </c>
      <c r="G103" s="229"/>
      <c r="H103" s="229"/>
    </row>
    <row r="104" spans="1:8" s="13" customFormat="1" x14ac:dyDescent="0.3">
      <c r="A104" s="158" t="s">
        <v>152</v>
      </c>
      <c r="B104" s="158"/>
      <c r="C104" s="158"/>
      <c r="D104" s="158"/>
      <c r="E104" s="158"/>
      <c r="F104" s="229" t="s">
        <v>32</v>
      </c>
      <c r="G104" s="229"/>
      <c r="H104" s="229"/>
    </row>
    <row r="105" spans="1:8" s="13" customFormat="1" x14ac:dyDescent="0.3">
      <c r="A105" s="158" t="s">
        <v>153</v>
      </c>
      <c r="B105" s="158"/>
      <c r="C105" s="158"/>
      <c r="D105" s="158"/>
      <c r="E105" s="158"/>
      <c r="F105" s="229" t="s">
        <v>32</v>
      </c>
      <c r="G105" s="229"/>
      <c r="H105" s="229"/>
    </row>
    <row r="106" spans="1:8" s="13" customFormat="1" x14ac:dyDescent="0.3">
      <c r="A106" s="158" t="s">
        <v>65</v>
      </c>
      <c r="B106" s="158"/>
      <c r="C106" s="158"/>
      <c r="D106" s="158"/>
      <c r="E106" s="158"/>
      <c r="F106" s="242"/>
      <c r="G106" s="242"/>
      <c r="H106" s="242"/>
    </row>
    <row r="107" spans="1:8" s="13" customFormat="1" x14ac:dyDescent="0.3">
      <c r="A107" s="183" t="s">
        <v>66</v>
      </c>
      <c r="B107" s="183"/>
      <c r="C107" s="183"/>
      <c r="D107" s="183"/>
      <c r="E107" s="183"/>
      <c r="F107" s="229">
        <f>F95*0.8</f>
        <v>0</v>
      </c>
      <c r="G107" s="229"/>
      <c r="H107" s="229"/>
    </row>
    <row r="108" spans="1:8" x14ac:dyDescent="0.35">
      <c r="A108" s="166" t="s">
        <v>111</v>
      </c>
      <c r="B108" s="166"/>
      <c r="C108" s="166"/>
      <c r="D108" s="166"/>
      <c r="E108" s="166"/>
      <c r="F108" s="166"/>
      <c r="G108" s="166"/>
      <c r="H108" s="166"/>
    </row>
    <row r="109" spans="1:8" s="9" customFormat="1" x14ac:dyDescent="0.35">
      <c r="A109" s="167" t="s">
        <v>67</v>
      </c>
      <c r="B109" s="167"/>
      <c r="C109" s="16" t="s">
        <v>123</v>
      </c>
      <c r="D109" s="260" t="s">
        <v>68</v>
      </c>
      <c r="E109" s="260"/>
      <c r="F109" s="167" t="s">
        <v>69</v>
      </c>
      <c r="G109" s="167"/>
      <c r="H109" s="167"/>
    </row>
    <row r="110" spans="1:8" s="1" customFormat="1" ht="15.75" hidden="1" customHeight="1" x14ac:dyDescent="0.35">
      <c r="A110" s="169"/>
      <c r="B110" s="169"/>
      <c r="C110" s="17"/>
      <c r="D110" s="245"/>
      <c r="E110" s="245"/>
      <c r="F110" s="180"/>
      <c r="G110" s="180"/>
      <c r="H110" s="180"/>
    </row>
    <row r="111" spans="1:8" s="1" customFormat="1" ht="15.75" hidden="1" customHeight="1" x14ac:dyDescent="0.35">
      <c r="A111" s="166" t="s">
        <v>111</v>
      </c>
      <c r="B111" s="166"/>
      <c r="C111" s="166"/>
      <c r="D111" s="166"/>
      <c r="E111" s="166"/>
      <c r="F111" s="166"/>
      <c r="G111" s="166"/>
      <c r="H111" s="166"/>
    </row>
    <row r="112" spans="1:8" s="1" customFormat="1" hidden="1" x14ac:dyDescent="0.35">
      <c r="A112" s="167" t="s">
        <v>67</v>
      </c>
      <c r="B112" s="167"/>
      <c r="C112" s="16" t="s">
        <v>123</v>
      </c>
      <c r="D112" s="260" t="s">
        <v>68</v>
      </c>
      <c r="E112" s="260"/>
      <c r="F112" s="167" t="s">
        <v>69</v>
      </c>
      <c r="G112" s="167"/>
      <c r="H112" s="167"/>
    </row>
    <row r="113" spans="1:8" s="1" customFormat="1" x14ac:dyDescent="0.35">
      <c r="A113" s="169" t="s">
        <v>206</v>
      </c>
      <c r="B113" s="169"/>
      <c r="C113" s="17">
        <f>COUNT(D124:D129)+COUNT(D131:D136)*5+COUNT(D138:D143)*6+COUNT(D145:D150)+COUNT(D152:D157)*2+COUNT(D159:D163)*2+COUNT(D165:D169)</f>
        <v>105</v>
      </c>
      <c r="D113" s="245">
        <f>SUM(D124:D129)+SUM(D131:D136)*5+SUM(D138:D143)*6+SUM(D145:D150)+SUM(D152:D157)*2+SUM(D159:D163)*2+SUM(D165:D169)</f>
        <v>52060.366940400003</v>
      </c>
      <c r="E113" s="245"/>
      <c r="F113" s="246">
        <f>SUM(F124:F129)+SUM(F131:F136)*5+SUM(F138:F143)*6+SUM(F145:F150)+SUM(F152:F157)*2+SUM(F159:F163)*2+SUM(F165:F169)</f>
        <v>89482.118520599979</v>
      </c>
      <c r="G113" s="247"/>
      <c r="H113" s="248"/>
    </row>
    <row r="114" spans="1:8" s="1" customFormat="1" x14ac:dyDescent="0.35">
      <c r="A114" s="169" t="s">
        <v>209</v>
      </c>
      <c r="B114" s="169"/>
      <c r="C114" s="17">
        <f>COUNT(D172:D177)+COUNT(D179:D184)*4+COUNT(D186:D191)*4+COUNT(D193:D198)</f>
        <v>60</v>
      </c>
      <c r="D114" s="245">
        <f>SUM(D172:D177)+SUM(D179:D184)*4+SUM(D186:D191)*4+SUM(D193:D198)</f>
        <v>31173.288529518719</v>
      </c>
      <c r="E114" s="245"/>
      <c r="F114" s="246">
        <f>SUM(F172:F177)+SUM(F179:F184)*4+SUM(F186:F191)*4+SUM(F193:F198)</f>
        <v>53089.918274278076</v>
      </c>
      <c r="G114" s="247"/>
      <c r="H114" s="248"/>
    </row>
    <row r="115" spans="1:8" s="1" customFormat="1" x14ac:dyDescent="0.35">
      <c r="A115" s="169" t="s">
        <v>215</v>
      </c>
      <c r="B115" s="169"/>
      <c r="C115" s="17">
        <f>COUNT(E201:E204)</f>
        <v>4</v>
      </c>
      <c r="D115" s="245">
        <f>SUM(E201:E204)</f>
        <v>426.35342879999996</v>
      </c>
      <c r="E115" s="245"/>
      <c r="F115" s="246">
        <f>SUM(F201:F204)</f>
        <v>3771.9504155548798</v>
      </c>
      <c r="G115" s="247"/>
      <c r="H115" s="248"/>
    </row>
    <row r="116" spans="1:8" s="71" customFormat="1" ht="15" x14ac:dyDescent="0.35">
      <c r="A116" s="263" t="s">
        <v>71</v>
      </c>
      <c r="B116" s="263"/>
      <c r="C116" s="70">
        <f>SUM(C113:C115)</f>
        <v>169</v>
      </c>
      <c r="D116" s="264">
        <f>SUM(D113:E115)</f>
        <v>83660.008898718719</v>
      </c>
      <c r="E116" s="264"/>
      <c r="F116" s="265">
        <f>SUM(F113:H115)</f>
        <v>146343.98721043294</v>
      </c>
      <c r="G116" s="266"/>
      <c r="H116" s="267"/>
    </row>
    <row r="117" spans="1:8" s="1" customFormat="1" x14ac:dyDescent="0.35">
      <c r="A117" s="164" t="s">
        <v>72</v>
      </c>
      <c r="B117" s="164"/>
      <c r="C117" s="164"/>
      <c r="D117" s="164"/>
      <c r="E117" s="164"/>
      <c r="F117" s="164"/>
      <c r="G117" s="164"/>
      <c r="H117" s="164"/>
    </row>
    <row r="118" spans="1:8" s="1" customFormat="1" x14ac:dyDescent="0.35">
      <c r="A118" s="164" t="s">
        <v>73</v>
      </c>
      <c r="B118" s="164"/>
      <c r="C118" s="164"/>
      <c r="D118" s="164"/>
      <c r="E118" s="164"/>
      <c r="F118" s="164"/>
      <c r="G118" s="164"/>
      <c r="H118" s="164"/>
    </row>
    <row r="119" spans="1:8" s="9" customFormat="1" ht="49.5" customHeight="1" x14ac:dyDescent="0.35">
      <c r="A119" s="165" t="s">
        <v>120</v>
      </c>
      <c r="B119" s="165"/>
      <c r="C119" s="25" t="s">
        <v>74</v>
      </c>
      <c r="D119" s="25" t="s">
        <v>75</v>
      </c>
      <c r="E119" s="18" t="s">
        <v>76</v>
      </c>
      <c r="F119" s="25" t="s">
        <v>77</v>
      </c>
      <c r="G119" s="165" t="s">
        <v>78</v>
      </c>
      <c r="H119" s="165"/>
    </row>
    <row r="120" spans="1:8" x14ac:dyDescent="0.35">
      <c r="A120" s="135" t="s">
        <v>241</v>
      </c>
      <c r="B120" s="135"/>
      <c r="C120" s="135"/>
      <c r="D120" s="135"/>
      <c r="E120" s="135"/>
      <c r="F120" s="135"/>
      <c r="G120" s="135"/>
      <c r="H120" s="135"/>
    </row>
    <row r="121" spans="1:8" ht="19.5" customHeight="1" x14ac:dyDescent="0.35">
      <c r="A121" s="135" t="s">
        <v>206</v>
      </c>
      <c r="B121" s="135"/>
      <c r="C121" s="135"/>
      <c r="D121" s="135"/>
      <c r="E121" s="135"/>
      <c r="F121" s="135"/>
      <c r="G121" s="135"/>
      <c r="H121" s="135"/>
    </row>
    <row r="122" spans="1:8" ht="19.5" customHeight="1" x14ac:dyDescent="0.35">
      <c r="A122" s="135" t="s">
        <v>242</v>
      </c>
      <c r="B122" s="135"/>
      <c r="C122" s="135"/>
      <c r="D122" s="135"/>
      <c r="E122" s="135"/>
      <c r="F122" s="135"/>
      <c r="G122" s="135"/>
      <c r="H122" s="135"/>
    </row>
    <row r="123" spans="1:8" s="2" customFormat="1" x14ac:dyDescent="0.35">
      <c r="A123" s="135" t="s">
        <v>243</v>
      </c>
      <c r="B123" s="135"/>
      <c r="C123" s="135"/>
      <c r="D123" s="135"/>
      <c r="E123" s="135"/>
      <c r="F123" s="135"/>
      <c r="G123" s="135"/>
      <c r="H123" s="135"/>
    </row>
    <row r="124" spans="1:8" s="2" customFormat="1" x14ac:dyDescent="0.35">
      <c r="A124" s="134">
        <v>1</v>
      </c>
      <c r="B124" s="134"/>
      <c r="C124" s="24" t="s">
        <v>200</v>
      </c>
      <c r="D124" s="24">
        <f>((4.87*3.2+1.57*2.13+3.57*2.74+2.9*1.68+1.22*1.82+2.28*1.22)+3.19*1.53+(2*2.5+1.98*2.9+0.5*2+2*0.5+0.5*2+0.5*0.4))*10.764</f>
        <v>617.92464239999993</v>
      </c>
      <c r="E124" s="24">
        <f>(2.79*2.75)*10.764</f>
        <v>82.586789999999993</v>
      </c>
      <c r="F124" s="24">
        <f t="shared" ref="F124:F129" si="0">D124*1.5+E124</f>
        <v>1009.4737535999999</v>
      </c>
      <c r="G124" s="136" t="s">
        <v>198</v>
      </c>
      <c r="H124" s="137"/>
    </row>
    <row r="125" spans="1:8" s="2" customFormat="1" x14ac:dyDescent="0.35">
      <c r="A125" s="134">
        <v>2</v>
      </c>
      <c r="B125" s="134"/>
      <c r="C125" s="56" t="s">
        <v>200</v>
      </c>
      <c r="D125" s="24">
        <f>((4.87*3.2+1.67*2.13+3.57*2.74+1.22*1.22+1.22*1.82)+3.19*1.53+(1.98*1.9+2.5*2+0.5*2+2*0.5+0.5*0.4))*10.764</f>
        <v>521.77844159999995</v>
      </c>
      <c r="E125" s="24">
        <f>(2.36*2.75)*10.764</f>
        <v>69.85835999999999</v>
      </c>
      <c r="F125" s="56">
        <f t="shared" si="0"/>
        <v>852.52602239999987</v>
      </c>
      <c r="G125" s="138"/>
      <c r="H125" s="139"/>
    </row>
    <row r="126" spans="1:8" s="2" customFormat="1" x14ac:dyDescent="0.35">
      <c r="A126" s="134">
        <v>3</v>
      </c>
      <c r="B126" s="134"/>
      <c r="C126" s="56" t="s">
        <v>199</v>
      </c>
      <c r="D126" s="24">
        <f>((3.95*2.9+1.5*2.13+3.35*2.74+1.22*1.82+1.82*1.22)+(0.91*1.7+0.5*0.5+0.5*1.22+0.9*0.7)+( 2.7*1.9+0.5*2+0.75*3.04))*10.764</f>
        <v>427.51163520000006</v>
      </c>
      <c r="E126" s="24">
        <f>(2.6*2.8)*10.764</f>
        <v>78.361919999999984</v>
      </c>
      <c r="F126" s="56">
        <f t="shared" si="0"/>
        <v>719.62937280000006</v>
      </c>
      <c r="G126" s="138"/>
      <c r="H126" s="139"/>
    </row>
    <row r="127" spans="1:8" s="2" customFormat="1" x14ac:dyDescent="0.35">
      <c r="A127" s="134">
        <v>4</v>
      </c>
      <c r="B127" s="134"/>
      <c r="C127" s="56" t="s">
        <v>199</v>
      </c>
      <c r="D127" s="24">
        <f>((3.95*2.9+1.5*2.13+3.35*2.74+1.22*1.82+1.82*1.22)+(1.93*2.6+0.75*3.04+0.5*1.22+1.84*0.5+0.91*1.6+0.5*1.22+0.91*0.91+1.68*0.45))*10.764</f>
        <v>438.6103956</v>
      </c>
      <c r="E127" s="24">
        <f>(2.83*2.5)*10.764</f>
        <v>76.155299999999997</v>
      </c>
      <c r="F127" s="56">
        <f t="shared" si="0"/>
        <v>734.07089340000005</v>
      </c>
      <c r="G127" s="138"/>
      <c r="H127" s="139"/>
    </row>
    <row r="128" spans="1:8" s="2" customFormat="1" x14ac:dyDescent="0.35">
      <c r="A128" s="134">
        <v>5</v>
      </c>
      <c r="B128" s="134"/>
      <c r="C128" s="56" t="s">
        <v>199</v>
      </c>
      <c r="D128" s="56">
        <f>((3.95*2.9+1.5*2.13+3.35*2.74+1.22*1.82+1.82*1.22+0.91*0.91)+(0.9*0.7+1.6*0.91+0.5*1.2+0.3*1.1+0.6*0.5)+(1.75*1.93+1.68*0.45+0.5*2+0.75*2.74))*10.764</f>
        <v>426.28023360000003</v>
      </c>
      <c r="E128" s="56">
        <f>(3.4*3.05)*10.764</f>
        <v>111.62267999999999</v>
      </c>
      <c r="F128" s="56">
        <f t="shared" si="0"/>
        <v>751.04303040000002</v>
      </c>
      <c r="G128" s="138"/>
      <c r="H128" s="139"/>
    </row>
    <row r="129" spans="1:8" s="2" customFormat="1" x14ac:dyDescent="0.35">
      <c r="A129" s="134">
        <v>6</v>
      </c>
      <c r="B129" s="134"/>
      <c r="C129" s="56" t="s">
        <v>199</v>
      </c>
      <c r="D129" s="56">
        <f>((3.95*2.9+1.5*2.13+3.35*2.74+1.22*1.82+1.82*1.22+0.91*0.91)+(0.9*0.7+1.6*0.91+0.5*1.2+0.3*1.1+0.6*0.5)+(1.75*1.93+1.68*0.45+0.5*2+0.75*2.74))*10.764</f>
        <v>426.28023360000003</v>
      </c>
      <c r="E129" s="24">
        <f>(3.4*3.05)*10.764</f>
        <v>111.62267999999999</v>
      </c>
      <c r="F129" s="56">
        <f t="shared" si="0"/>
        <v>751.04303040000002</v>
      </c>
      <c r="G129" s="140"/>
      <c r="H129" s="141"/>
    </row>
    <row r="130" spans="1:8" s="2" customFormat="1" x14ac:dyDescent="0.35">
      <c r="A130" s="135" t="s">
        <v>222</v>
      </c>
      <c r="B130" s="135"/>
      <c r="C130" s="135"/>
      <c r="D130" s="135"/>
      <c r="E130" s="135"/>
      <c r="F130" s="135"/>
      <c r="G130" s="135"/>
      <c r="H130" s="135"/>
    </row>
    <row r="131" spans="1:8" s="2" customFormat="1" x14ac:dyDescent="0.35">
      <c r="A131" s="134">
        <v>1</v>
      </c>
      <c r="B131" s="134"/>
      <c r="C131" s="24" t="s">
        <v>200</v>
      </c>
      <c r="D131" s="24">
        <f>((4.87*3.2+1.57*2.13+3.57*2.74+2.9*1.68+1.22*1.82+2.28*1.22)+3.19*1.53+(0.5*2.14+0.4*0.4+0.5*1.68+0.75*2.8+1.98*2.9+1.8*2+2.4*0.5))*10.764</f>
        <v>626.21292239999991</v>
      </c>
      <c r="E131" s="24">
        <f>((4.2*3.1)-(2.4*0.5))*10.764</f>
        <v>127.23048000000001</v>
      </c>
      <c r="F131" s="56">
        <f>D131*1.5+E131</f>
        <v>1066.5498635999998</v>
      </c>
      <c r="G131" s="134"/>
      <c r="H131" s="134"/>
    </row>
    <row r="132" spans="1:8" s="2" customFormat="1" x14ac:dyDescent="0.35">
      <c r="A132" s="134">
        <v>2</v>
      </c>
      <c r="B132" s="134"/>
      <c r="C132" s="24" t="s">
        <v>200</v>
      </c>
      <c r="D132" s="56">
        <f>((4.87*3.2+1.57*2.13+3.57*2.74+2.9*1.68+1.22*1.82+2.28*1.22)+3.19*1.53+(0.5*2.14+0.4*0.4+0.5*1.68+0.75*2.8+1.98*2.9+1.8*2+2.4*0.5))*10.764</f>
        <v>626.21292239999991</v>
      </c>
      <c r="E132" s="56">
        <f>((4.2*3.1)-(2.4*0.5))*10.764</f>
        <v>127.23048000000001</v>
      </c>
      <c r="F132" s="56">
        <f t="shared" ref="F132:F163" si="1">D132*1.5+E132</f>
        <v>1066.5498635999998</v>
      </c>
      <c r="G132" s="136" t="s">
        <v>201</v>
      </c>
      <c r="H132" s="137"/>
    </row>
    <row r="133" spans="1:8" s="2" customFormat="1" x14ac:dyDescent="0.35">
      <c r="A133" s="134">
        <v>3</v>
      </c>
      <c r="B133" s="134"/>
      <c r="C133" s="24" t="s">
        <v>199</v>
      </c>
      <c r="D133" s="24">
        <f>((3.95*2.9+1.5*2.13+3.35*2.74+1.22*1.82+1.82*1.22+0.91*0.91)+(0.9*0.6+0.5*1.22+0.91*1.6+0.6*0.4)+(1.68*0.45+0.75*2.6+1.93*2.6+0.5*1.8))*10.764</f>
        <v>436.6728756</v>
      </c>
      <c r="E133" s="24">
        <f>(3*3)*10.764</f>
        <v>96.875999999999991</v>
      </c>
      <c r="F133" s="56">
        <f t="shared" si="1"/>
        <v>751.88531339999997</v>
      </c>
      <c r="G133" s="138"/>
      <c r="H133" s="139"/>
    </row>
    <row r="134" spans="1:8" s="2" customFormat="1" x14ac:dyDescent="0.35">
      <c r="A134" s="134">
        <v>4</v>
      </c>
      <c r="B134" s="134"/>
      <c r="C134" s="56" t="s">
        <v>199</v>
      </c>
      <c r="D134" s="56">
        <f>((3.95*2.9+1.5*2.13+3.35*2.74+1.22*1.82+1.82*1.22+0.91*0.91)+(0.9*0.6+0.5*1.22+0.91*1.6+0.6*0.4)+(1.68*0.45+0.75*2.6+1.93*2.6+0.5*1.8))*10.764</f>
        <v>436.6728756</v>
      </c>
      <c r="E134" s="56">
        <f>(3*3)*10.764</f>
        <v>96.875999999999991</v>
      </c>
      <c r="F134" s="56">
        <f t="shared" si="1"/>
        <v>751.88531339999997</v>
      </c>
      <c r="G134" s="138"/>
      <c r="H134" s="139"/>
    </row>
    <row r="135" spans="1:8" s="2" customFormat="1" x14ac:dyDescent="0.35">
      <c r="A135" s="134">
        <v>5</v>
      </c>
      <c r="B135" s="134"/>
      <c r="C135" s="56" t="s">
        <v>199</v>
      </c>
      <c r="D135" s="56">
        <f>((3.95*2.9+1.5*2.13+3.35*2.74+1.22*1.82+1.82*1.22+0.91*0.91)+(0.9*0.6+0.5*1.22+0.91*1.6+0.6*0.4)+(1.68*0.45+0.75*2.6+1.93*2.6+0.5*1.8))*10.764</f>
        <v>436.6728756</v>
      </c>
      <c r="E135" s="56">
        <f>(3*3)*10.764</f>
        <v>96.875999999999991</v>
      </c>
      <c r="F135" s="56">
        <f t="shared" si="1"/>
        <v>751.88531339999997</v>
      </c>
      <c r="G135" s="138"/>
      <c r="H135" s="139"/>
    </row>
    <row r="136" spans="1:8" s="2" customFormat="1" x14ac:dyDescent="0.35">
      <c r="A136" s="134">
        <v>6</v>
      </c>
      <c r="B136" s="134"/>
      <c r="C136" s="24" t="s">
        <v>199</v>
      </c>
      <c r="D136" s="56">
        <f>((3.95*2.9+1.5*2.13+3.35*2.74+1.22*1.82+1.82*1.22+0.91*0.91)+(0.9*0.6+0.5*1.22+0.91*1.6+0.6*0.4)+(1.68*0.45+0.75*2.6+1.93*2.6+0.5*1.8))*10.764</f>
        <v>436.6728756</v>
      </c>
      <c r="E136" s="56">
        <f>(3*3)*10.764</f>
        <v>96.875999999999991</v>
      </c>
      <c r="F136" s="56">
        <f t="shared" si="1"/>
        <v>751.88531339999997</v>
      </c>
      <c r="G136" s="140"/>
      <c r="H136" s="141"/>
    </row>
    <row r="137" spans="1:8" s="2" customFormat="1" x14ac:dyDescent="0.35">
      <c r="A137" s="135" t="s">
        <v>202</v>
      </c>
      <c r="B137" s="135"/>
      <c r="C137" s="135"/>
      <c r="D137" s="135"/>
      <c r="E137" s="135"/>
      <c r="F137" s="135"/>
      <c r="G137" s="135"/>
      <c r="H137" s="135"/>
    </row>
    <row r="138" spans="1:8" s="2" customFormat="1" x14ac:dyDescent="0.35">
      <c r="A138" s="134">
        <v>1</v>
      </c>
      <c r="B138" s="134"/>
      <c r="C138" s="56" t="s">
        <v>200</v>
      </c>
      <c r="D138" s="56">
        <f>((4.87*3.2+1.57*2.13+3.57*2.74+2.9*1.68+1.22*1.82+2.28*1.22)+(1.53*3.19+0.4*0.4)+(2.6*2+0.75*2.8+2.4*0.5+2.9*1.98+0.5*2))*10.764</f>
        <v>633.64008239999998</v>
      </c>
      <c r="E138" s="56">
        <f>(4.26*2.75)*10.764</f>
        <v>126.10025999999999</v>
      </c>
      <c r="F138" s="56">
        <f t="shared" si="1"/>
        <v>1076.5603836</v>
      </c>
      <c r="G138" s="136" t="s">
        <v>202</v>
      </c>
      <c r="H138" s="137"/>
    </row>
    <row r="139" spans="1:8" s="2" customFormat="1" x14ac:dyDescent="0.35">
      <c r="A139" s="134">
        <v>2</v>
      </c>
      <c r="B139" s="134"/>
      <c r="C139" s="56" t="s">
        <v>200</v>
      </c>
      <c r="D139" s="56">
        <f>((4.87*3.2+1.57*2.13+3.57*2.74+2.9*1.68+1.22*1.82+2.28*1.22)+(1.53*3.19+0.4*0.4)+(2.6*2+0.75*2.8+2.4*0.5+2.9*1.98+0.5*2))*10.764</f>
        <v>633.64008239999998</v>
      </c>
      <c r="E139" s="56">
        <f>(4.26*2.75)*10.764</f>
        <v>126.10025999999999</v>
      </c>
      <c r="F139" s="56">
        <f t="shared" si="1"/>
        <v>1076.5603836</v>
      </c>
      <c r="G139" s="138"/>
      <c r="H139" s="139"/>
    </row>
    <row r="140" spans="1:8" s="2" customFormat="1" x14ac:dyDescent="0.35">
      <c r="A140" s="134">
        <v>3</v>
      </c>
      <c r="B140" s="134"/>
      <c r="C140" s="56" t="s">
        <v>199</v>
      </c>
      <c r="D140" s="56">
        <f>((3.95*2.9+1.5*2.13+3.35*2.74+1.22*1.82+1.82*1.22+0.91*0.91)+(0.9*0.75+0.5*1.22+1.6*0.91+0.5*0.4)+(1.68*0.45+1.93*2.6+0.5*2+0.75*2.8))*10.764</f>
        <v>440.38645560000003</v>
      </c>
      <c r="E140" s="56">
        <f>(3.4*3.05)*10.764</f>
        <v>111.62267999999999</v>
      </c>
      <c r="F140" s="56">
        <f t="shared" si="1"/>
        <v>772.20236339999997</v>
      </c>
      <c r="G140" s="138"/>
      <c r="H140" s="139"/>
    </row>
    <row r="141" spans="1:8" s="2" customFormat="1" x14ac:dyDescent="0.35">
      <c r="A141" s="134">
        <v>4</v>
      </c>
      <c r="B141" s="134"/>
      <c r="C141" s="56" t="s">
        <v>199</v>
      </c>
      <c r="D141" s="56">
        <f>((3.95*2.9+1.5*2.13+3.35*2.74+1.22*1.82+1.82*1.22+0.91*0.91)+(0.9*0.75+0.5*1.22+1.6*0.91+0.5*0.4)+(1.68*0.45+1.93*2.6+0.5*2+0.75*2.8))*10.764</f>
        <v>440.38645560000003</v>
      </c>
      <c r="E141" s="56">
        <f>(3.4*3.05)*10.764</f>
        <v>111.62267999999999</v>
      </c>
      <c r="F141" s="56">
        <f t="shared" si="1"/>
        <v>772.20236339999997</v>
      </c>
      <c r="G141" s="138"/>
      <c r="H141" s="139"/>
    </row>
    <row r="142" spans="1:8" s="2" customFormat="1" x14ac:dyDescent="0.35">
      <c r="A142" s="134">
        <v>5</v>
      </c>
      <c r="B142" s="134"/>
      <c r="C142" s="56" t="s">
        <v>199</v>
      </c>
      <c r="D142" s="56">
        <f>((3.95*2.9+1.5*2.13+3.35*2.74+1.22*1.82+1.82*1.22+0.91*0.91)+(0.9*0.75+0.5*1.22+1.6*0.91+0.5*0.4)+(1.68*0.45+1.93*2.6+0.5*2+0.75*2.8))*10.764</f>
        <v>440.38645560000003</v>
      </c>
      <c r="E142" s="56">
        <f>(3.4*3.05)*10.764</f>
        <v>111.62267999999999</v>
      </c>
      <c r="F142" s="56">
        <f t="shared" si="1"/>
        <v>772.20236339999997</v>
      </c>
      <c r="G142" s="138"/>
      <c r="H142" s="139"/>
    </row>
    <row r="143" spans="1:8" s="2" customFormat="1" x14ac:dyDescent="0.35">
      <c r="A143" s="134">
        <v>6</v>
      </c>
      <c r="B143" s="134"/>
      <c r="C143" s="56" t="s">
        <v>199</v>
      </c>
      <c r="D143" s="56">
        <f>((3.95*2.9+1.5*2.13+3.35*2.74+1.22*1.82+1.82*1.22+0.91*0.91)+(0.9*0.75+0.5*1.22+1.6*0.91+0.5*0.4)+(1.68*0.45+1.93*2.6+0.5*2+0.75*2.8))*10.764</f>
        <v>440.38645560000003</v>
      </c>
      <c r="E143" s="56">
        <f>(3.4*3.05)*10.764</f>
        <v>111.62267999999999</v>
      </c>
      <c r="F143" s="56">
        <f t="shared" si="1"/>
        <v>772.20236339999997</v>
      </c>
      <c r="G143" s="140"/>
      <c r="H143" s="141"/>
    </row>
    <row r="144" spans="1:8" s="2" customFormat="1" x14ac:dyDescent="0.35">
      <c r="A144" s="135" t="s">
        <v>203</v>
      </c>
      <c r="B144" s="135"/>
      <c r="C144" s="135"/>
      <c r="D144" s="135"/>
      <c r="E144" s="135"/>
      <c r="F144" s="135"/>
      <c r="G144" s="135"/>
      <c r="H144" s="135"/>
    </row>
    <row r="145" spans="1:9" s="2" customFormat="1" x14ac:dyDescent="0.35">
      <c r="A145" s="156">
        <v>1</v>
      </c>
      <c r="B145" s="157"/>
      <c r="C145" s="56" t="s">
        <v>200</v>
      </c>
      <c r="D145" s="56">
        <f>((4.87*3.2+1.57*2.13+3.57*2.74+2.9*1.68+1.22*1.82+2.28*1.22)+(1.53*3.19+0.4*0.4)+(2.6*2+0.75*2.8+2.4*0.5+2.9*1.98+0.5*2))*10.764</f>
        <v>633.64008239999998</v>
      </c>
      <c r="E145" s="56">
        <f>(4.26*2.75)*10.764</f>
        <v>126.10025999999999</v>
      </c>
      <c r="F145" s="56">
        <f t="shared" si="1"/>
        <v>1076.5603836</v>
      </c>
      <c r="G145" s="136" t="s">
        <v>203</v>
      </c>
      <c r="H145" s="137"/>
    </row>
    <row r="146" spans="1:9" s="2" customFormat="1" x14ac:dyDescent="0.35">
      <c r="A146" s="156">
        <v>2</v>
      </c>
      <c r="B146" s="157"/>
      <c r="C146" s="56" t="s">
        <v>200</v>
      </c>
      <c r="D146" s="56">
        <f>((4.87*3.2+1.57*2.13+3.57*2.74+2.9*1.68+1.22*1.82+2.28*1.22)+(1.53*3.19+0.4*0.4)+(2.6*2+0.75*2.8+2.4*0.5+2.9*1.98+0.5*2))*10.764</f>
        <v>633.64008239999998</v>
      </c>
      <c r="E146" s="56">
        <f>(4.26*2.75)*10.764</f>
        <v>126.10025999999999</v>
      </c>
      <c r="F146" s="56">
        <f t="shared" si="1"/>
        <v>1076.5603836</v>
      </c>
      <c r="G146" s="138"/>
      <c r="H146" s="139"/>
    </row>
    <row r="147" spans="1:9" s="2" customFormat="1" x14ac:dyDescent="0.35">
      <c r="A147" s="156">
        <v>3</v>
      </c>
      <c r="B147" s="157"/>
      <c r="C147" s="56" t="s">
        <v>199</v>
      </c>
      <c r="D147" s="56">
        <f>((3.95*2.9+1.5*2.13+3.35*2.74+1.22*1.82+1.82*1.22+0.91*0.91)+(0.9*0.75+0.5*1.22+1.6*0.91+0.5*0.4)+(1.68*0.45+1.93*2.6+0.5*2+0.75*2.8))*10.764</f>
        <v>440.38645560000003</v>
      </c>
      <c r="E147" s="56">
        <f>(3.4*3.05)*10.764</f>
        <v>111.62267999999999</v>
      </c>
      <c r="F147" s="56">
        <f t="shared" si="1"/>
        <v>772.20236339999997</v>
      </c>
      <c r="G147" s="138"/>
      <c r="H147" s="139"/>
    </row>
    <row r="148" spans="1:9" s="2" customFormat="1" x14ac:dyDescent="0.35">
      <c r="A148" s="156">
        <v>4</v>
      </c>
      <c r="B148" s="157"/>
      <c r="C148" s="56" t="s">
        <v>204</v>
      </c>
      <c r="D148" s="56">
        <f>((3.95*2.9+1.5*2.13+1.22*0.91+1.82*1.22+0.91*0.91)+(0.91*2.4+0.4*1.3+0.5*0.6)+(0.5*1.84+1.93*2.7))*10.764</f>
        <v>300.78598679999999</v>
      </c>
      <c r="E148" s="56">
        <f>(3.4*3.05)*10.764</f>
        <v>111.62267999999999</v>
      </c>
      <c r="F148" s="56">
        <f t="shared" si="1"/>
        <v>562.8016601999999</v>
      </c>
      <c r="G148" s="138"/>
      <c r="H148" s="139"/>
    </row>
    <row r="149" spans="1:9" s="2" customFormat="1" x14ac:dyDescent="0.35">
      <c r="A149" s="156">
        <v>5</v>
      </c>
      <c r="B149" s="157"/>
      <c r="C149" s="56" t="s">
        <v>199</v>
      </c>
      <c r="D149" s="56">
        <f>((3.95*2.9+1.5*2.13+3.35*2.74+1.22*1.82+1.82*1.22+0.91*0.91)+(0.9*0.75+0.5*1.22+1.6*0.91+0.5*0.4)+(1.68*0.45+1.93*2.6+0.5*2+0.75*2.8))*10.764</f>
        <v>440.38645560000003</v>
      </c>
      <c r="E149" s="56">
        <f>(3.4*3.05)*10.764</f>
        <v>111.62267999999999</v>
      </c>
      <c r="F149" s="56">
        <f t="shared" si="1"/>
        <v>772.20236339999997</v>
      </c>
      <c r="G149" s="138"/>
      <c r="H149" s="139"/>
    </row>
    <row r="150" spans="1:9" s="2" customFormat="1" x14ac:dyDescent="0.35">
      <c r="A150" s="156">
        <v>6</v>
      </c>
      <c r="B150" s="157"/>
      <c r="C150" s="56" t="s">
        <v>199</v>
      </c>
      <c r="D150" s="56">
        <f>((3.95*2.9+1.5*2.13+3.35*2.74+1.22*1.82+1.82*1.22+0.91*0.91)+(0.9*0.75+0.5*1.22+1.6*0.91+0.5*0.4)+(1.68*0.45+1.93*2.6+0.5*2+0.75*2.8))*10.764</f>
        <v>440.38645560000003</v>
      </c>
      <c r="E150" s="56">
        <f>(3.4*3.05)*10.764</f>
        <v>111.62267999999999</v>
      </c>
      <c r="F150" s="56">
        <f t="shared" si="1"/>
        <v>772.20236339999997</v>
      </c>
      <c r="G150" s="140"/>
      <c r="H150" s="141"/>
    </row>
    <row r="151" spans="1:9" s="2" customFormat="1" x14ac:dyDescent="0.35">
      <c r="A151" s="135" t="s">
        <v>205</v>
      </c>
      <c r="B151" s="135"/>
      <c r="C151" s="135"/>
      <c r="D151" s="135"/>
      <c r="E151" s="135"/>
      <c r="F151" s="135"/>
      <c r="G151" s="135"/>
      <c r="H151" s="135"/>
    </row>
    <row r="152" spans="1:9" s="2" customFormat="1" x14ac:dyDescent="0.35">
      <c r="A152" s="134">
        <v>1</v>
      </c>
      <c r="B152" s="134"/>
      <c r="C152" s="56" t="s">
        <v>200</v>
      </c>
      <c r="D152" s="56">
        <f>((4.87*3.2+1.57*2.13+3.57*2.74+2.9*1.68+1.22*1.82+2.28*1.22)+3.19*1.53+0.4*0.4+(0.5*2.14+0.75*2.75+0.75*3.04+0.5*2+2.4*0.5))*10.764</f>
        <v>551.51614439999992</v>
      </c>
      <c r="E152" s="56">
        <f>((4.2*3.1)-(0.5*2.4))*10.764</f>
        <v>127.23048000000001</v>
      </c>
      <c r="F152" s="56">
        <f t="shared" si="1"/>
        <v>954.50469659999987</v>
      </c>
      <c r="G152" s="136" t="s">
        <v>205</v>
      </c>
      <c r="H152" s="137"/>
    </row>
    <row r="153" spans="1:9" s="2" customFormat="1" x14ac:dyDescent="0.35">
      <c r="A153" s="134">
        <v>2</v>
      </c>
      <c r="B153" s="134"/>
      <c r="C153" s="56" t="s">
        <v>200</v>
      </c>
      <c r="D153" s="56">
        <f>((4.87*3.2+1.57*2.13+3.57*2.74+2.9*1.68+1.22*1.82+2.28*1.22)+3.19*1.53+0.4*0.4+(0.5*2.14+0.75*2.75+0.75*3.04+0.5*2+2.4*0.5))*10.764</f>
        <v>551.51614439999992</v>
      </c>
      <c r="E153" s="56">
        <f>((4.2*3.1)-(0.5*2.4))*10.764</f>
        <v>127.23048000000001</v>
      </c>
      <c r="F153" s="56">
        <f t="shared" si="1"/>
        <v>954.50469659999987</v>
      </c>
      <c r="G153" s="138"/>
      <c r="H153" s="139"/>
    </row>
    <row r="154" spans="1:9" s="2" customFormat="1" x14ac:dyDescent="0.35">
      <c r="A154" s="134">
        <v>3</v>
      </c>
      <c r="B154" s="134"/>
      <c r="C154" s="56" t="s">
        <v>199</v>
      </c>
      <c r="D154" s="58">
        <f>((3.95*2.9+1.5*2.13+3.35*2.74+1.22*1.82+1.82*1.22+0.91*0.91)+(0.9*0.7+0.5*1.22+1.6*0.91+0.6*0.4)+(0.75*2.5+1.68*0.45+1.93*2.5+0.5*2))*10.764</f>
        <v>435.83328360000002</v>
      </c>
      <c r="E154" s="56">
        <f>(3*2.9)*10.764</f>
        <v>93.646799999999985</v>
      </c>
      <c r="F154" s="56">
        <f t="shared" si="1"/>
        <v>747.39672540000004</v>
      </c>
      <c r="G154" s="138"/>
      <c r="H154" s="139"/>
    </row>
    <row r="155" spans="1:9" s="2" customFormat="1" x14ac:dyDescent="0.35">
      <c r="A155" s="134">
        <v>4</v>
      </c>
      <c r="B155" s="134"/>
      <c r="C155" s="56" t="s">
        <v>204</v>
      </c>
      <c r="D155" s="56">
        <f>((3.95*2.9+1.5*2.13+1.22*0.91+1.82*1.22+0.91*0.91)+(0.91*2.4+0.4*1.3+0.5*0.6)+(0.5*1.84+1.93*2.7))*10.764</f>
        <v>300.78598679999999</v>
      </c>
      <c r="E155" s="56">
        <v>0</v>
      </c>
      <c r="F155" s="56">
        <f t="shared" si="1"/>
        <v>451.17898019999996</v>
      </c>
      <c r="G155" s="138"/>
      <c r="H155" s="139"/>
    </row>
    <row r="156" spans="1:9" s="2" customFormat="1" x14ac:dyDescent="0.35">
      <c r="A156" s="134">
        <v>5</v>
      </c>
      <c r="B156" s="134"/>
      <c r="C156" s="56" t="s">
        <v>199</v>
      </c>
      <c r="D156" s="56">
        <f>((3.95*2.9+1.5*2.13+3.35*2.74+1.22*1.82+1.82*1.22+0.91*0.91)+(0.9*0.75+0.5*1.22+1.6*0.91+0.5*0.4)+(1.68*0.45+1.93*2.6+0.5*2+0.75*2.8))*10.764</f>
        <v>440.38645560000003</v>
      </c>
      <c r="E156" s="56">
        <f>(3*3)*10.764</f>
        <v>96.875999999999991</v>
      </c>
      <c r="F156" s="56">
        <f t="shared" si="1"/>
        <v>757.4556834</v>
      </c>
      <c r="G156" s="138"/>
      <c r="H156" s="139"/>
    </row>
    <row r="157" spans="1:9" s="2" customFormat="1" x14ac:dyDescent="0.35">
      <c r="A157" s="134">
        <v>6</v>
      </c>
      <c r="B157" s="134"/>
      <c r="C157" s="56" t="s">
        <v>199</v>
      </c>
      <c r="D157" s="56">
        <f>((3.95*2.9+1.5*2.13+3.35*2.74+1.22*1.82+1.82*1.22+0.91*0.91)+(0.9*0.75+0.5*1.22+1.6*0.91+0.5*0.4)+(1.68*0.45+1.93*2.6+0.5*2+0.75*2.8))*10.764</f>
        <v>440.38645560000003</v>
      </c>
      <c r="E157" s="56">
        <f>(3*3)*10.764</f>
        <v>96.875999999999991</v>
      </c>
      <c r="F157" s="56">
        <f t="shared" si="1"/>
        <v>757.4556834</v>
      </c>
      <c r="G157" s="140"/>
      <c r="H157" s="141"/>
    </row>
    <row r="158" spans="1:9" s="2" customFormat="1" x14ac:dyDescent="0.35">
      <c r="A158" s="135" t="s">
        <v>207</v>
      </c>
      <c r="B158" s="135"/>
      <c r="C158" s="135"/>
      <c r="D158" s="135"/>
      <c r="E158" s="135"/>
      <c r="F158" s="135"/>
      <c r="G158" s="135"/>
      <c r="H158" s="135"/>
    </row>
    <row r="159" spans="1:9" s="2" customFormat="1" x14ac:dyDescent="0.35">
      <c r="A159" s="134">
        <v>1</v>
      </c>
      <c r="B159" s="134"/>
      <c r="C159" s="56" t="s">
        <v>200</v>
      </c>
      <c r="D159" s="56">
        <f>((4.87*3.2+1.57*2.13+3.57*2.74+2.9*1.68+1.22*1.82+2.28*1.22)+3.19*1.53+0.4*0.4+(0.5*2.14+0.75*2.75+0.75*3.04+0.5*2+2.4*0.5))*10.764</f>
        <v>551.51614439999992</v>
      </c>
      <c r="E159" s="56">
        <f>((4.2*3.1)-(0.5*2.4))*10.764</f>
        <v>127.23048000000001</v>
      </c>
      <c r="F159" s="56">
        <f t="shared" si="1"/>
        <v>954.50469659999987</v>
      </c>
      <c r="G159" s="136" t="s">
        <v>207</v>
      </c>
      <c r="H159" s="137"/>
      <c r="I159" s="2">
        <f>2.52*10.764</f>
        <v>27.12528</v>
      </c>
    </row>
    <row r="160" spans="1:9" s="2" customFormat="1" x14ac:dyDescent="0.35">
      <c r="A160" s="134">
        <v>2</v>
      </c>
      <c r="B160" s="134"/>
      <c r="C160" s="56" t="s">
        <v>200</v>
      </c>
      <c r="D160" s="58">
        <f>((4.87*3.2+1.57*2.13+3.57*2.74+2.9*1.68+1.22*1.82+2.28*1.22)+3.19*1.53+0.4*0.4+(0.5*2.14+0.75*2.75+0.75*3.04+0.5*2+2.4*0.5))*10.764</f>
        <v>551.51614439999992</v>
      </c>
      <c r="E160" s="58">
        <f>((4.2*3.1)-(0.5*2.4))*10.764</f>
        <v>127.23048000000001</v>
      </c>
      <c r="F160" s="58">
        <f t="shared" si="1"/>
        <v>954.50469659999987</v>
      </c>
      <c r="G160" s="138"/>
      <c r="H160" s="139"/>
    </row>
    <row r="161" spans="1:8" s="2" customFormat="1" x14ac:dyDescent="0.35">
      <c r="A161" s="134">
        <v>3</v>
      </c>
      <c r="B161" s="134"/>
      <c r="C161" s="56" t="s">
        <v>199</v>
      </c>
      <c r="D161" s="58">
        <f>((3.95*2.9+1.5*2.13+3.35*2.74+1.22*1.82+1.82*1.22+0.91*0.91)+(0.9*0.7+0.5*1.22+1.6*0.91+0.6*0.4)+(0.75*2.5+1.68*0.45+1.93*2.5+0.5*2))*10.764</f>
        <v>435.83328360000002</v>
      </c>
      <c r="E161" s="58">
        <f>(2.9*3)*10.764</f>
        <v>93.646799999999985</v>
      </c>
      <c r="F161" s="58">
        <f t="shared" si="1"/>
        <v>747.39672540000004</v>
      </c>
      <c r="G161" s="138"/>
      <c r="H161" s="139"/>
    </row>
    <row r="162" spans="1:8" s="2" customFormat="1" x14ac:dyDescent="0.35">
      <c r="A162" s="134">
        <v>4</v>
      </c>
      <c r="B162" s="134"/>
      <c r="C162" s="56" t="s">
        <v>199</v>
      </c>
      <c r="D162" s="58">
        <f>((3.95*2.9+1.5*2.13+3.35*2.74+1.22*1.82+1.82*1.22+0.91*0.91)+(0.9*0.7+0.5*1.22+1.6*0.91+0.6*0.4)+(0.75*2.5+1.68*0.45+1.93*2.5+0.5*2))*10.764</f>
        <v>435.83328360000002</v>
      </c>
      <c r="E162" s="58">
        <f>(2.9*3)*10.764</f>
        <v>93.646799999999985</v>
      </c>
      <c r="F162" s="58">
        <f t="shared" si="1"/>
        <v>747.39672540000004</v>
      </c>
      <c r="G162" s="138"/>
      <c r="H162" s="139"/>
    </row>
    <row r="163" spans="1:8" s="2" customFormat="1" x14ac:dyDescent="0.35">
      <c r="A163" s="134">
        <v>5</v>
      </c>
      <c r="B163" s="134"/>
      <c r="C163" s="56" t="s">
        <v>200</v>
      </c>
      <c r="D163" s="58">
        <f>((3.95*2.9+1.5*2.13+3.35*2.74+3.95*2.9+1.82*1.22+1.22*1.82+0.91*0.91+2.28*1.22+0.74*0.77+0.91*0.91)+(0.5*1.22+0.91*1.8+0.9*0.7+0.6*0.4)+(1.68*0.45+0.75*2.5+0.75*2.5+0.5*1.84+0.5*2+1.93*2.7))*10.764</f>
        <v>640.32237359999988</v>
      </c>
      <c r="E163" s="56">
        <f>(3*3)*10.764</f>
        <v>96.875999999999991</v>
      </c>
      <c r="F163" s="58">
        <f t="shared" si="1"/>
        <v>1057.3595603999997</v>
      </c>
      <c r="G163" s="140"/>
      <c r="H163" s="141"/>
    </row>
    <row r="164" spans="1:8" s="2" customFormat="1" x14ac:dyDescent="0.35">
      <c r="A164" s="135" t="s">
        <v>208</v>
      </c>
      <c r="B164" s="135"/>
      <c r="C164" s="135"/>
      <c r="D164" s="135"/>
      <c r="E164" s="135"/>
      <c r="F164" s="135"/>
      <c r="G164" s="135"/>
      <c r="H164" s="135"/>
    </row>
    <row r="165" spans="1:8" s="2" customFormat="1" x14ac:dyDescent="0.35">
      <c r="A165" s="134">
        <v>1</v>
      </c>
      <c r="B165" s="134"/>
      <c r="C165" s="58" t="s">
        <v>200</v>
      </c>
      <c r="D165" s="58">
        <f>((4.87*3.2+1.57*2.13+3.57*2.74+2.9*1.68+1.22*1.82+2.28*1.22)+3.19*1.53+0.4*0.4+(0.5*2.14+0.75*2.75+0.75*3.04+0.5*2+2.4*0.5))*10.764</f>
        <v>551.51614439999992</v>
      </c>
      <c r="E165" s="56">
        <f>(4.26*2.75)*10.764</f>
        <v>126.10025999999999</v>
      </c>
      <c r="F165" s="56">
        <f>D165*1.5+E165</f>
        <v>953.37447659999975</v>
      </c>
      <c r="G165" s="136" t="s">
        <v>208</v>
      </c>
      <c r="H165" s="137"/>
    </row>
    <row r="166" spans="1:8" s="2" customFormat="1" x14ac:dyDescent="0.35">
      <c r="A166" s="134">
        <v>2</v>
      </c>
      <c r="B166" s="134"/>
      <c r="C166" s="58" t="s">
        <v>200</v>
      </c>
      <c r="D166" s="58">
        <f>((4.87*3.2+1.57*2.13+3.57*2.74+2.9*1.68+1.22*1.82+2.28*1.22)+3.19*1.53+0.4*0.4+(0.5*2.14+0.75*2.75+0.75*3.04+0.5*2+2.4*0.5))*10.764</f>
        <v>551.51614439999992</v>
      </c>
      <c r="E166" s="56">
        <f>(4*2.75)*10.764</f>
        <v>118.404</v>
      </c>
      <c r="F166" s="56">
        <f>D166*1.5+E166</f>
        <v>945.67821659999981</v>
      </c>
      <c r="G166" s="138"/>
      <c r="H166" s="139"/>
    </row>
    <row r="167" spans="1:8" s="2" customFormat="1" x14ac:dyDescent="0.35">
      <c r="A167" s="134">
        <v>3</v>
      </c>
      <c r="B167" s="134"/>
      <c r="C167" s="58" t="s">
        <v>199</v>
      </c>
      <c r="D167" s="58">
        <f>((3.95*2.9+1.5*2.13+3.35*2.74+1.22*1.82+1.82*1.22+0.91*0.91)+(0.9*0.7+0.5*1.22+1.6*0.91+0.6*0.4)+(0.75*2.5+1.68*0.45+1.93*2.5+0.5*2))*10.764</f>
        <v>435.83328360000002</v>
      </c>
      <c r="E167" s="56">
        <f>(3.3*2.5)*10.764</f>
        <v>88.802999999999997</v>
      </c>
      <c r="F167" s="58">
        <f>D167*1.5+E167</f>
        <v>742.55292540000005</v>
      </c>
      <c r="G167" s="138"/>
      <c r="H167" s="139"/>
    </row>
    <row r="168" spans="1:8" s="2" customFormat="1" x14ac:dyDescent="0.35">
      <c r="A168" s="134">
        <v>4</v>
      </c>
      <c r="B168" s="134"/>
      <c r="C168" s="58" t="s">
        <v>204</v>
      </c>
      <c r="D168" s="58">
        <f>((3.95*2.9+1.5*2.13+1.22*0.91+1.82*1.22+0.91*0.91)+(0.5*1.22+1.6*0.91+0.6*0.4)+(0.5*2+1.93*2.7))*10.764</f>
        <v>294.13383480000005</v>
      </c>
      <c r="E168" s="58">
        <f>(3.3*2.5)*10.764</f>
        <v>88.802999999999997</v>
      </c>
      <c r="F168" s="58">
        <f>D168*1.5+E168</f>
        <v>530.00375220000001</v>
      </c>
      <c r="G168" s="138"/>
      <c r="H168" s="139"/>
    </row>
    <row r="169" spans="1:8" s="2" customFormat="1" x14ac:dyDescent="0.35">
      <c r="A169" s="134">
        <v>5</v>
      </c>
      <c r="B169" s="134"/>
      <c r="C169" s="58" t="s">
        <v>200</v>
      </c>
      <c r="D169" s="58">
        <f>((3.95*2.9+1.5*2.13+3.35*2.74+3.95*2.9+1.82*1.22+1.22*1.82+0.91*0.91+2.28*1.22+0.74*0.77+0.91*0.91)+(0.5*1.22+0.91*1.8+0.9*0.7+0.6*0.4)+(1.68*0.45+0.75*2.5+0.75*2.5+0.5*1.84+0.5*2+1.93*2.7))*10.764</f>
        <v>640.32237359999988</v>
      </c>
      <c r="E169" s="56">
        <f>((3.3*2.5)+(3.3*2.5))*10.764</f>
        <v>177.60599999999999</v>
      </c>
      <c r="F169" s="58">
        <f>D169*1.5+E169</f>
        <v>1138.0895603999998</v>
      </c>
      <c r="G169" s="140"/>
      <c r="H169" s="141"/>
    </row>
    <row r="170" spans="1:8" s="2" customFormat="1" x14ac:dyDescent="0.35">
      <c r="A170" s="135" t="s">
        <v>209</v>
      </c>
      <c r="B170" s="135"/>
      <c r="C170" s="135"/>
      <c r="D170" s="135"/>
      <c r="E170" s="135"/>
      <c r="F170" s="135"/>
      <c r="G170" s="135"/>
      <c r="H170" s="135"/>
    </row>
    <row r="171" spans="1:8" s="2" customFormat="1" x14ac:dyDescent="0.35">
      <c r="A171" s="135" t="s">
        <v>216</v>
      </c>
      <c r="B171" s="135"/>
      <c r="C171" s="135"/>
      <c r="D171" s="135"/>
      <c r="E171" s="135"/>
      <c r="F171" s="135"/>
      <c r="G171" s="135"/>
      <c r="H171" s="135"/>
    </row>
    <row r="172" spans="1:8" s="2" customFormat="1" x14ac:dyDescent="0.35">
      <c r="A172" s="134">
        <v>1</v>
      </c>
      <c r="B172" s="134"/>
      <c r="C172" s="56" t="s">
        <v>200</v>
      </c>
      <c r="D172" s="56">
        <f>((4.87*3.2+1.5*2.13+2.9*3.66+1.5*2.74+1.22*1.82+2.28*1.22)+3.19*1.53+(0.6*0.4+1.85*2.7+1.85*2.7+0.75*0.45+0.75*2+0.5*2.4))*10.764</f>
        <v>609.8150447999999</v>
      </c>
      <c r="E172" s="56">
        <f>(2.8*2.5)*10.764</f>
        <v>75.347999999999999</v>
      </c>
      <c r="F172" s="56">
        <f t="shared" ref="F172:F198" si="2">D172*1.5+E172</f>
        <v>990.0705671999998</v>
      </c>
      <c r="G172" s="136" t="s">
        <v>210</v>
      </c>
      <c r="H172" s="137"/>
    </row>
    <row r="173" spans="1:8" s="2" customFormat="1" x14ac:dyDescent="0.35">
      <c r="A173" s="134">
        <v>2</v>
      </c>
      <c r="B173" s="134"/>
      <c r="C173" s="56" t="s">
        <v>199</v>
      </c>
      <c r="D173" s="56">
        <f>((3.95*2.9+1.93*2.13+3.35*2.74+1.222*1.82+1.82*1.22+0.91*0.91)+(0.5*1.22+0.91*2.3+1*0.4+0.6*1)+(0.5*1.75+1.3*2.6+0.75*2.7+0.5*1.9))*10.764</f>
        <v>440.79053616000004</v>
      </c>
      <c r="E173" s="56">
        <f>(2.5*2.5)*10.764</f>
        <v>67.274999999999991</v>
      </c>
      <c r="F173" s="58">
        <f t="shared" si="2"/>
        <v>728.46080424000002</v>
      </c>
      <c r="G173" s="138"/>
      <c r="H173" s="139"/>
    </row>
    <row r="174" spans="1:8" s="2" customFormat="1" x14ac:dyDescent="0.35">
      <c r="A174" s="134">
        <v>3</v>
      </c>
      <c r="B174" s="134"/>
      <c r="C174" s="58" t="s">
        <v>199</v>
      </c>
      <c r="D174" s="24">
        <f>((2.9*3.95+2.13*1.93+2.74*3.35+1.82*1.22*1.22*1.82+0.91*0.91)+(0.5*1.22+2.3*0.91+0.5*1+0.3*1)+(0.5*1.8+0.5*1.8+0.75*2.7+1.5*2.6))*10.764</f>
        <v>449.19438018624004</v>
      </c>
      <c r="E174" s="24">
        <f>(2.5*2.5)*10.764</f>
        <v>67.274999999999991</v>
      </c>
      <c r="F174" s="58">
        <f t="shared" si="2"/>
        <v>741.06657027936001</v>
      </c>
      <c r="G174" s="138"/>
      <c r="H174" s="139"/>
    </row>
    <row r="175" spans="1:8" s="2" customFormat="1" x14ac:dyDescent="0.35">
      <c r="A175" s="134">
        <v>4</v>
      </c>
      <c r="B175" s="134"/>
      <c r="C175" s="58" t="s">
        <v>199</v>
      </c>
      <c r="D175" s="58">
        <f>((2.9*3.95+2.13*1.93+2.74*3.35+1.82*1.22*1.22*1.82+0.91*0.91)+(0.5*1.22+2.3*0.91+0.5*1+0.3*1)+(0.5*1.8+0.5*1.8+0.75*2.7+1.93*2.6))*10.764</f>
        <v>461.22853218623999</v>
      </c>
      <c r="E175" s="24">
        <f>(2.4*2.5)*10.764</f>
        <v>64.584000000000003</v>
      </c>
      <c r="F175" s="58">
        <f t="shared" si="2"/>
        <v>756.4267982793599</v>
      </c>
      <c r="G175" s="138"/>
      <c r="H175" s="139"/>
    </row>
    <row r="176" spans="1:8" s="2" customFormat="1" x14ac:dyDescent="0.35">
      <c r="A176" s="134">
        <v>5</v>
      </c>
      <c r="B176" s="134"/>
      <c r="C176" s="58" t="s">
        <v>199</v>
      </c>
      <c r="D176" s="58">
        <f>((2.9*3.95+2.13*1.93+2.74*3.35+1.82*1.22*1.22*1.82+0.91*0.91)+(0.5*1.22+2.3*0.91+0.5*1+0.3*1)+(0.5*1.8+0.5*1.8+0.75*2.7+1.93*2.6)+1.84*0.45)*10.764</f>
        <v>470.14112418624001</v>
      </c>
      <c r="E176" s="58">
        <f>(2.4*2.5)*10.764</f>
        <v>64.584000000000003</v>
      </c>
      <c r="F176" s="58">
        <f t="shared" si="2"/>
        <v>769.7956862793601</v>
      </c>
      <c r="G176" s="138"/>
      <c r="H176" s="139"/>
    </row>
    <row r="177" spans="1:8" s="2" customFormat="1" x14ac:dyDescent="0.35">
      <c r="A177" s="134">
        <v>6</v>
      </c>
      <c r="B177" s="134"/>
      <c r="C177" s="24" t="s">
        <v>173</v>
      </c>
      <c r="D177" s="24">
        <f>((4.87*3.2+1.5*2.13+4.87*3.05+2.9*1.68+1.5*2.74+2.28*1.22+1.22*1.82+1.98*1.22)+(0.4*2.4+3.19*1.53+0.4*2+1.98*2.85+1.5*0.5+1.85*3.3+1.85*3.3+0.7*0.4))*10.764</f>
        <v>813.28263119999986</v>
      </c>
      <c r="E177" s="24">
        <f>(2.6*4.8)*10.764</f>
        <v>134.33472</v>
      </c>
      <c r="F177" s="58">
        <f t="shared" si="2"/>
        <v>1354.2586667999999</v>
      </c>
      <c r="G177" s="140"/>
      <c r="H177" s="141"/>
    </row>
    <row r="178" spans="1:8" s="2" customFormat="1" x14ac:dyDescent="0.35">
      <c r="A178" s="135" t="s">
        <v>212</v>
      </c>
      <c r="B178" s="135"/>
      <c r="C178" s="135"/>
      <c r="D178" s="135"/>
      <c r="E178" s="135" t="s">
        <v>211</v>
      </c>
      <c r="F178" s="135"/>
      <c r="G178" s="135"/>
      <c r="H178" s="135"/>
    </row>
    <row r="179" spans="1:8" s="2" customFormat="1" x14ac:dyDescent="0.35">
      <c r="A179" s="134">
        <v>1</v>
      </c>
      <c r="B179" s="134"/>
      <c r="C179" s="59" t="s">
        <v>200</v>
      </c>
      <c r="D179" s="24">
        <f>((4.87*3.2+1.5*2.13+1.5*2.74+2.9*3.65+1.22*1.82+2.28*1.22)+(0.75*2.6+1.85*2.5+1.85*2+0.5*1.5+0.5*2.5)+3.19*1.53+0.7*0.4)*10.764</f>
        <v>601.83353879999981</v>
      </c>
      <c r="E179" s="24">
        <f>((4.9*2.5)-(0.5*1.5))*10.764</f>
        <v>123.78599999999999</v>
      </c>
      <c r="F179" s="59">
        <f t="shared" si="2"/>
        <v>1026.5363081999997</v>
      </c>
      <c r="G179" s="136" t="s">
        <v>212</v>
      </c>
      <c r="H179" s="137"/>
    </row>
    <row r="180" spans="1:8" s="2" customFormat="1" x14ac:dyDescent="0.35">
      <c r="A180" s="134">
        <v>2</v>
      </c>
      <c r="B180" s="134"/>
      <c r="C180" s="59" t="s">
        <v>199</v>
      </c>
      <c r="D180" s="24">
        <f>((3.95*2.9+1.93*2.13+3.35*2.74+1.22*1.82+1.82*1.22+0.91*0.91)+(0.75*2.5+1.5*2.5+0.5*2+0.5*1.5)+(0.91*2.3+0.5*1.22+0.4*1))*10.764</f>
        <v>435.85373520000002</v>
      </c>
      <c r="E180" s="24">
        <f>(3*2.9)*10.764</f>
        <v>93.646799999999985</v>
      </c>
      <c r="F180" s="59">
        <f t="shared" si="2"/>
        <v>747.42740279999998</v>
      </c>
      <c r="G180" s="138"/>
      <c r="H180" s="139"/>
    </row>
    <row r="181" spans="1:8" s="2" customFormat="1" x14ac:dyDescent="0.35">
      <c r="A181" s="134">
        <v>3</v>
      </c>
      <c r="B181" s="134"/>
      <c r="C181" s="59" t="s">
        <v>199</v>
      </c>
      <c r="D181" s="24">
        <f>((2.9*3.95+2.13*1.93+2.74*3.35+1.82*1.22+1.22*1.82+0.91*0.91)+(0.5*1.8+0.5*1.8+1.5*2.5+0.75*2.3)+(0.5*1.22+0.91*2.3+0.4*1+0.9*0.3))*10.764</f>
        <v>437.68361519999996</v>
      </c>
      <c r="E181" s="24">
        <f>(2.9*3)*10.764</f>
        <v>93.646799999999985</v>
      </c>
      <c r="F181" s="59">
        <f t="shared" si="2"/>
        <v>750.17222279999987</v>
      </c>
      <c r="G181" s="138"/>
      <c r="H181" s="139"/>
    </row>
    <row r="182" spans="1:8" s="2" customFormat="1" x14ac:dyDescent="0.35">
      <c r="A182" s="134">
        <v>4</v>
      </c>
      <c r="B182" s="134"/>
      <c r="C182" s="59" t="s">
        <v>199</v>
      </c>
      <c r="D182" s="59">
        <f>((2.9*3.95+2.13*1.93+2.74*3.35+1.82*1.22+1.22*1.82+0.91*0.91)+(0.5*1.8+0.5*1.8+1.5*2.5+0.75*2.3)+(0.5*1.22+0.91*2.3+0.4*1+0.9*0.3))*10.764</f>
        <v>437.68361519999996</v>
      </c>
      <c r="E182" s="59">
        <f>(2.9*3)*10.764</f>
        <v>93.646799999999985</v>
      </c>
      <c r="F182" s="59">
        <f t="shared" si="2"/>
        <v>750.17222279999987</v>
      </c>
      <c r="G182" s="138"/>
      <c r="H182" s="139"/>
    </row>
    <row r="183" spans="1:8" s="2" customFormat="1" x14ac:dyDescent="0.35">
      <c r="A183" s="134">
        <v>5</v>
      </c>
      <c r="B183" s="134"/>
      <c r="C183" s="59" t="s">
        <v>199</v>
      </c>
      <c r="D183" s="59">
        <f>((2.9*3.95+2.13*1.93+2.74*3.35+1.82*1.22+1.22*1.82+0.91*0.91)+(0.5*1.8+1.5*2.5+0.75*2.3)+(0.5*1.22+0.91*2.3+0.4*1+0.9*0.3+1.84*0.45))*10.764</f>
        <v>436.90860720000001</v>
      </c>
      <c r="E183" s="59">
        <f>(2.9*3)*10.764</f>
        <v>93.646799999999985</v>
      </c>
      <c r="F183" s="59">
        <f t="shared" si="2"/>
        <v>749.00971079999999</v>
      </c>
      <c r="G183" s="138"/>
      <c r="H183" s="139"/>
    </row>
    <row r="184" spans="1:8" s="2" customFormat="1" x14ac:dyDescent="0.35">
      <c r="A184" s="134">
        <v>6</v>
      </c>
      <c r="B184" s="134"/>
      <c r="C184" s="59" t="s">
        <v>173</v>
      </c>
      <c r="D184" s="24">
        <f>((4.87*3.2+1.5*2.13+1.5*2.74+2.9*1.68+4.87*3.05+2.28*1.22+1.22*1.82+1.98*1.22)+(0.75*1.8+0.75*2.8+0.5*2.3+1.85*2.7+1.85*3.2+0.5*1.5)+3.19*1.53+0.7*0.5)*10.764</f>
        <v>769.92523919999996</v>
      </c>
      <c r="E184" s="24">
        <f>(4.2*2.9)*10.764</f>
        <v>131.10551999999998</v>
      </c>
      <c r="F184" s="59">
        <f t="shared" si="2"/>
        <v>1285.9933788000001</v>
      </c>
      <c r="G184" s="140"/>
      <c r="H184" s="141"/>
    </row>
    <row r="185" spans="1:8" s="2" customFormat="1" x14ac:dyDescent="0.35">
      <c r="A185" s="135" t="s">
        <v>213</v>
      </c>
      <c r="B185" s="135"/>
      <c r="C185" s="135"/>
      <c r="D185" s="135"/>
      <c r="E185" s="135" t="s">
        <v>211</v>
      </c>
      <c r="F185" s="135"/>
      <c r="G185" s="135"/>
      <c r="H185" s="135"/>
    </row>
    <row r="186" spans="1:8" s="2" customFormat="1" x14ac:dyDescent="0.35">
      <c r="A186" s="134">
        <v>1</v>
      </c>
      <c r="B186" s="134"/>
      <c r="C186" s="59" t="s">
        <v>200</v>
      </c>
      <c r="D186" s="59">
        <f>((4.87*3.2+1.5*2.13+1.5*2.74+2.9*3.65+1.22*1.82+2.28*1.22)+(0.75*2.6+1.85*2.5+1.85*2+0.5*2.5+0.75*2+0.7*0.45)+3.19*1.53+0.7*0.4)*10.764</f>
        <v>613.29719879999982</v>
      </c>
      <c r="E186" s="24">
        <f>(4.2*2.8)*10.764</f>
        <v>126.58463999999999</v>
      </c>
      <c r="F186" s="59">
        <f t="shared" si="2"/>
        <v>1046.5304381999997</v>
      </c>
      <c r="G186" s="136" t="s">
        <v>213</v>
      </c>
      <c r="H186" s="137"/>
    </row>
    <row r="187" spans="1:8" s="2" customFormat="1" x14ac:dyDescent="0.35">
      <c r="A187" s="134">
        <v>2</v>
      </c>
      <c r="B187" s="134"/>
      <c r="C187" s="59" t="s">
        <v>199</v>
      </c>
      <c r="D187" s="59">
        <f>((3.95*2.9+1.93*2.13+3.35*2.74+1.22*1.82+1.82*1.22+0.91*0.91)+(0.75*2.74+1.5*2.5+0.5*2+0.5*1.5)+(0.91*2.3+0.5*1.22+0.4*1))*10.764</f>
        <v>437.79125520000002</v>
      </c>
      <c r="E187" s="24">
        <f>(2.9*2.4)*10.764</f>
        <v>74.917439999999999</v>
      </c>
      <c r="F187" s="59">
        <f t="shared" si="2"/>
        <v>731.60432280000009</v>
      </c>
      <c r="G187" s="138"/>
      <c r="H187" s="139"/>
    </row>
    <row r="188" spans="1:8" s="2" customFormat="1" x14ac:dyDescent="0.35">
      <c r="A188" s="134">
        <v>3</v>
      </c>
      <c r="B188" s="134"/>
      <c r="C188" s="59" t="s">
        <v>199</v>
      </c>
      <c r="D188" s="59">
        <f>((2.9*3.95+2.13*1.93+2.74*3.35+1.82*1.22+1.22*1.82+0.91*0.91)+(0.5*1.8+0.5*1.8+1.5*2.5+0.75*2.74)+(0.5*1.22+0.91*2.3+0.4*1+0.9*0.3))*10.764</f>
        <v>441.23573520000002</v>
      </c>
      <c r="E188" s="24">
        <f>(2.4*3)*10.764</f>
        <v>77.500799999999984</v>
      </c>
      <c r="F188" s="59">
        <f t="shared" si="2"/>
        <v>739.35440280000012</v>
      </c>
      <c r="G188" s="138"/>
      <c r="H188" s="139"/>
    </row>
    <row r="189" spans="1:8" s="2" customFormat="1" x14ac:dyDescent="0.35">
      <c r="A189" s="134">
        <v>4</v>
      </c>
      <c r="B189" s="134"/>
      <c r="C189" s="59" t="s">
        <v>199</v>
      </c>
      <c r="D189" s="59">
        <f>((2.9*3.95+2.13*1.93+2.74*3.35+1.82*1.22+1.22*1.82+0.91*0.91)+(0.5*1.8+0.5*1.8+1.5*2.5+0.75*2.74)+(0.5*1.22+0.91*2.3+0.4*1+0.9*0.3))*10.764</f>
        <v>441.23573520000002</v>
      </c>
      <c r="E189" s="24">
        <f>(3.5*2.45)*10.764</f>
        <v>92.301300000000012</v>
      </c>
      <c r="F189" s="59">
        <f t="shared" si="2"/>
        <v>754.15490280000006</v>
      </c>
      <c r="G189" s="138"/>
      <c r="H189" s="139"/>
    </row>
    <row r="190" spans="1:8" s="2" customFormat="1" x14ac:dyDescent="0.35">
      <c r="A190" s="134">
        <v>5</v>
      </c>
      <c r="B190" s="134"/>
      <c r="C190" s="59" t="s">
        <v>199</v>
      </c>
      <c r="D190" s="59">
        <f>((2.9*3.95+2.13*1.93+2.74*3.35+1.82*1.22+1.22*1.82+0.91*0.91)+(1.84*0.45+0.5*1.8+1.5*2.5+0.75*2.74)+(0.5*1.22+0.91*2.3+0.4*1+0.9*0.3))*10.764</f>
        <v>440.46072720000001</v>
      </c>
      <c r="E190" s="59">
        <f>(3.5*2.45)*10.764</f>
        <v>92.301300000000012</v>
      </c>
      <c r="F190" s="59">
        <f t="shared" si="2"/>
        <v>752.99239079999995</v>
      </c>
      <c r="G190" s="138"/>
      <c r="H190" s="139"/>
    </row>
    <row r="191" spans="1:8" s="2" customFormat="1" x14ac:dyDescent="0.35">
      <c r="A191" s="134">
        <v>6</v>
      </c>
      <c r="B191" s="134"/>
      <c r="C191" s="59" t="s">
        <v>173</v>
      </c>
      <c r="D191" s="59">
        <f>((4.87*3.2+1.5*2.13+1.5*2.74+2.9*1.68+4.87*3.05+2.28*1.22+1.22*1.82+1.98*1.22)+(0.5*2.3+1.85*2.7+1.85*3.2+0.5*1.5)+3.19*1.53+0.7*0.5)*10.764</f>
        <v>732.78943919999995</v>
      </c>
      <c r="E191" s="24">
        <f>(4.6*4.2)*10.764</f>
        <v>207.96047999999999</v>
      </c>
      <c r="F191" s="59">
        <f t="shared" si="2"/>
        <v>1307.1446387999999</v>
      </c>
      <c r="G191" s="140"/>
      <c r="H191" s="141"/>
    </row>
    <row r="192" spans="1:8" s="2" customFormat="1" x14ac:dyDescent="0.35">
      <c r="A192" s="135" t="s">
        <v>214</v>
      </c>
      <c r="B192" s="135"/>
      <c r="C192" s="135"/>
      <c r="D192" s="135"/>
      <c r="E192" s="135"/>
      <c r="F192" s="135"/>
      <c r="G192" s="135"/>
      <c r="H192" s="135"/>
    </row>
    <row r="193" spans="1:8" s="2" customFormat="1" x14ac:dyDescent="0.35">
      <c r="A193" s="134">
        <v>1</v>
      </c>
      <c r="B193" s="134"/>
      <c r="C193" s="59" t="s">
        <v>200</v>
      </c>
      <c r="D193" s="59">
        <f>((4.87*3.2+1.5*2.13+1.5*2.74+2.9*3.65+1.22*1.82+2.28*1.22)+(0.75*2.7+1.85*3.2+1.85*2+0.5*2.5+0.75*2+0.7*0.4)+3.19*1.53+0.7*0.4)*10.764</f>
        <v>627.66713879999986</v>
      </c>
      <c r="E193" s="24">
        <f>((4.9*2.7)+(0.8*0.5))*10.764</f>
        <v>146.71332000000001</v>
      </c>
      <c r="F193" s="59">
        <f t="shared" si="2"/>
        <v>1088.2140281999998</v>
      </c>
      <c r="G193" s="136" t="s">
        <v>214</v>
      </c>
      <c r="H193" s="137"/>
    </row>
    <row r="194" spans="1:8" s="2" customFormat="1" x14ac:dyDescent="0.35">
      <c r="A194" s="134">
        <v>2</v>
      </c>
      <c r="B194" s="134"/>
      <c r="C194" s="59" t="s">
        <v>199</v>
      </c>
      <c r="D194" s="59">
        <f>((3.95*2.9+1.93*2.13+3.35*2.74+1.22*1.82+1.82*1.22+0.91*0.91)+(0.75*2.5+1.5*2.6+0.5*1.8+0.5*1.8)+(0.91*2.3+0.5*1.22+0.4*1))*10.764</f>
        <v>438.00653520000003</v>
      </c>
      <c r="E194" s="24">
        <f>(3*2.9)*10.764</f>
        <v>93.646799999999985</v>
      </c>
      <c r="F194" s="59">
        <f t="shared" si="2"/>
        <v>750.65660279999997</v>
      </c>
      <c r="G194" s="138"/>
      <c r="H194" s="139"/>
    </row>
    <row r="195" spans="1:8" s="2" customFormat="1" x14ac:dyDescent="0.35">
      <c r="A195" s="134">
        <v>3</v>
      </c>
      <c r="B195" s="134"/>
      <c r="C195" s="59" t="s">
        <v>199</v>
      </c>
      <c r="D195" s="59">
        <f>((2.9*3.95+2.13*1.93+2.74*3.35+1.82*1.22+1.22*1.82+0.91*0.91)+(0.5*1.8+0.5*1.8+1.5*2.5+0.75*2.3)+(0.5*1.22+0.91*2.3+0.4*1+0.9*0.3))*10.764</f>
        <v>437.68361519999996</v>
      </c>
      <c r="E195" s="59">
        <f>(3*2.9)*10.764</f>
        <v>93.646799999999985</v>
      </c>
      <c r="F195" s="59">
        <f t="shared" si="2"/>
        <v>750.17222279999987</v>
      </c>
      <c r="G195" s="138"/>
      <c r="H195" s="139"/>
    </row>
    <row r="196" spans="1:8" s="2" customFormat="1" x14ac:dyDescent="0.35">
      <c r="A196" s="134">
        <v>4</v>
      </c>
      <c r="B196" s="134"/>
      <c r="C196" s="59" t="s">
        <v>199</v>
      </c>
      <c r="D196" s="59">
        <f>((2.9*3.95+2.13*1.93+2.74*3.35+1.82*1.22+1.22*1.82+0.91*0.91)+(0.5*1.8+0.5*1.8+1.5*2.5+0.75*2.3)+(0.5*1.22+0.91*2.3+0.4*1+0.9*0.3))*10.764</f>
        <v>437.68361519999996</v>
      </c>
      <c r="E196" s="59">
        <f>(3*2.9)*10.764</f>
        <v>93.646799999999985</v>
      </c>
      <c r="F196" s="59">
        <f t="shared" si="2"/>
        <v>750.17222279999987</v>
      </c>
      <c r="G196" s="138"/>
      <c r="H196" s="139"/>
    </row>
    <row r="197" spans="1:8" s="2" customFormat="1" x14ac:dyDescent="0.35">
      <c r="A197" s="134">
        <v>5</v>
      </c>
      <c r="B197" s="134"/>
      <c r="C197" s="59" t="s">
        <v>199</v>
      </c>
      <c r="D197" s="59">
        <f>((2.9*3.95+2.13*1.93+2.74*3.35+1.82*1.22+1.22*1.82+0.91*0.91)+(0.5*1.8+0.5*1.8+1.5*2.5+0.75*2.3)+(0.5*1.22+0.91*2.3+0.4*1+0.9*0.3))*10.764</f>
        <v>437.68361519999996</v>
      </c>
      <c r="E197" s="59">
        <f>(3*2.9)*10.764</f>
        <v>93.646799999999985</v>
      </c>
      <c r="F197" s="59">
        <f t="shared" si="2"/>
        <v>750.17222279999987</v>
      </c>
      <c r="G197" s="138"/>
      <c r="H197" s="139"/>
    </row>
    <row r="198" spans="1:8" s="2" customFormat="1" x14ac:dyDescent="0.35">
      <c r="A198" s="134">
        <v>6</v>
      </c>
      <c r="B198" s="134"/>
      <c r="C198" s="59" t="s">
        <v>200</v>
      </c>
      <c r="D198" s="24">
        <f>((4.87*3.2+1.5*2.13+1.5*2.74+2.9*1.68+1.22*1.82+2.28*1.22)+(0.75*2.8+0.45*2.4+0.5*2+1.98*2.9+0.5*1.5+1.85*3.3+1.85*2.7)+3.19*1.53+0.7*0.5)*10.764</f>
        <v>643.31799479999995</v>
      </c>
      <c r="E198" s="24">
        <f>(4.2*2.9)*10.764</f>
        <v>131.10551999999998</v>
      </c>
      <c r="F198" s="59">
        <f t="shared" si="2"/>
        <v>1096.0825121999999</v>
      </c>
      <c r="G198" s="140"/>
      <c r="H198" s="141"/>
    </row>
    <row r="199" spans="1:8" s="2" customFormat="1" x14ac:dyDescent="0.35">
      <c r="A199" s="135" t="s">
        <v>215</v>
      </c>
      <c r="B199" s="135"/>
      <c r="C199" s="135"/>
      <c r="D199" s="135"/>
      <c r="E199" s="135"/>
      <c r="F199" s="135"/>
      <c r="G199" s="135"/>
      <c r="H199" s="135"/>
    </row>
    <row r="200" spans="1:8" s="2" customFormat="1" x14ac:dyDescent="0.35">
      <c r="A200" s="135" t="s">
        <v>216</v>
      </c>
      <c r="B200" s="135"/>
      <c r="C200" s="135"/>
      <c r="D200" s="135"/>
      <c r="E200" s="135"/>
      <c r="F200" s="135"/>
      <c r="G200" s="135"/>
      <c r="H200" s="135"/>
    </row>
    <row r="201" spans="1:8" s="2" customFormat="1" x14ac:dyDescent="0.35">
      <c r="A201" s="134">
        <v>1</v>
      </c>
      <c r="B201" s="134"/>
      <c r="C201" s="24" t="s">
        <v>200</v>
      </c>
      <c r="D201" s="24">
        <f>((3.05*4.57+2.13*1.5+2.74*3.5+1.98*1.22+1.22*1.98+0.91*0.91+1.98*2.74)+(2*0.5+1.7*0.5+0.75*2.7+1.85*2.5+0.5*1.22+0.99*2.3))*10.764</f>
        <v>529.53498000000002</v>
      </c>
      <c r="E201" s="24">
        <f>(4.6*2.35)*10.764</f>
        <v>116.35883999999997</v>
      </c>
      <c r="F201" s="59">
        <f>D201*1.5+E201</f>
        <v>910.66131000000007</v>
      </c>
      <c r="G201" s="136" t="s">
        <v>216</v>
      </c>
      <c r="H201" s="137"/>
    </row>
    <row r="202" spans="1:8" s="2" customFormat="1" x14ac:dyDescent="0.35">
      <c r="A202" s="134">
        <v>2</v>
      </c>
      <c r="B202" s="134"/>
      <c r="C202" s="59" t="s">
        <v>200</v>
      </c>
      <c r="D202" s="24">
        <f>((3.2*4.87+2.13*1.5+3.66*2.9+2.74*1.5+1.82*1.22*1.22*2.28)+(1.85*2.5+1.85*3.2+0.8*0.45+0.75*1.8+0.5*2.4))*10.764</f>
        <v>571.93722458495995</v>
      </c>
      <c r="E202" s="24">
        <f>(2.75*4.4)*10.764</f>
        <v>130.24440000000001</v>
      </c>
      <c r="F202" s="59">
        <f>D202*1.5+E202</f>
        <v>988.15023687743997</v>
      </c>
      <c r="G202" s="138"/>
      <c r="H202" s="139"/>
    </row>
    <row r="203" spans="1:8" s="2" customFormat="1" x14ac:dyDescent="0.35">
      <c r="A203" s="134">
        <v>3</v>
      </c>
      <c r="B203" s="134"/>
      <c r="C203" s="59" t="s">
        <v>200</v>
      </c>
      <c r="D203" s="59">
        <f>((3.2*4.87+2.13*1.5+3.66*2.9+2.74*1.5+1.82*1.22*1.22*2.28)+(1.85*2.5+1.85*3.2+0.8*0.45+0.75*1.8+0.5*2.4))*10.764</f>
        <v>571.93722458495995</v>
      </c>
      <c r="E203" s="24">
        <f>(2.7*2.59)*10.764</f>
        <v>75.272651999999994</v>
      </c>
      <c r="F203" s="59">
        <f>D203*1.5+E203</f>
        <v>933.17848887743992</v>
      </c>
      <c r="G203" s="138"/>
      <c r="H203" s="139"/>
    </row>
    <row r="204" spans="1:8" s="2" customFormat="1" x14ac:dyDescent="0.35">
      <c r="A204" s="134">
        <v>4</v>
      </c>
      <c r="B204" s="134"/>
      <c r="C204" s="59" t="s">
        <v>200</v>
      </c>
      <c r="D204" s="24">
        <f>((3.05*4.57+2.13*1.5+3.94*3.5+1.98*2.74+1.98*1.22+1.22*1.98+0.91*0.91)+(0.5*1.9+1.85*2.5+0.75*3.95+0.5*2.4))*10.764</f>
        <v>556.98856199999989</v>
      </c>
      <c r="E204" s="24">
        <f>((2.5*2.4)+(1.74*2.13))*10.764</f>
        <v>104.47753679999998</v>
      </c>
      <c r="F204" s="59">
        <f>D204*1.5+E204</f>
        <v>939.96037979999971</v>
      </c>
      <c r="G204" s="140"/>
      <c r="H204" s="141"/>
    </row>
    <row r="205" spans="1:8" s="2" customFormat="1" x14ac:dyDescent="0.35">
      <c r="A205" s="161" t="s">
        <v>88</v>
      </c>
      <c r="B205" s="161"/>
      <c r="C205" s="161"/>
      <c r="D205" s="161"/>
      <c r="E205" s="161"/>
      <c r="F205" s="161"/>
      <c r="G205" s="161"/>
      <c r="H205" s="161"/>
    </row>
    <row r="206" spans="1:8" s="1" customFormat="1" ht="114.75" customHeight="1" x14ac:dyDescent="0.35">
      <c r="A206" s="262" t="s">
        <v>221</v>
      </c>
      <c r="B206" s="262"/>
      <c r="C206" s="262"/>
      <c r="D206" s="262"/>
      <c r="E206" s="262"/>
      <c r="F206" s="262"/>
      <c r="G206" s="262"/>
      <c r="H206" s="262"/>
    </row>
    <row r="207" spans="1:8" s="10" customFormat="1" ht="29.25" customHeight="1" x14ac:dyDescent="0.35">
      <c r="A207" s="261" t="s">
        <v>79</v>
      </c>
      <c r="B207" s="261"/>
      <c r="C207" s="261"/>
      <c r="D207" s="261"/>
      <c r="E207" s="261"/>
      <c r="F207" s="261"/>
      <c r="G207" s="261"/>
      <c r="H207" s="261"/>
    </row>
    <row r="208" spans="1:8" x14ac:dyDescent="0.35">
      <c r="A208" s="252" t="s">
        <v>80</v>
      </c>
      <c r="B208" s="252"/>
      <c r="C208" s="252"/>
      <c r="D208" s="252"/>
      <c r="E208" s="252"/>
      <c r="F208" s="252"/>
      <c r="G208" s="252"/>
      <c r="H208" s="252"/>
    </row>
    <row r="209" spans="1:8" x14ac:dyDescent="0.35">
      <c r="A209" s="261" t="s">
        <v>81</v>
      </c>
      <c r="B209" s="261"/>
      <c r="C209" s="261"/>
      <c r="D209" s="261"/>
      <c r="E209" s="261"/>
      <c r="F209" s="261"/>
      <c r="G209" s="261"/>
      <c r="H209" s="261"/>
    </row>
    <row r="210" spans="1:8" ht="15.75" customHeight="1" x14ac:dyDescent="0.35">
      <c r="A210" s="252" t="s">
        <v>82</v>
      </c>
      <c r="B210" s="252"/>
      <c r="C210" s="252"/>
      <c r="D210" s="252"/>
      <c r="E210" s="252"/>
      <c r="F210" s="252"/>
      <c r="G210" s="252"/>
      <c r="H210" s="252"/>
    </row>
    <row r="211" spans="1:8" x14ac:dyDescent="0.35">
      <c r="A211" s="252" t="s">
        <v>83</v>
      </c>
      <c r="B211" s="252"/>
      <c r="C211" s="252"/>
      <c r="D211" s="252"/>
      <c r="E211" s="252"/>
      <c r="F211" s="252"/>
      <c r="G211" s="252"/>
      <c r="H211" s="252"/>
    </row>
    <row r="212" spans="1:8" x14ac:dyDescent="0.35">
      <c r="A212" s="252" t="s">
        <v>84</v>
      </c>
      <c r="B212" s="252"/>
      <c r="C212" s="252"/>
      <c r="D212" s="252"/>
      <c r="E212" s="252"/>
      <c r="F212" s="252"/>
      <c r="G212" s="252"/>
      <c r="H212" s="252"/>
    </row>
    <row r="213" spans="1:8" x14ac:dyDescent="0.35">
      <c r="A213" s="256" t="s">
        <v>85</v>
      </c>
      <c r="B213" s="256"/>
      <c r="C213" s="256"/>
      <c r="D213" s="256"/>
      <c r="E213" s="256"/>
      <c r="F213" s="256"/>
      <c r="G213" s="256"/>
      <c r="H213" s="256"/>
    </row>
    <row r="214" spans="1:8" ht="35.25" customHeight="1" x14ac:dyDescent="0.35">
      <c r="A214" s="244" t="s">
        <v>122</v>
      </c>
      <c r="B214" s="244"/>
      <c r="C214" s="244" t="s">
        <v>127</v>
      </c>
      <c r="D214" s="244"/>
      <c r="E214" s="244" t="s">
        <v>165</v>
      </c>
      <c r="F214" s="244"/>
      <c r="G214" s="244" t="s">
        <v>223</v>
      </c>
      <c r="H214" s="244"/>
    </row>
    <row r="215" spans="1:8" x14ac:dyDescent="0.35">
      <c r="A215" s="243" t="s">
        <v>125</v>
      </c>
      <c r="B215" s="243"/>
      <c r="C215" s="243"/>
      <c r="D215" s="243"/>
      <c r="E215" s="243"/>
      <c r="F215" s="243"/>
      <c r="G215" s="243"/>
      <c r="H215" s="243"/>
    </row>
    <row r="216" spans="1:8" x14ac:dyDescent="0.35">
      <c r="A216" s="243"/>
      <c r="B216" s="243"/>
      <c r="C216" s="243"/>
      <c r="D216" s="243"/>
      <c r="E216" s="243"/>
      <c r="F216" s="243"/>
      <c r="G216" s="243"/>
      <c r="H216" s="243"/>
    </row>
    <row r="217" spans="1:8" x14ac:dyDescent="0.35">
      <c r="A217" s="243"/>
      <c r="B217" s="243"/>
      <c r="C217" s="243"/>
      <c r="D217" s="243"/>
      <c r="E217" s="243"/>
      <c r="F217" s="243"/>
      <c r="G217" s="243"/>
      <c r="H217" s="243"/>
    </row>
    <row r="218" spans="1:8" x14ac:dyDescent="0.35">
      <c r="A218" s="243"/>
      <c r="B218" s="243"/>
      <c r="C218" s="243"/>
      <c r="D218" s="243"/>
      <c r="E218" s="243"/>
      <c r="F218" s="243"/>
      <c r="G218" s="243"/>
      <c r="H218" s="243"/>
    </row>
    <row r="219" spans="1:8" ht="18.75" customHeight="1" x14ac:dyDescent="0.35">
      <c r="A219" s="19" t="s">
        <v>86</v>
      </c>
      <c r="B219" s="20"/>
      <c r="C219" s="20"/>
      <c r="D219" s="19" t="str">
        <f>E8</f>
        <v>Umiya Nakshtra Heights</v>
      </c>
      <c r="F219" s="20"/>
      <c r="G219" s="20"/>
      <c r="H219" s="20"/>
    </row>
    <row r="220" spans="1:8" x14ac:dyDescent="0.35">
      <c r="A220" s="20"/>
      <c r="B220" s="20"/>
      <c r="C220" s="20"/>
      <c r="D220" s="20"/>
      <c r="E220" s="20"/>
      <c r="F220" s="20"/>
      <c r="G220" s="20"/>
      <c r="H220" s="20"/>
    </row>
    <row r="221" spans="1:8" x14ac:dyDescent="0.35">
      <c r="A221" s="20"/>
      <c r="B221" s="20"/>
      <c r="C221" s="20"/>
      <c r="D221" s="20"/>
      <c r="E221" s="20"/>
      <c r="F221" s="20"/>
      <c r="G221" s="20"/>
      <c r="H221" s="20"/>
    </row>
    <row r="223" spans="1:8" ht="15" customHeight="1" x14ac:dyDescent="0.35"/>
    <row r="263" spans="1:1" x14ac:dyDescent="0.35">
      <c r="A263" s="22" t="s">
        <v>87</v>
      </c>
    </row>
  </sheetData>
  <mergeCells count="339">
    <mergeCell ref="A116:B116"/>
    <mergeCell ref="D116:E116"/>
    <mergeCell ref="F116:H116"/>
    <mergeCell ref="A114:B114"/>
    <mergeCell ref="D114:E114"/>
    <mergeCell ref="A115:B115"/>
    <mergeCell ref="D115:E115"/>
    <mergeCell ref="F114:H114"/>
    <mergeCell ref="F115:H115"/>
    <mergeCell ref="A117:H117"/>
    <mergeCell ref="A136:B136"/>
    <mergeCell ref="G132:H136"/>
    <mergeCell ref="A138:B138"/>
    <mergeCell ref="A139:B139"/>
    <mergeCell ref="A140:B140"/>
    <mergeCell ref="A141:B141"/>
    <mergeCell ref="A142:B142"/>
    <mergeCell ref="A143:B143"/>
    <mergeCell ref="G119:H119"/>
    <mergeCell ref="A130:H130"/>
    <mergeCell ref="A121:H121"/>
    <mergeCell ref="A137:H137"/>
    <mergeCell ref="G138:H143"/>
    <mergeCell ref="G131:H131"/>
    <mergeCell ref="A123:H123"/>
    <mergeCell ref="G124:H129"/>
    <mergeCell ref="A122:H122"/>
    <mergeCell ref="A209:H209"/>
    <mergeCell ref="A210:H210"/>
    <mergeCell ref="A211:H211"/>
    <mergeCell ref="A212:H212"/>
    <mergeCell ref="A213:H213"/>
    <mergeCell ref="A56:C56"/>
    <mergeCell ref="D56:H56"/>
    <mergeCell ref="A205:H205"/>
    <mergeCell ref="A206:H206"/>
    <mergeCell ref="A207:H207"/>
    <mergeCell ref="A208:H208"/>
    <mergeCell ref="A196:B196"/>
    <mergeCell ref="A197:B197"/>
    <mergeCell ref="A118:H118"/>
    <mergeCell ref="A178:H178"/>
    <mergeCell ref="A124:B124"/>
    <mergeCell ref="A125:B125"/>
    <mergeCell ref="A126:B126"/>
    <mergeCell ref="A127:B127"/>
    <mergeCell ref="A128:B128"/>
    <mergeCell ref="A129:B129"/>
    <mergeCell ref="A131:B131"/>
    <mergeCell ref="A132:B132"/>
    <mergeCell ref="A175:B175"/>
    <mergeCell ref="A111:H111"/>
    <mergeCell ref="A58:H58"/>
    <mergeCell ref="A91:H91"/>
    <mergeCell ref="A97:E97"/>
    <mergeCell ref="A94:H94"/>
    <mergeCell ref="A95:E95"/>
    <mergeCell ref="F95:H95"/>
    <mergeCell ref="F112:H112"/>
    <mergeCell ref="A109:B109"/>
    <mergeCell ref="A112:B112"/>
    <mergeCell ref="D112:E112"/>
    <mergeCell ref="A92:H92"/>
    <mergeCell ref="A93:B93"/>
    <mergeCell ref="C93:H93"/>
    <mergeCell ref="F96:H96"/>
    <mergeCell ref="A96:E96"/>
    <mergeCell ref="F97:H97"/>
    <mergeCell ref="A74:B74"/>
    <mergeCell ref="A75:B75"/>
    <mergeCell ref="A87:B87"/>
    <mergeCell ref="A88:B88"/>
    <mergeCell ref="A89:B89"/>
    <mergeCell ref="A105:E105"/>
    <mergeCell ref="F105:H105"/>
    <mergeCell ref="D109:E109"/>
    <mergeCell ref="F109:H109"/>
    <mergeCell ref="A110:B110"/>
    <mergeCell ref="D110:E110"/>
    <mergeCell ref="F110:H110"/>
    <mergeCell ref="A55:C55"/>
    <mergeCell ref="A69:H69"/>
    <mergeCell ref="C71:H71"/>
    <mergeCell ref="E72:F72"/>
    <mergeCell ref="G72:H72"/>
    <mergeCell ref="A104:E104"/>
    <mergeCell ref="F104:H104"/>
    <mergeCell ref="A100:E100"/>
    <mergeCell ref="F100:H100"/>
    <mergeCell ref="A101:E101"/>
    <mergeCell ref="F101:H101"/>
    <mergeCell ref="A102:E102"/>
    <mergeCell ref="F102:H102"/>
    <mergeCell ref="A103:E103"/>
    <mergeCell ref="F103:H103"/>
    <mergeCell ref="D55:H55"/>
    <mergeCell ref="D57:H57"/>
    <mergeCell ref="E83:F83"/>
    <mergeCell ref="G83:H83"/>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H1"/>
    <mergeCell ref="A2:H2"/>
    <mergeCell ref="A3:D3"/>
    <mergeCell ref="E3:H3"/>
    <mergeCell ref="A4:D4"/>
    <mergeCell ref="A8:D8"/>
    <mergeCell ref="E8:H8"/>
    <mergeCell ref="A9:D9"/>
    <mergeCell ref="E9:H9"/>
    <mergeCell ref="E4:H4"/>
    <mergeCell ref="A16:B16"/>
    <mergeCell ref="C16:D16"/>
    <mergeCell ref="E16:F16"/>
    <mergeCell ref="G16:H16"/>
    <mergeCell ref="A26:D26"/>
    <mergeCell ref="E26:H26"/>
    <mergeCell ref="A38:D38"/>
    <mergeCell ref="E38:H38"/>
    <mergeCell ref="A27:D27"/>
    <mergeCell ref="E27:H27"/>
    <mergeCell ref="A34:H34"/>
    <mergeCell ref="A33:B33"/>
    <mergeCell ref="A28:D28"/>
    <mergeCell ref="E28:H28"/>
    <mergeCell ref="A36:H36"/>
    <mergeCell ref="A37:D37"/>
    <mergeCell ref="E37:H37"/>
    <mergeCell ref="A49:H49"/>
    <mergeCell ref="A50:C50"/>
    <mergeCell ref="E41:H41"/>
    <mergeCell ref="E42:H42"/>
    <mergeCell ref="A40:D40"/>
    <mergeCell ref="G44:H44"/>
    <mergeCell ref="G45:H45"/>
    <mergeCell ref="A45:B45"/>
    <mergeCell ref="C29:E29"/>
    <mergeCell ref="A215:H218"/>
    <mergeCell ref="A214:B214"/>
    <mergeCell ref="E214:F214"/>
    <mergeCell ref="C214:D214"/>
    <mergeCell ref="G214:H214"/>
    <mergeCell ref="A108:H108"/>
    <mergeCell ref="A106:E106"/>
    <mergeCell ref="F106:H106"/>
    <mergeCell ref="A107:E107"/>
    <mergeCell ref="F107:H107"/>
    <mergeCell ref="D113:E113"/>
    <mergeCell ref="F113:H113"/>
    <mergeCell ref="A119:B119"/>
    <mergeCell ref="A120:H120"/>
    <mergeCell ref="A113:B113"/>
    <mergeCell ref="A133:B133"/>
    <mergeCell ref="A134:B134"/>
    <mergeCell ref="A199:H199"/>
    <mergeCell ref="A200:H200"/>
    <mergeCell ref="A203:B203"/>
    <mergeCell ref="A176:B176"/>
    <mergeCell ref="A181:B181"/>
    <mergeCell ref="A182:B182"/>
    <mergeCell ref="A183:B183"/>
    <mergeCell ref="D51:H51"/>
    <mergeCell ref="D50:H50"/>
    <mergeCell ref="C47:H47"/>
    <mergeCell ref="A174:B174"/>
    <mergeCell ref="A135:B135"/>
    <mergeCell ref="F29:H29"/>
    <mergeCell ref="A30:B30"/>
    <mergeCell ref="C30:E30"/>
    <mergeCell ref="A31:B31"/>
    <mergeCell ref="C31:E31"/>
    <mergeCell ref="A32:B32"/>
    <mergeCell ref="C32:E32"/>
    <mergeCell ref="C33:E33"/>
    <mergeCell ref="A29:B29"/>
    <mergeCell ref="F30:H30"/>
    <mergeCell ref="F31:H31"/>
    <mergeCell ref="A76:B76"/>
    <mergeCell ref="C45:E45"/>
    <mergeCell ref="C46:E46"/>
    <mergeCell ref="A44:B44"/>
    <mergeCell ref="C44:E44"/>
    <mergeCell ref="A39:D39"/>
    <mergeCell ref="E39:H39"/>
    <mergeCell ref="E40:H40"/>
    <mergeCell ref="A60:B60"/>
    <mergeCell ref="A41:D41"/>
    <mergeCell ref="A42:D42"/>
    <mergeCell ref="A43:H43"/>
    <mergeCell ref="F32:H32"/>
    <mergeCell ref="F33:H33"/>
    <mergeCell ref="G48:H48"/>
    <mergeCell ref="A48:B48"/>
    <mergeCell ref="C48:E48"/>
    <mergeCell ref="A54:C54"/>
    <mergeCell ref="D54:H54"/>
    <mergeCell ref="A35:B35"/>
    <mergeCell ref="E35:F35"/>
    <mergeCell ref="C35:D35"/>
    <mergeCell ref="G35:H35"/>
    <mergeCell ref="A46:B47"/>
    <mergeCell ref="G46:H46"/>
    <mergeCell ref="D52:H52"/>
    <mergeCell ref="A52:C52"/>
    <mergeCell ref="A53:C53"/>
    <mergeCell ref="D53:H53"/>
    <mergeCell ref="A51:C51"/>
    <mergeCell ref="A57:C57"/>
    <mergeCell ref="C60:H60"/>
    <mergeCell ref="A98:E98"/>
    <mergeCell ref="F98:H98"/>
    <mergeCell ref="A99:E99"/>
    <mergeCell ref="F99:H99"/>
    <mergeCell ref="A71:B71"/>
    <mergeCell ref="A72:B72"/>
    <mergeCell ref="A73:B73"/>
    <mergeCell ref="A77:B77"/>
    <mergeCell ref="A68:B68"/>
    <mergeCell ref="A79:B79"/>
    <mergeCell ref="A82:B82"/>
    <mergeCell ref="A83:B83"/>
    <mergeCell ref="A84:B84"/>
    <mergeCell ref="A85:B85"/>
    <mergeCell ref="A86:B86"/>
    <mergeCell ref="A78:B78"/>
    <mergeCell ref="E73:F79"/>
    <mergeCell ref="G73:H79"/>
    <mergeCell ref="A80:H80"/>
    <mergeCell ref="C82:H82"/>
    <mergeCell ref="E84:F90"/>
    <mergeCell ref="G84:H90"/>
    <mergeCell ref="A90:B90"/>
    <mergeCell ref="A184:B184"/>
    <mergeCell ref="A148:B148"/>
    <mergeCell ref="G186:H191"/>
    <mergeCell ref="A192:H192"/>
    <mergeCell ref="G193:H198"/>
    <mergeCell ref="A191:B191"/>
    <mergeCell ref="A194:B194"/>
    <mergeCell ref="A195:B195"/>
    <mergeCell ref="A186:B186"/>
    <mergeCell ref="A187:B187"/>
    <mergeCell ref="A188:B188"/>
    <mergeCell ref="A189:B189"/>
    <mergeCell ref="A190:B190"/>
    <mergeCell ref="A193:B193"/>
    <mergeCell ref="A185:H185"/>
    <mergeCell ref="A170:H170"/>
    <mergeCell ref="A171:H171"/>
    <mergeCell ref="G172:H177"/>
    <mergeCell ref="A165:B165"/>
    <mergeCell ref="A166:B166"/>
    <mergeCell ref="A167:B167"/>
    <mergeCell ref="A172:B172"/>
    <mergeCell ref="A201:B201"/>
    <mergeCell ref="A202:B202"/>
    <mergeCell ref="A198:B198"/>
    <mergeCell ref="A153:B153"/>
    <mergeCell ref="A154:B154"/>
    <mergeCell ref="A155:B155"/>
    <mergeCell ref="A156:B156"/>
    <mergeCell ref="A157:B157"/>
    <mergeCell ref="G201:H204"/>
    <mergeCell ref="A164:H164"/>
    <mergeCell ref="G165:H169"/>
    <mergeCell ref="G152:H157"/>
    <mergeCell ref="A158:H158"/>
    <mergeCell ref="A168:B168"/>
    <mergeCell ref="A169:B169"/>
    <mergeCell ref="A163:B163"/>
    <mergeCell ref="G179:H184"/>
    <mergeCell ref="A204:B204"/>
    <mergeCell ref="G159:H163"/>
    <mergeCell ref="A152:B152"/>
    <mergeCell ref="A159:B159"/>
    <mergeCell ref="A160:B160"/>
    <mergeCell ref="A161:B161"/>
    <mergeCell ref="A162:B162"/>
    <mergeCell ref="A144:H144"/>
    <mergeCell ref="G145:H150"/>
    <mergeCell ref="A151:H151"/>
    <mergeCell ref="A173:B173"/>
    <mergeCell ref="A177:B177"/>
    <mergeCell ref="A179:B179"/>
    <mergeCell ref="A180:B180"/>
    <mergeCell ref="A145:B145"/>
    <mergeCell ref="A146:B146"/>
    <mergeCell ref="A147:B147"/>
    <mergeCell ref="A149:B149"/>
    <mergeCell ref="A150:B150"/>
    <mergeCell ref="A61:B61"/>
    <mergeCell ref="E61:F61"/>
    <mergeCell ref="G61:H61"/>
    <mergeCell ref="A62:B62"/>
    <mergeCell ref="E62:F68"/>
    <mergeCell ref="G62:H68"/>
    <mergeCell ref="A63:B63"/>
    <mergeCell ref="A64:B64"/>
    <mergeCell ref="A65:B65"/>
    <mergeCell ref="A66:B66"/>
    <mergeCell ref="A67:B67"/>
  </mergeCells>
  <printOptions horizontalCentered="1"/>
  <pageMargins left="0.39370078740157483" right="0.39370078740157483" top="0.78740157480314965" bottom="0.78740157480314965" header="0.19685039370078741" footer="0.19685039370078741"/>
  <pageSetup orientation="portrait" r:id="rId1"/>
  <headerFooter>
    <oddHeader>&amp;C&amp;G</oddHeader>
    <oddFooter>&amp;L&amp;"Times New Roman,Bold"&amp;12Ref No: &amp;F&amp;R&amp;"Times New Roman,Bold"&amp;12           
 &amp;P</oddFooter>
  </headerFooter>
  <rowBreaks count="2" manualBreakCount="2">
    <brk id="219" max="16383" man="1"/>
    <brk id="263" max="16383" man="1"/>
  </rowBreaks>
  <ignoredErrors>
    <ignoredError sqref="D157:E157" unlockedFormula="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4.5" x14ac:dyDescent="0.35"/>
  <cols>
    <col min="2" max="2" width="12.26953125" customWidth="1"/>
  </cols>
  <sheetData>
    <row r="2" spans="1:12" x14ac:dyDescent="0.35">
      <c r="B2" s="3" t="s">
        <v>89</v>
      </c>
      <c r="C2" s="268"/>
      <c r="D2" s="268"/>
    </row>
    <row r="3" spans="1:12" x14ac:dyDescent="0.35">
      <c r="D3" s="4"/>
      <c r="E3" s="4"/>
      <c r="F3" s="4"/>
      <c r="G3" s="4"/>
      <c r="H3" s="4"/>
      <c r="I3" s="4"/>
    </row>
    <row r="4" spans="1:12" x14ac:dyDescent="0.35">
      <c r="A4" s="3" t="s">
        <v>90</v>
      </c>
      <c r="B4" s="5" t="s">
        <v>91</v>
      </c>
      <c r="C4" s="269" t="s">
        <v>92</v>
      </c>
      <c r="D4" s="269"/>
      <c r="E4" s="269"/>
      <c r="F4" s="6"/>
      <c r="G4" s="269" t="s">
        <v>93</v>
      </c>
      <c r="H4" s="269"/>
      <c r="I4" s="269"/>
      <c r="J4" s="269" t="s">
        <v>94</v>
      </c>
      <c r="K4" s="269"/>
      <c r="L4" s="269"/>
    </row>
    <row r="5" spans="1:12" x14ac:dyDescent="0.35">
      <c r="A5" s="3">
        <v>202</v>
      </c>
      <c r="B5" s="5"/>
      <c r="C5" s="5" t="s">
        <v>95</v>
      </c>
      <c r="D5" s="5" t="s">
        <v>96</v>
      </c>
      <c r="E5" s="5" t="s">
        <v>70</v>
      </c>
      <c r="F5" s="5"/>
      <c r="G5" s="5" t="s">
        <v>95</v>
      </c>
      <c r="H5" s="5" t="s">
        <v>96</v>
      </c>
      <c r="I5" s="5" t="s">
        <v>70</v>
      </c>
      <c r="J5" s="5" t="s">
        <v>95</v>
      </c>
      <c r="K5" s="5" t="s">
        <v>96</v>
      </c>
      <c r="L5" s="5" t="s">
        <v>70</v>
      </c>
    </row>
    <row r="6" spans="1:12" x14ac:dyDescent="0.35">
      <c r="B6" s="7" t="s">
        <v>97</v>
      </c>
      <c r="C6" s="7">
        <v>4.5</v>
      </c>
      <c r="D6" s="7">
        <v>2.9</v>
      </c>
      <c r="E6" s="7">
        <f>C6*D6</f>
        <v>13.049999999999999</v>
      </c>
      <c r="F6" s="7" t="s">
        <v>98</v>
      </c>
      <c r="G6" s="7"/>
      <c r="H6" s="7"/>
      <c r="I6" s="7">
        <f>G6*H6</f>
        <v>0</v>
      </c>
      <c r="J6" s="7"/>
      <c r="K6" s="7"/>
      <c r="L6" s="7">
        <f>J6*K6</f>
        <v>0</v>
      </c>
    </row>
    <row r="7" spans="1:12" x14ac:dyDescent="0.35">
      <c r="B7" s="7"/>
      <c r="C7" s="7"/>
      <c r="D7" s="7"/>
      <c r="E7" s="7">
        <f t="shared" ref="E7:E33" si="0">C7*D7</f>
        <v>0</v>
      </c>
      <c r="F7" s="7" t="s">
        <v>99</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100</v>
      </c>
      <c r="C9" s="7">
        <v>1.88</v>
      </c>
      <c r="D9" s="7">
        <v>2.13</v>
      </c>
      <c r="E9" s="7">
        <f t="shared" si="0"/>
        <v>4.0043999999999995</v>
      </c>
      <c r="F9" s="7" t="s">
        <v>98</v>
      </c>
      <c r="G9" s="7"/>
      <c r="H9" s="7"/>
      <c r="I9" s="7">
        <f t="shared" si="1"/>
        <v>0</v>
      </c>
      <c r="J9" s="7"/>
      <c r="K9" s="7"/>
      <c r="L9" s="7">
        <f t="shared" si="2"/>
        <v>0</v>
      </c>
    </row>
    <row r="10" spans="1:12" x14ac:dyDescent="0.35">
      <c r="B10" s="7"/>
      <c r="C10" s="7"/>
      <c r="D10" s="7"/>
      <c r="E10" s="7">
        <f t="shared" si="0"/>
        <v>0</v>
      </c>
      <c r="F10" s="7" t="s">
        <v>99</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101</v>
      </c>
      <c r="C13" s="7"/>
      <c r="D13" s="7"/>
      <c r="E13" s="7">
        <f t="shared" si="0"/>
        <v>0</v>
      </c>
      <c r="F13" s="7" t="s">
        <v>98</v>
      </c>
      <c r="G13" s="7"/>
      <c r="H13" s="7"/>
      <c r="I13" s="7">
        <f t="shared" si="1"/>
        <v>0</v>
      </c>
      <c r="J13" s="7"/>
      <c r="K13" s="7"/>
      <c r="L13" s="7">
        <f t="shared" si="2"/>
        <v>0</v>
      </c>
    </row>
    <row r="14" spans="1:12" x14ac:dyDescent="0.35">
      <c r="B14" s="7"/>
      <c r="C14" s="7"/>
      <c r="D14" s="7"/>
      <c r="E14" s="7">
        <f t="shared" si="0"/>
        <v>0</v>
      </c>
      <c r="F14" s="7" t="s">
        <v>99</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102</v>
      </c>
      <c r="C17" s="7"/>
      <c r="D17" s="7"/>
      <c r="E17" s="7">
        <f t="shared" si="0"/>
        <v>0</v>
      </c>
      <c r="F17" s="7" t="s">
        <v>98</v>
      </c>
      <c r="G17" s="7"/>
      <c r="H17" s="7"/>
      <c r="I17" s="7">
        <f t="shared" si="1"/>
        <v>0</v>
      </c>
      <c r="J17" s="7"/>
      <c r="K17" s="7"/>
      <c r="L17" s="7">
        <f t="shared" si="2"/>
        <v>0</v>
      </c>
    </row>
    <row r="18" spans="2:12" x14ac:dyDescent="0.35">
      <c r="B18" s="7"/>
      <c r="C18" s="7"/>
      <c r="D18" s="7"/>
      <c r="E18" s="7">
        <f t="shared" si="0"/>
        <v>0</v>
      </c>
      <c r="F18" s="7" t="s">
        <v>99</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102</v>
      </c>
      <c r="C20" s="7"/>
      <c r="D20" s="7"/>
      <c r="E20" s="7">
        <f t="shared" si="0"/>
        <v>0</v>
      </c>
      <c r="F20" s="7" t="s">
        <v>98</v>
      </c>
      <c r="G20" s="7"/>
      <c r="H20" s="7"/>
      <c r="I20" s="7">
        <f t="shared" si="1"/>
        <v>0</v>
      </c>
      <c r="J20" s="7"/>
      <c r="K20" s="7"/>
      <c r="L20" s="7">
        <f t="shared" si="2"/>
        <v>0</v>
      </c>
    </row>
    <row r="21" spans="2:12" x14ac:dyDescent="0.35">
      <c r="B21" s="7"/>
      <c r="C21" s="7"/>
      <c r="D21" s="7"/>
      <c r="E21" s="7">
        <f t="shared" si="0"/>
        <v>0</v>
      </c>
      <c r="F21" s="7" t="s">
        <v>99</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103</v>
      </c>
      <c r="C23" s="7">
        <v>1.9</v>
      </c>
      <c r="D23" s="7">
        <v>1.07</v>
      </c>
      <c r="E23" s="7">
        <f t="shared" si="0"/>
        <v>2.0329999999999999</v>
      </c>
      <c r="F23" s="7" t="s">
        <v>104</v>
      </c>
      <c r="G23" s="7"/>
      <c r="H23" s="7"/>
      <c r="I23" s="7">
        <f t="shared" si="1"/>
        <v>0</v>
      </c>
      <c r="J23" s="7"/>
      <c r="K23" s="7"/>
      <c r="L23" s="7">
        <f t="shared" si="2"/>
        <v>0</v>
      </c>
    </row>
    <row r="24" spans="2:12" x14ac:dyDescent="0.35">
      <c r="B24" s="7" t="s">
        <v>105</v>
      </c>
      <c r="C24" s="7"/>
      <c r="D24" s="7"/>
      <c r="E24" s="7">
        <f t="shared" si="0"/>
        <v>0</v>
      </c>
      <c r="F24" s="7" t="s">
        <v>104</v>
      </c>
      <c r="G24" s="7"/>
      <c r="H24" s="7"/>
      <c r="I24" s="7">
        <f t="shared" si="1"/>
        <v>0</v>
      </c>
      <c r="J24" s="7"/>
      <c r="K24" s="7"/>
      <c r="L24" s="7">
        <f t="shared" si="2"/>
        <v>0</v>
      </c>
    </row>
    <row r="25" spans="2:12" x14ac:dyDescent="0.35">
      <c r="B25" s="7" t="s">
        <v>106</v>
      </c>
      <c r="C25" s="7"/>
      <c r="D25" s="7"/>
      <c r="E25" s="7">
        <f t="shared" si="0"/>
        <v>0</v>
      </c>
      <c r="F25" s="7" t="s">
        <v>104</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107</v>
      </c>
      <c r="C27" s="7"/>
      <c r="D27" s="7"/>
      <c r="E27" s="7">
        <f t="shared" si="0"/>
        <v>0</v>
      </c>
      <c r="F27" s="7"/>
      <c r="G27" s="7"/>
      <c r="H27" s="7"/>
      <c r="I27" s="7">
        <f t="shared" si="1"/>
        <v>0</v>
      </c>
      <c r="J27" s="7"/>
      <c r="K27" s="7"/>
      <c r="L27" s="7">
        <f t="shared" si="2"/>
        <v>0</v>
      </c>
    </row>
    <row r="28" spans="2:12" x14ac:dyDescent="0.35">
      <c r="B28" s="7" t="s">
        <v>108</v>
      </c>
      <c r="C28" s="7"/>
      <c r="D28" s="7"/>
      <c r="E28" s="7">
        <f t="shared" si="0"/>
        <v>0</v>
      </c>
      <c r="F28" s="7"/>
      <c r="G28" s="7"/>
      <c r="H28" s="7"/>
      <c r="I28" s="7">
        <f t="shared" si="1"/>
        <v>0</v>
      </c>
      <c r="J28" s="7"/>
      <c r="K28" s="7"/>
      <c r="L28" s="7">
        <f t="shared" si="2"/>
        <v>0</v>
      </c>
    </row>
    <row r="29" spans="2:12" x14ac:dyDescent="0.35">
      <c r="B29" s="7" t="s">
        <v>109</v>
      </c>
      <c r="C29" s="7"/>
      <c r="D29" s="7"/>
      <c r="E29" s="7">
        <f t="shared" si="0"/>
        <v>0</v>
      </c>
      <c r="F29" s="7"/>
      <c r="G29" s="7"/>
      <c r="H29" s="7"/>
      <c r="I29" s="7">
        <f t="shared" si="1"/>
        <v>0</v>
      </c>
      <c r="J29" s="7"/>
      <c r="K29" s="7"/>
      <c r="L29" s="7">
        <f t="shared" si="2"/>
        <v>0</v>
      </c>
    </row>
    <row r="30" spans="2:12" x14ac:dyDescent="0.35">
      <c r="B30" s="7" t="s">
        <v>110</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71</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85" zoomScaleNormal="85" workbookViewId="0">
      <selection activeCell="H9" sqref="H9"/>
    </sheetView>
  </sheetViews>
  <sheetFormatPr defaultColWidth="8.7265625" defaultRowHeight="14.5" x14ac:dyDescent="0.35"/>
  <cols>
    <col min="1" max="1" width="8.7265625" style="43"/>
    <col min="2" max="2" width="22.1796875" style="43" customWidth="1"/>
    <col min="3" max="3" width="37" style="43" customWidth="1"/>
    <col min="4" max="5" width="11.453125" style="43" customWidth="1"/>
    <col min="6" max="6" width="14" style="43" customWidth="1"/>
    <col min="7" max="7" width="20" style="43" customWidth="1"/>
    <col min="8" max="8" width="16.453125" style="43" customWidth="1"/>
    <col min="9" max="16384" width="8.7265625" style="43"/>
  </cols>
  <sheetData>
    <row r="1" spans="1:9" ht="15" customHeight="1" x14ac:dyDescent="0.35">
      <c r="A1" s="42"/>
      <c r="B1" s="42"/>
      <c r="C1" s="42"/>
      <c r="D1" s="42"/>
      <c r="E1" s="42"/>
      <c r="F1" s="42"/>
      <c r="G1" s="42"/>
      <c r="H1" s="42"/>
    </row>
    <row r="2" spans="1:9" ht="15" customHeight="1" x14ac:dyDescent="0.35">
      <c r="A2" s="44"/>
      <c r="B2" s="44"/>
      <c r="C2" s="44"/>
      <c r="D2" s="44"/>
      <c r="E2" s="44"/>
      <c r="F2" s="44"/>
      <c r="G2" s="44"/>
      <c r="H2" s="44"/>
    </row>
    <row r="3" spans="1:9" ht="15.75" customHeight="1" x14ac:dyDescent="0.35">
      <c r="A3" s="44"/>
      <c r="B3" s="270" t="s">
        <v>166</v>
      </c>
      <c r="C3" s="270"/>
      <c r="D3" s="270"/>
      <c r="E3" s="270"/>
      <c r="F3" s="270"/>
      <c r="G3" s="270"/>
      <c r="H3" s="270"/>
    </row>
    <row r="4" spans="1:9" x14ac:dyDescent="0.35">
      <c r="A4" s="44"/>
      <c r="B4" s="45" t="s">
        <v>167</v>
      </c>
      <c r="C4" s="45" t="s">
        <v>168</v>
      </c>
      <c r="D4" s="45" t="s">
        <v>90</v>
      </c>
      <c r="E4" s="45" t="s">
        <v>169</v>
      </c>
      <c r="F4" s="45" t="s">
        <v>181</v>
      </c>
      <c r="G4" s="45" t="s">
        <v>182</v>
      </c>
      <c r="H4" s="45" t="s">
        <v>170</v>
      </c>
    </row>
    <row r="5" spans="1:9" ht="15" customHeight="1" x14ac:dyDescent="0.35">
      <c r="A5" s="44"/>
      <c r="B5" s="47" t="s">
        <v>171</v>
      </c>
      <c r="C5" s="48" t="s">
        <v>172</v>
      </c>
      <c r="D5" s="47" t="s">
        <v>173</v>
      </c>
      <c r="E5" s="47">
        <v>1106</v>
      </c>
      <c r="F5" s="49">
        <f>E5*1.6</f>
        <v>1769.6000000000001</v>
      </c>
      <c r="G5" s="49">
        <f>H5/F5</f>
        <v>31532.549728752259</v>
      </c>
      <c r="H5" s="50">
        <v>55800000</v>
      </c>
    </row>
    <row r="6" spans="1:9" x14ac:dyDescent="0.35">
      <c r="A6" s="44"/>
      <c r="B6" s="47" t="s">
        <v>171</v>
      </c>
      <c r="C6" s="51" t="s">
        <v>174</v>
      </c>
      <c r="D6" s="47" t="s">
        <v>175</v>
      </c>
      <c r="E6" s="47">
        <v>2274</v>
      </c>
      <c r="F6" s="49">
        <f t="shared" ref="F6:F11" si="0">E6*1.6</f>
        <v>3638.4</v>
      </c>
      <c r="G6" s="49">
        <f t="shared" ref="G6:G11" si="1">H6/F6</f>
        <v>32981.530343007915</v>
      </c>
      <c r="H6" s="50">
        <v>120000000</v>
      </c>
    </row>
    <row r="7" spans="1:9" ht="15" customHeight="1" x14ac:dyDescent="0.35">
      <c r="A7" s="44"/>
      <c r="B7" s="47" t="s">
        <v>171</v>
      </c>
      <c r="C7" s="48" t="s">
        <v>172</v>
      </c>
      <c r="D7" s="47" t="s">
        <v>173</v>
      </c>
      <c r="E7" s="47">
        <v>1466</v>
      </c>
      <c r="F7" s="49">
        <f t="shared" si="0"/>
        <v>2345.6</v>
      </c>
      <c r="G7" s="49">
        <f t="shared" si="1"/>
        <v>32528.990450204641</v>
      </c>
      <c r="H7" s="50">
        <v>76300000</v>
      </c>
    </row>
    <row r="8" spans="1:9" x14ac:dyDescent="0.35">
      <c r="A8" s="44"/>
      <c r="B8" s="47" t="s">
        <v>171</v>
      </c>
      <c r="C8" s="51" t="s">
        <v>174</v>
      </c>
      <c r="D8" s="47" t="s">
        <v>175</v>
      </c>
      <c r="E8" s="47">
        <v>2275</v>
      </c>
      <c r="F8" s="49">
        <f t="shared" si="0"/>
        <v>3640</v>
      </c>
      <c r="G8" s="49">
        <f t="shared" si="1"/>
        <v>32554.945054945056</v>
      </c>
      <c r="H8" s="50">
        <v>118500000</v>
      </c>
    </row>
    <row r="9" spans="1:9" ht="15" customHeight="1" x14ac:dyDescent="0.35">
      <c r="A9" s="44"/>
      <c r="B9" s="47" t="s">
        <v>171</v>
      </c>
      <c r="C9" s="51" t="s">
        <v>176</v>
      </c>
      <c r="D9" s="47" t="s">
        <v>175</v>
      </c>
      <c r="E9" s="47">
        <v>2700</v>
      </c>
      <c r="F9" s="49">
        <f t="shared" si="0"/>
        <v>4320</v>
      </c>
      <c r="G9" s="49">
        <f t="shared" si="1"/>
        <v>32175.925925925927</v>
      </c>
      <c r="H9" s="50">
        <v>139000000</v>
      </c>
    </row>
    <row r="10" spans="1:9" ht="15" customHeight="1" x14ac:dyDescent="0.35">
      <c r="A10" s="44"/>
      <c r="B10" s="47" t="s">
        <v>177</v>
      </c>
      <c r="C10" s="48" t="s">
        <v>172</v>
      </c>
      <c r="D10" s="47" t="s">
        <v>173</v>
      </c>
      <c r="E10" s="47">
        <v>1466</v>
      </c>
      <c r="F10" s="49">
        <f t="shared" si="0"/>
        <v>2345.6</v>
      </c>
      <c r="G10" s="49">
        <f t="shared" si="1"/>
        <v>32997.953615279672</v>
      </c>
      <c r="H10" s="50">
        <v>77400000</v>
      </c>
    </row>
    <row r="11" spans="1:9" ht="15" customHeight="1" x14ac:dyDescent="0.35">
      <c r="A11" s="44"/>
      <c r="B11" s="47" t="s">
        <v>177</v>
      </c>
      <c r="C11" s="48" t="s">
        <v>178</v>
      </c>
      <c r="D11" s="47" t="s">
        <v>175</v>
      </c>
      <c r="E11" s="47">
        <v>1725</v>
      </c>
      <c r="F11" s="49">
        <f t="shared" si="0"/>
        <v>2760</v>
      </c>
      <c r="G11" s="49">
        <f t="shared" si="1"/>
        <v>31268.115942028984</v>
      </c>
      <c r="H11" s="50">
        <v>86300000</v>
      </c>
    </row>
    <row r="12" spans="1:9" ht="15" customHeight="1" x14ac:dyDescent="0.35">
      <c r="A12" s="44"/>
      <c r="B12" s="52" t="s">
        <v>179</v>
      </c>
      <c r="C12" s="47"/>
      <c r="D12" s="47"/>
      <c r="E12" s="47"/>
      <c r="F12" s="47"/>
      <c r="G12" s="53">
        <f>AVERAGE(G5:G11)</f>
        <v>32291.430151449204</v>
      </c>
      <c r="H12" s="47"/>
    </row>
    <row r="13" spans="1:9" ht="15" customHeight="1" x14ac:dyDescent="0.35">
      <c r="A13" s="42"/>
      <c r="B13" s="52" t="s">
        <v>180</v>
      </c>
      <c r="C13" s="54"/>
      <c r="D13" s="54"/>
      <c r="E13" s="54"/>
      <c r="F13" s="55"/>
      <c r="G13" s="52">
        <v>32000</v>
      </c>
      <c r="H13" s="52"/>
      <c r="I13" s="46"/>
    </row>
    <row r="14" spans="1:9" ht="15" customHeight="1" x14ac:dyDescent="0.35">
      <c r="B14" s="42"/>
      <c r="C14" s="42"/>
      <c r="D14" s="42"/>
      <c r="E14" s="42"/>
    </row>
    <row r="15" spans="1:9" ht="15" customHeight="1" x14ac:dyDescent="0.35">
      <c r="B15" s="42"/>
      <c r="C15" s="42"/>
      <c r="D15" s="42"/>
      <c r="E15" s="42"/>
    </row>
    <row r="16" spans="1:9" ht="15" customHeight="1" x14ac:dyDescent="0.35">
      <c r="B16" s="42"/>
      <c r="C16" s="42"/>
      <c r="D16" s="42"/>
      <c r="E16" s="42"/>
    </row>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Final Report</vt:lpstr>
      <vt:lpstr>Report</vt:lpstr>
      <vt:lpstr>Flat detail</vt:lpstr>
      <vt:lpstr>Note</vt:lpstr>
      <vt:lpstr>valuation</vt:lpstr>
      <vt:lpstr>'Final Report'!Print_Area</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2025-09-09T12:11:46Z</cp:lastPrinted>
  <dcterms:created xsi:type="dcterms:W3CDTF">2019-07-16T09:29:46Z</dcterms:created>
  <dcterms:modified xsi:type="dcterms:W3CDTF">2025-09-09T12:13:41Z</dcterms:modified>
</cp:coreProperties>
</file>