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0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7" i="1" l="1"/>
  <c r="J117" i="1"/>
  <c r="I163" i="1" l="1"/>
  <c r="I172" i="1"/>
  <c r="I178" i="1"/>
  <c r="I181" i="1"/>
  <c r="I182" i="1"/>
  <c r="I183" i="1"/>
  <c r="E149" i="1"/>
  <c r="J125" i="1"/>
  <c r="D187" i="1" l="1"/>
  <c r="F187" i="1" s="1"/>
  <c r="I187" i="1" s="1"/>
  <c r="D186" i="1"/>
  <c r="F186" i="1" s="1"/>
  <c r="I186" i="1" s="1"/>
  <c r="D185" i="1"/>
  <c r="F185" i="1" s="1"/>
  <c r="I185" i="1" s="1"/>
  <c r="D184" i="1"/>
  <c r="J184" i="1"/>
  <c r="G184" i="1"/>
  <c r="D164" i="1"/>
  <c r="D169" i="1"/>
  <c r="D171" i="1"/>
  <c r="D170" i="1"/>
  <c r="D168" i="1"/>
  <c r="D167" i="1"/>
  <c r="D166" i="1"/>
  <c r="D165" i="1"/>
  <c r="A165" i="1"/>
  <c r="A184" i="1"/>
  <c r="C116" i="1" l="1"/>
  <c r="E116" i="1"/>
  <c r="F184" i="1"/>
  <c r="F171" i="1"/>
  <c r="I171" i="1" s="1"/>
  <c r="F170" i="1"/>
  <c r="I170" i="1" s="1"/>
  <c r="F169" i="1"/>
  <c r="I169" i="1" s="1"/>
  <c r="D180" i="1"/>
  <c r="F180" i="1" s="1"/>
  <c r="I180" i="1" s="1"/>
  <c r="D179" i="1"/>
  <c r="F179" i="1" s="1"/>
  <c r="I179" i="1" s="1"/>
  <c r="D177" i="1"/>
  <c r="D176" i="1"/>
  <c r="D175" i="1"/>
  <c r="D174" i="1"/>
  <c r="D173" i="1"/>
  <c r="A166" i="1"/>
  <c r="A185" i="1"/>
  <c r="I184" i="1" l="1"/>
  <c r="G116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D155" i="1"/>
  <c r="K155" i="1"/>
  <c r="J155" i="1"/>
  <c r="J149" i="1"/>
  <c r="D149" i="1"/>
  <c r="F149" i="1" s="1"/>
  <c r="D148" i="1"/>
  <c r="F148" i="1" s="1"/>
  <c r="D147" i="1"/>
  <c r="F147" i="1" s="1"/>
  <c r="D146" i="1"/>
  <c r="F146" i="1" s="1"/>
  <c r="D145" i="1"/>
  <c r="F145" i="1" s="1"/>
  <c r="D144" i="1"/>
  <c r="J144" i="1"/>
  <c r="J142" i="1"/>
  <c r="J124" i="1"/>
  <c r="G144" i="1"/>
  <c r="A145" i="1"/>
  <c r="A146" i="1" s="1"/>
  <c r="A147" i="1" s="1"/>
  <c r="A148" i="1" s="1"/>
  <c r="A149" i="1" s="1"/>
  <c r="D142" i="1"/>
  <c r="F142" i="1" s="1"/>
  <c r="D141" i="1"/>
  <c r="F141" i="1" s="1"/>
  <c r="D140" i="1"/>
  <c r="F140" i="1" s="1"/>
  <c r="D139" i="1"/>
  <c r="F139" i="1" s="1"/>
  <c r="D138" i="1"/>
  <c r="F138" i="1" s="1"/>
  <c r="D137" i="1"/>
  <c r="F137" i="1" s="1"/>
  <c r="D136" i="1"/>
  <c r="F136" i="1" s="1"/>
  <c r="D135" i="1"/>
  <c r="F135" i="1" s="1"/>
  <c r="D134" i="1"/>
  <c r="F134" i="1" s="1"/>
  <c r="D133" i="1"/>
  <c r="D132" i="1"/>
  <c r="D131" i="1"/>
  <c r="D130" i="1"/>
  <c r="D129" i="1"/>
  <c r="D128" i="1"/>
  <c r="D127" i="1"/>
  <c r="D126" i="1"/>
  <c r="D125" i="1"/>
  <c r="D124" i="1"/>
  <c r="L42" i="1"/>
  <c r="L41" i="1"/>
  <c r="J40" i="1"/>
  <c r="A186" i="1"/>
  <c r="A167" i="1"/>
  <c r="F162" i="1" l="1"/>
  <c r="I162" i="1" s="1"/>
  <c r="E115" i="1"/>
  <c r="E117" i="1" s="1"/>
  <c r="C115" i="1"/>
  <c r="C117" i="1" s="1"/>
  <c r="E110" i="1"/>
  <c r="C110" i="1"/>
  <c r="F144" i="1"/>
  <c r="G111" i="1" s="1"/>
  <c r="E111" i="1"/>
  <c r="C111" i="1"/>
  <c r="F161" i="1"/>
  <c r="I161" i="1" s="1"/>
  <c r="F160" i="1"/>
  <c r="I160" i="1" s="1"/>
  <c r="L43" i="1"/>
  <c r="F124" i="1"/>
  <c r="A168" i="1"/>
  <c r="A187" i="1"/>
  <c r="C112" i="1" l="1"/>
  <c r="E112" i="1"/>
  <c r="F133" i="1"/>
  <c r="F132" i="1"/>
  <c r="F131" i="1"/>
  <c r="F130" i="1"/>
  <c r="F129" i="1"/>
  <c r="F128" i="1"/>
  <c r="A169" i="1"/>
  <c r="B191" i="1" l="1"/>
  <c r="A170" i="1"/>
  <c r="C13" i="1" l="1"/>
  <c r="A171" i="1"/>
  <c r="E28" i="1" l="1"/>
  <c r="F107" i="1" l="1"/>
  <c r="F125" i="1" l="1"/>
  <c r="F126" i="1"/>
  <c r="F127" i="1"/>
  <c r="G110" i="1" l="1"/>
  <c r="G112" i="1" s="1"/>
  <c r="B190" i="1"/>
  <c r="A173" i="1"/>
  <c r="F177" i="1" l="1"/>
  <c r="I177" i="1" s="1"/>
  <c r="F176" i="1"/>
  <c r="I176" i="1" s="1"/>
  <c r="F175" i="1"/>
  <c r="I175" i="1" s="1"/>
  <c r="F174" i="1"/>
  <c r="I174" i="1" s="1"/>
  <c r="F173" i="1"/>
  <c r="I173" i="1" s="1"/>
  <c r="F168" i="1"/>
  <c r="I168" i="1" s="1"/>
  <c r="F167" i="1"/>
  <c r="I167" i="1" s="1"/>
  <c r="F166" i="1"/>
  <c r="I166" i="1" s="1"/>
  <c r="F165" i="1"/>
  <c r="I165" i="1" s="1"/>
  <c r="F164" i="1"/>
  <c r="I164" i="1" s="1"/>
  <c r="F159" i="1"/>
  <c r="I159" i="1" s="1"/>
  <c r="F158" i="1"/>
  <c r="I158" i="1" s="1"/>
  <c r="F156" i="1"/>
  <c r="I156" i="1" s="1"/>
  <c r="F155" i="1"/>
  <c r="F157" i="1"/>
  <c r="I157" i="1" s="1"/>
  <c r="A174" i="1"/>
  <c r="I155" i="1" l="1"/>
  <c r="G115" i="1"/>
  <c r="G117" i="1" s="1"/>
  <c r="F11" i="5"/>
  <c r="G11" i="5" s="1"/>
  <c r="F10" i="5"/>
  <c r="G10" i="5" s="1"/>
  <c r="F9" i="5"/>
  <c r="G9" i="5" s="1"/>
  <c r="F8" i="5"/>
  <c r="G8" i="5" s="1"/>
  <c r="F7" i="5"/>
  <c r="G7" i="5" s="1"/>
  <c r="G6" i="5"/>
  <c r="F6" i="5"/>
  <c r="F5" i="5"/>
  <c r="G5" i="5" s="1"/>
  <c r="G12" i="5" s="1"/>
  <c r="D211" i="1"/>
  <c r="G173" i="1"/>
  <c r="G164" i="1"/>
  <c r="G155" i="1"/>
  <c r="A155" i="1"/>
  <c r="A156" i="1" s="1"/>
  <c r="A157" i="1" s="1"/>
  <c r="A158" i="1" s="1"/>
  <c r="A159" i="1" s="1"/>
  <c r="A160" i="1" s="1"/>
  <c r="A161" i="1" s="1"/>
  <c r="A162" i="1" s="1"/>
  <c r="A125" i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G124" i="1"/>
  <c r="J91" i="1"/>
  <c r="J90" i="1"/>
  <c r="J89" i="1"/>
  <c r="J88" i="1"/>
  <c r="C80" i="1"/>
  <c r="J77" i="1"/>
  <c r="J76" i="1"/>
  <c r="J75" i="1"/>
  <c r="J74" i="1"/>
  <c r="C66" i="1"/>
  <c r="D54" i="1"/>
  <c r="G48" i="1"/>
  <c r="G49" i="1" s="1"/>
  <c r="C48" i="1"/>
  <c r="E41" i="1"/>
  <c r="E42" i="1" s="1"/>
  <c r="E25" i="1"/>
  <c r="E23" i="1"/>
  <c r="E7" i="1"/>
  <c r="E3" i="1"/>
  <c r="H81" i="1"/>
  <c r="H67" i="1"/>
  <c r="A175" i="1"/>
  <c r="D60" i="1" l="1"/>
  <c r="D91" i="1"/>
  <c r="D92" i="1"/>
  <c r="D93" i="1"/>
  <c r="D87" i="1"/>
  <c r="D88" i="1"/>
  <c r="D89" i="1"/>
  <c r="D90" i="1"/>
  <c r="J80" i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79" i="1" s="1"/>
  <c r="C71" i="1" s="1"/>
  <c r="J86" i="1"/>
  <c r="J87" i="1" s="1"/>
  <c r="J92" i="1" s="1"/>
  <c r="J93" i="1" s="1"/>
  <c r="C85" i="1" s="1"/>
  <c r="J84" i="1"/>
  <c r="J85" i="1"/>
  <c r="C84" i="1" s="1"/>
  <c r="J83" i="1"/>
  <c r="A176" i="1"/>
  <c r="D86" i="1" l="1"/>
  <c r="J82" i="1"/>
  <c r="D72" i="1"/>
  <c r="J68" i="1"/>
  <c r="E70" i="1"/>
  <c r="D71" i="1"/>
  <c r="G70" i="1"/>
  <c r="D64" i="1" s="1"/>
  <c r="D70" i="1"/>
  <c r="J67" i="1" s="1"/>
  <c r="E84" i="1"/>
  <c r="D85" i="1"/>
  <c r="G84" i="1"/>
  <c r="D84" i="1"/>
  <c r="A177" i="1"/>
  <c r="I81" i="1" l="1"/>
  <c r="I82" i="1" s="1"/>
  <c r="J81" i="1"/>
  <c r="I67" i="1"/>
  <c r="F65" i="1"/>
  <c r="D65" i="1"/>
  <c r="A178" i="1"/>
  <c r="I80" i="1" l="1"/>
  <c r="C82" i="1" s="1"/>
  <c r="I68" i="1"/>
  <c r="I66" i="1" s="1"/>
  <c r="C68" i="1" s="1"/>
  <c r="A179" i="1"/>
  <c r="A180" i="1" l="1"/>
</calcChain>
</file>

<file path=xl/sharedStrings.xml><?xml version="1.0" encoding="utf-8"?>
<sst xmlns="http://schemas.openxmlformats.org/spreadsheetml/2006/main" count="344" uniqueCount="230">
  <si>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</si>
  <si>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</si>
  <si>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</si>
  <si>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</si>
  <si>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</si>
  <si>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</si>
  <si>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</si>
  <si>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</si>
  <si>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</si>
  <si>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</si>
  <si>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</si>
  <si>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</si>
  <si>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</si>
  <si>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</si>
  <si>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</si>
  <si>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</si>
  <si>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</si>
  <si>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</si>
  <si>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</si>
  <si>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</si>
  <si>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</si>
  <si>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</si>
  <si>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</si>
  <si>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</si>
  <si>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</si>
  <si>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</si>
  <si>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</si>
  <si>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</si>
  <si>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</si>
  <si>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</si>
  <si>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</si>
  <si>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</si>
  <si>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</si>
  <si>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</si>
  <si>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</si>
  <si>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</si>
  <si>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</si>
  <si>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</si>
  <si>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</si>
  <si>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</si>
  <si>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</si>
  <si>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</si>
  <si>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</si>
  <si>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</si>
  <si>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</si>
  <si>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</si>
  <si>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</si>
  <si>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</si>
  <si>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</si>
  <si>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</si>
  <si>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</si>
  <si>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</si>
  <si>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</si>
  <si>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</si>
  <si>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</si>
  <si>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</si>
  <si>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</si>
  <si>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</si>
  <si>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</si>
  <si>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</si>
  <si>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</si>
  <si>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</si>
  <si>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</si>
  <si>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</si>
  <si>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</si>
  <si>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</si>
  <si>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</si>
  <si>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</si>
  <si>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</si>
  <si>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</si>
  <si>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</si>
  <si>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</si>
  <si>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</si>
  <si>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</si>
  <si>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</si>
  <si>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</si>
  <si>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</si>
  <si>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</si>
  <si>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</si>
  <si>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</si>
  <si>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</si>
  <si>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</si>
  <si>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</si>
  <si>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</si>
  <si>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</si>
  <si>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</si>
  <si>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</si>
  <si>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</si>
  <si>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</si>
  <si>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</si>
  <si>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</si>
  <si>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</si>
  <si>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</si>
  <si>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</si>
  <si>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</si>
  <si>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</si>
  <si>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</si>
  <si>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</si>
  <si>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</si>
  <si>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</si>
  <si>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</si>
  <si>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</si>
  <si>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</si>
  <si>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</si>
  <si>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</si>
  <si>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</si>
  <si>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</si>
  <si>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</si>
  <si>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</si>
  <si>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</si>
  <si>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</si>
  <si>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</si>
  <si>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</si>
  <si>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</si>
  <si>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</si>
  <si>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</si>
  <si>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</si>
  <si>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</si>
  <si>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</si>
  <si>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</si>
  <si>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</si>
  <si>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</si>
  <si>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</si>
  <si>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</si>
  <si>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</si>
  <si>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</si>
  <si>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</si>
  <si>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</si>
  <si>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</si>
  <si>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</si>
  <si>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</si>
  <si>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</si>
  <si>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</si>
  <si>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</si>
  <si>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</si>
  <si>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</si>
  <si>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</si>
  <si>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</si>
  <si>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</si>
  <si>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</si>
  <si>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</si>
  <si>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</si>
  <si>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</si>
  <si>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</si>
  <si>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</si>
  <si>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</si>
  <si>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</si>
  <si>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</si>
  <si>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</si>
  <si>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</si>
  <si>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</si>
  <si>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</si>
  <si>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</si>
  <si>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</si>
  <si>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</si>
  <si>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</si>
  <si>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</si>
  <si>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</si>
  <si>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</si>
  <si>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</si>
  <si>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</si>
  <si>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</si>
  <si>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</si>
  <si>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</si>
  <si>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</si>
  <si>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</si>
  <si>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</si>
  <si>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</si>
  <si>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</si>
  <si>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</si>
  <si>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</si>
  <si>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P51700045521</t>
  </si>
  <si>
    <t>Bonzer Orbit</t>
  </si>
  <si>
    <t>Axis Badlapur</t>
  </si>
  <si>
    <t>Viraj Iconic</t>
  </si>
  <si>
    <t>Wing A &amp; B</t>
  </si>
  <si>
    <t>Gut No</t>
  </si>
  <si>
    <t>Manjarli</t>
  </si>
  <si>
    <t>Ambernath</t>
  </si>
  <si>
    <t>Thane</t>
  </si>
  <si>
    <t>Madhubala Apartment</t>
  </si>
  <si>
    <t>Badlapur (West)</t>
  </si>
  <si>
    <t>St Anthony School Rd</t>
  </si>
  <si>
    <t>1.1KM from Badlapur Railway Station</t>
  </si>
  <si>
    <t>Gaondev Mandir</t>
  </si>
  <si>
    <t>Internal Road</t>
  </si>
  <si>
    <t>https://goo.gl/maps/UCeSXfQBZZW5MZnk6</t>
  </si>
  <si>
    <t xml:space="preserve">Kulgoan Badlapur Municipal Council </t>
  </si>
  <si>
    <t>KBNP/NRV/BP/1090-196</t>
  </si>
  <si>
    <t>Wing A = Gr/Stilt + 1st to 13th Floor
Wing B = Gr/Stilt + 1st to 6th Floor</t>
  </si>
  <si>
    <t>2 Wings</t>
  </si>
  <si>
    <t>As per RERA - 31/12/2026</t>
  </si>
  <si>
    <t>Mr. Sudhir Bhosale</t>
  </si>
  <si>
    <t>Shop</t>
  </si>
  <si>
    <t>Wing A</t>
  </si>
  <si>
    <t>1st Floor</t>
  </si>
  <si>
    <t>Office</t>
  </si>
  <si>
    <t>2nd Floor For Residential</t>
  </si>
  <si>
    <t>3rd, 4th, 5th, 6th, 7th, 9th, 10th, 11th &amp; 12th Floor</t>
  </si>
  <si>
    <t>8th &amp; 13th Floor (Part Refuge Area)</t>
  </si>
  <si>
    <t>Refuge Area</t>
  </si>
  <si>
    <t>301 ,.., 1201</t>
  </si>
  <si>
    <t>Wing B</t>
  </si>
  <si>
    <t>Ground Floor For Parking</t>
  </si>
  <si>
    <t>1st to 6th Floor For Residential</t>
  </si>
  <si>
    <t>We considered Gross carpet area = Net carpet + Balcony + E.P. Area.</t>
  </si>
  <si>
    <t>Approved Plans, CC</t>
  </si>
  <si>
    <t>Miss. Smita Gaikwad - 8097813081
Miss. Nigeeta Sawant - 8484053268</t>
  </si>
  <si>
    <t>St Anthony School Road</t>
  </si>
  <si>
    <t>KBNP/NRV/BP/1090/2021-2022/Unique No. 196</t>
  </si>
  <si>
    <t>Wing A = Gr/Stilt + 1st to 13th Floor</t>
  </si>
  <si>
    <t>Ground Floor For Commercial &amp; Parking</t>
  </si>
  <si>
    <t>rate sheet</t>
  </si>
  <si>
    <t xml:space="preserve">shop </t>
  </si>
  <si>
    <t>office</t>
  </si>
  <si>
    <t>flat</t>
  </si>
  <si>
    <t>visitor</t>
  </si>
  <si>
    <t>builder</t>
  </si>
  <si>
    <t>MB</t>
  </si>
  <si>
    <t>53 H.No. 5, P.No. 1..Gut No.53, H.No. 11, P.No. 9</t>
  </si>
  <si>
    <t>Ganesh Chowk</t>
  </si>
  <si>
    <t>Flats -118, Shops -19, Offices -6</t>
  </si>
  <si>
    <t>Office No. 1031, Wing J, Akshar Business Park, Plot No. 03 Sector 25, Near APMC Market,
Vashi, Navi Mumbai, Maharashtra 400703 TEL: 022-46090378/79/80                                                                                                                                          E mail : vsjcapf@gmail.com. Web site : www.vsjadon.com</t>
  </si>
  <si>
    <t>Documents Provided</t>
  </si>
  <si>
    <t>Wing B = Gr/Stilt + 1st to 7th Floor</t>
  </si>
  <si>
    <t>As the construction goes beyond approved plan &amp; CC for Wing B, Please provide latest Approved plan &amp; CC.</t>
  </si>
  <si>
    <t>Latitude,Longitude</t>
  </si>
  <si>
    <t>19.1742001,73.2349198</t>
  </si>
  <si>
    <t>Wing A = Construction work is in process at the time of Visit.
Wing B = Work is same as last visit but work is in process (Slow Speed).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</si>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</sst>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left" vertical="center"/>
    </xf>
    <xf numFmtId="164" fontId="7" fillId="0" borderId="0" xfId="1" applyNumberFormat="1" applyFont="1"/>
    <xf numFmtId="1" fontId="7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24" fillId="0" borderId="29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0" xfId="0" applyNumberFormat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0" fillId="0" borderId="7" xfId="1" applyFont="1" applyBorder="1" applyAlignment="1" applyProtection="1">
      <alignment horizontal="left"/>
      <protection locked="0"/>
    </xf>
    <xf numFmtId="0" fontId="10" fillId="0" borderId="20" xfId="1" applyFont="1" applyBorder="1" applyAlignment="1" applyProtection="1">
      <alignment horizontal="left"/>
      <protection locked="0"/>
    </xf>
    <xf numFmtId="0" fontId="10" fillId="0" borderId="8" xfId="1" applyFont="1" applyBorder="1" applyAlignment="1" applyProtection="1">
      <alignment horizontal="left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0" fontId="24" fillId="0" borderId="14" xfId="0" applyFont="1" applyBorder="1"/>
    <xf numFmtId="0" fontId="25" fillId="0" borderId="8" xfId="0" applyFont="1" applyBorder="1"/>
    <xf numFmtId="0" fontId="8" fillId="0" borderId="1" xfId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13" fillId="0" borderId="1" xfId="0" applyNumberFormat="1" applyFont="1" applyFill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9.png"/><Relationship Id="rId1" Type="http://schemas.openxmlformats.org/officeDocument/2006/relationships/image" Target="../media/image4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7.png"/><Relationship Id="rId1" Type="http://schemas.openxmlformats.org/officeDocument/2006/relationships/image" Target="../media/image4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254</xdr:row>
      <xdr:rowOff>0</xdr:rowOff>
    </xdr:from>
    <xdr:to>
      <xdr:col>7</xdr:col>
      <xdr:colOff>113625</xdr:colOff>
      <xdr:row>270</xdr:row>
      <xdr:rowOff>95068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9150" y="50958750"/>
          <a:ext cx="5400000" cy="329546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272</xdr:row>
      <xdr:rowOff>93727</xdr:rowOff>
    </xdr:from>
    <xdr:to>
      <xdr:col>7</xdr:col>
      <xdr:colOff>113625</xdr:colOff>
      <xdr:row>288</xdr:row>
      <xdr:rowOff>176001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9150" y="54652927"/>
          <a:ext cx="5400000" cy="32826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717177</xdr:colOff>
      <xdr:row>78</xdr:row>
      <xdr:rowOff>89648</xdr:rowOff>
    </xdr:from>
    <xdr:to>
      <xdr:col>27</xdr:col>
      <xdr:colOff>341523</xdr:colOff>
      <xdr:row>119</xdr:row>
      <xdr:rowOff>495198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95530" y="17772530"/>
          <a:ext cx="10202699" cy="7297168"/>
        </a:xfrm>
        <a:prstGeom prst="rect">
          <a:avLst/>
        </a:prstGeom>
      </xdr:spPr>
    </xdr:pic>
    <xdr:clientData/>
  </xdr:twoCellAnchor>
  <xdr:twoCellAnchor>
    <xdr:from>
      <xdr:col>8</xdr:col>
      <xdr:colOff>488950</xdr:colOff>
      <xdr:row>210</xdr:row>
      <xdr:rowOff>196850</xdr:rowOff>
    </xdr:from>
    <xdr:to>
      <xdr:col>16</xdr:col>
      <xdr:colOff>546902</xdr:colOff>
      <xdr:row>250</xdr:row>
      <xdr:rowOff>190500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7334250" y="44126150"/>
          <a:ext cx="6757202" cy="7861300"/>
          <a:chOff x="50800" y="43821350"/>
          <a:chExt cx="6738152" cy="7861300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19525" y="50259524"/>
            <a:ext cx="2062397" cy="142312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37388" y="4382135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68852" y="4382135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55012" y="50259524"/>
            <a:ext cx="2062397" cy="142312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03120" y="4382135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37388" y="46087408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03120" y="46087408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149" y="50259524"/>
            <a:ext cx="2062397" cy="142312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800" y="48353466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68852" y="46087408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86607" y="48353466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39446" y="48353466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40827" y="48353466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737388" y="43821350"/>
            <a:ext cx="742810" cy="31750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 </a:t>
            </a:r>
          </a:p>
        </xdr:txBody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3341320" y="43821350"/>
            <a:ext cx="742810" cy="31750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 </a:t>
            </a:r>
          </a:p>
        </xdr:txBody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4268852" y="43821350"/>
            <a:ext cx="742810" cy="31750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 </a:t>
            </a:r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1169188" y="46087408"/>
            <a:ext cx="742810" cy="31750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 </a:t>
            </a:r>
          </a:p>
        </xdr:txBody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2503120" y="46087408"/>
            <a:ext cx="742810" cy="31750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 </a:t>
            </a:r>
          </a:p>
        </xdr:txBody>
      </xdr:sp>
    </xdr:grpSp>
    <xdr:clientData/>
  </xdr:twoCellAnchor>
  <xdr:twoCellAnchor>
    <xdr:from>
      <xdr:col>9</xdr:col>
      <xdr:colOff>285750</xdr:colOff>
      <xdr:row>210</xdr:row>
      <xdr:rowOff>133350</xdr:rowOff>
    </xdr:from>
    <xdr:to>
      <xdr:col>16</xdr:col>
      <xdr:colOff>563922</xdr:colOff>
      <xdr:row>247</xdr:row>
      <xdr:rowOff>44175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75D1929F-3CF3-4931-9914-927E7E3EDEE2}"/>
            </a:ext>
          </a:extLst>
        </xdr:cNvPr>
        <xdr:cNvGrpSpPr/>
      </xdr:nvGrpSpPr>
      <xdr:grpSpPr>
        <a:xfrm>
          <a:off x="8350250" y="44062650"/>
          <a:ext cx="5758222" cy="7187925"/>
          <a:chOff x="389401" y="542714"/>
          <a:chExt cx="5516922" cy="7302225"/>
        </a:xfrm>
      </xdr:grpSpPr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EFFEEB37-D37B-4908-B8EC-D939A464E3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5772" y="620744"/>
            <a:ext cx="1624518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35E766F8-FD11-4DC2-8B68-76ED20F900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35398" y="620744"/>
            <a:ext cx="1624518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F5D9A1E-8BBC-44BE-90E0-58069A99F4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35585" y="620744"/>
            <a:ext cx="1624518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1C6317CC-3469-4009-9EA0-BD21DDB8B2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73671" y="2908809"/>
            <a:ext cx="135376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7403E1DB-2338-445D-B144-CB395BE2DD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3631" y="4836874"/>
            <a:ext cx="1083012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64C1BF89-2543-43F3-938C-BEF966C9C9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57941" y="2908809"/>
            <a:ext cx="238782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9B4DA37A-571A-4D5B-8556-FC859B4594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9401" y="2908809"/>
            <a:ext cx="135376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8BD292F2-9774-4052-B23D-E974EE2C8E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47260" y="4836874"/>
            <a:ext cx="1083012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7E7985B7-517A-4543-9246-5983DE0C89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39074" y="4836874"/>
            <a:ext cx="1083012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C8E15EBA-C4FA-46C4-ACB6-4DCC4E7202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55445" y="4836874"/>
            <a:ext cx="1083013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FFF5E9BB-0725-49A0-801A-E216334335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6408" y="6404939"/>
            <a:ext cx="1083012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93C83CD1-1B67-450D-BD90-C4FCEA97A2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38223" y="6404939"/>
            <a:ext cx="1083012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1A7FA9C0-C197-4308-A76B-7439CA0F4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06950" y="6404939"/>
            <a:ext cx="1083012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03090DB3-2142-426C-ACC1-729C488AD1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88990" y="6404939"/>
            <a:ext cx="1917333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9" name="TextBox 147">
            <a:extLst>
              <a:ext uri="{FF2B5EF4-FFF2-40B4-BE49-F238E27FC236}">
                <a16:creationId xmlns:a16="http://schemas.microsoft.com/office/drawing/2014/main" id="{D3454BDD-BAB9-46DB-8D50-6D4F1BC5AAB2}"/>
              </a:ext>
            </a:extLst>
          </xdr:cNvPr>
          <xdr:cNvSpPr txBox="1"/>
        </xdr:nvSpPr>
        <xdr:spPr>
          <a:xfrm>
            <a:off x="535772" y="620744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0" name="TextBox 148">
            <a:extLst>
              <a:ext uri="{FF2B5EF4-FFF2-40B4-BE49-F238E27FC236}">
                <a16:creationId xmlns:a16="http://schemas.microsoft.com/office/drawing/2014/main" id="{D6A35AE6-B086-4554-BA51-E4BE32F19728}"/>
              </a:ext>
            </a:extLst>
          </xdr:cNvPr>
          <xdr:cNvSpPr txBox="1"/>
        </xdr:nvSpPr>
        <xdr:spPr>
          <a:xfrm>
            <a:off x="2600677" y="559230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1" name="TextBox 149">
            <a:extLst>
              <a:ext uri="{FF2B5EF4-FFF2-40B4-BE49-F238E27FC236}">
                <a16:creationId xmlns:a16="http://schemas.microsoft.com/office/drawing/2014/main" id="{8DBF393A-70C3-47F4-ACDB-62C2F6DB3596}"/>
              </a:ext>
            </a:extLst>
          </xdr:cNvPr>
          <xdr:cNvSpPr txBox="1"/>
        </xdr:nvSpPr>
        <xdr:spPr>
          <a:xfrm>
            <a:off x="4856004" y="542714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2" name="TextBox 150">
            <a:extLst>
              <a:ext uri="{FF2B5EF4-FFF2-40B4-BE49-F238E27FC236}">
                <a16:creationId xmlns:a16="http://schemas.microsoft.com/office/drawing/2014/main" id="{C9A00235-F2B9-4B1A-96B0-9CB9789FC68A}"/>
              </a:ext>
            </a:extLst>
          </xdr:cNvPr>
          <xdr:cNvSpPr txBox="1"/>
        </xdr:nvSpPr>
        <xdr:spPr>
          <a:xfrm>
            <a:off x="828533" y="3050096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3" name="TextBox 151">
            <a:extLst>
              <a:ext uri="{FF2B5EF4-FFF2-40B4-BE49-F238E27FC236}">
                <a16:creationId xmlns:a16="http://schemas.microsoft.com/office/drawing/2014/main" id="{97B578D9-BF09-4C57-B4F0-DF43CB9618D4}"/>
              </a:ext>
            </a:extLst>
          </xdr:cNvPr>
          <xdr:cNvSpPr txBox="1"/>
        </xdr:nvSpPr>
        <xdr:spPr>
          <a:xfrm>
            <a:off x="2117581" y="4334811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107950</xdr:colOff>
      <xdr:row>211</xdr:row>
      <xdr:rowOff>63500</xdr:rowOff>
    </xdr:from>
    <xdr:to>
      <xdr:col>7</xdr:col>
      <xdr:colOff>763934</xdr:colOff>
      <xdr:row>251</xdr:row>
      <xdr:rowOff>82550</xdr:rowOff>
    </xdr:to>
    <xdr:grpSp>
      <xdr:nvGrpSpPr>
        <xdr:cNvPr id="3" name="Group 2"/>
        <xdr:cNvGrpSpPr/>
      </xdr:nvGrpSpPr>
      <xdr:grpSpPr>
        <a:xfrm>
          <a:off x="107950" y="44189650"/>
          <a:ext cx="6631334" cy="7886700"/>
          <a:chOff x="107950" y="44189650"/>
          <a:chExt cx="6631334" cy="7886700"/>
        </a:xfrm>
      </xdr:grpSpPr>
      <xdr:pic>
        <xdr:nvPicPr>
          <xdr:cNvPr id="71" name="Picture 70"/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64846" y="50671087"/>
            <a:ext cx="2387824" cy="140526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/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5988" y="44189650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3" name="Picture 72"/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0588" y="48510608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4" name="Picture 73"/>
          <xdr:cNvPicPr>
            <a:picLocks noChangeAspect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950" y="48510608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5" name="Picture 74"/>
          <xdr:cNvPicPr>
            <a:picLocks noChangeAspect="1"/>
          </xdr:cNvPicPr>
        </xdr:nvPicPr>
        <xdr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95990" y="46350129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6" name="Picture 75"/>
          <xdr:cNvPicPr>
            <a:picLocks noChangeAspect="1"/>
          </xdr:cNvPicPr>
        </xdr:nvPicPr>
        <xdr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5988" y="46350129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7" name="Picture 76"/>
          <xdr:cNvPicPr>
            <a:picLocks noChangeAspect="1"/>
          </xdr:cNvPicPr>
        </xdr:nvPicPr>
        <xdr:blipFill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0588" y="46350129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8" name="Picture 77"/>
          <xdr:cNvPicPr>
            <a:picLocks noChangeAspect="1"/>
          </xdr:cNvPicPr>
        </xdr:nvPicPr>
        <xdr:blipFill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91388" y="44189650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9" name="Picture 78"/>
          <xdr:cNvPicPr>
            <a:picLocks noChangeAspect="1"/>
          </xdr:cNvPicPr>
        </xdr:nvPicPr>
        <xdr:blipFill>
          <a:blip xmlns:r="http://schemas.openxmlformats.org/officeDocument/2006/relationships" r:embed="rId3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0588" y="44189650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0" name="Picture 79"/>
          <xdr:cNvPicPr>
            <a:picLocks noChangeAspect="1"/>
          </xdr:cNvPicPr>
        </xdr:nvPicPr>
        <xdr:blipFill>
          <a:blip xmlns:r="http://schemas.openxmlformats.org/officeDocument/2006/relationships" r:embed="rId4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56439" y="50671087"/>
            <a:ext cx="1348125" cy="140526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1" name="Picture 80"/>
          <xdr:cNvPicPr>
            <a:picLocks noChangeAspect="1"/>
          </xdr:cNvPicPr>
        </xdr:nvPicPr>
        <xdr:blipFill>
          <a:blip xmlns:r="http://schemas.openxmlformats.org/officeDocument/2006/relationships" r:embed="rId4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60652" y="50671087"/>
            <a:ext cx="1353767" cy="140526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2" name="Picture 81"/>
          <xdr:cNvPicPr>
            <a:picLocks noChangeAspect="1"/>
          </xdr:cNvPicPr>
        </xdr:nvPicPr>
        <xdr:blipFill>
          <a:blip xmlns:r="http://schemas.openxmlformats.org/officeDocument/2006/relationships" r:embed="rId4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91388" y="48510608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3" name="Picture 82"/>
          <xdr:cNvPicPr>
            <a:picLocks noChangeAspect="1"/>
          </xdr:cNvPicPr>
        </xdr:nvPicPr>
        <xdr:blipFill>
          <a:blip xmlns:r="http://schemas.openxmlformats.org/officeDocument/2006/relationships" r:embed="rId4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5988" y="48510608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4" name="Picture 83"/>
          <xdr:cNvPicPr>
            <a:picLocks noChangeAspect="1"/>
          </xdr:cNvPicPr>
        </xdr:nvPicPr>
        <xdr:blipFill>
          <a:blip xmlns:r="http://schemas.openxmlformats.org/officeDocument/2006/relationships" r:embed="rId4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950" y="44189650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5" name="Picture 84"/>
          <xdr:cNvPicPr>
            <a:picLocks noChangeAspect="1"/>
          </xdr:cNvPicPr>
        </xdr:nvPicPr>
        <xdr:blipFill>
          <a:blip xmlns:r="http://schemas.openxmlformats.org/officeDocument/2006/relationships" r:embed="rId4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951" y="46350129"/>
            <a:ext cx="154329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6" name="Rectangle 85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615950" y="45586650"/>
            <a:ext cx="744910" cy="317500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 </a:t>
            </a:r>
          </a:p>
        </xdr:txBody>
      </xdr:sp>
      <xdr:sp macro="" textlink="">
        <xdr:nvSpPr>
          <xdr:cNvPr id="87" name="Rectangle 86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2060938" y="45332650"/>
            <a:ext cx="744910" cy="317500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 </a:t>
            </a:r>
          </a:p>
        </xdr:txBody>
      </xdr:sp>
      <xdr:sp macro="" textlink="">
        <xdr:nvSpPr>
          <xdr:cNvPr id="88" name="Rectangle 87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3692838" y="45637450"/>
            <a:ext cx="744910" cy="317500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 </a:t>
            </a:r>
          </a:p>
        </xdr:txBody>
      </xdr:sp>
      <xdr:sp macro="" textlink="">
        <xdr:nvSpPr>
          <xdr:cNvPr id="89" name="Rectangle 8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5407288" y="45427900"/>
            <a:ext cx="744910" cy="317500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 </a:t>
            </a:r>
          </a:p>
        </xdr:txBody>
      </xdr:sp>
      <xdr:sp macro="" textlink="">
        <xdr:nvSpPr>
          <xdr:cNvPr id="90" name="Rectangle 89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457201" y="47988429"/>
            <a:ext cx="744910" cy="317500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 </a:t>
            </a:r>
          </a:p>
        </xdr:txBody>
      </xdr:sp>
      <xdr:sp macro="" textlink="">
        <xdr:nvSpPr>
          <xdr:cNvPr id="91" name="Rectangle 90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3838888" y="50117158"/>
            <a:ext cx="744910" cy="317500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 </a:t>
            </a:r>
          </a:p>
        </xdr:txBody>
      </xdr:sp>
      <xdr:sp macro="" textlink="">
        <xdr:nvSpPr>
          <xdr:cNvPr id="92" name="Rectangle 91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5445388" y="50072708"/>
            <a:ext cx="744910" cy="317500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 </a:t>
            </a:r>
          </a:p>
        </xdr:txBody>
      </xdr:sp>
      <xdr:sp macro="" textlink="">
        <xdr:nvSpPr>
          <xdr:cNvPr id="93" name="Rectangle 92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871802" y="51629937"/>
            <a:ext cx="744910" cy="317500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 </a:t>
            </a:r>
          </a:p>
        </xdr:txBody>
      </xdr:sp>
      <xdr:sp macro="" textlink="">
        <xdr:nvSpPr>
          <xdr:cNvPr id="94" name="Rectangle 93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2264138" y="48013829"/>
            <a:ext cx="744910" cy="317500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 </a:t>
            </a:r>
          </a:p>
        </xdr:txBody>
      </xdr:sp>
      <xdr:sp macro="" textlink="">
        <xdr:nvSpPr>
          <xdr:cNvPr id="95" name="Rectangle 94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3940488" y="47842379"/>
            <a:ext cx="744910" cy="317500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 </a:t>
            </a:r>
          </a:p>
        </xdr:txBody>
      </xdr:sp>
      <xdr:sp macro="" textlink="">
        <xdr:nvSpPr>
          <xdr:cNvPr id="96" name="Rectangle 95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5583340" y="47975729"/>
            <a:ext cx="744910" cy="317500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 </a:t>
            </a:r>
          </a:p>
        </xdr:txBody>
      </xdr:sp>
      <xdr:sp macro="" textlink="">
        <xdr:nvSpPr>
          <xdr:cNvPr id="97" name="Rectangle 96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850900" y="49786958"/>
            <a:ext cx="744910" cy="317500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 </a:t>
            </a:r>
          </a:p>
        </xdr:txBody>
      </xdr:sp>
      <xdr:sp macro="" textlink="">
        <xdr:nvSpPr>
          <xdr:cNvPr id="98" name="Rectangle 97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2194288" y="50187008"/>
            <a:ext cx="744910" cy="317500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124989</xdr:colOff>
      <xdr:row>16</xdr:row>
      <xdr:rowOff>0</xdr:rowOff>
    </xdr:from>
    <xdr:to>
      <xdr:col>6</xdr:col>
      <xdr:colOff>129555</xdr:colOff>
      <xdr:row>34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7695" y="3059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36</xdr:row>
      <xdr:rowOff>172528</xdr:rowOff>
    </xdr:from>
    <xdr:to>
      <xdr:col>6</xdr:col>
      <xdr:colOff>4566</xdr:colOff>
      <xdr:row>55</xdr:row>
      <xdr:rowOff>153028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7041734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UCeSXfQBZZW5MZnk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53"/>
  <sheetViews>
    <sheetView tabSelected="1" view="pageBreakPreview" topLeftCell="A32" zoomScaleNormal="100" zoomScaleSheetLayoutView="100" zoomScalePageLayoutView="85" workbookViewId="0">
      <selection activeCell="C36" sqref="C36:H36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12.45312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8" ht="46.5" customHeight="1" x14ac:dyDescent="0.35">
      <c r="A1" s="141" t="s">
        <v>222</v>
      </c>
      <c r="B1" s="141"/>
      <c r="C1" s="141"/>
      <c r="D1" s="141"/>
      <c r="E1" s="141"/>
      <c r="F1" s="141"/>
      <c r="G1" s="141"/>
      <c r="H1" s="141"/>
    </row>
    <row r="2" spans="1:8" ht="16.5" customHeight="1" x14ac:dyDescent="0.35">
      <c r="A2" s="127" t="s">
        <v>0</v>
      </c>
      <c r="B2" s="127"/>
      <c r="C2" s="127"/>
      <c r="D2" s="127"/>
      <c r="E2" s="127"/>
      <c r="F2" s="127"/>
      <c r="G2" s="127"/>
      <c r="H2" s="127"/>
    </row>
    <row r="3" spans="1:8" x14ac:dyDescent="0.35">
      <c r="A3" s="104" t="s">
        <v>1</v>
      </c>
      <c r="B3" s="104"/>
      <c r="C3" s="104"/>
      <c r="D3" s="104"/>
      <c r="E3" s="104" t="str">
        <f ca="1">TEXT(TODAY(),"DD/MM/YYYY")</f>
        <v>09/09/2025</v>
      </c>
      <c r="F3" s="104"/>
      <c r="G3" s="104"/>
      <c r="H3" s="104"/>
    </row>
    <row r="4" spans="1:8" ht="15" customHeight="1" x14ac:dyDescent="0.35">
      <c r="A4" s="104" t="s">
        <v>2</v>
      </c>
      <c r="B4" s="104"/>
      <c r="C4" s="104"/>
      <c r="D4" s="104"/>
      <c r="E4" s="104" t="s">
        <v>173</v>
      </c>
      <c r="F4" s="104"/>
      <c r="G4" s="104"/>
      <c r="H4" s="104"/>
    </row>
    <row r="5" spans="1:8" x14ac:dyDescent="0.35">
      <c r="A5" s="104" t="s">
        <v>3</v>
      </c>
      <c r="B5" s="104"/>
      <c r="C5" s="104"/>
      <c r="D5" s="104"/>
      <c r="E5" s="142">
        <v>45905</v>
      </c>
      <c r="F5" s="104"/>
      <c r="G5" s="104"/>
      <c r="H5" s="104"/>
    </row>
    <row r="6" spans="1:8" ht="16.5" customHeight="1" x14ac:dyDescent="0.35">
      <c r="A6" s="104" t="s">
        <v>4</v>
      </c>
      <c r="B6" s="104"/>
      <c r="C6" s="104"/>
      <c r="D6" s="104"/>
      <c r="E6" s="104" t="s">
        <v>172</v>
      </c>
      <c r="F6" s="104"/>
      <c r="G6" s="104"/>
      <c r="H6" s="104"/>
    </row>
    <row r="7" spans="1:8" ht="15" customHeight="1" x14ac:dyDescent="0.35">
      <c r="A7" s="104" t="s">
        <v>5</v>
      </c>
      <c r="B7" s="104"/>
      <c r="C7" s="104"/>
      <c r="D7" s="104"/>
      <c r="E7" s="104" t="str">
        <f>E6</f>
        <v>Bonzer Orbit</v>
      </c>
      <c r="F7" s="104"/>
      <c r="G7" s="104"/>
      <c r="H7" s="104"/>
    </row>
    <row r="8" spans="1:8" x14ac:dyDescent="0.35">
      <c r="A8" s="104" t="s">
        <v>6</v>
      </c>
      <c r="B8" s="104"/>
      <c r="C8" s="104"/>
      <c r="D8" s="104"/>
      <c r="E8" s="136" t="s">
        <v>174</v>
      </c>
      <c r="F8" s="136"/>
      <c r="G8" s="136"/>
      <c r="H8" s="136"/>
    </row>
    <row r="9" spans="1:8" ht="33" customHeight="1" x14ac:dyDescent="0.35">
      <c r="A9" s="104" t="s">
        <v>123</v>
      </c>
      <c r="B9" s="104"/>
      <c r="C9" s="104"/>
      <c r="D9" s="104"/>
      <c r="E9" s="112" t="s">
        <v>207</v>
      </c>
      <c r="F9" s="104"/>
      <c r="G9" s="104"/>
      <c r="H9" s="104"/>
    </row>
    <row r="10" spans="1:8" ht="17.25" customHeight="1" x14ac:dyDescent="0.35">
      <c r="A10" s="104" t="s">
        <v>7</v>
      </c>
      <c r="B10" s="104"/>
      <c r="C10" s="104"/>
      <c r="D10" s="104"/>
      <c r="E10" s="104" t="s">
        <v>175</v>
      </c>
      <c r="F10" s="104"/>
      <c r="G10" s="104"/>
      <c r="H10" s="104"/>
    </row>
    <row r="11" spans="1:8" ht="18" customHeight="1" x14ac:dyDescent="0.35">
      <c r="A11" s="78" t="s">
        <v>223</v>
      </c>
      <c r="B11" s="78"/>
      <c r="C11" s="78"/>
      <c r="D11" s="78"/>
      <c r="E11" s="112" t="s">
        <v>206</v>
      </c>
      <c r="F11" s="143"/>
      <c r="G11" s="143"/>
      <c r="H11" s="143"/>
    </row>
    <row r="12" spans="1:8" x14ac:dyDescent="0.35">
      <c r="A12" s="78" t="s">
        <v>8</v>
      </c>
      <c r="B12" s="78"/>
      <c r="C12" s="78"/>
      <c r="D12" s="78"/>
      <c r="E12" s="112" t="s">
        <v>171</v>
      </c>
      <c r="F12" s="104"/>
      <c r="G12" s="104"/>
      <c r="H12" s="104"/>
    </row>
    <row r="13" spans="1:8" ht="48.75" customHeight="1" x14ac:dyDescent="0.35">
      <c r="A13" s="111" t="s">
        <v>9</v>
      </c>
      <c r="B13" s="111"/>
      <c r="C13" s="111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Viraj Iconic, Gut No.53 H.No. 5, P.No. 1..Gut No.53, H.No. 11, P.No. 9, near Madhubala Apartment, St Anthony School Road, Ganesh Chowk, Manjarli, Badlapur (West), Ambernath, Thane - 421503.</v>
      </c>
      <c r="D13" s="111"/>
      <c r="E13" s="111"/>
      <c r="F13" s="111"/>
      <c r="G13" s="111"/>
      <c r="H13" s="111"/>
    </row>
    <row r="14" spans="1:8" x14ac:dyDescent="0.35">
      <c r="A14" s="112" t="s">
        <v>176</v>
      </c>
      <c r="B14" s="112"/>
      <c r="C14" s="112" t="s">
        <v>219</v>
      </c>
      <c r="D14" s="112"/>
      <c r="E14" s="112"/>
      <c r="F14" s="112"/>
      <c r="G14" s="112"/>
      <c r="H14" s="112"/>
    </row>
    <row r="15" spans="1:8" ht="15.75" customHeight="1" x14ac:dyDescent="0.35">
      <c r="A15" s="183" t="s">
        <v>168</v>
      </c>
      <c r="B15" s="184"/>
      <c r="C15" s="183" t="s">
        <v>220</v>
      </c>
      <c r="D15" s="185"/>
      <c r="E15" s="185"/>
      <c r="F15" s="185"/>
      <c r="G15" s="185"/>
      <c r="H15" s="184"/>
    </row>
    <row r="16" spans="1:8" ht="15.75" customHeight="1" x14ac:dyDescent="0.35">
      <c r="A16" s="111" t="s">
        <v>10</v>
      </c>
      <c r="B16" s="111"/>
      <c r="C16" s="104" t="s">
        <v>208</v>
      </c>
      <c r="D16" s="104"/>
      <c r="E16" s="111" t="s">
        <v>169</v>
      </c>
      <c r="F16" s="111"/>
      <c r="G16" s="112" t="s">
        <v>177</v>
      </c>
      <c r="H16" s="112"/>
    </row>
    <row r="17" spans="1:8" x14ac:dyDescent="0.35">
      <c r="A17" s="78" t="s">
        <v>12</v>
      </c>
      <c r="B17" s="78"/>
      <c r="C17" s="112" t="s">
        <v>181</v>
      </c>
      <c r="D17" s="112"/>
      <c r="E17" s="111" t="s">
        <v>11</v>
      </c>
      <c r="F17" s="111"/>
      <c r="G17" s="144" t="s">
        <v>179</v>
      </c>
      <c r="H17" s="144"/>
    </row>
    <row r="18" spans="1:8" x14ac:dyDescent="0.35">
      <c r="A18" s="78" t="s">
        <v>73</v>
      </c>
      <c r="B18" s="78"/>
      <c r="C18" s="112" t="s">
        <v>178</v>
      </c>
      <c r="D18" s="112"/>
      <c r="E18" s="111" t="s">
        <v>13</v>
      </c>
      <c r="F18" s="111"/>
      <c r="G18" s="112">
        <v>421503</v>
      </c>
      <c r="H18" s="112"/>
    </row>
    <row r="19" spans="1:8" ht="32.25" customHeight="1" x14ac:dyDescent="0.35">
      <c r="A19" s="78" t="s">
        <v>124</v>
      </c>
      <c r="B19" s="78"/>
      <c r="C19" s="112" t="s">
        <v>180</v>
      </c>
      <c r="D19" s="112"/>
      <c r="E19" s="111" t="s">
        <v>14</v>
      </c>
      <c r="F19" s="111"/>
      <c r="G19" s="112" t="s">
        <v>183</v>
      </c>
      <c r="H19" s="112"/>
    </row>
    <row r="20" spans="1:8" ht="15" customHeight="1" x14ac:dyDescent="0.35">
      <c r="A20" s="111" t="s">
        <v>76</v>
      </c>
      <c r="B20" s="111"/>
      <c r="C20" s="111"/>
      <c r="D20" s="111"/>
      <c r="E20" s="104" t="s">
        <v>15</v>
      </c>
      <c r="F20" s="104"/>
      <c r="G20" s="104"/>
      <c r="H20" s="104"/>
    </row>
    <row r="21" spans="1:8" ht="18.75" customHeight="1" x14ac:dyDescent="0.35">
      <c r="A21" s="111"/>
      <c r="B21" s="111"/>
      <c r="C21" s="111"/>
      <c r="D21" s="111"/>
      <c r="E21" s="104"/>
      <c r="F21" s="104"/>
      <c r="G21" s="104"/>
      <c r="H21" s="104"/>
    </row>
    <row r="22" spans="1:8" ht="15" customHeight="1" x14ac:dyDescent="0.35">
      <c r="A22" s="111" t="s">
        <v>16</v>
      </c>
      <c r="B22" s="111"/>
      <c r="C22" s="111"/>
      <c r="D22" s="111"/>
      <c r="E22" s="112" t="s">
        <v>17</v>
      </c>
      <c r="F22" s="112"/>
      <c r="G22" s="112"/>
      <c r="H22" s="112"/>
    </row>
    <row r="23" spans="1:8" ht="15" customHeight="1" x14ac:dyDescent="0.35">
      <c r="A23" s="78" t="s">
        <v>18</v>
      </c>
      <c r="B23" s="78"/>
      <c r="C23" s="78"/>
      <c r="D23" s="78"/>
      <c r="E23" s="112" t="str">
        <f>IF(AND(G17="Mumbai"),"Upper Class","Middle Class")</f>
        <v>Middle Class</v>
      </c>
      <c r="F23" s="112"/>
      <c r="G23" s="112"/>
      <c r="H23" s="112"/>
    </row>
    <row r="24" spans="1:8" x14ac:dyDescent="0.35">
      <c r="A24" s="78" t="s">
        <v>19</v>
      </c>
      <c r="B24" s="78"/>
      <c r="C24" s="78"/>
      <c r="D24" s="78"/>
      <c r="E24" s="112" t="s">
        <v>20</v>
      </c>
      <c r="F24" s="112"/>
      <c r="G24" s="112"/>
      <c r="H24" s="112"/>
    </row>
    <row r="25" spans="1:8" ht="15.75" customHeight="1" x14ac:dyDescent="0.35">
      <c r="A25" s="78" t="s">
        <v>21</v>
      </c>
      <c r="B25" s="78"/>
      <c r="C25" s="78"/>
      <c r="D25" s="78"/>
      <c r="E25" s="112" t="str">
        <f>IF(AND(G17="Mumbai"),"Developed","Developing")</f>
        <v>Developing</v>
      </c>
      <c r="F25" s="112"/>
      <c r="G25" s="112"/>
      <c r="H25" s="112"/>
    </row>
    <row r="26" spans="1:8" x14ac:dyDescent="0.35">
      <c r="A26" s="78" t="s">
        <v>22</v>
      </c>
      <c r="B26" s="78"/>
      <c r="C26" s="78"/>
      <c r="D26" s="78"/>
      <c r="E26" s="112" t="s">
        <v>23</v>
      </c>
      <c r="F26" s="112"/>
      <c r="G26" s="112"/>
      <c r="H26" s="112"/>
    </row>
    <row r="27" spans="1:8" ht="15.75" customHeight="1" x14ac:dyDescent="0.35">
      <c r="A27" s="78" t="s">
        <v>81</v>
      </c>
      <c r="B27" s="78"/>
      <c r="C27" s="78"/>
      <c r="D27" s="78"/>
      <c r="E27" s="112" t="s">
        <v>82</v>
      </c>
      <c r="F27" s="112"/>
      <c r="G27" s="112"/>
      <c r="H27" s="112"/>
    </row>
    <row r="28" spans="1:8" ht="15" customHeight="1" x14ac:dyDescent="0.35">
      <c r="A28" s="78" t="s">
        <v>32</v>
      </c>
      <c r="B28" s="78"/>
      <c r="C28" s="78"/>
      <c r="D28" s="78"/>
      <c r="E28" s="11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8" s="112"/>
      <c r="G28" s="112"/>
      <c r="H28" s="112"/>
    </row>
    <row r="29" spans="1:8" ht="15.75" customHeight="1" x14ac:dyDescent="0.35">
      <c r="A29" s="78" t="s">
        <v>93</v>
      </c>
      <c r="B29" s="78"/>
      <c r="C29" s="78"/>
      <c r="D29" s="78"/>
      <c r="E29" s="112" t="s">
        <v>33</v>
      </c>
      <c r="F29" s="112"/>
      <c r="G29" s="112"/>
      <c r="H29" s="112"/>
    </row>
    <row r="30" spans="1:8" s="22" customFormat="1" x14ac:dyDescent="0.35">
      <c r="A30" s="148" t="s">
        <v>94</v>
      </c>
      <c r="B30" s="148"/>
      <c r="C30" s="147" t="s">
        <v>28</v>
      </c>
      <c r="D30" s="147"/>
      <c r="E30" s="147"/>
      <c r="F30" s="147" t="s">
        <v>30</v>
      </c>
      <c r="G30" s="147"/>
      <c r="H30" s="147"/>
    </row>
    <row r="31" spans="1:8" s="22" customFormat="1" x14ac:dyDescent="0.35">
      <c r="A31" s="145" t="s">
        <v>24</v>
      </c>
      <c r="B31" s="145" t="s">
        <v>29</v>
      </c>
      <c r="C31" s="146" t="s">
        <v>29</v>
      </c>
      <c r="D31" s="146"/>
      <c r="E31" s="146"/>
      <c r="F31" s="146" t="s">
        <v>184</v>
      </c>
      <c r="G31" s="146"/>
      <c r="H31" s="146"/>
    </row>
    <row r="32" spans="1:8" x14ac:dyDescent="0.35">
      <c r="A32" s="145" t="s">
        <v>25</v>
      </c>
      <c r="B32" s="145" t="s">
        <v>29</v>
      </c>
      <c r="C32" s="146" t="s">
        <v>29</v>
      </c>
      <c r="D32" s="146"/>
      <c r="E32" s="146"/>
      <c r="F32" s="146" t="s">
        <v>185</v>
      </c>
      <c r="G32" s="146"/>
      <c r="H32" s="146"/>
    </row>
    <row r="33" spans="1:12" s="22" customFormat="1" x14ac:dyDescent="0.35">
      <c r="A33" s="145" t="s">
        <v>27</v>
      </c>
      <c r="B33" s="145" t="s">
        <v>29</v>
      </c>
      <c r="C33" s="146" t="s">
        <v>29</v>
      </c>
      <c r="D33" s="146"/>
      <c r="E33" s="146"/>
      <c r="F33" s="146" t="s">
        <v>180</v>
      </c>
      <c r="G33" s="146"/>
      <c r="H33" s="146"/>
    </row>
    <row r="34" spans="1:12" x14ac:dyDescent="0.35">
      <c r="A34" s="145" t="s">
        <v>26</v>
      </c>
      <c r="B34" s="145" t="s">
        <v>29</v>
      </c>
      <c r="C34" s="146" t="s">
        <v>29</v>
      </c>
      <c r="D34" s="146"/>
      <c r="E34" s="146"/>
      <c r="F34" s="146" t="s">
        <v>182</v>
      </c>
      <c r="G34" s="146"/>
      <c r="H34" s="146"/>
    </row>
    <row r="35" spans="1:12" x14ac:dyDescent="0.35">
      <c r="A35" s="78" t="s">
        <v>31</v>
      </c>
      <c r="B35" s="78"/>
      <c r="C35" s="78"/>
      <c r="D35" s="78"/>
      <c r="E35" s="78"/>
      <c r="F35" s="78"/>
      <c r="G35" s="78"/>
      <c r="H35" s="78"/>
    </row>
    <row r="36" spans="1:12" ht="15.75" customHeight="1" x14ac:dyDescent="0.35">
      <c r="A36" s="78" t="s">
        <v>226</v>
      </c>
      <c r="B36" s="78"/>
      <c r="C36" s="149" t="s">
        <v>227</v>
      </c>
      <c r="D36" s="150"/>
      <c r="E36" s="150"/>
      <c r="F36" s="150"/>
      <c r="G36" s="150"/>
      <c r="H36" s="151"/>
    </row>
    <row r="37" spans="1:12" x14ac:dyDescent="0.35">
      <c r="A37" s="78" t="s">
        <v>167</v>
      </c>
      <c r="B37" s="78"/>
      <c r="C37" s="186" t="s">
        <v>186</v>
      </c>
      <c r="D37" s="187"/>
      <c r="E37" s="187"/>
      <c r="F37" s="187"/>
      <c r="G37" s="187"/>
      <c r="H37" s="187"/>
    </row>
    <row r="38" spans="1:12" x14ac:dyDescent="0.35">
      <c r="A38" s="130" t="s">
        <v>34</v>
      </c>
      <c r="B38" s="130"/>
      <c r="C38" s="130"/>
      <c r="D38" s="130"/>
      <c r="E38" s="130"/>
      <c r="F38" s="130"/>
      <c r="G38" s="130"/>
      <c r="H38" s="130"/>
    </row>
    <row r="39" spans="1:12" x14ac:dyDescent="0.35">
      <c r="A39" s="78" t="s">
        <v>35</v>
      </c>
      <c r="B39" s="78"/>
      <c r="C39" s="78"/>
      <c r="D39" s="78"/>
      <c r="E39" s="152">
        <v>3016.32</v>
      </c>
      <c r="F39" s="152"/>
      <c r="G39" s="152"/>
      <c r="H39" s="152"/>
    </row>
    <row r="40" spans="1:12" x14ac:dyDescent="0.35">
      <c r="A40" s="78" t="s">
        <v>36</v>
      </c>
      <c r="B40" s="78"/>
      <c r="C40" s="78"/>
      <c r="D40" s="78"/>
      <c r="E40" s="77">
        <v>1</v>
      </c>
      <c r="F40" s="77"/>
      <c r="G40" s="77"/>
      <c r="H40" s="77"/>
      <c r="J40" s="47">
        <f>E43/E39</f>
        <v>2.3617620146403562</v>
      </c>
      <c r="K40" s="21">
        <v>3016.32</v>
      </c>
    </row>
    <row r="41" spans="1:12" x14ac:dyDescent="0.35">
      <c r="A41" s="78" t="s">
        <v>37</v>
      </c>
      <c r="B41" s="78"/>
      <c r="C41" s="78"/>
      <c r="D41" s="78"/>
      <c r="E41" s="77">
        <f>E43/E39-E40</f>
        <v>1.3617620146403562</v>
      </c>
      <c r="F41" s="77"/>
      <c r="G41" s="77"/>
      <c r="H41" s="77"/>
      <c r="K41" s="21">
        <v>3016.32</v>
      </c>
      <c r="L41" s="21">
        <f>K41/K40</f>
        <v>1</v>
      </c>
    </row>
    <row r="42" spans="1:12" x14ac:dyDescent="0.35">
      <c r="A42" s="78" t="s">
        <v>38</v>
      </c>
      <c r="B42" s="78"/>
      <c r="C42" s="78"/>
      <c r="D42" s="78"/>
      <c r="E42" s="77">
        <f>E40+E41</f>
        <v>2.3617620146403562</v>
      </c>
      <c r="F42" s="77"/>
      <c r="G42" s="77"/>
      <c r="H42" s="77"/>
      <c r="K42" s="21">
        <v>7123.83</v>
      </c>
      <c r="L42" s="21">
        <f>K42/K40</f>
        <v>2.3617620146403562</v>
      </c>
    </row>
    <row r="43" spans="1:12" x14ac:dyDescent="0.35">
      <c r="A43" s="78" t="s">
        <v>92</v>
      </c>
      <c r="B43" s="78"/>
      <c r="C43" s="78"/>
      <c r="D43" s="78"/>
      <c r="E43" s="165">
        <v>7123.83</v>
      </c>
      <c r="F43" s="165"/>
      <c r="G43" s="165"/>
      <c r="H43" s="165"/>
      <c r="L43" s="47">
        <f>L42-L41</f>
        <v>1.3617620146403562</v>
      </c>
    </row>
    <row r="44" spans="1:12" x14ac:dyDescent="0.35">
      <c r="A44" s="104" t="s">
        <v>39</v>
      </c>
      <c r="B44" s="104"/>
      <c r="C44" s="104"/>
      <c r="D44" s="104"/>
      <c r="E44" s="104" t="s">
        <v>190</v>
      </c>
      <c r="F44" s="104"/>
      <c r="G44" s="104"/>
      <c r="H44" s="104"/>
    </row>
    <row r="45" spans="1:12" x14ac:dyDescent="0.35">
      <c r="A45" s="130" t="s">
        <v>40</v>
      </c>
      <c r="B45" s="130"/>
      <c r="C45" s="130"/>
      <c r="D45" s="130"/>
      <c r="E45" s="130"/>
      <c r="F45" s="130"/>
      <c r="G45" s="130"/>
      <c r="H45" s="130"/>
    </row>
    <row r="46" spans="1:12" ht="33.75" customHeight="1" x14ac:dyDescent="0.35">
      <c r="A46" s="99" t="s">
        <v>154</v>
      </c>
      <c r="B46" s="100"/>
      <c r="C46" s="188" t="s">
        <v>187</v>
      </c>
      <c r="D46" s="189"/>
      <c r="E46" s="189"/>
      <c r="F46" s="189"/>
      <c r="G46" s="189"/>
      <c r="H46" s="190"/>
    </row>
    <row r="47" spans="1:12" ht="15.75" customHeight="1" x14ac:dyDescent="0.35">
      <c r="A47" s="99" t="s">
        <v>41</v>
      </c>
      <c r="B47" s="100"/>
      <c r="C47" s="99" t="s">
        <v>188</v>
      </c>
      <c r="D47" s="101"/>
      <c r="E47" s="100"/>
      <c r="F47" s="18" t="s">
        <v>42</v>
      </c>
      <c r="G47" s="102">
        <v>44596</v>
      </c>
      <c r="H47" s="100"/>
    </row>
    <row r="48" spans="1:12" x14ac:dyDescent="0.35">
      <c r="A48" s="99" t="s">
        <v>43</v>
      </c>
      <c r="B48" s="100"/>
      <c r="C48" s="99" t="str">
        <f>C47</f>
        <v>KBNP/NRV/BP/1090-196</v>
      </c>
      <c r="D48" s="101"/>
      <c r="E48" s="100"/>
      <c r="F48" s="18" t="s">
        <v>42</v>
      </c>
      <c r="G48" s="102">
        <f>G47</f>
        <v>44596</v>
      </c>
      <c r="H48" s="103"/>
    </row>
    <row r="49" spans="1:14" s="23" customFormat="1" ht="31.5" customHeight="1" x14ac:dyDescent="0.35">
      <c r="A49" s="168" t="s">
        <v>158</v>
      </c>
      <c r="B49" s="169"/>
      <c r="C49" s="99" t="s">
        <v>209</v>
      </c>
      <c r="D49" s="101"/>
      <c r="E49" s="100"/>
      <c r="F49" s="18" t="s">
        <v>42</v>
      </c>
      <c r="G49" s="102">
        <f>G48</f>
        <v>44596</v>
      </c>
      <c r="H49" s="103"/>
    </row>
    <row r="50" spans="1:14" s="23" customFormat="1" ht="33.75" customHeight="1" x14ac:dyDescent="0.35">
      <c r="A50" s="170"/>
      <c r="B50" s="171"/>
      <c r="C50" s="99" t="s">
        <v>189</v>
      </c>
      <c r="D50" s="101"/>
      <c r="E50" s="101"/>
      <c r="F50" s="101"/>
      <c r="G50" s="101"/>
      <c r="H50" s="100"/>
    </row>
    <row r="51" spans="1:14" hidden="1" x14ac:dyDescent="0.35">
      <c r="A51" s="115" t="s">
        <v>170</v>
      </c>
      <c r="B51" s="116"/>
      <c r="C51" s="107" t="s">
        <v>29</v>
      </c>
      <c r="D51" s="108"/>
      <c r="E51" s="109"/>
      <c r="F51" s="57" t="s">
        <v>42</v>
      </c>
      <c r="G51" s="113" t="s">
        <v>29</v>
      </c>
      <c r="H51" s="114"/>
    </row>
    <row r="52" spans="1:14" hidden="1" x14ac:dyDescent="0.35">
      <c r="A52" s="117"/>
      <c r="B52" s="118"/>
      <c r="C52" s="107" t="s">
        <v>29</v>
      </c>
      <c r="D52" s="108"/>
      <c r="E52" s="108"/>
      <c r="F52" s="108"/>
      <c r="G52" s="108"/>
      <c r="H52" s="109"/>
    </row>
    <row r="53" spans="1:14" x14ac:dyDescent="0.35">
      <c r="A53" s="110" t="s">
        <v>45</v>
      </c>
      <c r="B53" s="110"/>
      <c r="C53" s="110"/>
      <c r="D53" s="110"/>
      <c r="E53" s="110"/>
      <c r="F53" s="110"/>
      <c r="G53" s="110"/>
      <c r="H53" s="110"/>
    </row>
    <row r="54" spans="1:14" x14ac:dyDescent="0.35">
      <c r="A54" s="111" t="s">
        <v>91</v>
      </c>
      <c r="B54" s="111"/>
      <c r="C54" s="111"/>
      <c r="D54" s="104">
        <f>E43</f>
        <v>7123.83</v>
      </c>
      <c r="E54" s="104"/>
      <c r="F54" s="104"/>
      <c r="G54" s="104"/>
      <c r="H54" s="104"/>
    </row>
    <row r="55" spans="1:14" x14ac:dyDescent="0.35">
      <c r="A55" s="112" t="s">
        <v>46</v>
      </c>
      <c r="B55" s="104"/>
      <c r="C55" s="104"/>
      <c r="D55" s="104" t="s">
        <v>221</v>
      </c>
      <c r="E55" s="104"/>
      <c r="F55" s="104"/>
      <c r="G55" s="104"/>
      <c r="H55" s="104"/>
      <c r="I55" s="24"/>
    </row>
    <row r="56" spans="1:14" ht="33.75" customHeight="1" x14ac:dyDescent="0.35">
      <c r="A56" s="105" t="s">
        <v>47</v>
      </c>
      <c r="B56" s="106"/>
      <c r="C56" s="167"/>
      <c r="D56" s="139" t="s">
        <v>189</v>
      </c>
      <c r="E56" s="166"/>
      <c r="F56" s="166"/>
      <c r="G56" s="166"/>
      <c r="H56" s="166"/>
    </row>
    <row r="57" spans="1:14" ht="15.75" customHeight="1" x14ac:dyDescent="0.35">
      <c r="A57" s="112" t="s">
        <v>89</v>
      </c>
      <c r="B57" s="112"/>
      <c r="C57" s="112"/>
      <c r="D57" s="104" t="s">
        <v>210</v>
      </c>
      <c r="E57" s="104"/>
      <c r="F57" s="104"/>
      <c r="G57" s="104"/>
      <c r="H57" s="104"/>
    </row>
    <row r="58" spans="1:14" ht="15.75" customHeight="1" x14ac:dyDescent="0.35">
      <c r="A58" s="112"/>
      <c r="B58" s="112"/>
      <c r="C58" s="112"/>
      <c r="D58" s="104" t="s">
        <v>224</v>
      </c>
      <c r="E58" s="104"/>
      <c r="F58" s="104"/>
      <c r="G58" s="104"/>
      <c r="H58" s="104"/>
    </row>
    <row r="59" spans="1:14" ht="15.75" customHeight="1" x14ac:dyDescent="0.35">
      <c r="A59" s="78" t="s">
        <v>44</v>
      </c>
      <c r="B59" s="78"/>
      <c r="C59" s="78"/>
      <c r="D59" s="111" t="s">
        <v>191</v>
      </c>
      <c r="E59" s="111"/>
      <c r="F59" s="111"/>
      <c r="G59" s="111"/>
      <c r="H59" s="111"/>
      <c r="J59" s="25"/>
      <c r="K59" s="24"/>
      <c r="N59" s="24"/>
    </row>
    <row r="60" spans="1:14" ht="15.75" customHeight="1" x14ac:dyDescent="0.35">
      <c r="A60" s="78" t="s">
        <v>87</v>
      </c>
      <c r="B60" s="78"/>
      <c r="C60" s="78"/>
      <c r="D60" s="164" t="str">
        <f>(IF(G51="NA","60 Years After Completion",IF(G51&lt;&gt;"NA",""&amp;60-ROUNDDOWN((E3-G51)/360,0)&amp;" Years"," ")))</f>
        <v>60 Years After Completion</v>
      </c>
      <c r="E60" s="164"/>
      <c r="F60" s="164"/>
      <c r="G60" s="164"/>
      <c r="H60" s="164"/>
      <c r="N60" s="24"/>
    </row>
    <row r="61" spans="1:14" ht="15.75" customHeight="1" x14ac:dyDescent="0.35">
      <c r="A61" s="78" t="s">
        <v>88</v>
      </c>
      <c r="B61" s="78"/>
      <c r="C61" s="78"/>
      <c r="D61" s="111" t="s">
        <v>23</v>
      </c>
      <c r="E61" s="111"/>
      <c r="F61" s="111"/>
      <c r="G61" s="111"/>
      <c r="H61" s="111"/>
      <c r="J61" s="26"/>
      <c r="K61" s="26"/>
    </row>
    <row r="62" spans="1:14" ht="15.75" hidden="1" customHeight="1" x14ac:dyDescent="0.35">
      <c r="A62" s="78" t="s">
        <v>74</v>
      </c>
      <c r="B62" s="78"/>
      <c r="C62" s="78"/>
      <c r="D62" s="112" t="s">
        <v>150</v>
      </c>
      <c r="E62" s="111"/>
      <c r="F62" s="111"/>
      <c r="G62" s="111"/>
      <c r="H62" s="111"/>
    </row>
    <row r="63" spans="1:14" x14ac:dyDescent="0.35">
      <c r="A63" s="111" t="s">
        <v>151</v>
      </c>
      <c r="B63" s="111"/>
      <c r="C63" s="111"/>
      <c r="D63" s="111" t="s">
        <v>29</v>
      </c>
      <c r="E63" s="111"/>
      <c r="F63" s="111"/>
      <c r="G63" s="111"/>
      <c r="H63" s="111"/>
      <c r="I63" s="27"/>
      <c r="J63" s="27"/>
      <c r="K63" s="27"/>
      <c r="L63" s="27"/>
      <c r="M63" s="27"/>
      <c r="N63" s="27"/>
    </row>
    <row r="64" spans="1:14" ht="15.75" customHeight="1" x14ac:dyDescent="0.35">
      <c r="A64" s="78" t="s">
        <v>86</v>
      </c>
      <c r="B64" s="78"/>
      <c r="C64" s="78"/>
      <c r="D64" s="112" t="str">
        <f ca="1">(IF(G70&gt;95%,"Nothing",IF(G70&gt;0%,"Cement, Aggregate, Steel, etc",IF(G70=0%,"Work not yet Started"))))</f>
        <v>Cement, Aggregate, Steel, etc</v>
      </c>
      <c r="E64" s="112"/>
      <c r="F64" s="112"/>
      <c r="G64" s="112"/>
      <c r="H64" s="112"/>
      <c r="J64" s="26"/>
    </row>
    <row r="65" spans="1:10" ht="33.75" customHeight="1" thickBot="1" x14ac:dyDescent="0.4">
      <c r="A65" s="111" t="s">
        <v>118</v>
      </c>
      <c r="B65" s="111"/>
      <c r="C65" s="111"/>
      <c r="D65" s="112" t="str">
        <f ca="1">(IF(D64="Nothing","Yes",IF(D64="Cement, Aggregate, Steel, etc","Under Construction",IF(D64="Work not yet Started","Work not yet Started"))))</f>
        <v>Under Construction</v>
      </c>
      <c r="E65" s="112"/>
      <c r="F65" s="112" t="str">
        <f ca="1">(IF(D64="Nothing","Yes",IF(D64="Cement, Aggregate, Steel, etc","Under Construction",IF(D64="Work not yet Started","Work not yet Started"))))</f>
        <v>Under Construction</v>
      </c>
      <c r="G65" s="112"/>
      <c r="H65" s="112"/>
    </row>
    <row r="66" spans="1:10" ht="15.75" customHeight="1" x14ac:dyDescent="0.35">
      <c r="A66" s="194" t="s">
        <v>142</v>
      </c>
      <c r="B66" s="194"/>
      <c r="C66" s="194" t="str">
        <f>D57</f>
        <v>Wing A = Gr/Stilt + 1st to 13th Floor</v>
      </c>
      <c r="D66" s="194"/>
      <c r="E66" s="194"/>
      <c r="F66" s="194"/>
      <c r="G66" s="194"/>
      <c r="H66" s="194"/>
      <c r="I66" s="192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 Completed, Flooring upto 12 Floor, Painting upto 10 Floor, Finishing upto 1 Floor Completed</v>
      </c>
      <c r="J66" s="42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Flooring upto 12 Floor, Painting upto 10 Floor, Finishing upto 1 Floor</v>
      </c>
    </row>
    <row r="67" spans="1:10" x14ac:dyDescent="0.35">
      <c r="A67" s="62" t="s">
        <v>144</v>
      </c>
      <c r="B67" s="62">
        <v>0</v>
      </c>
      <c r="C67" s="62" t="s">
        <v>72</v>
      </c>
      <c r="D67" s="62">
        <v>1</v>
      </c>
      <c r="E67" s="62" t="s">
        <v>71</v>
      </c>
      <c r="F67" s="62">
        <v>0</v>
      </c>
      <c r="G67" s="56" t="s">
        <v>80</v>
      </c>
      <c r="H67" s="62">
        <f ca="1">--TRIM(RIGHT(SUBSTITUTE(LEFT(C66,_xlfn.AGGREGATE(16,6,FIND({0,1,2,3,4,5,6,7,8,9},C66,ROW(INDIRECT("1:"&amp;LEN(C66)))),1))," ",REPT(" ",LEN(C66))),LEN(C66)))</f>
        <v>13</v>
      </c>
      <c r="I67" s="193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</v>
      </c>
      <c r="J67" s="44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46.5" customHeight="1" x14ac:dyDescent="0.35">
      <c r="A68" s="136" t="s">
        <v>90</v>
      </c>
      <c r="B68" s="136"/>
      <c r="C68" s="137" t="str">
        <f ca="1">(IF($C$52=C66,"All work Completed. OC Received.",I66))</f>
        <v>Excavation, Plinth, RCC Slab, Brickwork, Internal Plaster, External Plaster Completed, Flooring upto 12 Floor, Painting upto 10 Floor, Finishing upto 1 Floor Completed</v>
      </c>
      <c r="D68" s="137"/>
      <c r="E68" s="137"/>
      <c r="F68" s="137"/>
      <c r="G68" s="137"/>
      <c r="H68" s="137"/>
      <c r="I68" s="193" t="str">
        <f ca="1">IF(I67&lt;&gt;""," Completed","")</f>
        <v xml:space="preserve"> Completed</v>
      </c>
      <c r="J68" s="44" t="str">
        <f ca="1">IF(J66&lt;&gt;"","Completed","")</f>
        <v>Completed</v>
      </c>
    </row>
    <row r="69" spans="1:10" ht="15.75" customHeight="1" x14ac:dyDescent="0.35">
      <c r="A69" s="89" t="s">
        <v>48</v>
      </c>
      <c r="B69" s="90"/>
      <c r="C69" s="50" t="s">
        <v>141</v>
      </c>
      <c r="D69" s="50" t="s">
        <v>83</v>
      </c>
      <c r="E69" s="90" t="s">
        <v>85</v>
      </c>
      <c r="F69" s="90"/>
      <c r="G69" s="90" t="s">
        <v>84</v>
      </c>
      <c r="H69" s="140"/>
      <c r="I69" s="14" t="s">
        <v>143</v>
      </c>
      <c r="J69" s="28">
        <f ca="1">H67*25%</f>
        <v>3.25</v>
      </c>
    </row>
    <row r="70" spans="1:10" x14ac:dyDescent="0.35">
      <c r="A70" s="89" t="s">
        <v>130</v>
      </c>
      <c r="B70" s="90"/>
      <c r="C70" s="50">
        <f ca="1">J71</f>
        <v>13</v>
      </c>
      <c r="D70" s="19">
        <f ca="1">((100/H67)*C70)/100</f>
        <v>1</v>
      </c>
      <c r="E70" s="153">
        <f ca="1">(((C71/H67*10)+(40/(D67+F67+H67)*C72)+(7.5/(H67)*C73)+(7.5/(H67)*C74)+(10/H67*C75)+(10/H67*C76)+(5/H67*C77)+(5/H67*C78)+(5/H67*C79))/100)</f>
        <v>0.88461538461538458</v>
      </c>
      <c r="F70" s="154"/>
      <c r="G70" s="153">
        <f ca="1">((((C70/H67)*20)+((C71/H67)*25)+(30/(H67+F67+D67)*C72)+(5/H67*C73)+(5/H67*C74)+(5/H67*C75)+(5/H67*C76)+(0/H67*C77)+(0/H67*C78)+(5/H67*C79))/100)</f>
        <v>0.94615384615384612</v>
      </c>
      <c r="H70" s="159"/>
      <c r="I70" s="14" t="s">
        <v>101</v>
      </c>
      <c r="J70" s="29">
        <f ca="1">H67*50%</f>
        <v>6.5</v>
      </c>
    </row>
    <row r="71" spans="1:10" x14ac:dyDescent="0.35">
      <c r="A71" s="89" t="s">
        <v>49</v>
      </c>
      <c r="B71" s="90"/>
      <c r="C71" s="50">
        <f ca="1">J79</f>
        <v>13</v>
      </c>
      <c r="D71" s="19">
        <f ca="1">((100/H67)*C71)/100</f>
        <v>1</v>
      </c>
      <c r="E71" s="155"/>
      <c r="F71" s="156"/>
      <c r="G71" s="155"/>
      <c r="H71" s="160"/>
      <c r="I71" s="14" t="s">
        <v>102</v>
      </c>
      <c r="J71" s="29">
        <f ca="1">H67</f>
        <v>13</v>
      </c>
    </row>
    <row r="72" spans="1:10" ht="15.75" customHeight="1" x14ac:dyDescent="0.35">
      <c r="A72" s="89" t="s">
        <v>131</v>
      </c>
      <c r="B72" s="90"/>
      <c r="C72" s="50">
        <v>14</v>
      </c>
      <c r="D72" s="19">
        <f ca="1">((100/(D67+F67+H67))*C72)/100</f>
        <v>1</v>
      </c>
      <c r="E72" s="155"/>
      <c r="F72" s="156"/>
      <c r="G72" s="155"/>
      <c r="H72" s="160"/>
      <c r="I72" s="14" t="s">
        <v>103</v>
      </c>
      <c r="J72" s="30">
        <f ca="1">(IF(B67&gt;1,(H67/(B67+2)),H67/4))</f>
        <v>3.25</v>
      </c>
    </row>
    <row r="73" spans="1:10" ht="15.75" customHeight="1" x14ac:dyDescent="0.35">
      <c r="A73" s="89" t="s">
        <v>138</v>
      </c>
      <c r="B73" s="90" t="s">
        <v>132</v>
      </c>
      <c r="C73" s="50">
        <v>13</v>
      </c>
      <c r="D73" s="19">
        <f ca="1">((100/H67)*C73)/100</f>
        <v>1</v>
      </c>
      <c r="E73" s="155"/>
      <c r="F73" s="156"/>
      <c r="G73" s="155"/>
      <c r="H73" s="160"/>
      <c r="I73" s="14" t="s">
        <v>104</v>
      </c>
      <c r="J73" s="30">
        <f ca="1">(IF(B67&gt;1,(H67/(B67+2)+J72),H67/4+J72))</f>
        <v>6.5</v>
      </c>
    </row>
    <row r="74" spans="1:10" ht="15.75" customHeight="1" x14ac:dyDescent="0.35">
      <c r="A74" s="89" t="s">
        <v>139</v>
      </c>
      <c r="B74" s="90" t="s">
        <v>132</v>
      </c>
      <c r="C74" s="50">
        <v>13</v>
      </c>
      <c r="D74" s="19">
        <f ca="1">((100/H67)*C74)/100</f>
        <v>1</v>
      </c>
      <c r="E74" s="155"/>
      <c r="F74" s="156"/>
      <c r="G74" s="155"/>
      <c r="H74" s="160"/>
      <c r="I74" s="14" t="s">
        <v>148</v>
      </c>
      <c r="J74" s="30">
        <f>(IF(B67&gt;1,(H67/(B67+2)+J73),0))</f>
        <v>0</v>
      </c>
    </row>
    <row r="75" spans="1:10" ht="15" customHeight="1" x14ac:dyDescent="0.35">
      <c r="A75" s="89" t="s">
        <v>137</v>
      </c>
      <c r="B75" s="90" t="s">
        <v>134</v>
      </c>
      <c r="C75" s="50">
        <v>13</v>
      </c>
      <c r="D75" s="19">
        <f ca="1">((100/(H67))*C75)/100</f>
        <v>1</v>
      </c>
      <c r="E75" s="155"/>
      <c r="F75" s="156"/>
      <c r="G75" s="155"/>
      <c r="H75" s="160"/>
      <c r="I75" s="14" t="s">
        <v>145</v>
      </c>
      <c r="J75" s="30">
        <f>(IF(B67&gt;2,(H67/(B67+2)+J74),0))</f>
        <v>0</v>
      </c>
    </row>
    <row r="76" spans="1:10" ht="15.75" customHeight="1" x14ac:dyDescent="0.35">
      <c r="A76" s="89" t="s">
        <v>133</v>
      </c>
      <c r="B76" s="90" t="s">
        <v>133</v>
      </c>
      <c r="C76" s="50">
        <v>12</v>
      </c>
      <c r="D76" s="19">
        <f ca="1">((100/H67)*C76)/100</f>
        <v>0.92307692307692302</v>
      </c>
      <c r="E76" s="155"/>
      <c r="F76" s="156"/>
      <c r="G76" s="155"/>
      <c r="H76" s="160"/>
      <c r="I76" s="14" t="s">
        <v>146</v>
      </c>
      <c r="J76" s="31">
        <f>(IF(B67&gt;3,(H67/(B67+2)+J75),0))</f>
        <v>0</v>
      </c>
    </row>
    <row r="77" spans="1:10" ht="15.75" customHeight="1" x14ac:dyDescent="0.35">
      <c r="A77" s="89" t="s">
        <v>140</v>
      </c>
      <c r="B77" s="90"/>
      <c r="C77" s="50">
        <v>10</v>
      </c>
      <c r="D77" s="19">
        <f ca="1">((100/H67)*C77)/100</f>
        <v>0.76923076923076916</v>
      </c>
      <c r="E77" s="155"/>
      <c r="F77" s="156"/>
      <c r="G77" s="155"/>
      <c r="H77" s="160"/>
      <c r="I77" s="14" t="s">
        <v>147</v>
      </c>
      <c r="J77" s="30">
        <f>(IF(B67&gt;4,(H67/(B67+2)+J76),0))</f>
        <v>0</v>
      </c>
    </row>
    <row r="78" spans="1:10" ht="15.75" customHeight="1" x14ac:dyDescent="0.35">
      <c r="A78" s="89" t="s">
        <v>135</v>
      </c>
      <c r="B78" s="90" t="s">
        <v>135</v>
      </c>
      <c r="C78" s="50">
        <v>1</v>
      </c>
      <c r="D78" s="19">
        <f ca="1">((100/(H67))*C78)/100</f>
        <v>7.6923076923076927E-2</v>
      </c>
      <c r="E78" s="155"/>
      <c r="F78" s="156"/>
      <c r="G78" s="155"/>
      <c r="H78" s="160"/>
      <c r="I78" s="14" t="s">
        <v>149</v>
      </c>
      <c r="J78" s="30">
        <f ca="1">(IF(B67=1,(H67/(B67+3)+J73),IF(B67=0,(H67/4+J73),IF(B67&gt;1,0))))</f>
        <v>9.75</v>
      </c>
    </row>
    <row r="79" spans="1:10" ht="16" thickBot="1" x14ac:dyDescent="0.4">
      <c r="A79" s="162" t="s">
        <v>136</v>
      </c>
      <c r="B79" s="163"/>
      <c r="C79" s="54">
        <v>0</v>
      </c>
      <c r="D79" s="20">
        <f ca="1">((100/(H67))*C79)/100</f>
        <v>0</v>
      </c>
      <c r="E79" s="157"/>
      <c r="F79" s="158"/>
      <c r="G79" s="157"/>
      <c r="H79" s="161"/>
      <c r="I79" s="15" t="s">
        <v>105</v>
      </c>
      <c r="J79" s="32">
        <f ca="1">(IF(B67&gt;1.5,(H67/(B67+2)+J73+MAX(0,J74-J73)+MAX(0,J75-J74)+MAX(0,J76-J75)+MAX(0,J77-J76)+MAX(0,J78-J77)),IF(B67=1,(H67/(B67+3)+J78),IF(B67=0,H67/4+J78))))</f>
        <v>13</v>
      </c>
    </row>
    <row r="80" spans="1:10" ht="15.75" customHeight="1" x14ac:dyDescent="0.35">
      <c r="A80" s="91" t="s">
        <v>142</v>
      </c>
      <c r="B80" s="92"/>
      <c r="C80" s="93" t="str">
        <f>D58</f>
        <v>Wing B = Gr/Stilt + 1st to 7th Floor</v>
      </c>
      <c r="D80" s="94"/>
      <c r="E80" s="94"/>
      <c r="F80" s="94"/>
      <c r="G80" s="94"/>
      <c r="H80" s="95"/>
      <c r="I80" s="58" t="str">
        <f ca="1">IF(D93=100%,"All work Completed. Possession granted to the Building.",IF(D92=100%,"All work Completed, Waiting for OC",I81&amp;""&amp;I82&amp;""&amp;J81&amp;""&amp;J80&amp;" "&amp;J82))</f>
        <v>Excavation, Plinth, RCC Slab, Brickwork, Internal Plaster Completed, External Plaster upto 6 Floor Completed</v>
      </c>
      <c r="J80" s="42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External Plaster upto 6 Floor</v>
      </c>
    </row>
    <row r="81" spans="1:10" x14ac:dyDescent="0.35">
      <c r="A81" s="16" t="s">
        <v>144</v>
      </c>
      <c r="B81" s="55">
        <v>0</v>
      </c>
      <c r="C81" s="55" t="s">
        <v>72</v>
      </c>
      <c r="D81" s="55">
        <v>1</v>
      </c>
      <c r="E81" s="55" t="s">
        <v>71</v>
      </c>
      <c r="F81" s="55">
        <v>0</v>
      </c>
      <c r="G81" s="55" t="s">
        <v>80</v>
      </c>
      <c r="H81" s="17">
        <f ca="1">--TRIM(RIGHT(SUBSTITUTE(LEFT(C80,_xlfn.AGGREGATE(16,6,FIND({0,1,2,3,4,5,6,7,8,9},C80,ROW(INDIRECT("1:"&amp;LEN(C80)))),1))," ",REPT(" ",LEN(C80))),LEN(C80)))</f>
        <v>7</v>
      </c>
      <c r="I81" s="43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Brickwork, Internal Plaster</v>
      </c>
      <c r="J81" s="44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3.75" customHeight="1" x14ac:dyDescent="0.35">
      <c r="A82" s="135" t="s">
        <v>90</v>
      </c>
      <c r="B82" s="136"/>
      <c r="C82" s="137" t="str">
        <f ca="1">(IF($C$52=C80,"All work Completed. OC Received.",I80))</f>
        <v>Excavation, Plinth, RCC Slab, Brickwork, Internal Plaster Completed, External Plaster upto 6 Floor Completed</v>
      </c>
      <c r="D82" s="137"/>
      <c r="E82" s="137"/>
      <c r="F82" s="137"/>
      <c r="G82" s="137"/>
      <c r="H82" s="138"/>
      <c r="I82" s="43" t="str">
        <f ca="1">IF(I81&lt;&gt;""," Completed","")</f>
        <v xml:space="preserve"> Completed</v>
      </c>
      <c r="J82" s="44" t="str">
        <f ca="1">IF(J80&lt;&gt;"","Completed","")</f>
        <v>Completed</v>
      </c>
    </row>
    <row r="83" spans="1:10" ht="15.75" customHeight="1" x14ac:dyDescent="0.35">
      <c r="A83" s="89" t="s">
        <v>48</v>
      </c>
      <c r="B83" s="90"/>
      <c r="C83" s="50" t="s">
        <v>141</v>
      </c>
      <c r="D83" s="50" t="s">
        <v>83</v>
      </c>
      <c r="E83" s="90" t="s">
        <v>85</v>
      </c>
      <c r="F83" s="90"/>
      <c r="G83" s="90" t="s">
        <v>84</v>
      </c>
      <c r="H83" s="140"/>
      <c r="I83" s="14" t="s">
        <v>143</v>
      </c>
      <c r="J83" s="28">
        <f ca="1">H81*25%</f>
        <v>1.75</v>
      </c>
    </row>
    <row r="84" spans="1:10" x14ac:dyDescent="0.35">
      <c r="A84" s="89" t="s">
        <v>130</v>
      </c>
      <c r="B84" s="90"/>
      <c r="C84" s="50">
        <f ca="1">J85</f>
        <v>7</v>
      </c>
      <c r="D84" s="19">
        <f ca="1">((100/H81)*C84)/100</f>
        <v>1</v>
      </c>
      <c r="E84" s="153">
        <f ca="1">(((C85/H81*10)+(40/(D81+F81+H81)*C86)+(7.5/(H81)*C87)+(7.5/(H81)*C88)+(10/H81*C89)+(10/H81*C90)+(5/H81*C91)+(5/H81*C92)+(5/H81*C93))/100)</f>
        <v>0.73571428571428565</v>
      </c>
      <c r="F84" s="154"/>
      <c r="G84" s="153">
        <f ca="1">((((C84/H81)*20)+((C85/H81)*25)+(30/(H81+F81+D81)*C86)+(5/H81*C87)+(5/H81*C88)+(5/H81*C89)+(5/H81*C90)+(0/H81*C91)+(0/H81*C92)+(5/H81*C93))/100)</f>
        <v>0.8928571428571429</v>
      </c>
      <c r="H84" s="159"/>
      <c r="I84" s="14" t="s">
        <v>101</v>
      </c>
      <c r="J84" s="29">
        <f ca="1">H81*50%</f>
        <v>3.5</v>
      </c>
    </row>
    <row r="85" spans="1:10" x14ac:dyDescent="0.35">
      <c r="A85" s="89" t="s">
        <v>49</v>
      </c>
      <c r="B85" s="90"/>
      <c r="C85" s="59">
        <f ca="1">J93</f>
        <v>7</v>
      </c>
      <c r="D85" s="19">
        <f ca="1">((100/H81)*C85)/100</f>
        <v>1</v>
      </c>
      <c r="E85" s="155"/>
      <c r="F85" s="156"/>
      <c r="G85" s="155"/>
      <c r="H85" s="160"/>
      <c r="I85" s="14" t="s">
        <v>102</v>
      </c>
      <c r="J85" s="29">
        <f ca="1">H81</f>
        <v>7</v>
      </c>
    </row>
    <row r="86" spans="1:10" ht="15.75" customHeight="1" x14ac:dyDescent="0.35">
      <c r="A86" s="89" t="s">
        <v>131</v>
      </c>
      <c r="B86" s="90"/>
      <c r="C86" s="50">
        <v>8</v>
      </c>
      <c r="D86" s="19">
        <f ca="1">((100/(D81+F81+H81))*C86)/100</f>
        <v>1</v>
      </c>
      <c r="E86" s="155"/>
      <c r="F86" s="156"/>
      <c r="G86" s="155"/>
      <c r="H86" s="160"/>
      <c r="I86" s="14" t="s">
        <v>103</v>
      </c>
      <c r="J86" s="30">
        <f ca="1">(IF(B81&gt;1,(H81/(B81+2)),H81/4))</f>
        <v>1.75</v>
      </c>
    </row>
    <row r="87" spans="1:10" ht="15.75" customHeight="1" x14ac:dyDescent="0.35">
      <c r="A87" s="89" t="s">
        <v>138</v>
      </c>
      <c r="B87" s="90" t="s">
        <v>132</v>
      </c>
      <c r="C87" s="50">
        <v>7</v>
      </c>
      <c r="D87" s="19">
        <f ca="1">((100/H81)*C87)/100</f>
        <v>1</v>
      </c>
      <c r="E87" s="155"/>
      <c r="F87" s="156"/>
      <c r="G87" s="155"/>
      <c r="H87" s="160"/>
      <c r="I87" s="14" t="s">
        <v>104</v>
      </c>
      <c r="J87" s="30">
        <f ca="1">(IF(B81&gt;1,(H81/(B81+2)+J86),H81/4+J86))</f>
        <v>3.5</v>
      </c>
    </row>
    <row r="88" spans="1:10" ht="15.75" customHeight="1" x14ac:dyDescent="0.35">
      <c r="A88" s="89" t="s">
        <v>139</v>
      </c>
      <c r="B88" s="90" t="s">
        <v>132</v>
      </c>
      <c r="C88" s="50">
        <v>7</v>
      </c>
      <c r="D88" s="19">
        <f ca="1">((100/H81)*C88)/100</f>
        <v>1</v>
      </c>
      <c r="E88" s="155"/>
      <c r="F88" s="156"/>
      <c r="G88" s="155"/>
      <c r="H88" s="160"/>
      <c r="I88" s="14" t="s">
        <v>148</v>
      </c>
      <c r="J88" s="30">
        <f>(IF(B81&gt;1,(H81/(B81+2)+J87),0))</f>
        <v>0</v>
      </c>
    </row>
    <row r="89" spans="1:10" ht="15" customHeight="1" x14ac:dyDescent="0.35">
      <c r="A89" s="89" t="s">
        <v>137</v>
      </c>
      <c r="B89" s="90" t="s">
        <v>134</v>
      </c>
      <c r="C89" s="50">
        <v>6</v>
      </c>
      <c r="D89" s="19">
        <f ca="1">((100/(H81))*C89)/100</f>
        <v>0.85714285714285721</v>
      </c>
      <c r="E89" s="155"/>
      <c r="F89" s="156"/>
      <c r="G89" s="155"/>
      <c r="H89" s="160"/>
      <c r="I89" s="14" t="s">
        <v>145</v>
      </c>
      <c r="J89" s="30">
        <f>(IF(B81&gt;2,(H81/(B81+2)+J88),0))</f>
        <v>0</v>
      </c>
    </row>
    <row r="90" spans="1:10" ht="15.75" customHeight="1" x14ac:dyDescent="0.35">
      <c r="A90" s="89" t="s">
        <v>133</v>
      </c>
      <c r="B90" s="90" t="s">
        <v>133</v>
      </c>
      <c r="C90" s="50">
        <v>0</v>
      </c>
      <c r="D90" s="19">
        <f ca="1">((100/H81)*C90)/100</f>
        <v>0</v>
      </c>
      <c r="E90" s="155"/>
      <c r="F90" s="156"/>
      <c r="G90" s="155"/>
      <c r="H90" s="160"/>
      <c r="I90" s="14" t="s">
        <v>146</v>
      </c>
      <c r="J90" s="31">
        <f>(IF(B81&gt;3,(H81/(B81+2)+J89),0))</f>
        <v>0</v>
      </c>
    </row>
    <row r="91" spans="1:10" ht="15.75" customHeight="1" x14ac:dyDescent="0.35">
      <c r="A91" s="89" t="s">
        <v>140</v>
      </c>
      <c r="B91" s="90"/>
      <c r="C91" s="50">
        <v>0</v>
      </c>
      <c r="D91" s="19">
        <f ca="1">((100/H81)*C91)/100</f>
        <v>0</v>
      </c>
      <c r="E91" s="155"/>
      <c r="F91" s="156"/>
      <c r="G91" s="155"/>
      <c r="H91" s="160"/>
      <c r="I91" s="14" t="s">
        <v>147</v>
      </c>
      <c r="J91" s="30">
        <f>(IF(B81&gt;4,(H81/(B81+2)+J90),0))</f>
        <v>0</v>
      </c>
    </row>
    <row r="92" spans="1:10" ht="15.75" customHeight="1" x14ac:dyDescent="0.35">
      <c r="A92" s="89" t="s">
        <v>135</v>
      </c>
      <c r="B92" s="90" t="s">
        <v>135</v>
      </c>
      <c r="C92" s="50">
        <v>0</v>
      </c>
      <c r="D92" s="19">
        <f ca="1">((100/(H81))*C92)/100</f>
        <v>0</v>
      </c>
      <c r="E92" s="155"/>
      <c r="F92" s="156"/>
      <c r="G92" s="155"/>
      <c r="H92" s="160"/>
      <c r="I92" s="14" t="s">
        <v>149</v>
      </c>
      <c r="J92" s="30">
        <f ca="1">(IF(B81=1,(H81/(B81+3)+J87),IF(B81=0,(H81/4+J87),IF(B81&gt;1,0))))</f>
        <v>5.25</v>
      </c>
    </row>
    <row r="93" spans="1:10" ht="16" thickBot="1" x14ac:dyDescent="0.4">
      <c r="A93" s="162" t="s">
        <v>136</v>
      </c>
      <c r="B93" s="163"/>
      <c r="C93" s="54">
        <v>0</v>
      </c>
      <c r="D93" s="20">
        <f ca="1">((100/(H81))*C93)/100</f>
        <v>0</v>
      </c>
      <c r="E93" s="157"/>
      <c r="F93" s="158"/>
      <c r="G93" s="157"/>
      <c r="H93" s="161"/>
      <c r="I93" s="15" t="s">
        <v>105</v>
      </c>
      <c r="J93" s="32">
        <f ca="1">(IF(B81&gt;1.5,(H81/(B81+2)+J87+MAX(0,J88-J87)+MAX(0,J89-J88)+MAX(0,J90-J89)+MAX(0,J91-J90)+MAX(0,J92-J91)),IF(B81=1,(H81/(B81+3)+J92),IF(B81=0,H81/4+J92))))</f>
        <v>7</v>
      </c>
    </row>
    <row r="94" spans="1:10" x14ac:dyDescent="0.35">
      <c r="A94" s="182" t="s">
        <v>160</v>
      </c>
      <c r="B94" s="182"/>
      <c r="C94" s="182"/>
      <c r="D94" s="182"/>
      <c r="E94" s="182"/>
      <c r="F94" s="172" t="s">
        <v>165</v>
      </c>
      <c r="G94" s="172"/>
      <c r="H94" s="172"/>
    </row>
    <row r="95" spans="1:10" x14ac:dyDescent="0.35">
      <c r="A95" s="78" t="s">
        <v>163</v>
      </c>
      <c r="B95" s="78"/>
      <c r="C95" s="78"/>
      <c r="D95" s="78"/>
      <c r="E95" s="78"/>
      <c r="F95" s="96">
        <v>4800</v>
      </c>
      <c r="G95" s="96"/>
      <c r="H95" s="96"/>
    </row>
    <row r="96" spans="1:10" x14ac:dyDescent="0.35">
      <c r="A96" s="78" t="s">
        <v>162</v>
      </c>
      <c r="B96" s="78"/>
      <c r="C96" s="78"/>
      <c r="D96" s="78"/>
      <c r="E96" s="78"/>
      <c r="F96" s="96">
        <v>12000</v>
      </c>
      <c r="G96" s="96"/>
      <c r="H96" s="96"/>
    </row>
    <row r="97" spans="1:11" x14ac:dyDescent="0.35">
      <c r="A97" s="78" t="s">
        <v>164</v>
      </c>
      <c r="B97" s="78"/>
      <c r="C97" s="78"/>
      <c r="D97" s="78"/>
      <c r="E97" s="78"/>
      <c r="F97" s="96">
        <v>8000</v>
      </c>
      <c r="G97" s="96"/>
      <c r="H97" s="96"/>
    </row>
    <row r="98" spans="1:11" s="33" customFormat="1" hidden="1" x14ac:dyDescent="0.3">
      <c r="A98" s="78" t="s">
        <v>161</v>
      </c>
      <c r="B98" s="78"/>
      <c r="C98" s="78"/>
      <c r="D98" s="78"/>
      <c r="E98" s="78"/>
      <c r="F98" s="96"/>
      <c r="G98" s="96"/>
      <c r="H98" s="96"/>
    </row>
    <row r="99" spans="1:11" s="33" customFormat="1" hidden="1" x14ac:dyDescent="0.3">
      <c r="A99" s="78" t="s">
        <v>95</v>
      </c>
      <c r="B99" s="78"/>
      <c r="C99" s="78"/>
      <c r="D99" s="78"/>
      <c r="E99" s="78"/>
      <c r="F99" s="96"/>
      <c r="G99" s="96"/>
      <c r="H99" s="96"/>
    </row>
    <row r="100" spans="1:11" s="33" customFormat="1" hidden="1" x14ac:dyDescent="0.3">
      <c r="A100" s="78" t="s">
        <v>96</v>
      </c>
      <c r="B100" s="78"/>
      <c r="C100" s="78"/>
      <c r="D100" s="78"/>
      <c r="E100" s="78"/>
      <c r="F100" s="96"/>
      <c r="G100" s="96"/>
      <c r="H100" s="96"/>
    </row>
    <row r="101" spans="1:11" s="33" customFormat="1" hidden="1" x14ac:dyDescent="0.3">
      <c r="A101" s="78" t="s">
        <v>166</v>
      </c>
      <c r="B101" s="78"/>
      <c r="C101" s="78"/>
      <c r="D101" s="78"/>
      <c r="E101" s="78"/>
      <c r="F101" s="96"/>
      <c r="G101" s="96"/>
      <c r="H101" s="96"/>
    </row>
    <row r="102" spans="1:11" s="33" customFormat="1" hidden="1" x14ac:dyDescent="0.3">
      <c r="A102" s="78" t="s">
        <v>97</v>
      </c>
      <c r="B102" s="78"/>
      <c r="C102" s="78"/>
      <c r="D102" s="78"/>
      <c r="E102" s="78"/>
      <c r="F102" s="96"/>
      <c r="G102" s="96"/>
      <c r="H102" s="96"/>
    </row>
    <row r="103" spans="1:11" s="33" customFormat="1" hidden="1" x14ac:dyDescent="0.3">
      <c r="A103" s="78" t="s">
        <v>98</v>
      </c>
      <c r="B103" s="78"/>
      <c r="C103" s="78"/>
      <c r="D103" s="78"/>
      <c r="E103" s="78"/>
      <c r="F103" s="96"/>
      <c r="G103" s="96"/>
      <c r="H103" s="96"/>
    </row>
    <row r="104" spans="1:11" s="33" customFormat="1" hidden="1" x14ac:dyDescent="0.3">
      <c r="A104" s="78" t="s">
        <v>99</v>
      </c>
      <c r="B104" s="78"/>
      <c r="C104" s="78"/>
      <c r="D104" s="78"/>
      <c r="E104" s="78"/>
      <c r="F104" s="96"/>
      <c r="G104" s="96"/>
      <c r="H104" s="96"/>
    </row>
    <row r="105" spans="1:11" s="33" customFormat="1" hidden="1" x14ac:dyDescent="0.3">
      <c r="A105" s="78" t="s">
        <v>100</v>
      </c>
      <c r="B105" s="78"/>
      <c r="C105" s="78"/>
      <c r="D105" s="78"/>
      <c r="E105" s="78"/>
      <c r="F105" s="96"/>
      <c r="G105" s="96"/>
      <c r="H105" s="96"/>
    </row>
    <row r="106" spans="1:11" x14ac:dyDescent="0.35">
      <c r="A106" s="78" t="s">
        <v>50</v>
      </c>
      <c r="B106" s="78"/>
      <c r="C106" s="78"/>
      <c r="D106" s="78"/>
      <c r="E106" s="78"/>
      <c r="F106" s="96">
        <v>250000</v>
      </c>
      <c r="G106" s="96"/>
      <c r="H106" s="96"/>
    </row>
    <row r="107" spans="1:11" s="34" customFormat="1" x14ac:dyDescent="0.35">
      <c r="A107" s="130" t="s">
        <v>51</v>
      </c>
      <c r="B107" s="130"/>
      <c r="C107" s="130"/>
      <c r="D107" s="130"/>
      <c r="E107" s="130"/>
      <c r="F107" s="96">
        <f>F95*0.8</f>
        <v>3840</v>
      </c>
      <c r="G107" s="96"/>
      <c r="H107" s="96"/>
    </row>
    <row r="108" spans="1:11" s="35" customFormat="1" ht="15.75" customHeight="1" x14ac:dyDescent="0.35">
      <c r="A108" s="119" t="s">
        <v>75</v>
      </c>
      <c r="B108" s="119"/>
      <c r="C108" s="119"/>
      <c r="D108" s="119"/>
      <c r="E108" s="119"/>
      <c r="F108" s="119"/>
      <c r="G108" s="119"/>
      <c r="H108" s="119"/>
      <c r="J108" s="35" t="s">
        <v>212</v>
      </c>
    </row>
    <row r="109" spans="1:11" s="35" customFormat="1" ht="15.75" customHeight="1" x14ac:dyDescent="0.35">
      <c r="A109" s="80" t="s">
        <v>52</v>
      </c>
      <c r="B109" s="80"/>
      <c r="C109" s="173" t="s">
        <v>78</v>
      </c>
      <c r="D109" s="173"/>
      <c r="E109" s="134" t="s">
        <v>53</v>
      </c>
      <c r="F109" s="134"/>
      <c r="G109" s="80" t="s">
        <v>54</v>
      </c>
      <c r="H109" s="80"/>
      <c r="J109" s="35" t="s">
        <v>217</v>
      </c>
      <c r="K109" s="35" t="s">
        <v>216</v>
      </c>
    </row>
    <row r="110" spans="1:11" s="35" customFormat="1" x14ac:dyDescent="0.35">
      <c r="A110" s="132" t="s">
        <v>194</v>
      </c>
      <c r="B110" s="61" t="s">
        <v>193</v>
      </c>
      <c r="C110" s="174">
        <f>COUNT(D124:D142)</f>
        <v>19</v>
      </c>
      <c r="D110" s="133"/>
      <c r="E110" s="97">
        <f>SUM(D124:D142)</f>
        <v>2939.9713200000001</v>
      </c>
      <c r="F110" s="98"/>
      <c r="G110" s="97">
        <f>SUM(F124:F142)</f>
        <v>4703.9541119999985</v>
      </c>
      <c r="H110" s="98"/>
      <c r="I110" s="35" t="s">
        <v>213</v>
      </c>
      <c r="J110" s="35">
        <v>20000</v>
      </c>
    </row>
    <row r="111" spans="1:11" s="35" customFormat="1" x14ac:dyDescent="0.35">
      <c r="A111" s="132"/>
      <c r="B111" s="61" t="s">
        <v>196</v>
      </c>
      <c r="C111" s="174">
        <f>COUNT(D144:D149)</f>
        <v>6</v>
      </c>
      <c r="D111" s="133"/>
      <c r="E111" s="97">
        <f>SUM(D144:D149)</f>
        <v>3527.1475199999995</v>
      </c>
      <c r="F111" s="98"/>
      <c r="G111" s="97">
        <f>SUM(F144:F149)</f>
        <v>5855.616</v>
      </c>
      <c r="H111" s="98"/>
      <c r="I111" s="35" t="s">
        <v>214</v>
      </c>
    </row>
    <row r="112" spans="1:11" s="35" customFormat="1" x14ac:dyDescent="0.35">
      <c r="A112" s="119" t="s">
        <v>153</v>
      </c>
      <c r="B112" s="119"/>
      <c r="C112" s="181">
        <f>SUM(C110:C111)</f>
        <v>25</v>
      </c>
      <c r="D112" s="175"/>
      <c r="E112" s="176">
        <f>SUM(E110:E111)</f>
        <v>6467.1188399999992</v>
      </c>
      <c r="F112" s="177"/>
      <c r="G112" s="176">
        <f>SUM(G110:G111)</f>
        <v>10559.570111999998</v>
      </c>
      <c r="H112" s="176"/>
      <c r="I112" s="35" t="s">
        <v>215</v>
      </c>
      <c r="J112" s="35">
        <v>4500</v>
      </c>
      <c r="K112" s="35">
        <v>4800</v>
      </c>
    </row>
    <row r="113" spans="1:14" s="35" customFormat="1" x14ac:dyDescent="0.35">
      <c r="A113" s="119" t="s">
        <v>70</v>
      </c>
      <c r="B113" s="119"/>
      <c r="C113" s="119"/>
      <c r="D113" s="119"/>
      <c r="E113" s="119"/>
      <c r="F113" s="119"/>
      <c r="G113" s="119"/>
      <c r="H113" s="119"/>
      <c r="K113" s="35">
        <v>5500</v>
      </c>
    </row>
    <row r="114" spans="1:14" s="35" customFormat="1" ht="15.75" customHeight="1" x14ac:dyDescent="0.35">
      <c r="A114" s="80" t="s">
        <v>52</v>
      </c>
      <c r="B114" s="80"/>
      <c r="C114" s="173" t="s">
        <v>78</v>
      </c>
      <c r="D114" s="173"/>
      <c r="E114" s="134" t="s">
        <v>53</v>
      </c>
      <c r="F114" s="134"/>
      <c r="G114" s="80" t="s">
        <v>54</v>
      </c>
      <c r="H114" s="80"/>
    </row>
    <row r="115" spans="1:14" s="35" customFormat="1" x14ac:dyDescent="0.35">
      <c r="A115" s="132" t="s">
        <v>194</v>
      </c>
      <c r="B115" s="132"/>
      <c r="C115" s="133">
        <f>COUNT(D155:D162)+COUNT(D164:D171)*9+COUNT(D173:D177,D179:D180)*2</f>
        <v>94</v>
      </c>
      <c r="D115" s="133"/>
      <c r="E115" s="97">
        <f>SUM(D155:D162)+SUM(D164:D171)*9+SUM(D173:D177,D179:D180)*2</f>
        <v>45100.648709999994</v>
      </c>
      <c r="F115" s="97"/>
      <c r="G115" s="97">
        <f>SUM(F155:F162)+SUM(F164:F171)*9+SUM(F173:F177,F179:F180)*2</f>
        <v>68109.842384999996</v>
      </c>
      <c r="H115" s="97"/>
    </row>
    <row r="116" spans="1:14" s="35" customFormat="1" x14ac:dyDescent="0.35">
      <c r="A116" s="132" t="s">
        <v>202</v>
      </c>
      <c r="B116" s="132"/>
      <c r="C116" s="133">
        <f>COUNT(D184:D187)*6</f>
        <v>24</v>
      </c>
      <c r="D116" s="133"/>
      <c r="E116" s="97">
        <f>SUM(D184:D187)*6</f>
        <v>12286.783080000001</v>
      </c>
      <c r="F116" s="97"/>
      <c r="G116" s="97">
        <f>SUM(F184:F187)*6</f>
        <v>18430.174620000002</v>
      </c>
      <c r="H116" s="97"/>
    </row>
    <row r="117" spans="1:14" s="35" customFormat="1" x14ac:dyDescent="0.35">
      <c r="A117" s="119" t="s">
        <v>153</v>
      </c>
      <c r="B117" s="119"/>
      <c r="C117" s="175">
        <f>SUM(C115:C116)</f>
        <v>118</v>
      </c>
      <c r="D117" s="175"/>
      <c r="E117" s="176">
        <f>SUM(E115:E116)</f>
        <v>57387.431789999995</v>
      </c>
      <c r="F117" s="177"/>
      <c r="G117" s="176">
        <f>SUM(G115:G116)</f>
        <v>86540.017005000002</v>
      </c>
      <c r="H117" s="176"/>
      <c r="J117" s="60">
        <f>E112+E117</f>
        <v>63854.550629999998</v>
      </c>
      <c r="K117" s="60">
        <f>G112+G117</f>
        <v>97099.587117000003</v>
      </c>
    </row>
    <row r="118" spans="1:14" s="34" customFormat="1" x14ac:dyDescent="0.35">
      <c r="A118" s="127" t="s">
        <v>55</v>
      </c>
      <c r="B118" s="127"/>
      <c r="C118" s="127"/>
      <c r="D118" s="127"/>
      <c r="E118" s="127"/>
      <c r="F118" s="127"/>
      <c r="G118" s="127"/>
      <c r="H118" s="127"/>
    </row>
    <row r="119" spans="1:14" x14ac:dyDescent="0.35">
      <c r="A119" s="127" t="s">
        <v>56</v>
      </c>
      <c r="B119" s="127"/>
      <c r="C119" s="127"/>
      <c r="D119" s="127"/>
      <c r="E119" s="127"/>
      <c r="F119" s="127"/>
      <c r="G119" s="127"/>
      <c r="H119" s="127"/>
    </row>
    <row r="120" spans="1:14" ht="47.25" customHeight="1" x14ac:dyDescent="0.35">
      <c r="A120" s="195" t="s">
        <v>120</v>
      </c>
      <c r="B120" s="195" t="s">
        <v>119</v>
      </c>
      <c r="C120" s="195" t="s">
        <v>57</v>
      </c>
      <c r="D120" s="195" t="s">
        <v>58</v>
      </c>
      <c r="E120" s="196" t="s">
        <v>159</v>
      </c>
      <c r="F120" s="197" t="s">
        <v>152</v>
      </c>
      <c r="G120" s="195" t="s">
        <v>60</v>
      </c>
      <c r="H120" s="195"/>
    </row>
    <row r="121" spans="1:14" s="37" customFormat="1" x14ac:dyDescent="0.35">
      <c r="A121" s="195"/>
      <c r="B121" s="195"/>
      <c r="C121" s="195"/>
      <c r="D121" s="195"/>
      <c r="E121" s="196"/>
      <c r="F121" s="198">
        <v>0.6</v>
      </c>
      <c r="G121" s="195"/>
      <c r="H121" s="195"/>
    </row>
    <row r="122" spans="1:14" s="37" customFormat="1" x14ac:dyDescent="0.35">
      <c r="A122" s="73" t="s">
        <v>194</v>
      </c>
      <c r="B122" s="74"/>
      <c r="C122" s="74"/>
      <c r="D122" s="74"/>
      <c r="E122" s="74"/>
      <c r="F122" s="74"/>
      <c r="G122" s="74"/>
      <c r="H122" s="75"/>
      <c r="J122" s="36"/>
    </row>
    <row r="123" spans="1:14" s="37" customFormat="1" x14ac:dyDescent="0.35">
      <c r="A123" s="73" t="s">
        <v>211</v>
      </c>
      <c r="B123" s="74"/>
      <c r="C123" s="74"/>
      <c r="D123" s="74"/>
      <c r="E123" s="74"/>
      <c r="F123" s="74"/>
      <c r="G123" s="74"/>
      <c r="H123" s="75"/>
      <c r="J123" s="36"/>
    </row>
    <row r="124" spans="1:14" s="37" customFormat="1" ht="15.75" customHeight="1" x14ac:dyDescent="0.35">
      <c r="A124" s="63">
        <v>1</v>
      </c>
      <c r="B124" s="64"/>
      <c r="C124" s="53" t="s">
        <v>193</v>
      </c>
      <c r="D124" s="48">
        <f>(13.2)*10.764</f>
        <v>142.08479999999997</v>
      </c>
      <c r="E124" s="53">
        <v>0</v>
      </c>
      <c r="F124" s="53">
        <f>(D124+E124)*(($F$121)+1)</f>
        <v>227.33567999999997</v>
      </c>
      <c r="G124" s="66" t="str">
        <f>A123</f>
        <v>Ground Floor For Commercial &amp; Parking</v>
      </c>
      <c r="H124" s="67"/>
      <c r="I124" s="36"/>
      <c r="J124" s="37">
        <f>2.75*4.8</f>
        <v>13.2</v>
      </c>
      <c r="L124" s="65"/>
      <c r="M124" s="65"/>
      <c r="N124" s="36"/>
    </row>
    <row r="125" spans="1:14" s="37" customFormat="1" x14ac:dyDescent="0.35">
      <c r="A125" s="63">
        <f t="shared" ref="A125:A142" si="0">A124+1</f>
        <v>2</v>
      </c>
      <c r="B125" s="64"/>
      <c r="C125" s="53" t="s">
        <v>193</v>
      </c>
      <c r="D125" s="48">
        <f>(13.45)*10.764</f>
        <v>144.77579999999998</v>
      </c>
      <c r="E125" s="53">
        <v>0</v>
      </c>
      <c r="F125" s="53">
        <f t="shared" ref="F125:F127" si="1">(D125+E125)*(($F$121)+1)</f>
        <v>231.64127999999997</v>
      </c>
      <c r="G125" s="68"/>
      <c r="H125" s="69"/>
      <c r="I125" s="36"/>
      <c r="J125" s="37">
        <f>(2.3*5.85)</f>
        <v>13.454999999999998</v>
      </c>
      <c r="L125" s="65"/>
      <c r="M125" s="65"/>
      <c r="N125" s="36"/>
    </row>
    <row r="126" spans="1:14" s="37" customFormat="1" x14ac:dyDescent="0.35">
      <c r="A126" s="63">
        <f t="shared" si="0"/>
        <v>3</v>
      </c>
      <c r="B126" s="64"/>
      <c r="C126" s="53" t="s">
        <v>193</v>
      </c>
      <c r="D126" s="48">
        <f>(16.08)*10.764</f>
        <v>173.08511999999996</v>
      </c>
      <c r="E126" s="53">
        <v>0</v>
      </c>
      <c r="F126" s="53">
        <f t="shared" si="1"/>
        <v>276.93619199999995</v>
      </c>
      <c r="G126" s="68"/>
      <c r="H126" s="69"/>
      <c r="I126" s="36"/>
      <c r="L126" s="65"/>
      <c r="M126" s="65"/>
      <c r="N126" s="36"/>
    </row>
    <row r="127" spans="1:14" s="37" customFormat="1" x14ac:dyDescent="0.35">
      <c r="A127" s="63">
        <f t="shared" si="0"/>
        <v>4</v>
      </c>
      <c r="B127" s="64"/>
      <c r="C127" s="53" t="s">
        <v>193</v>
      </c>
      <c r="D127" s="48">
        <f>(16.08)*10.764</f>
        <v>173.08511999999996</v>
      </c>
      <c r="E127" s="53">
        <v>0</v>
      </c>
      <c r="F127" s="53">
        <f t="shared" si="1"/>
        <v>276.93619199999995</v>
      </c>
      <c r="G127" s="68"/>
      <c r="H127" s="69"/>
      <c r="I127" s="36"/>
      <c r="L127" s="65"/>
      <c r="M127" s="65"/>
      <c r="N127" s="36"/>
    </row>
    <row r="128" spans="1:14" s="37" customFormat="1" x14ac:dyDescent="0.35">
      <c r="A128" s="63">
        <f t="shared" si="0"/>
        <v>5</v>
      </c>
      <c r="B128" s="64"/>
      <c r="C128" s="53" t="s">
        <v>193</v>
      </c>
      <c r="D128" s="48">
        <f>(16.95)*10.764</f>
        <v>182.44979999999998</v>
      </c>
      <c r="E128" s="53">
        <v>0</v>
      </c>
      <c r="F128" s="53">
        <f t="shared" ref="F128:F130" si="2">(D128+E128)*(($F$121)+1)</f>
        <v>291.91967999999997</v>
      </c>
      <c r="G128" s="68"/>
      <c r="H128" s="69"/>
      <c r="I128" s="36"/>
      <c r="L128" s="65"/>
      <c r="M128" s="65"/>
      <c r="N128" s="36"/>
    </row>
    <row r="129" spans="1:14" s="37" customFormat="1" x14ac:dyDescent="0.35">
      <c r="A129" s="63">
        <f t="shared" si="0"/>
        <v>6</v>
      </c>
      <c r="B129" s="64"/>
      <c r="C129" s="53" t="s">
        <v>193</v>
      </c>
      <c r="D129" s="48">
        <f>(13.34)*10.764</f>
        <v>143.59175999999999</v>
      </c>
      <c r="E129" s="53">
        <v>0</v>
      </c>
      <c r="F129" s="53">
        <f t="shared" si="2"/>
        <v>229.746816</v>
      </c>
      <c r="G129" s="68"/>
      <c r="H129" s="69"/>
      <c r="I129" s="36"/>
      <c r="L129" s="65"/>
      <c r="M129" s="65"/>
      <c r="N129" s="36"/>
    </row>
    <row r="130" spans="1:14" s="37" customFormat="1" x14ac:dyDescent="0.35">
      <c r="A130" s="63">
        <f t="shared" si="0"/>
        <v>7</v>
      </c>
      <c r="B130" s="64"/>
      <c r="C130" s="53" t="s">
        <v>193</v>
      </c>
      <c r="D130" s="48">
        <f>(13.34)*10.764</f>
        <v>143.59175999999999</v>
      </c>
      <c r="E130" s="53">
        <v>0</v>
      </c>
      <c r="F130" s="53">
        <f t="shared" si="2"/>
        <v>229.746816</v>
      </c>
      <c r="G130" s="68"/>
      <c r="H130" s="69"/>
      <c r="I130" s="36"/>
      <c r="L130" s="65"/>
      <c r="M130" s="65"/>
      <c r="N130" s="36"/>
    </row>
    <row r="131" spans="1:14" s="37" customFormat="1" x14ac:dyDescent="0.35">
      <c r="A131" s="63">
        <f t="shared" si="0"/>
        <v>8</v>
      </c>
      <c r="B131" s="64"/>
      <c r="C131" s="53" t="s">
        <v>193</v>
      </c>
      <c r="D131" s="48">
        <f>(19.8)*10.764</f>
        <v>213.12719999999999</v>
      </c>
      <c r="E131" s="53">
        <v>0</v>
      </c>
      <c r="F131" s="53">
        <f t="shared" ref="F131:F132" si="3">(D131+E131)*(($F$121)+1)</f>
        <v>341.00351999999998</v>
      </c>
      <c r="G131" s="68"/>
      <c r="H131" s="69"/>
      <c r="I131" s="36"/>
      <c r="L131" s="65"/>
      <c r="M131" s="65"/>
      <c r="N131" s="36"/>
    </row>
    <row r="132" spans="1:14" s="37" customFormat="1" x14ac:dyDescent="0.35">
      <c r="A132" s="63">
        <f t="shared" si="0"/>
        <v>9</v>
      </c>
      <c r="B132" s="64"/>
      <c r="C132" s="53" t="s">
        <v>193</v>
      </c>
      <c r="D132" s="48">
        <f>(18.36)*10.764</f>
        <v>197.62703999999999</v>
      </c>
      <c r="E132" s="53">
        <v>0</v>
      </c>
      <c r="F132" s="53">
        <f t="shared" si="3"/>
        <v>316.20326399999999</v>
      </c>
      <c r="G132" s="68"/>
      <c r="H132" s="69"/>
      <c r="I132" s="36"/>
      <c r="L132" s="65"/>
      <c r="M132" s="65"/>
      <c r="N132" s="36"/>
    </row>
    <row r="133" spans="1:14" s="37" customFormat="1" x14ac:dyDescent="0.35">
      <c r="A133" s="63">
        <f t="shared" si="0"/>
        <v>10</v>
      </c>
      <c r="B133" s="64"/>
      <c r="C133" s="53" t="s">
        <v>193</v>
      </c>
      <c r="D133" s="48">
        <f>(13.61)*10.764</f>
        <v>146.49803999999997</v>
      </c>
      <c r="E133" s="53">
        <v>0</v>
      </c>
      <c r="F133" s="53">
        <f t="shared" ref="F133" si="4">(D133+E133)*(($F$121)+1)</f>
        <v>234.39686399999997</v>
      </c>
      <c r="G133" s="68"/>
      <c r="H133" s="69"/>
      <c r="I133" s="36"/>
      <c r="L133" s="65"/>
      <c r="M133" s="65"/>
      <c r="N133" s="36"/>
    </row>
    <row r="134" spans="1:14" s="37" customFormat="1" x14ac:dyDescent="0.35">
      <c r="A134" s="63">
        <f t="shared" si="0"/>
        <v>11</v>
      </c>
      <c r="B134" s="64"/>
      <c r="C134" s="53" t="s">
        <v>193</v>
      </c>
      <c r="D134" s="48">
        <f>(19.8)*10.764</f>
        <v>213.12719999999999</v>
      </c>
      <c r="E134" s="53">
        <v>0</v>
      </c>
      <c r="F134" s="53">
        <f>(D134+E134)*(($F$121)+1)</f>
        <v>341.00351999999998</v>
      </c>
      <c r="G134" s="68"/>
      <c r="H134" s="69"/>
      <c r="I134" s="36"/>
      <c r="L134" s="65"/>
      <c r="M134" s="65"/>
      <c r="N134" s="36"/>
    </row>
    <row r="135" spans="1:14" s="37" customFormat="1" x14ac:dyDescent="0.35">
      <c r="A135" s="63">
        <f t="shared" si="0"/>
        <v>12</v>
      </c>
      <c r="B135" s="64"/>
      <c r="C135" s="53" t="s">
        <v>193</v>
      </c>
      <c r="D135" s="48">
        <f>(10.5)*10.764</f>
        <v>113.02199999999999</v>
      </c>
      <c r="E135" s="53">
        <v>0</v>
      </c>
      <c r="F135" s="53">
        <f t="shared" ref="F135:F142" si="5">(D135+E135)*(($F$121)+1)</f>
        <v>180.83519999999999</v>
      </c>
      <c r="G135" s="68"/>
      <c r="H135" s="69"/>
      <c r="I135" s="36"/>
      <c r="L135" s="65"/>
      <c r="M135" s="65"/>
      <c r="N135" s="36"/>
    </row>
    <row r="136" spans="1:14" s="37" customFormat="1" x14ac:dyDescent="0.35">
      <c r="A136" s="63">
        <f t="shared" si="0"/>
        <v>13</v>
      </c>
      <c r="B136" s="64"/>
      <c r="C136" s="53" t="s">
        <v>193</v>
      </c>
      <c r="D136" s="48">
        <f>(10.24)*10.764</f>
        <v>110.22336</v>
      </c>
      <c r="E136" s="53">
        <v>0</v>
      </c>
      <c r="F136" s="53">
        <f t="shared" si="5"/>
        <v>176.35737600000002</v>
      </c>
      <c r="G136" s="68"/>
      <c r="H136" s="69"/>
      <c r="I136" s="36"/>
      <c r="L136" s="65"/>
      <c r="M136" s="65"/>
      <c r="N136" s="36"/>
    </row>
    <row r="137" spans="1:14" s="37" customFormat="1" x14ac:dyDescent="0.35">
      <c r="A137" s="63">
        <f t="shared" si="0"/>
        <v>14</v>
      </c>
      <c r="B137" s="64"/>
      <c r="C137" s="53" t="s">
        <v>193</v>
      </c>
      <c r="D137" s="48">
        <f>(14.44)*10.764</f>
        <v>155.43215999999998</v>
      </c>
      <c r="E137" s="53">
        <v>0</v>
      </c>
      <c r="F137" s="53">
        <f t="shared" si="5"/>
        <v>248.69145599999999</v>
      </c>
      <c r="G137" s="68"/>
      <c r="H137" s="69"/>
      <c r="I137" s="36"/>
      <c r="L137" s="65"/>
      <c r="M137" s="65"/>
      <c r="N137" s="36"/>
    </row>
    <row r="138" spans="1:14" s="37" customFormat="1" x14ac:dyDescent="0.35">
      <c r="A138" s="63">
        <f t="shared" si="0"/>
        <v>15</v>
      </c>
      <c r="B138" s="64"/>
      <c r="C138" s="53" t="s">
        <v>193</v>
      </c>
      <c r="D138" s="48">
        <f>(12.42)*10.764</f>
        <v>133.68887999999998</v>
      </c>
      <c r="E138" s="53">
        <v>0</v>
      </c>
      <c r="F138" s="53">
        <f t="shared" si="5"/>
        <v>213.90220799999997</v>
      </c>
      <c r="G138" s="68"/>
      <c r="H138" s="69"/>
      <c r="I138" s="36"/>
      <c r="L138" s="65"/>
      <c r="M138" s="65"/>
      <c r="N138" s="36"/>
    </row>
    <row r="139" spans="1:14" s="37" customFormat="1" x14ac:dyDescent="0.35">
      <c r="A139" s="63">
        <f t="shared" si="0"/>
        <v>16</v>
      </c>
      <c r="B139" s="64"/>
      <c r="C139" s="53" t="s">
        <v>193</v>
      </c>
      <c r="D139" s="48">
        <f>(15.4)*10.764</f>
        <v>165.76560000000001</v>
      </c>
      <c r="E139" s="53">
        <v>0</v>
      </c>
      <c r="F139" s="53">
        <f t="shared" si="5"/>
        <v>265.22496000000001</v>
      </c>
      <c r="G139" s="68"/>
      <c r="H139" s="69"/>
      <c r="I139" s="36"/>
      <c r="L139" s="65"/>
      <c r="M139" s="65"/>
      <c r="N139" s="36"/>
    </row>
    <row r="140" spans="1:14" s="37" customFormat="1" x14ac:dyDescent="0.35">
      <c r="A140" s="63">
        <f t="shared" si="0"/>
        <v>17</v>
      </c>
      <c r="B140" s="64"/>
      <c r="C140" s="53" t="s">
        <v>193</v>
      </c>
      <c r="D140" s="48">
        <f>(12.6)*10.764</f>
        <v>135.62639999999999</v>
      </c>
      <c r="E140" s="53">
        <v>0</v>
      </c>
      <c r="F140" s="53">
        <f t="shared" si="5"/>
        <v>217.00224</v>
      </c>
      <c r="G140" s="68"/>
      <c r="H140" s="69"/>
      <c r="I140" s="36"/>
      <c r="L140" s="65"/>
      <c r="M140" s="65"/>
      <c r="N140" s="36"/>
    </row>
    <row r="141" spans="1:14" s="37" customFormat="1" x14ac:dyDescent="0.35">
      <c r="A141" s="63">
        <f t="shared" si="0"/>
        <v>18</v>
      </c>
      <c r="B141" s="64"/>
      <c r="C141" s="53" t="s">
        <v>193</v>
      </c>
      <c r="D141" s="48">
        <f>(11.76)*10.764</f>
        <v>126.58463999999999</v>
      </c>
      <c r="E141" s="53">
        <v>0</v>
      </c>
      <c r="F141" s="53">
        <f t="shared" si="5"/>
        <v>202.53542400000001</v>
      </c>
      <c r="G141" s="68"/>
      <c r="H141" s="69"/>
      <c r="I141" s="36"/>
      <c r="L141" s="65"/>
      <c r="M141" s="65"/>
      <c r="N141" s="36"/>
    </row>
    <row r="142" spans="1:14" s="37" customFormat="1" x14ac:dyDescent="0.35">
      <c r="A142" s="63">
        <f t="shared" si="0"/>
        <v>19</v>
      </c>
      <c r="B142" s="64"/>
      <c r="C142" s="53" t="s">
        <v>193</v>
      </c>
      <c r="D142" s="48">
        <f>(11.76)*10.764</f>
        <v>126.58463999999999</v>
      </c>
      <c r="E142" s="53">
        <v>0</v>
      </c>
      <c r="F142" s="53">
        <f t="shared" si="5"/>
        <v>202.53542400000001</v>
      </c>
      <c r="G142" s="70"/>
      <c r="H142" s="71"/>
      <c r="I142" s="36"/>
      <c r="J142" s="37">
        <f>5.6*2.1</f>
        <v>11.76</v>
      </c>
      <c r="L142" s="65"/>
      <c r="M142" s="65"/>
      <c r="N142" s="36"/>
    </row>
    <row r="143" spans="1:14" s="37" customFormat="1" x14ac:dyDescent="0.35">
      <c r="A143" s="73" t="s">
        <v>195</v>
      </c>
      <c r="B143" s="74"/>
      <c r="C143" s="74"/>
      <c r="D143" s="74"/>
      <c r="E143" s="74"/>
      <c r="F143" s="74"/>
      <c r="G143" s="74"/>
      <c r="H143" s="75"/>
      <c r="J143" s="36"/>
    </row>
    <row r="144" spans="1:14" s="37" customFormat="1" ht="15.75" customHeight="1" x14ac:dyDescent="0.35">
      <c r="A144" s="63">
        <v>1</v>
      </c>
      <c r="B144" s="64"/>
      <c r="C144" s="53" t="s">
        <v>196</v>
      </c>
      <c r="D144" s="48">
        <f>(31.8+0.75*(3.95+2.9+2.1))*10.764</f>
        <v>414.54854999999998</v>
      </c>
      <c r="E144" s="53">
        <v>0</v>
      </c>
      <c r="F144" s="53">
        <f>(D144+E144)*(($F$121)+1)</f>
        <v>663.27768000000003</v>
      </c>
      <c r="G144" s="66" t="str">
        <f>A143</f>
        <v>1st Floor</v>
      </c>
      <c r="H144" s="67"/>
      <c r="I144" s="36"/>
      <c r="J144" s="37">
        <f>4.2*3.95+2*2.9+2.1*2.75+1.2*1.5+1.2*1.2</f>
        <v>31.405000000000001</v>
      </c>
      <c r="L144" s="65"/>
      <c r="M144" s="65"/>
      <c r="N144" s="36"/>
    </row>
    <row r="145" spans="1:14" s="37" customFormat="1" x14ac:dyDescent="0.35">
      <c r="A145" s="63">
        <f t="shared" ref="A145:A149" si="6">A144+1</f>
        <v>2</v>
      </c>
      <c r="B145" s="64"/>
      <c r="C145" s="53" t="s">
        <v>196</v>
      </c>
      <c r="D145" s="48">
        <f>(42.83+0.75*8)*10.764</f>
        <v>525.60611999999992</v>
      </c>
      <c r="E145" s="53">
        <v>0</v>
      </c>
      <c r="F145" s="53">
        <f t="shared" ref="F145:F149" si="7">(D145+E145)*(($F$121)+1)</f>
        <v>840.96979199999987</v>
      </c>
      <c r="G145" s="68"/>
      <c r="H145" s="69"/>
      <c r="I145" s="36"/>
      <c r="L145" s="65"/>
      <c r="M145" s="65"/>
      <c r="N145" s="36"/>
    </row>
    <row r="146" spans="1:14" s="37" customFormat="1" x14ac:dyDescent="0.35">
      <c r="A146" s="63">
        <f t="shared" si="6"/>
        <v>3</v>
      </c>
      <c r="B146" s="64"/>
      <c r="C146" s="53" t="s">
        <v>196</v>
      </c>
      <c r="D146" s="48">
        <f>(58.7+0.75*(8.4+2.65))*10.764</f>
        <v>721.05345000000011</v>
      </c>
      <c r="E146" s="53">
        <v>0</v>
      </c>
      <c r="F146" s="53">
        <f t="shared" si="7"/>
        <v>1153.6855200000002</v>
      </c>
      <c r="G146" s="68"/>
      <c r="H146" s="69"/>
      <c r="I146" s="36"/>
      <c r="L146" s="65"/>
      <c r="M146" s="65"/>
      <c r="N146" s="36"/>
    </row>
    <row r="147" spans="1:14" s="37" customFormat="1" x14ac:dyDescent="0.35">
      <c r="A147" s="63">
        <f t="shared" si="6"/>
        <v>4</v>
      </c>
      <c r="B147" s="64"/>
      <c r="C147" s="53" t="s">
        <v>196</v>
      </c>
      <c r="D147" s="48">
        <f>(64.77+0.75*11)*10.764</f>
        <v>785.98727999999994</v>
      </c>
      <c r="E147" s="53">
        <v>0</v>
      </c>
      <c r="F147" s="53">
        <f t="shared" si="7"/>
        <v>1257.5796479999999</v>
      </c>
      <c r="G147" s="68"/>
      <c r="H147" s="69"/>
      <c r="I147" s="36"/>
      <c r="L147" s="65"/>
      <c r="M147" s="65"/>
      <c r="N147" s="36"/>
    </row>
    <row r="148" spans="1:14" s="37" customFormat="1" x14ac:dyDescent="0.35">
      <c r="A148" s="63">
        <f t="shared" si="6"/>
        <v>5</v>
      </c>
      <c r="B148" s="64"/>
      <c r="C148" s="53" t="s">
        <v>196</v>
      </c>
      <c r="D148" s="48">
        <f>(49.86+6.9*0.75)*10.764</f>
        <v>592.39673999999991</v>
      </c>
      <c r="E148" s="53">
        <v>0</v>
      </c>
      <c r="F148" s="53">
        <f t="shared" si="7"/>
        <v>947.8347839999999</v>
      </c>
      <c r="G148" s="68"/>
      <c r="H148" s="69"/>
      <c r="I148" s="36"/>
      <c r="L148" s="65"/>
      <c r="M148" s="65"/>
      <c r="N148" s="36"/>
    </row>
    <row r="149" spans="1:14" s="37" customFormat="1" x14ac:dyDescent="0.35">
      <c r="A149" s="63">
        <f t="shared" si="6"/>
        <v>6</v>
      </c>
      <c r="B149" s="64"/>
      <c r="C149" s="53" t="s">
        <v>196</v>
      </c>
      <c r="D149" s="48">
        <f>(39.82+0.75*7.3)*10.764</f>
        <v>487.55538000000001</v>
      </c>
      <c r="E149" s="53">
        <f>(5.6*2.2)*10.764</f>
        <v>132.61248000000001</v>
      </c>
      <c r="F149" s="53">
        <f t="shared" si="7"/>
        <v>992.26857600000005</v>
      </c>
      <c r="G149" s="70"/>
      <c r="H149" s="71"/>
      <c r="I149" s="36"/>
      <c r="J149" s="37">
        <f>5.6*7.3</f>
        <v>40.879999999999995</v>
      </c>
      <c r="L149" s="65"/>
      <c r="M149" s="65"/>
      <c r="N149" s="36"/>
    </row>
    <row r="150" spans="1:14" s="37" customFormat="1" x14ac:dyDescent="0.35">
      <c r="A150" s="63"/>
      <c r="B150" s="76"/>
      <c r="C150" s="76"/>
      <c r="D150" s="76"/>
      <c r="E150" s="76"/>
      <c r="F150" s="76"/>
      <c r="G150" s="76"/>
      <c r="H150" s="64"/>
      <c r="I150" s="36"/>
      <c r="N150" s="36"/>
    </row>
    <row r="151" spans="1:14" ht="47.25" customHeight="1" x14ac:dyDescent="0.35">
      <c r="A151" s="85" t="s">
        <v>121</v>
      </c>
      <c r="B151" s="85" t="s">
        <v>122</v>
      </c>
      <c r="C151" s="81" t="s">
        <v>57</v>
      </c>
      <c r="D151" s="81" t="s">
        <v>58</v>
      </c>
      <c r="E151" s="83" t="s">
        <v>59</v>
      </c>
      <c r="F151" s="51" t="s">
        <v>152</v>
      </c>
      <c r="G151" s="85" t="s">
        <v>60</v>
      </c>
      <c r="H151" s="86"/>
      <c r="I151" s="36"/>
    </row>
    <row r="152" spans="1:14" s="37" customFormat="1" x14ac:dyDescent="0.35">
      <c r="A152" s="87"/>
      <c r="B152" s="87"/>
      <c r="C152" s="82"/>
      <c r="D152" s="82"/>
      <c r="E152" s="84"/>
      <c r="F152" s="13">
        <v>0.5</v>
      </c>
      <c r="G152" s="87"/>
      <c r="H152" s="88"/>
      <c r="I152" s="36"/>
    </row>
    <row r="153" spans="1:14" s="37" customFormat="1" x14ac:dyDescent="0.35">
      <c r="A153" s="73" t="s">
        <v>194</v>
      </c>
      <c r="B153" s="74"/>
      <c r="C153" s="74"/>
      <c r="D153" s="74"/>
      <c r="E153" s="74"/>
      <c r="F153" s="74"/>
      <c r="G153" s="74"/>
      <c r="H153" s="75"/>
      <c r="J153" s="36"/>
    </row>
    <row r="154" spans="1:14" s="37" customFormat="1" x14ac:dyDescent="0.35">
      <c r="A154" s="131" t="s">
        <v>197</v>
      </c>
      <c r="B154" s="131"/>
      <c r="C154" s="131"/>
      <c r="D154" s="131"/>
      <c r="E154" s="131"/>
      <c r="F154" s="131"/>
      <c r="G154" s="131"/>
      <c r="H154" s="131"/>
      <c r="I154" s="36"/>
      <c r="L154" s="65"/>
      <c r="M154" s="65"/>
    </row>
    <row r="155" spans="1:14" s="37" customFormat="1" ht="15.75" customHeight="1" x14ac:dyDescent="0.35">
      <c r="A155" s="72">
        <f>LEFT(A154,SUM(LEN(A154)-LEN(SUBSTITUTE(A154,{"0","1","2","3","4","5","6","7","8","9"},""))))*100+1</f>
        <v>201</v>
      </c>
      <c r="B155" s="72"/>
      <c r="C155" s="45">
        <v>1</v>
      </c>
      <c r="D155" s="48">
        <f>(30.57+0.75*(2.1+3+2.8)+1*2.75)*10.764</f>
        <v>422.43317999999994</v>
      </c>
      <c r="E155" s="53">
        <v>0</v>
      </c>
      <c r="F155" s="53">
        <f t="shared" ref="F155:F156" si="8">D155*(($F$152)+1)+(IF(E155&lt;101,E155,IF(E155&lt;201,E155/2,IF(E155&lt;=301,E155/3,E155/4))))</f>
        <v>633.64976999999988</v>
      </c>
      <c r="G155" s="66" t="str">
        <f>A154</f>
        <v>2nd Floor For Residential</v>
      </c>
      <c r="H155" s="67"/>
      <c r="I155" s="36">
        <f>4800*F155</f>
        <v>3041518.8959999993</v>
      </c>
      <c r="J155" s="37">
        <f>4.2*2.8+2.1*2.75+2*2.75+1.2*1.5+1.2*0.9+1.2*1.4+1.8*0.9</f>
        <v>29.215</v>
      </c>
      <c r="K155" s="37">
        <f>0.75*(2.1+3+2.8)+1*2.75</f>
        <v>8.6750000000000007</v>
      </c>
      <c r="N155" s="36"/>
    </row>
    <row r="156" spans="1:14" s="37" customFormat="1" x14ac:dyDescent="0.35">
      <c r="A156" s="72">
        <f>A155+1</f>
        <v>202</v>
      </c>
      <c r="B156" s="72"/>
      <c r="C156" s="45">
        <v>1</v>
      </c>
      <c r="D156" s="48">
        <f>(33.57+0.75*2.3)*10.764</f>
        <v>379.91537999999997</v>
      </c>
      <c r="E156" s="53">
        <f>(2.7*1.65+2.7*1.6)*10.764</f>
        <v>94.454099999999997</v>
      </c>
      <c r="F156" s="53">
        <f t="shared" si="8"/>
        <v>664.32717000000002</v>
      </c>
      <c r="G156" s="68"/>
      <c r="H156" s="69"/>
      <c r="I156" s="36">
        <f t="shared" ref="I156:I162" si="9">4800*F156</f>
        <v>3188770.4160000002</v>
      </c>
      <c r="J156" s="37" t="s">
        <v>216</v>
      </c>
      <c r="L156" s="46"/>
      <c r="N156" s="36"/>
    </row>
    <row r="157" spans="1:14" s="37" customFormat="1" x14ac:dyDescent="0.35">
      <c r="A157" s="72">
        <f>A156+1</f>
        <v>203</v>
      </c>
      <c r="B157" s="72"/>
      <c r="C157" s="45">
        <v>2</v>
      </c>
      <c r="D157" s="48">
        <f>(47.49+0.75*(2.75+2.75+2.55))*10.764</f>
        <v>576.17001000000005</v>
      </c>
      <c r="E157" s="53">
        <f>(2.7*1.65)*10.764</f>
        <v>47.953620000000001</v>
      </c>
      <c r="F157" s="53">
        <f>D157*(($F$152)+1)+(IF(E157&lt;101,E157,IF(E157&lt;201,E157/2,IF(E157&lt;=301,E157/3,E157/4))))</f>
        <v>912.20863500000007</v>
      </c>
      <c r="G157" s="68"/>
      <c r="H157" s="69"/>
      <c r="I157" s="36">
        <f t="shared" si="9"/>
        <v>4378601.4480000008</v>
      </c>
      <c r="N157" s="36"/>
    </row>
    <row r="158" spans="1:14" s="37" customFormat="1" x14ac:dyDescent="0.35">
      <c r="A158" s="72">
        <f>A157+1</f>
        <v>204</v>
      </c>
      <c r="B158" s="72"/>
      <c r="C158" s="45">
        <v>2</v>
      </c>
      <c r="D158" s="48">
        <f>(48.3+0.75*(2.75+2.75+2.55))*10.764</f>
        <v>584.88884999999993</v>
      </c>
      <c r="E158" s="53">
        <f>(2.7*2.7)*10.764</f>
        <v>78.469560000000001</v>
      </c>
      <c r="F158" s="53">
        <f>D158*(($F$152)+1)+(IF(E158&lt;101,E158,IF(E158&lt;201,E158/2,IF(E158&lt;=301,E158/3,E158/4))))</f>
        <v>955.80283499999996</v>
      </c>
      <c r="G158" s="68"/>
      <c r="H158" s="69"/>
      <c r="I158" s="36">
        <f t="shared" si="9"/>
        <v>4587853.608</v>
      </c>
      <c r="J158" s="37" t="s">
        <v>216</v>
      </c>
      <c r="N158" s="36"/>
    </row>
    <row r="159" spans="1:14" s="37" customFormat="1" x14ac:dyDescent="0.35">
      <c r="A159" s="72">
        <f>A158+1</f>
        <v>205</v>
      </c>
      <c r="B159" s="72"/>
      <c r="C159" s="45">
        <v>2</v>
      </c>
      <c r="D159" s="48">
        <f>(44.3+0.75*(2.75+3.05+2.1))*10.764</f>
        <v>540.62189999999987</v>
      </c>
      <c r="E159" s="53">
        <f>(2.85*1.8)*10.764</f>
        <v>55.219319999999996</v>
      </c>
      <c r="F159" s="53">
        <f>D159*(($F$152)+1)+(IF(E159&lt;101,E159,IF(E159&lt;201,E159/2,IF(E159&lt;=301,E159/3,E159/4))))</f>
        <v>866.15216999999984</v>
      </c>
      <c r="G159" s="68"/>
      <c r="H159" s="69"/>
      <c r="I159" s="36">
        <f t="shared" si="9"/>
        <v>4157530.4159999993</v>
      </c>
      <c r="N159" s="36"/>
    </row>
    <row r="160" spans="1:14" s="37" customFormat="1" x14ac:dyDescent="0.35">
      <c r="A160" s="72">
        <f t="shared" ref="A160:A162" si="10">A159+1</f>
        <v>206</v>
      </c>
      <c r="B160" s="72"/>
      <c r="C160" s="45">
        <v>1</v>
      </c>
      <c r="D160" s="48">
        <f>(34.12+0.75*(2.75+2.1))*10.764</f>
        <v>406.42172999999997</v>
      </c>
      <c r="E160" s="53">
        <f>(2.7*1.25)*10.764</f>
        <v>36.328499999999998</v>
      </c>
      <c r="F160" s="53">
        <f t="shared" ref="F160:F161" si="11">D160*(($F$152)+1)+(IF(E160&lt;101,E160,IF(E160&lt;201,E160/2,IF(E160&lt;=301,E160/3,E160/4))))</f>
        <v>645.96109499999989</v>
      </c>
      <c r="G160" s="68"/>
      <c r="H160" s="69"/>
      <c r="I160" s="36">
        <f t="shared" si="9"/>
        <v>3100613.2559999996</v>
      </c>
      <c r="N160" s="36"/>
    </row>
    <row r="161" spans="1:14" s="37" customFormat="1" x14ac:dyDescent="0.35">
      <c r="A161" s="72">
        <f t="shared" si="10"/>
        <v>207</v>
      </c>
      <c r="B161" s="72"/>
      <c r="C161" s="45">
        <v>1</v>
      </c>
      <c r="D161" s="48">
        <f>(30.12+1*(2.6+2.75))*10.764</f>
        <v>381.79907999999995</v>
      </c>
      <c r="E161" s="53">
        <f>(2.7*1.45+2.75*1.05)*10.764</f>
        <v>73.222110000000001</v>
      </c>
      <c r="F161" s="53">
        <f t="shared" si="11"/>
        <v>645.92072999999993</v>
      </c>
      <c r="G161" s="68"/>
      <c r="H161" s="69"/>
      <c r="I161" s="36">
        <f t="shared" si="9"/>
        <v>3100419.5039999997</v>
      </c>
      <c r="L161" s="46"/>
      <c r="N161" s="36"/>
    </row>
    <row r="162" spans="1:14" s="37" customFormat="1" x14ac:dyDescent="0.35">
      <c r="A162" s="72">
        <f t="shared" si="10"/>
        <v>208</v>
      </c>
      <c r="B162" s="72"/>
      <c r="C162" s="45">
        <v>1</v>
      </c>
      <c r="D162" s="48">
        <f>(30.12+1*(2.75+2.6))*10.764</f>
        <v>381.79907999999995</v>
      </c>
      <c r="E162" s="53">
        <f>(2.75*1.05+2.7*1.45)*10.764</f>
        <v>73.222110000000001</v>
      </c>
      <c r="F162" s="53">
        <f>D162*(($F$152)+1)+(IF(E162&lt;101,E162,IF(E162&lt;201,E162/2,IF(E162&lt;=301,E162/3,E162/4))))</f>
        <v>645.92072999999993</v>
      </c>
      <c r="G162" s="70"/>
      <c r="H162" s="71"/>
      <c r="I162" s="36">
        <f t="shared" si="9"/>
        <v>3100419.5039999997</v>
      </c>
      <c r="N162" s="36"/>
    </row>
    <row r="163" spans="1:14" s="37" customFormat="1" ht="15.75" customHeight="1" x14ac:dyDescent="0.35">
      <c r="A163" s="73" t="s">
        <v>198</v>
      </c>
      <c r="B163" s="74"/>
      <c r="C163" s="74"/>
      <c r="D163" s="74"/>
      <c r="E163" s="74"/>
      <c r="F163" s="74"/>
      <c r="G163" s="74"/>
      <c r="H163" s="75"/>
      <c r="I163" s="36">
        <f t="shared" ref="I163:I187" si="12">4500*F163</f>
        <v>0</v>
      </c>
    </row>
    <row r="164" spans="1:14" s="37" customFormat="1" ht="15.75" customHeight="1" x14ac:dyDescent="0.35">
      <c r="A164" s="63" t="s">
        <v>201</v>
      </c>
      <c r="B164" s="64"/>
      <c r="C164" s="45">
        <v>1</v>
      </c>
      <c r="D164" s="48">
        <f>(30.57+0.75*(2.8+2.1+3)+1*2.75)*10.764</f>
        <v>422.43318000000005</v>
      </c>
      <c r="E164" s="53">
        <v>0</v>
      </c>
      <c r="F164" s="53">
        <f t="shared" ref="F164:F171" si="13">D164*(($F$152)+1)+(IF(E164&lt;101,E164,IF(E164&lt;201,E164/2,IF(E164&lt;=301,E164/3,E164/4))))</f>
        <v>633.6497700000001</v>
      </c>
      <c r="G164" s="66" t="str">
        <f>A163</f>
        <v>3rd, 4th, 5th, 6th, 7th, 9th, 10th, 11th &amp; 12th Floor</v>
      </c>
      <c r="H164" s="67"/>
      <c r="I164" s="36">
        <f t="shared" si="12"/>
        <v>2851423.9650000003</v>
      </c>
    </row>
    <row r="165" spans="1:14" s="37" customFormat="1" ht="15.75" customHeight="1" x14ac:dyDescent="0.35">
      <c r="A165" s="63" t="str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10^ROW(INDIRECT("1:"&amp;LEN((LEFT(A164,SUM(LEN(A164)-LEN(SUBSTITUTE(A164,{"0","1","2"},""))))))))/10))*1+1&amp;""&amp;" ,.., "&amp;""&amp;(SUMPRODUCT(MID(0&amp;(--TRIM(RIGHT(SUBSTITUTE(LEFT(A164,_xlfn.AGGREGATE(16,6,FIND({0,1,2,3,4,5,6,7,8,9},A164,ROW(INDIRECT("1:"&amp;LEN(A164)))),1)),"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",LEN(A164))),LEN(A164)))))))/10))*1+1</f>
        <v>302 ,.., 1202</v>
      </c>
      <c r="B165" s="64"/>
      <c r="C165" s="45">
        <v>1</v>
      </c>
      <c r="D165" s="48">
        <f>(33.57+0.75*(2.75+2.3+2.75))*10.764</f>
        <v>424.31687999999997</v>
      </c>
      <c r="E165" s="53">
        <v>0</v>
      </c>
      <c r="F165" s="53">
        <f t="shared" si="13"/>
        <v>636.47532000000001</v>
      </c>
      <c r="G165" s="68"/>
      <c r="H165" s="69"/>
      <c r="I165" s="36">
        <f t="shared" si="12"/>
        <v>2864138.94</v>
      </c>
    </row>
    <row r="166" spans="1:14" s="37" customFormat="1" ht="15.75" customHeight="1" x14ac:dyDescent="0.35">
      <c r="A166" s="63" t="str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10^ROW(INDIRECT("1:"&amp;LEN((LEFT(A165,SUM(LEN(A165)-LEN(SUBSTITUTE(A165,{"0","1","2"},""))))))))/10))*1+1&amp;""&amp;" ,.., "&amp;""&amp;(SUMPRODUCT(MID(0&amp;(--TRIM(RIGHT(SUBSTITUTE(LEFT(A165,_xlfn.AGGREGATE(16,6,FIND({0,1,2,3,4,5,6,7,8,9},A165,ROW(INDIRECT("1:"&amp;LEN(A165)))),1)),"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",LEN(A165))),LEN(A165)))))))/10))*1+1</f>
        <v>303 ,.., 1203</v>
      </c>
      <c r="B166" s="64"/>
      <c r="C166" s="45">
        <v>2</v>
      </c>
      <c r="D166" s="48">
        <f>(47.49+0.75*(2.75+2.55+2.75+2.75))*10.764</f>
        <v>598.37076000000002</v>
      </c>
      <c r="E166" s="53">
        <v>0</v>
      </c>
      <c r="F166" s="53">
        <f t="shared" si="13"/>
        <v>897.55614000000003</v>
      </c>
      <c r="G166" s="68"/>
      <c r="H166" s="69"/>
      <c r="I166" s="36">
        <f t="shared" si="12"/>
        <v>4039002.6300000004</v>
      </c>
    </row>
    <row r="167" spans="1:14" s="37" customFormat="1" ht="15.75" customHeight="1" x14ac:dyDescent="0.35">
      <c r="A167" s="63" t="str">
        <f ca="1">(SUMPRODUCT(MID(0&amp;(LEFT(A166,SUM(LEN(A166)-LEN(SUBSTITUTE(A166,{"0","1","2"},""))))), LARGE(INDEX(ISNUMBER(--MID((LEFT(A166,SUM(LEN(A166)-LEN(SUBSTITUTE(A166,{"0","1","2"},""))))), ROW(INDIRECT("1:"&amp;LEN((LEFT(A166,SUM(LEN(A166)-LEN(SUBSTITUTE(A166,{"0","1","2"},"")))))))), 1)) * ROW(INDIRECT("1:"&amp;LEN((LEFT(A166,SUM(LEN(A166)-LEN(SUBSTITUTE(A166,{"0","1","2"},"")))))))), 0), ROW(INDIRECT("1:"&amp;LEN((LEFT(A166,SUM(LEN(A166)-LEN(SUBSTITUTE(A166,{"0","1","2"},"")))))))))+1, 1) * 10^ROW(INDIRECT("1:"&amp;LEN((LEFT(A166,SUM(LEN(A166)-LEN(SUBSTITUTE(A166,{"0","1","2"},""))))))))/10))*1+1&amp;""&amp;" ,.., "&amp;""&amp;(SUMPRODUCT(MID(0&amp;(--TRIM(RIGHT(SUBSTITUTE(LEFT(A166,_xlfn.AGGREGATE(16,6,FIND({0,1,2,3,4,5,6,7,8,9},A166,ROW(INDIRECT("1:"&amp;LEN(A166)))),1))," ",REPT(" ",LEN(A166))),LEN(A166)))), LARGE(INDEX(ISNUMBER(--MID((--TRIM(RIGHT(SUBSTITUTE(LEFT(A166,_xlfn.AGGREGATE(16,6,FIND({0,1,2,3,4,5,6,7,8,9},A166,ROW(INDIRECT("1:"&amp;LEN(A166)))),1))," ",REPT(" ",LEN(A166))),LEN(A166)))), ROW(INDIRECT("1:"&amp;LEN((--TRIM(RIGHT(SUBSTITUTE(LEFT(A166,_xlfn.AGGREGATE(16,6,FIND({0,1,2,3,4,5,6,7,8,9},A166,ROW(INDIRECT("1:"&amp;LEN(A166)))),1))," ",REPT(" ",LEN(A166))),LEN(A166))))))), 1)) * ROW(INDIRECT("1:"&amp;LEN((--TRIM(RIGHT(SUBSTITUTE(LEFT(A166,_xlfn.AGGREGATE(16,6,FIND({0,1,2,3,4,5,6,7,8,9},A166,ROW(INDIRECT("1:"&amp;LEN(A166)))),1))," ",REPT(" ",LEN(A166))),LEN(A166))))))), 0), ROW(INDIRECT("1:"&amp;LEN((--TRIM(RIGHT(SUBSTITUTE(LEFT(A166,_xlfn.AGGREGATE(16,6,FIND({0,1,2,3,4,5,6,7,8,9},A166,ROW(INDIRECT("1:"&amp;LEN(A166)))),1))," ",REPT(" ",LEN(A166))),LEN(A166))))))))+1, 1) * 10^ROW(INDIRECT("1:"&amp;LEN((--TRIM(RIGHT(SUBSTITUTE(LEFT(A166,_xlfn.AGGREGATE(16,6,FIND({0,1,2,3,4,5,6,7,8,9},A166,ROW(INDIRECT("1:"&amp;LEN(A166)))),1))," ",REPT(" ",LEN(A166))),LEN(A166)))))))/10))*1+1</f>
        <v>304 ,.., 1204</v>
      </c>
      <c r="B167" s="64"/>
      <c r="C167" s="45">
        <v>2</v>
      </c>
      <c r="D167" s="48">
        <f>(48.3+0.75*(2.75+2.55+2.75+2.75))*10.764</f>
        <v>607.0895999999999</v>
      </c>
      <c r="E167" s="53">
        <v>0</v>
      </c>
      <c r="F167" s="53">
        <f t="shared" si="13"/>
        <v>910.63439999999991</v>
      </c>
      <c r="G167" s="68"/>
      <c r="H167" s="69"/>
      <c r="I167" s="36">
        <f t="shared" si="12"/>
        <v>4097854.8</v>
      </c>
      <c r="J167" s="37" t="s">
        <v>216</v>
      </c>
    </row>
    <row r="168" spans="1:14" s="37" customFormat="1" ht="15.75" customHeight="1" x14ac:dyDescent="0.35">
      <c r="A168" s="63" t="str">
        <f ca="1">(SUMPRODUCT(MID(0&amp;(LEFT(A167,SUM(LEN(A167)-LEN(SUBSTITUTE(A167,{"0","1","2"},""))))), LARGE(INDEX(ISNUMBER(--MID((LEFT(A167,SUM(LEN(A167)-LEN(SUBSTITUTE(A167,{"0","1","2"},""))))), ROW(INDIRECT("1:"&amp;LEN((LEFT(A167,SUM(LEN(A167)-LEN(SUBSTITUTE(A167,{"0","1","2"},"")))))))), 1)) * ROW(INDIRECT("1:"&amp;LEN((LEFT(A167,SUM(LEN(A167)-LEN(SUBSTITUTE(A167,{"0","1","2"},"")))))))), 0), ROW(INDIRECT("1:"&amp;LEN((LEFT(A167,SUM(LEN(A167)-LEN(SUBSTITUTE(A167,{"0","1","2"},"")))))))))+1, 1) * 10^ROW(INDIRECT("1:"&amp;LEN((LEFT(A167,SUM(LEN(A167)-LEN(SUBSTITUTE(A167,{"0","1","2"},""))))))))/10))*1+1&amp;""&amp;" ,.., "&amp;""&amp;(SUMPRODUCT(MID(0&amp;(--TRIM(RIGHT(SUBSTITUTE(LEFT(A167,_xlfn.AGGREGATE(16,6,FIND({0,1,2,3,4,5,6,7,8,9},A167,ROW(INDIRECT("1:"&amp;LEN(A167)))),1))," ",REPT(" ",LEN(A167))),LEN(A167)))), LARGE(INDEX(ISNUMBER(--MID((--TRIM(RIGHT(SUBSTITUTE(LEFT(A167,_xlfn.AGGREGATE(16,6,FIND({0,1,2,3,4,5,6,7,8,9},A167,ROW(INDIRECT("1:"&amp;LEN(A167)))),1))," ",REPT(" ",LEN(A167))),LEN(A167)))), ROW(INDIRECT("1:"&amp;LEN((--TRIM(RIGHT(SUBSTITUTE(LEFT(A167,_xlfn.AGGREGATE(16,6,FIND({0,1,2,3,4,5,6,7,8,9},A167,ROW(INDIRECT("1:"&amp;LEN(A167)))),1))," ",REPT(" ",LEN(A167))),LEN(A167))))))), 1)) * ROW(INDIRECT("1:"&amp;LEN((--TRIM(RIGHT(SUBSTITUTE(LEFT(A167,_xlfn.AGGREGATE(16,6,FIND({0,1,2,3,4,5,6,7,8,9},A167,ROW(INDIRECT("1:"&amp;LEN(A167)))),1))," ",REPT(" ",LEN(A167))),LEN(A167))))))), 0), ROW(INDIRECT("1:"&amp;LEN((--TRIM(RIGHT(SUBSTITUTE(LEFT(A167,_xlfn.AGGREGATE(16,6,FIND({0,1,2,3,4,5,6,7,8,9},A167,ROW(INDIRECT("1:"&amp;LEN(A167)))),1))," ",REPT(" ",LEN(A167))),LEN(A167))))))))+1, 1) * 10^ROW(INDIRECT("1:"&amp;LEN((--TRIM(RIGHT(SUBSTITUTE(LEFT(A167,_xlfn.AGGREGATE(16,6,FIND({0,1,2,3,4,5,6,7,8,9},A167,ROW(INDIRECT("1:"&amp;LEN(A167)))),1))," ",REPT(" ",LEN(A167))),LEN(A167)))))))/10))*1+1</f>
        <v>305 ,.., 1205</v>
      </c>
      <c r="B168" s="64"/>
      <c r="C168" s="45">
        <v>2</v>
      </c>
      <c r="D168" s="48">
        <f>(44.3+0.75*(2.75+3.05+2.1+1.8))*10.764</f>
        <v>555.15329999999994</v>
      </c>
      <c r="E168" s="53">
        <v>0</v>
      </c>
      <c r="F168" s="53">
        <f t="shared" si="13"/>
        <v>832.72994999999992</v>
      </c>
      <c r="G168" s="68"/>
      <c r="H168" s="69"/>
      <c r="I168" s="36">
        <f t="shared" si="12"/>
        <v>3747284.7749999994</v>
      </c>
    </row>
    <row r="169" spans="1:14" s="37" customFormat="1" ht="15.75" customHeight="1" x14ac:dyDescent="0.35">
      <c r="A169" s="63" t="str">
        <f ca="1">(SUMPRODUCT(MID(0&amp;(LEFT(A168,SUM(LEN(A168)-LEN(SUBSTITUTE(A168,{"0","1","2"},""))))), LARGE(INDEX(ISNUMBER(--MID((LEFT(A168,SUM(LEN(A168)-LEN(SUBSTITUTE(A168,{"0","1","2"},""))))), ROW(INDIRECT("1:"&amp;LEN((LEFT(A168,SUM(LEN(A168)-LEN(SUBSTITUTE(A168,{"0","1","2"},"")))))))), 1)) * ROW(INDIRECT("1:"&amp;LEN((LEFT(A168,SUM(LEN(A168)-LEN(SUBSTITUTE(A168,{"0","1","2"},"")))))))), 0), ROW(INDIRECT("1:"&amp;LEN((LEFT(A168,SUM(LEN(A168)-LEN(SUBSTITUTE(A168,{"0","1","2"},"")))))))))+1, 1) * 10^ROW(INDIRECT("1:"&amp;LEN((LEFT(A168,SUM(LEN(A168)-LEN(SUBSTITUTE(A168,{"0","1","2"},""))))))))/10))*1+1&amp;""&amp;" ,.., "&amp;""&amp;(SUMPRODUCT(MID(0&amp;(--TRIM(RIGHT(SUBSTITUTE(LEFT(A168,_xlfn.AGGREGATE(16,6,FIND({0,1,2,3,4,5,6,7,8,9},A168,ROW(INDIRECT("1:"&amp;LEN(A168)))),1))," ",REPT(" ",LEN(A168))),LEN(A168)))), LARGE(INDEX(ISNUMBER(--MID((--TRIM(RIGHT(SUBSTITUTE(LEFT(A168,_xlfn.AGGREGATE(16,6,FIND({0,1,2,3,4,5,6,7,8,9},A168,ROW(INDIRECT("1:"&amp;LEN(A168)))),1))," ",REPT(" ",LEN(A168))),LEN(A168)))), ROW(INDIRECT("1:"&amp;LEN((--TRIM(RIGHT(SUBSTITUTE(LEFT(A168,_xlfn.AGGREGATE(16,6,FIND({0,1,2,3,4,5,6,7,8,9},A168,ROW(INDIRECT("1:"&amp;LEN(A168)))),1))," ",REPT(" ",LEN(A168))),LEN(A168))))))), 1)) * ROW(INDIRECT("1:"&amp;LEN((--TRIM(RIGHT(SUBSTITUTE(LEFT(A168,_xlfn.AGGREGATE(16,6,FIND({0,1,2,3,4,5,6,7,8,9},A168,ROW(INDIRECT("1:"&amp;LEN(A168)))),1))," ",REPT(" ",LEN(A168))),LEN(A168))))))), 0), ROW(INDIRECT("1:"&amp;LEN((--TRIM(RIGHT(SUBSTITUTE(LEFT(A168,_xlfn.AGGREGATE(16,6,FIND({0,1,2,3,4,5,6,7,8,9},A168,ROW(INDIRECT("1:"&amp;LEN(A168)))),1))," ",REPT(" ",LEN(A168))),LEN(A168))))))))+1, 1) * 10^ROW(INDIRECT("1:"&amp;LEN((--TRIM(RIGHT(SUBSTITUTE(LEFT(A168,_xlfn.AGGREGATE(16,6,FIND({0,1,2,3,4,5,6,7,8,9},A168,ROW(INDIRECT("1:"&amp;LEN(A168)))),1))," ",REPT(" ",LEN(A168))),LEN(A168)))))))/10))*1+1</f>
        <v>306 ,.., 1206</v>
      </c>
      <c r="B169" s="64"/>
      <c r="C169" s="45">
        <v>1</v>
      </c>
      <c r="D169" s="49">
        <f>(34.12+0.75*(2.75+2.1+2.75))*10.764</f>
        <v>428.62247999999988</v>
      </c>
      <c r="E169" s="53">
        <v>0</v>
      </c>
      <c r="F169" s="53">
        <f t="shared" si="13"/>
        <v>642.93371999999977</v>
      </c>
      <c r="G169" s="68"/>
      <c r="H169" s="69"/>
      <c r="I169" s="36">
        <f t="shared" si="12"/>
        <v>2893201.7399999988</v>
      </c>
      <c r="J169" s="37" t="s">
        <v>218</v>
      </c>
    </row>
    <row r="170" spans="1:14" s="37" customFormat="1" ht="15.75" customHeight="1" x14ac:dyDescent="0.35">
      <c r="A170" s="63" t="str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10^ROW(INDIRECT("1:"&amp;LEN((LEFT(A169,SUM(LEN(A169)-LEN(SUBSTITUTE(A169,{"0","1","2"},""))))))))/10))*1+1&amp;""&amp;" ,.., "&amp;""&amp;(SUMPRODUCT(MID(0&amp;(--TRIM(RIGHT(SUBSTITUTE(LEFT(A169,_xlfn.AGGREGATE(16,6,FIND({0,1,2,3,4,5,6,7,8,9},A169,ROW(INDIRECT("1:"&amp;LEN(A169)))),1)),"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",LEN(A169))),LEN(A169)))))))/10))*1+1</f>
        <v>307 ,.., 1207</v>
      </c>
      <c r="B170" s="64"/>
      <c r="C170" s="45">
        <v>1</v>
      </c>
      <c r="D170" s="48">
        <f>(30.12+0.75*2.75+1*(2.6+2.75))*10.764</f>
        <v>403.99983000000003</v>
      </c>
      <c r="E170" s="53">
        <v>0</v>
      </c>
      <c r="F170" s="53">
        <f t="shared" si="13"/>
        <v>605.99974500000008</v>
      </c>
      <c r="G170" s="68"/>
      <c r="H170" s="69"/>
      <c r="I170" s="36">
        <f t="shared" si="12"/>
        <v>2726998.8525000005</v>
      </c>
      <c r="J170" s="37" t="s">
        <v>216</v>
      </c>
    </row>
    <row r="171" spans="1:14" s="37" customFormat="1" ht="15.75" customHeight="1" x14ac:dyDescent="0.35">
      <c r="A171" s="63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10^ROW(INDIRECT("1:"&amp;LEN((LEFT(A170,SUM(LEN(A170)-LEN(SUBSTITUTE(A170,{"0","1","2"},""))))))))/10))*1+1&amp;""&amp;" ,..,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",LEN(A170))),LEN(A170)))))))/10))*1+1</f>
        <v>308 ,.., 1208</v>
      </c>
      <c r="B171" s="64"/>
      <c r="C171" s="45">
        <v>1</v>
      </c>
      <c r="D171" s="48">
        <f>(30.12+0.75*2.75+1*(2.6+2.75))*10.764</f>
        <v>403.99983000000003</v>
      </c>
      <c r="E171" s="53">
        <v>0</v>
      </c>
      <c r="F171" s="53">
        <f t="shared" si="13"/>
        <v>605.99974500000008</v>
      </c>
      <c r="G171" s="70"/>
      <c r="H171" s="71"/>
      <c r="I171" s="36">
        <f t="shared" si="12"/>
        <v>2726998.8525000005</v>
      </c>
    </row>
    <row r="172" spans="1:14" s="37" customFormat="1" x14ac:dyDescent="0.35">
      <c r="A172" s="73" t="s">
        <v>199</v>
      </c>
      <c r="B172" s="74"/>
      <c r="C172" s="74"/>
      <c r="D172" s="74"/>
      <c r="E172" s="74"/>
      <c r="F172" s="74"/>
      <c r="G172" s="74"/>
      <c r="H172" s="75"/>
      <c r="I172" s="36">
        <f t="shared" si="12"/>
        <v>0</v>
      </c>
    </row>
    <row r="173" spans="1:14" s="37" customFormat="1" ht="15.75" customHeight="1" x14ac:dyDescent="0.35">
      <c r="A173" s="63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10^ROW(INDIRECT("1:"&amp;LEN((LEFT(A172,SUM(LEN(A172)-LEN(SUBSTITUTE(A172,{"0","1","2"},""))))))))/10))*100+1&amp;""&amp;" &amp;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",LEN(A172))),LEN(A172)))))))/10))*100+1</f>
        <v>801 &amp; 1301</v>
      </c>
      <c r="B173" s="64"/>
      <c r="C173" s="45">
        <v>1</v>
      </c>
      <c r="D173" s="48">
        <f>(30.57+0.75*(2.8+2.1+3)+1*2.75)*10.764</f>
        <v>422.43318000000005</v>
      </c>
      <c r="E173" s="53">
        <v>0</v>
      </c>
      <c r="F173" s="53">
        <f>D173*(($F$152)+1)+(IF(E173&lt;101,E173,IF(E173&lt;201,E173/2,IF(E173&lt;=301,E173/3,E173/4))))</f>
        <v>633.6497700000001</v>
      </c>
      <c r="G173" s="66" t="str">
        <f>A172</f>
        <v>8th &amp; 13th Floor (Part Refuge Area)</v>
      </c>
      <c r="H173" s="67"/>
      <c r="I173" s="36">
        <f t="shared" si="12"/>
        <v>2851423.9650000003</v>
      </c>
    </row>
    <row r="174" spans="1:14" s="37" customFormat="1" x14ac:dyDescent="0.35">
      <c r="A174" s="63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10^ROW(INDIRECT("1:"&amp;LEN((LEFT(A173,SUM(LEN(A173)-LEN(SUBSTITUTE(A173,{"0","1","2"},""))))))))/10))*1+1&amp;""&amp;" &amp;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",LEN(A173))),LEN(A173)))))))/10))*1+1</f>
        <v>802 &amp; 1302</v>
      </c>
      <c r="B174" s="64"/>
      <c r="C174" s="45">
        <v>1</v>
      </c>
      <c r="D174" s="48">
        <f>(33.57+0.75*(2.75+2.3+2.75))*10.764</f>
        <v>424.31687999999997</v>
      </c>
      <c r="E174" s="53">
        <v>0</v>
      </c>
      <c r="F174" s="53">
        <f>D174*(($F$152)+1)+(IF(E174&lt;101,E174,IF(E174&lt;201,E174/2,IF(E174&lt;=301,E174/3,E174/4))))</f>
        <v>636.47532000000001</v>
      </c>
      <c r="G174" s="68"/>
      <c r="H174" s="69"/>
      <c r="I174" s="36">
        <f t="shared" si="12"/>
        <v>2864138.94</v>
      </c>
      <c r="J174" s="37" t="s">
        <v>216</v>
      </c>
    </row>
    <row r="175" spans="1:14" s="37" customFormat="1" x14ac:dyDescent="0.35">
      <c r="A175" s="63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&amp;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803 &amp; 1303</v>
      </c>
      <c r="B175" s="64"/>
      <c r="C175" s="45">
        <v>2</v>
      </c>
      <c r="D175" s="48">
        <f>(47.49+0.75*(2.75+2.55+2.75+2.75))*10.764</f>
        <v>598.37076000000002</v>
      </c>
      <c r="E175" s="53">
        <v>0</v>
      </c>
      <c r="F175" s="53">
        <f>D175*(($F$152)+1)+(IF(E175&lt;101,E175,IF(E175&lt;201,E175/2,IF(E175&lt;=301,E175/3,E175/4))))</f>
        <v>897.55614000000003</v>
      </c>
      <c r="G175" s="68"/>
      <c r="H175" s="69"/>
      <c r="I175" s="36">
        <f t="shared" si="12"/>
        <v>4039002.6300000004</v>
      </c>
    </row>
    <row r="176" spans="1:14" s="37" customFormat="1" x14ac:dyDescent="0.35">
      <c r="A176" s="63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10^ROW(INDIRECT("1:"&amp;LEN((LEFT(A175,SUM(LEN(A175)-LEN(SUBSTITUTE(A175,{"0","1","2"},""))))))))/10))*1+1&amp;""&amp;" &amp;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",LEN(A175))),LEN(A175)))))))/10))*1+1</f>
        <v>804 &amp; 1304</v>
      </c>
      <c r="B176" s="64"/>
      <c r="C176" s="45">
        <v>2</v>
      </c>
      <c r="D176" s="48">
        <f>(48.3+0.75*(2.75+2.55+2.75+2.75))*10.764</f>
        <v>607.0895999999999</v>
      </c>
      <c r="E176" s="53">
        <v>0</v>
      </c>
      <c r="F176" s="53">
        <f>D176*(($F$152)+1)+(IF(E176&lt;101,E176,IF(E176&lt;201,E176/2,IF(E176&lt;=301,E176/3,E176/4))))</f>
        <v>910.63439999999991</v>
      </c>
      <c r="G176" s="68"/>
      <c r="H176" s="69"/>
      <c r="I176" s="36">
        <f t="shared" si="12"/>
        <v>4097854.8</v>
      </c>
    </row>
    <row r="177" spans="1:10" s="37" customFormat="1" x14ac:dyDescent="0.35">
      <c r="A177" s="63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&amp;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805 &amp; 1305</v>
      </c>
      <c r="B177" s="64"/>
      <c r="C177" s="45">
        <v>2</v>
      </c>
      <c r="D177" s="48">
        <f>(44.3+0.75*(2.75+3.05+2.1+1.8))*10.764</f>
        <v>555.15329999999994</v>
      </c>
      <c r="E177" s="53">
        <v>0</v>
      </c>
      <c r="F177" s="53">
        <f>D177*(($F$152)+1)+(IF(E177&lt;101,E177,IF(E177&lt;201,E177/2,IF(E177&lt;=301,E177/3,E177/4))))</f>
        <v>832.72994999999992</v>
      </c>
      <c r="G177" s="68"/>
      <c r="H177" s="69"/>
      <c r="I177" s="36">
        <f t="shared" si="12"/>
        <v>3747284.7749999994</v>
      </c>
    </row>
    <row r="178" spans="1:10" s="37" customFormat="1" x14ac:dyDescent="0.35">
      <c r="A178" s="63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&amp;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806 &amp; 1306</v>
      </c>
      <c r="B178" s="64"/>
      <c r="C178" s="178" t="s">
        <v>200</v>
      </c>
      <c r="D178" s="179"/>
      <c r="E178" s="179"/>
      <c r="F178" s="180"/>
      <c r="G178" s="68"/>
      <c r="H178" s="69"/>
      <c r="I178" s="36">
        <f t="shared" si="12"/>
        <v>0</v>
      </c>
    </row>
    <row r="179" spans="1:10" s="37" customFormat="1" x14ac:dyDescent="0.35">
      <c r="A179" s="63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&amp;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807 &amp; 1307</v>
      </c>
      <c r="B179" s="64"/>
      <c r="C179" s="45">
        <v>1</v>
      </c>
      <c r="D179" s="48">
        <f>(30.12+0.75*2.75+1*(2.6+2.75))*10.764</f>
        <v>403.99983000000003</v>
      </c>
      <c r="E179" s="53">
        <v>0</v>
      </c>
      <c r="F179" s="53">
        <f>D179*(($F$152)+1)+(IF(E179&lt;101,E179,IF(E179&lt;201,E179/2,IF(E179&lt;=301,E179/3,E179/4))))</f>
        <v>605.99974500000008</v>
      </c>
      <c r="G179" s="68"/>
      <c r="H179" s="69"/>
      <c r="I179" s="36">
        <f t="shared" si="12"/>
        <v>2726998.8525000005</v>
      </c>
    </row>
    <row r="180" spans="1:10" s="37" customFormat="1" x14ac:dyDescent="0.35">
      <c r="A180" s="63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&amp;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808 &amp; 1308</v>
      </c>
      <c r="B180" s="64"/>
      <c r="C180" s="45">
        <v>1</v>
      </c>
      <c r="D180" s="48">
        <f>(30.12+0.75*2.75+1*(2.6+2.75))*10.764</f>
        <v>403.99983000000003</v>
      </c>
      <c r="E180" s="53">
        <v>0</v>
      </c>
      <c r="F180" s="53">
        <f>D180*(($F$152)+1)+(IF(E180&lt;101,E180,IF(E180&lt;201,E180/2,IF(E180&lt;=301,E180/3,E180/4))))</f>
        <v>605.99974500000008</v>
      </c>
      <c r="G180" s="70"/>
      <c r="H180" s="71"/>
      <c r="I180" s="36">
        <f t="shared" si="12"/>
        <v>2726998.8525000005</v>
      </c>
    </row>
    <row r="181" spans="1:10" s="37" customFormat="1" x14ac:dyDescent="0.35">
      <c r="A181" s="73" t="s">
        <v>202</v>
      </c>
      <c r="B181" s="74"/>
      <c r="C181" s="74"/>
      <c r="D181" s="74"/>
      <c r="E181" s="74"/>
      <c r="F181" s="74"/>
      <c r="G181" s="74"/>
      <c r="H181" s="75"/>
      <c r="I181" s="36">
        <f t="shared" si="12"/>
        <v>0</v>
      </c>
      <c r="J181" s="36"/>
    </row>
    <row r="182" spans="1:10" s="37" customFormat="1" x14ac:dyDescent="0.35">
      <c r="A182" s="73" t="s">
        <v>203</v>
      </c>
      <c r="B182" s="74"/>
      <c r="C182" s="74"/>
      <c r="D182" s="74"/>
      <c r="E182" s="74"/>
      <c r="F182" s="74"/>
      <c r="G182" s="74"/>
      <c r="H182" s="75"/>
      <c r="I182" s="36">
        <f t="shared" si="12"/>
        <v>0</v>
      </c>
      <c r="J182" s="36"/>
    </row>
    <row r="183" spans="1:10" s="37" customFormat="1" x14ac:dyDescent="0.35">
      <c r="A183" s="73" t="s">
        <v>204</v>
      </c>
      <c r="B183" s="74"/>
      <c r="C183" s="74"/>
      <c r="D183" s="74"/>
      <c r="E183" s="74"/>
      <c r="F183" s="74"/>
      <c r="G183" s="74"/>
      <c r="H183" s="75"/>
      <c r="I183" s="36">
        <f t="shared" si="12"/>
        <v>0</v>
      </c>
    </row>
    <row r="184" spans="1:10" s="37" customFormat="1" ht="15.75" customHeight="1" x14ac:dyDescent="0.35">
      <c r="A184" s="63" t="str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10^ROW(INDIRECT("1:"&amp;LEN((LEFT(A183,SUM(LEN(A183)-LEN(SUBSTITUTE(A183,{"0","1","2"},""))))))))/10))*100+1&amp;""&amp;" to "&amp;""&amp;(SUMPRODUCT(MID(0&amp;(--TRIM(RIGHT(SUBSTITUTE(LEFT(A183,_xlfn.AGGREGATE(16,6,FIND({0,1,2,3,4,5,6,7,8,9},A183,ROW(INDIRECT("1:"&amp;LEN(A183)))),1)),"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",LEN(A183))),LEN(A183)))))))/10))*100+1</f>
        <v>101 to 601</v>
      </c>
      <c r="B184" s="64"/>
      <c r="C184" s="45">
        <v>1</v>
      </c>
      <c r="D184" s="48">
        <f>(33.55+0.75*(2.75+2.3+2.75))*10.764</f>
        <v>424.10159999999996</v>
      </c>
      <c r="E184" s="53">
        <v>0</v>
      </c>
      <c r="F184" s="53">
        <f>D184*(($F$152)+1)+(IF(E184&lt;101,E184,IF(E184&lt;201,E184/2,IF(E184&lt;=301,E184/3,E184/4))))</f>
        <v>636.15239999999994</v>
      </c>
      <c r="G184" s="66" t="str">
        <f>A183</f>
        <v>1st to 6th Floor For Residential</v>
      </c>
      <c r="H184" s="67"/>
      <c r="I184" s="36">
        <f t="shared" si="12"/>
        <v>2862685.8</v>
      </c>
      <c r="J184" s="37">
        <f>4.2*2.75+2.6*2.3+3.2*2.75+1.65*1.2+1.2*0.95+0.9*2.3</f>
        <v>31.520000000000003</v>
      </c>
    </row>
    <row r="185" spans="1:10" s="37" customFormat="1" x14ac:dyDescent="0.35">
      <c r="A185" s="63" t="str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10^ROW(INDIRECT("1:"&amp;LEN((LEFT(A184,SUM(LEN(A184)-LEN(SUBSTITUTE(A184,{"0","1","2"},""))))))))/10))*1+1&amp;""&amp;" to "&amp;""&amp;(SUMPRODUCT(MID(0&amp;(--TRIM(RIGHT(SUBSTITUTE(LEFT(A184,_xlfn.AGGREGATE(16,6,FIND({0,1,2,3,4,5,6,7,8,9},A184,ROW(INDIRECT("1:"&amp;LEN(A184)))),1)),"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",LEN(A184))),LEN(A184)))))))/10))*1+1</f>
        <v>102 to 602</v>
      </c>
      <c r="B185" s="64"/>
      <c r="C185" s="45">
        <v>2</v>
      </c>
      <c r="D185" s="48">
        <f>(47.81+0.75*(2.75+2.3+2.75+2.75))*10.764</f>
        <v>599.79699000000005</v>
      </c>
      <c r="E185" s="53">
        <v>0</v>
      </c>
      <c r="F185" s="53">
        <f>D185*(($F$152)+1)+(IF(E185&lt;101,E185,IF(E185&lt;201,E185/2,IF(E185&lt;=301,E185/3,E185/4))))</f>
        <v>899.69548500000008</v>
      </c>
      <c r="G185" s="68"/>
      <c r="H185" s="69"/>
      <c r="I185" s="36">
        <f t="shared" si="12"/>
        <v>4048629.6825000001</v>
      </c>
    </row>
    <row r="186" spans="1:10" s="37" customFormat="1" x14ac:dyDescent="0.35">
      <c r="A186" s="63" t="str">
        <f ca="1">(SUMPRODUCT(MID(0&amp;(LEFT(A185,SUM(LEN(A185)-LEN(SUBSTITUTE(A185,{"0","1","2"},""))))), LARGE(INDEX(ISNUMBER(--MID((LEFT(A185,SUM(LEN(A185)-LEN(SUBSTITUTE(A185,{"0","1","2"},""))))), ROW(INDIRECT("1:"&amp;LEN((LEFT(A185,SUM(LEN(A185)-LEN(SUBSTITUTE(A185,{"0","1","2"},"")))))))), 1)) * ROW(INDIRECT("1:"&amp;LEN((LEFT(A185,SUM(LEN(A185)-LEN(SUBSTITUTE(A185,{"0","1","2"},"")))))))), 0), ROW(INDIRECT("1:"&amp;LEN((LEFT(A185,SUM(LEN(A185)-LEN(SUBSTITUTE(A185,{"0","1","2"},"")))))))))+1, 1) * 10^ROW(INDIRECT("1:"&amp;LEN((LEFT(A185,SUM(LEN(A185)-LEN(SUBSTITUTE(A185,{"0","1","2"},""))))))))/10))*1+1&amp;""&amp;" to "&amp;""&amp;(SUMPRODUCT(MID(0&amp;(--TRIM(RIGHT(SUBSTITUTE(LEFT(A185,_xlfn.AGGREGATE(16,6,FIND({0,1,2,3,4,5,6,7,8,9},A185,ROW(INDIRECT("1:"&amp;LEN(A185)))),1))," ",REPT(" ",LEN(A185))),LEN(A185)))), LARGE(INDEX(ISNUMBER(--MID((--TRIM(RIGHT(SUBSTITUTE(LEFT(A185,_xlfn.AGGREGATE(16,6,FIND({0,1,2,3,4,5,6,7,8,9},A185,ROW(INDIRECT("1:"&amp;LEN(A185)))),1))," ",REPT(" ",LEN(A185))),LEN(A185)))), ROW(INDIRECT("1:"&amp;LEN((--TRIM(RIGHT(SUBSTITUTE(LEFT(A185,_xlfn.AGGREGATE(16,6,FIND({0,1,2,3,4,5,6,7,8,9},A185,ROW(INDIRECT("1:"&amp;LEN(A185)))),1))," ",REPT(" ",LEN(A185))),LEN(A185))))))), 1)) * ROW(INDIRECT("1:"&amp;LEN((--TRIM(RIGHT(SUBSTITUTE(LEFT(A185,_xlfn.AGGREGATE(16,6,FIND({0,1,2,3,4,5,6,7,8,9},A185,ROW(INDIRECT("1:"&amp;LEN(A185)))),1))," ",REPT(" ",LEN(A185))),LEN(A185))))))), 0), ROW(INDIRECT("1:"&amp;LEN((--TRIM(RIGHT(SUBSTITUTE(LEFT(A185,_xlfn.AGGREGATE(16,6,FIND({0,1,2,3,4,5,6,7,8,9},A185,ROW(INDIRECT("1:"&amp;LEN(A185)))),1))," ",REPT(" ",LEN(A185))),LEN(A185))))))))+1, 1) * 10^ROW(INDIRECT("1:"&amp;LEN((--TRIM(RIGHT(SUBSTITUTE(LEFT(A185,_xlfn.AGGREGATE(16,6,FIND({0,1,2,3,4,5,6,7,8,9},A185,ROW(INDIRECT("1:"&amp;LEN(A185)))),1))," ",REPT(" ",LEN(A185))),LEN(A185)))))))/10))*1+1</f>
        <v>103 to 603</v>
      </c>
      <c r="B186" s="64"/>
      <c r="C186" s="45">
        <v>2</v>
      </c>
      <c r="D186" s="48">
        <f>(47.81+0.75*(2.75+2.3+2.75+2.75))*10.764</f>
        <v>599.79699000000005</v>
      </c>
      <c r="E186" s="53">
        <v>0</v>
      </c>
      <c r="F186" s="53">
        <f>D186*(($F$152)+1)+(IF(E186&lt;101,E186,IF(E186&lt;201,E186/2,IF(E186&lt;=301,E186/3,E186/4))))</f>
        <v>899.69548500000008</v>
      </c>
      <c r="G186" s="68"/>
      <c r="H186" s="69"/>
      <c r="I186" s="36">
        <f t="shared" si="12"/>
        <v>4048629.6825000001</v>
      </c>
    </row>
    <row r="187" spans="1:10" s="37" customFormat="1" x14ac:dyDescent="0.35">
      <c r="A187" s="63" t="str">
        <f ca="1">(SUMPRODUCT(MID(0&amp;(LEFT(A186,SUM(LEN(A186)-LEN(SUBSTITUTE(A186,{"0","1","2"},""))))), LARGE(INDEX(ISNUMBER(--MID((LEFT(A186,SUM(LEN(A186)-LEN(SUBSTITUTE(A186,{"0","1","2"},""))))), ROW(INDIRECT("1:"&amp;LEN((LEFT(A186,SUM(LEN(A186)-LEN(SUBSTITUTE(A186,{"0","1","2"},"")))))))), 1)) * ROW(INDIRECT("1:"&amp;LEN((LEFT(A186,SUM(LEN(A186)-LEN(SUBSTITUTE(A186,{"0","1","2"},"")))))))), 0), ROW(INDIRECT("1:"&amp;LEN((LEFT(A186,SUM(LEN(A186)-LEN(SUBSTITUTE(A186,{"0","1","2"},"")))))))))+1, 1) * 10^ROW(INDIRECT("1:"&amp;LEN((LEFT(A186,SUM(LEN(A186)-LEN(SUBSTITUTE(A186,{"0","1","2"},""))))))))/10))*1+1&amp;""&amp;" to "&amp;""&amp;(SUMPRODUCT(MID(0&amp;(--TRIM(RIGHT(SUBSTITUTE(LEFT(A186,_xlfn.AGGREGATE(16,6,FIND({0,1,2,3,4,5,6,7,8,9},A186,ROW(INDIRECT("1:"&amp;LEN(A186)))),1))," ",REPT(" ",LEN(A186))),LEN(A186)))), LARGE(INDEX(ISNUMBER(--MID((--TRIM(RIGHT(SUBSTITUTE(LEFT(A186,_xlfn.AGGREGATE(16,6,FIND({0,1,2,3,4,5,6,7,8,9},A186,ROW(INDIRECT("1:"&amp;LEN(A186)))),1))," ",REPT(" ",LEN(A186))),LEN(A186)))), ROW(INDIRECT("1:"&amp;LEN((--TRIM(RIGHT(SUBSTITUTE(LEFT(A186,_xlfn.AGGREGATE(16,6,FIND({0,1,2,3,4,5,6,7,8,9},A186,ROW(INDIRECT("1:"&amp;LEN(A186)))),1))," ",REPT(" ",LEN(A186))),LEN(A186))))))), 1)) * ROW(INDIRECT("1:"&amp;LEN((--TRIM(RIGHT(SUBSTITUTE(LEFT(A186,_xlfn.AGGREGATE(16,6,FIND({0,1,2,3,4,5,6,7,8,9},A186,ROW(INDIRECT("1:"&amp;LEN(A186)))),1))," ",REPT(" ",LEN(A186))),LEN(A186))))))), 0), ROW(INDIRECT("1:"&amp;LEN((--TRIM(RIGHT(SUBSTITUTE(LEFT(A186,_xlfn.AGGREGATE(16,6,FIND({0,1,2,3,4,5,6,7,8,9},A186,ROW(INDIRECT("1:"&amp;LEN(A186)))),1))," ",REPT(" ",LEN(A186))),LEN(A186))))))))+1, 1) * 10^ROW(INDIRECT("1:"&amp;LEN((--TRIM(RIGHT(SUBSTITUTE(LEFT(A186,_xlfn.AGGREGATE(16,6,FIND({0,1,2,3,4,5,6,7,8,9},A186,ROW(INDIRECT("1:"&amp;LEN(A186)))),1))," ",REPT(" ",LEN(A186))),LEN(A186)))))))/10))*1+1</f>
        <v>104 to 604</v>
      </c>
      <c r="B187" s="64"/>
      <c r="C187" s="45">
        <v>1</v>
      </c>
      <c r="D187" s="48">
        <f>(33.55+0.75*(2.75+2.3+2.75))*10.764</f>
        <v>424.10159999999996</v>
      </c>
      <c r="E187" s="53">
        <v>0</v>
      </c>
      <c r="F187" s="53">
        <f>D187*(($F$152)+1)+(IF(E187&lt;101,E187,IF(E187&lt;201,E187/2,IF(E187&lt;=301,E187/3,E187/4))))</f>
        <v>636.15239999999994</v>
      </c>
      <c r="G187" s="70"/>
      <c r="H187" s="71"/>
      <c r="I187" s="36">
        <f t="shared" si="12"/>
        <v>2862685.8</v>
      </c>
    </row>
    <row r="188" spans="1:10" s="35" customFormat="1" x14ac:dyDescent="0.35">
      <c r="A188" s="126" t="s">
        <v>68</v>
      </c>
      <c r="B188" s="126"/>
      <c r="C188" s="126"/>
      <c r="D188" s="126"/>
      <c r="E188" s="126"/>
      <c r="F188" s="126"/>
      <c r="G188" s="126"/>
      <c r="H188" s="126"/>
    </row>
    <row r="189" spans="1:10" s="35" customFormat="1" ht="31" customHeight="1" x14ac:dyDescent="0.35">
      <c r="A189" s="61" t="s">
        <v>156</v>
      </c>
      <c r="B189" s="199" t="s">
        <v>228</v>
      </c>
      <c r="C189" s="199"/>
      <c r="D189" s="199"/>
      <c r="E189" s="199"/>
      <c r="F189" s="199"/>
      <c r="G189" s="199"/>
      <c r="H189" s="199"/>
    </row>
    <row r="190" spans="1:10" s="35" customFormat="1" x14ac:dyDescent="0.35">
      <c r="A190" s="61" t="s">
        <v>156</v>
      </c>
      <c r="B190" s="200" t="str">
        <f>(IF(F151="Saleable area Loading :","We have considered Saleable area of Flats as per our Calculation.","We considered Saleable area of Flat as per Builder area Sheet."))</f>
        <v>We have considered Saleable area of Flats as per our Calculation.</v>
      </c>
      <c r="C190" s="200"/>
      <c r="D190" s="200"/>
      <c r="E190" s="200"/>
      <c r="F190" s="200"/>
      <c r="G190" s="200"/>
      <c r="H190" s="200"/>
    </row>
    <row r="191" spans="1:10" s="35" customFormat="1" x14ac:dyDescent="0.35">
      <c r="A191" s="61" t="s">
        <v>156</v>
      </c>
      <c r="B191" s="200" t="str">
        <f>(IF(F120="Saleable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1" s="200"/>
      <c r="D191" s="200"/>
      <c r="E191" s="200"/>
      <c r="F191" s="200"/>
      <c r="G191" s="200"/>
      <c r="H191" s="200"/>
    </row>
    <row r="192" spans="1:10" s="35" customFormat="1" x14ac:dyDescent="0.35">
      <c r="A192" s="61" t="s">
        <v>156</v>
      </c>
      <c r="B192" s="201" t="s">
        <v>125</v>
      </c>
      <c r="C192" s="201"/>
      <c r="D192" s="201"/>
      <c r="E192" s="201"/>
      <c r="F192" s="201"/>
      <c r="G192" s="201"/>
      <c r="H192" s="201"/>
    </row>
    <row r="193" spans="1:8" s="35" customFormat="1" x14ac:dyDescent="0.35">
      <c r="A193" s="61" t="s">
        <v>156</v>
      </c>
      <c r="B193" s="201" t="s">
        <v>205</v>
      </c>
      <c r="C193" s="201"/>
      <c r="D193" s="201"/>
      <c r="E193" s="201"/>
      <c r="F193" s="201"/>
      <c r="G193" s="201"/>
      <c r="H193" s="201"/>
    </row>
    <row r="194" spans="1:8" s="35" customFormat="1" x14ac:dyDescent="0.35">
      <c r="A194" s="61" t="s">
        <v>156</v>
      </c>
      <c r="B194" s="201" t="s">
        <v>155</v>
      </c>
      <c r="C194" s="201"/>
      <c r="D194" s="201"/>
      <c r="E194" s="201"/>
      <c r="F194" s="201"/>
      <c r="G194" s="201"/>
      <c r="H194" s="201"/>
    </row>
    <row r="195" spans="1:8" s="35" customFormat="1" x14ac:dyDescent="0.35">
      <c r="A195" s="61" t="s">
        <v>156</v>
      </c>
      <c r="B195" s="201" t="s">
        <v>126</v>
      </c>
      <c r="C195" s="201"/>
      <c r="D195" s="201"/>
      <c r="E195" s="201"/>
      <c r="F195" s="201"/>
      <c r="G195" s="201"/>
      <c r="H195" s="201"/>
    </row>
    <row r="196" spans="1:8" s="35" customFormat="1" ht="34.5" customHeight="1" x14ac:dyDescent="0.35">
      <c r="A196" s="61" t="s">
        <v>156</v>
      </c>
      <c r="B196" s="201" t="s">
        <v>157</v>
      </c>
      <c r="C196" s="201"/>
      <c r="D196" s="201"/>
      <c r="E196" s="201"/>
      <c r="F196" s="201"/>
      <c r="G196" s="201"/>
      <c r="H196" s="201"/>
    </row>
    <row r="197" spans="1:8" s="35" customFormat="1" x14ac:dyDescent="0.35">
      <c r="A197" s="52" t="s">
        <v>156</v>
      </c>
      <c r="B197" s="123" t="s">
        <v>127</v>
      </c>
      <c r="C197" s="124"/>
      <c r="D197" s="124"/>
      <c r="E197" s="124"/>
      <c r="F197" s="124"/>
      <c r="G197" s="124"/>
      <c r="H197" s="125"/>
    </row>
    <row r="198" spans="1:8" s="35" customFormat="1" ht="32.25" customHeight="1" x14ac:dyDescent="0.35">
      <c r="A198" s="52" t="s">
        <v>156</v>
      </c>
      <c r="B198" s="120" t="s">
        <v>225</v>
      </c>
      <c r="C198" s="121"/>
      <c r="D198" s="121"/>
      <c r="E198" s="121"/>
      <c r="F198" s="121"/>
      <c r="G198" s="121"/>
      <c r="H198" s="122"/>
    </row>
    <row r="199" spans="1:8" x14ac:dyDescent="0.35">
      <c r="A199" s="110" t="s">
        <v>61</v>
      </c>
      <c r="B199" s="110"/>
      <c r="C199" s="110"/>
      <c r="D199" s="110"/>
      <c r="E199" s="110"/>
      <c r="F199" s="110"/>
      <c r="G199" s="110"/>
      <c r="H199" s="110"/>
    </row>
    <row r="200" spans="1:8" x14ac:dyDescent="0.35">
      <c r="A200" s="78" t="s">
        <v>62</v>
      </c>
      <c r="B200" s="78"/>
      <c r="C200" s="78"/>
      <c r="D200" s="78"/>
      <c r="E200" s="78"/>
      <c r="F200" s="78"/>
      <c r="G200" s="78"/>
      <c r="H200" s="78"/>
    </row>
    <row r="201" spans="1:8" ht="15.75" customHeight="1" x14ac:dyDescent="0.35">
      <c r="A201" s="79" t="s">
        <v>63</v>
      </c>
      <c r="B201" s="79"/>
      <c r="C201" s="79"/>
      <c r="D201" s="79"/>
      <c r="E201" s="79"/>
      <c r="F201" s="79"/>
      <c r="G201" s="79"/>
      <c r="H201" s="79"/>
    </row>
    <row r="202" spans="1:8" x14ac:dyDescent="0.35">
      <c r="A202" s="78" t="s">
        <v>64</v>
      </c>
      <c r="B202" s="78"/>
      <c r="C202" s="78"/>
      <c r="D202" s="78"/>
      <c r="E202" s="78"/>
      <c r="F202" s="78"/>
      <c r="G202" s="78"/>
      <c r="H202" s="78"/>
    </row>
    <row r="203" spans="1:8" x14ac:dyDescent="0.35">
      <c r="A203" s="78" t="s">
        <v>65</v>
      </c>
      <c r="B203" s="78"/>
      <c r="C203" s="78"/>
      <c r="D203" s="78"/>
      <c r="E203" s="78"/>
      <c r="F203" s="78"/>
      <c r="G203" s="78"/>
      <c r="H203" s="78"/>
    </row>
    <row r="204" spans="1:8" x14ac:dyDescent="0.35">
      <c r="A204" s="78" t="s">
        <v>128</v>
      </c>
      <c r="B204" s="78"/>
      <c r="C204" s="78"/>
      <c r="D204" s="78"/>
      <c r="E204" s="78"/>
      <c r="F204" s="78"/>
      <c r="G204" s="78"/>
      <c r="H204" s="78"/>
    </row>
    <row r="205" spans="1:8" ht="35.25" customHeight="1" x14ac:dyDescent="0.35">
      <c r="A205" s="111" t="s">
        <v>129</v>
      </c>
      <c r="B205" s="111"/>
      <c r="C205" s="111"/>
      <c r="D205" s="111"/>
      <c r="E205" s="111"/>
      <c r="F205" s="111"/>
      <c r="G205" s="111"/>
      <c r="H205" s="111"/>
    </row>
    <row r="206" spans="1:8" x14ac:dyDescent="0.35">
      <c r="A206" s="129" t="s">
        <v>77</v>
      </c>
      <c r="B206" s="129"/>
      <c r="C206" s="129" t="s">
        <v>192</v>
      </c>
      <c r="D206" s="129"/>
      <c r="E206" s="129" t="s">
        <v>106</v>
      </c>
      <c r="F206" s="129"/>
      <c r="G206" s="129" t="s">
        <v>229</v>
      </c>
      <c r="H206" s="129"/>
    </row>
    <row r="207" spans="1:8" x14ac:dyDescent="0.35">
      <c r="A207" s="128" t="s">
        <v>79</v>
      </c>
      <c r="B207" s="128"/>
      <c r="C207" s="128"/>
      <c r="D207" s="128"/>
      <c r="E207" s="128"/>
      <c r="F207" s="128"/>
      <c r="G207" s="128"/>
      <c r="H207" s="128"/>
    </row>
    <row r="208" spans="1:8" x14ac:dyDescent="0.35">
      <c r="A208" s="128"/>
      <c r="B208" s="128"/>
      <c r="C208" s="128"/>
      <c r="D208" s="128"/>
      <c r="E208" s="128"/>
      <c r="F208" s="128"/>
      <c r="G208" s="128"/>
      <c r="H208" s="128"/>
    </row>
    <row r="209" spans="1:8" x14ac:dyDescent="0.35">
      <c r="A209" s="128"/>
      <c r="B209" s="128"/>
      <c r="C209" s="128"/>
      <c r="D209" s="128"/>
      <c r="E209" s="128"/>
      <c r="F209" s="128"/>
      <c r="G209" s="128"/>
      <c r="H209" s="128"/>
    </row>
    <row r="210" spans="1:8" x14ac:dyDescent="0.35">
      <c r="A210" s="128"/>
      <c r="B210" s="128"/>
      <c r="C210" s="128"/>
      <c r="D210" s="128"/>
      <c r="E210" s="128"/>
      <c r="F210" s="128"/>
      <c r="G210" s="128"/>
      <c r="H210" s="128"/>
    </row>
    <row r="211" spans="1:8" x14ac:dyDescent="0.35">
      <c r="A211" s="38" t="s">
        <v>66</v>
      </c>
      <c r="B211" s="39"/>
      <c r="C211" s="39"/>
      <c r="D211" s="38" t="str">
        <f>E8</f>
        <v>Viraj Iconic</v>
      </c>
      <c r="F211" s="39"/>
      <c r="G211" s="39"/>
      <c r="H211" s="39"/>
    </row>
    <row r="212" spans="1:8" x14ac:dyDescent="0.35">
      <c r="A212" s="39"/>
      <c r="B212" s="39"/>
      <c r="C212" s="39"/>
      <c r="D212" s="39"/>
      <c r="E212" s="39"/>
      <c r="F212" s="39"/>
      <c r="G212" s="39"/>
      <c r="H212" s="39"/>
    </row>
    <row r="213" spans="1:8" x14ac:dyDescent="0.35">
      <c r="A213" s="39"/>
      <c r="B213" s="39"/>
      <c r="C213" s="39"/>
      <c r="D213" s="39"/>
      <c r="E213" s="39"/>
      <c r="F213" s="39"/>
      <c r="G213" s="39"/>
      <c r="H213" s="39"/>
    </row>
    <row r="214" spans="1:8" ht="15" customHeight="1" x14ac:dyDescent="0.35"/>
    <row r="253" spans="1:1" x14ac:dyDescent="0.35">
      <c r="A253" s="41" t="s">
        <v>67</v>
      </c>
    </row>
  </sheetData>
  <mergeCells count="369">
    <mergeCell ref="A97:E97"/>
    <mergeCell ref="A94:E94"/>
    <mergeCell ref="A15:B15"/>
    <mergeCell ref="C15:H15"/>
    <mergeCell ref="A37:B37"/>
    <mergeCell ref="C37:H37"/>
    <mergeCell ref="B196:H196"/>
    <mergeCell ref="A46:B46"/>
    <mergeCell ref="C46:H46"/>
    <mergeCell ref="B194:H194"/>
    <mergeCell ref="G84:H93"/>
    <mergeCell ref="A85:B85"/>
    <mergeCell ref="A86:B86"/>
    <mergeCell ref="A87:B87"/>
    <mergeCell ref="F96:H96"/>
    <mergeCell ref="A96:E96"/>
    <mergeCell ref="D120:D121"/>
    <mergeCell ref="A98:E98"/>
    <mergeCell ref="A124:B124"/>
    <mergeCell ref="A125:B125"/>
    <mergeCell ref="A126:B126"/>
    <mergeCell ref="A129:B129"/>
    <mergeCell ref="A130:B130"/>
    <mergeCell ref="A131:B131"/>
    <mergeCell ref="E111:F111"/>
    <mergeCell ref="G111:H111"/>
    <mergeCell ref="A112:B112"/>
    <mergeCell ref="C112:D112"/>
    <mergeCell ref="E112:F112"/>
    <mergeCell ref="G112:H112"/>
    <mergeCell ref="A116:B116"/>
    <mergeCell ref="C116:D116"/>
    <mergeCell ref="E116:F116"/>
    <mergeCell ref="G116:H116"/>
    <mergeCell ref="C114:D114"/>
    <mergeCell ref="G114:H114"/>
    <mergeCell ref="A110:A111"/>
    <mergeCell ref="A181:H181"/>
    <mergeCell ref="A182:H182"/>
    <mergeCell ref="A183:H183"/>
    <mergeCell ref="A184:B184"/>
    <mergeCell ref="A167:B167"/>
    <mergeCell ref="A164:B164"/>
    <mergeCell ref="A82:B82"/>
    <mergeCell ref="C82:H82"/>
    <mergeCell ref="A83:B83"/>
    <mergeCell ref="E83:F83"/>
    <mergeCell ref="G83:H83"/>
    <mergeCell ref="A100:E100"/>
    <mergeCell ref="F100:H100"/>
    <mergeCell ref="A101:E101"/>
    <mergeCell ref="A103:E103"/>
    <mergeCell ref="F97:H97"/>
    <mergeCell ref="A102:E102"/>
    <mergeCell ref="A127:B127"/>
    <mergeCell ref="A99:E99"/>
    <mergeCell ref="F98:H98"/>
    <mergeCell ref="F104:H104"/>
    <mergeCell ref="A105:E105"/>
    <mergeCell ref="G117:H117"/>
    <mergeCell ref="C111:D111"/>
    <mergeCell ref="A178:B178"/>
    <mergeCell ref="A179:B179"/>
    <mergeCell ref="A180:B180"/>
    <mergeCell ref="G173:H180"/>
    <mergeCell ref="C178:F178"/>
    <mergeCell ref="A169:B169"/>
    <mergeCell ref="A170:B170"/>
    <mergeCell ref="A171:B171"/>
    <mergeCell ref="G164:H171"/>
    <mergeCell ref="A168:B168"/>
    <mergeCell ref="C120:C121"/>
    <mergeCell ref="B151:B152"/>
    <mergeCell ref="A163:H163"/>
    <mergeCell ref="B120:B121"/>
    <mergeCell ref="A120:A121"/>
    <mergeCell ref="C151:C152"/>
    <mergeCell ref="A128:B128"/>
    <mergeCell ref="L128:M128"/>
    <mergeCell ref="L129:M129"/>
    <mergeCell ref="L130:M130"/>
    <mergeCell ref="L131:M131"/>
    <mergeCell ref="A132:B132"/>
    <mergeCell ref="L132:M132"/>
    <mergeCell ref="A133:B133"/>
    <mergeCell ref="L133:M133"/>
    <mergeCell ref="A134:B134"/>
    <mergeCell ref="L141:M141"/>
    <mergeCell ref="A142:B142"/>
    <mergeCell ref="L142:M142"/>
    <mergeCell ref="G124:H142"/>
    <mergeCell ref="A122:H122"/>
    <mergeCell ref="A143:H143"/>
    <mergeCell ref="A138:B138"/>
    <mergeCell ref="L138:M138"/>
    <mergeCell ref="F101:H101"/>
    <mergeCell ref="A95:E95"/>
    <mergeCell ref="A123:H123"/>
    <mergeCell ref="E120:E121"/>
    <mergeCell ref="G120:H121"/>
    <mergeCell ref="A84:B84"/>
    <mergeCell ref="E84:F93"/>
    <mergeCell ref="A91:B91"/>
    <mergeCell ref="A92:B92"/>
    <mergeCell ref="A93:B93"/>
    <mergeCell ref="F94:H94"/>
    <mergeCell ref="F99:H99"/>
    <mergeCell ref="E109:F109"/>
    <mergeCell ref="A109:B109"/>
    <mergeCell ref="F102:H102"/>
    <mergeCell ref="C109:D109"/>
    <mergeCell ref="F105:H105"/>
    <mergeCell ref="F103:H103"/>
    <mergeCell ref="G109:H109"/>
    <mergeCell ref="A104:E104"/>
    <mergeCell ref="C110:D110"/>
    <mergeCell ref="E110:F110"/>
    <mergeCell ref="C117:D117"/>
    <mergeCell ref="E117:F117"/>
    <mergeCell ref="A59:C59"/>
    <mergeCell ref="A60:C60"/>
    <mergeCell ref="D59:H59"/>
    <mergeCell ref="E70:F79"/>
    <mergeCell ref="G70:H79"/>
    <mergeCell ref="A78:B78"/>
    <mergeCell ref="A79:B79"/>
    <mergeCell ref="D60:H60"/>
    <mergeCell ref="A41:D41"/>
    <mergeCell ref="E41:H41"/>
    <mergeCell ref="E42:H42"/>
    <mergeCell ref="E43:H43"/>
    <mergeCell ref="E44:H44"/>
    <mergeCell ref="A42:D42"/>
    <mergeCell ref="A77:B77"/>
    <mergeCell ref="A43:D43"/>
    <mergeCell ref="A44:D44"/>
    <mergeCell ref="A45:H45"/>
    <mergeCell ref="D56:H56"/>
    <mergeCell ref="A56:C56"/>
    <mergeCell ref="G48:H48"/>
    <mergeCell ref="A49:B50"/>
    <mergeCell ref="A76:B76"/>
    <mergeCell ref="A69:B69"/>
    <mergeCell ref="A35:H35"/>
    <mergeCell ref="A34:B34"/>
    <mergeCell ref="C34:E34"/>
    <mergeCell ref="C36:H36"/>
    <mergeCell ref="A39:D39"/>
    <mergeCell ref="E39:H39"/>
    <mergeCell ref="F31:H31"/>
    <mergeCell ref="F32:H32"/>
    <mergeCell ref="A38:H38"/>
    <mergeCell ref="F34:H34"/>
    <mergeCell ref="A36:B36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A20:D21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D63:H63"/>
    <mergeCell ref="A64:C64"/>
    <mergeCell ref="D64:H64"/>
    <mergeCell ref="A70:B70"/>
    <mergeCell ref="G69:H69"/>
    <mergeCell ref="A207:H210"/>
    <mergeCell ref="A206:B206"/>
    <mergeCell ref="E206:F206"/>
    <mergeCell ref="C206:D206"/>
    <mergeCell ref="G206:H206"/>
    <mergeCell ref="A108:H108"/>
    <mergeCell ref="A106:E106"/>
    <mergeCell ref="F106:H106"/>
    <mergeCell ref="A107:E107"/>
    <mergeCell ref="F107:H107"/>
    <mergeCell ref="A154:H154"/>
    <mergeCell ref="A115:B115"/>
    <mergeCell ref="A166:B166"/>
    <mergeCell ref="A202:H202"/>
    <mergeCell ref="A113:H113"/>
    <mergeCell ref="A205:H205"/>
    <mergeCell ref="A203:H203"/>
    <mergeCell ref="C115:D115"/>
    <mergeCell ref="A199:H199"/>
    <mergeCell ref="A200:H200"/>
    <mergeCell ref="E114:F114"/>
    <mergeCell ref="B197:H197"/>
    <mergeCell ref="B198:H198"/>
    <mergeCell ref="B195:H195"/>
    <mergeCell ref="A117:B117"/>
    <mergeCell ref="E115:F115"/>
    <mergeCell ref="G115:H115"/>
    <mergeCell ref="A176:B176"/>
    <mergeCell ref="B189:H189"/>
    <mergeCell ref="B190:H190"/>
    <mergeCell ref="B192:H192"/>
    <mergeCell ref="B193:H193"/>
    <mergeCell ref="A188:H188"/>
    <mergeCell ref="A185:B185"/>
    <mergeCell ref="A186:B186"/>
    <mergeCell ref="A187:B187"/>
    <mergeCell ref="G184:H187"/>
    <mergeCell ref="A149:B149"/>
    <mergeCell ref="B191:H191"/>
    <mergeCell ref="A175:B175"/>
    <mergeCell ref="A172:H172"/>
    <mergeCell ref="A173:B173"/>
    <mergeCell ref="A174:B174"/>
    <mergeCell ref="A177:B177"/>
    <mergeCell ref="A118:H118"/>
    <mergeCell ref="A165:B165"/>
    <mergeCell ref="A119:H119"/>
    <mergeCell ref="A151:A152"/>
    <mergeCell ref="D57:H57"/>
    <mergeCell ref="D58:H58"/>
    <mergeCell ref="C48:E48"/>
    <mergeCell ref="C51:E51"/>
    <mergeCell ref="A48:B48"/>
    <mergeCell ref="A53:H53"/>
    <mergeCell ref="A54:C54"/>
    <mergeCell ref="A55:C55"/>
    <mergeCell ref="D55:H55"/>
    <mergeCell ref="G51:H51"/>
    <mergeCell ref="A51:B52"/>
    <mergeCell ref="C52:H52"/>
    <mergeCell ref="C50:H50"/>
    <mergeCell ref="E40:H40"/>
    <mergeCell ref="A40:D40"/>
    <mergeCell ref="A204:H204"/>
    <mergeCell ref="A201:H201"/>
    <mergeCell ref="A155:B155"/>
    <mergeCell ref="A114:B114"/>
    <mergeCell ref="D151:D152"/>
    <mergeCell ref="E151:E152"/>
    <mergeCell ref="G151:H152"/>
    <mergeCell ref="A88:B88"/>
    <mergeCell ref="A89:B89"/>
    <mergeCell ref="A90:B90"/>
    <mergeCell ref="A80:B80"/>
    <mergeCell ref="C80:H80"/>
    <mergeCell ref="A75:B75"/>
    <mergeCell ref="F95:H95"/>
    <mergeCell ref="G110:H110"/>
    <mergeCell ref="A47:B47"/>
    <mergeCell ref="C47:E47"/>
    <mergeCell ref="G47:H47"/>
    <mergeCell ref="G49:H49"/>
    <mergeCell ref="D54:H54"/>
    <mergeCell ref="C49:E49"/>
    <mergeCell ref="A57:C58"/>
    <mergeCell ref="A139:B139"/>
    <mergeCell ref="L139:M139"/>
    <mergeCell ref="A140:B140"/>
    <mergeCell ref="L140:M140"/>
    <mergeCell ref="L127:M127"/>
    <mergeCell ref="L126:M126"/>
    <mergeCell ref="L125:M125"/>
    <mergeCell ref="L124:M124"/>
    <mergeCell ref="L134:M134"/>
    <mergeCell ref="A135:B135"/>
    <mergeCell ref="L135:M135"/>
    <mergeCell ref="A136:B136"/>
    <mergeCell ref="L136:M136"/>
    <mergeCell ref="A137:B137"/>
    <mergeCell ref="L137:M137"/>
    <mergeCell ref="A141:B141"/>
    <mergeCell ref="L149:M149"/>
    <mergeCell ref="G144:H149"/>
    <mergeCell ref="A160:B160"/>
    <mergeCell ref="A161:B161"/>
    <mergeCell ref="A162:B162"/>
    <mergeCell ref="G155:H162"/>
    <mergeCell ref="A153:H153"/>
    <mergeCell ref="A144:B144"/>
    <mergeCell ref="L144:M144"/>
    <mergeCell ref="A145:B145"/>
    <mergeCell ref="L145:M145"/>
    <mergeCell ref="A146:B146"/>
    <mergeCell ref="L146:M146"/>
    <mergeCell ref="A147:B147"/>
    <mergeCell ref="L147:M147"/>
    <mergeCell ref="A148:B148"/>
    <mergeCell ref="L148:M148"/>
    <mergeCell ref="L154:M154"/>
    <mergeCell ref="A150:H150"/>
    <mergeCell ref="A159:B159"/>
    <mergeCell ref="A156:B156"/>
    <mergeCell ref="A157:B157"/>
    <mergeCell ref="A158:B158"/>
  </mergeCells>
  <hyperlinks>
    <hyperlink ref="C37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5" max="16383" man="1"/>
    <brk id="210" max="16383" man="1"/>
    <brk id="25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7" sqref="B17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1" t="s">
        <v>107</v>
      </c>
      <c r="C3" s="191"/>
      <c r="D3" s="191"/>
      <c r="E3" s="191"/>
      <c r="F3" s="191"/>
      <c r="G3" s="191"/>
      <c r="H3" s="191"/>
    </row>
    <row r="4" spans="1:9" x14ac:dyDescent="0.35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2025-09-09T11:22:43Z</cp:lastPrinted>
  <dcterms:created xsi:type="dcterms:W3CDTF">2019-07-16T09:29:46Z</dcterms:created>
  <dcterms:modified xsi:type="dcterms:W3CDTF">2025-09-09T11:25:17Z</dcterms:modified>
</cp:coreProperties>
</file>