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Update\Sept 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9" i="1" l="1"/>
  <c r="A511" i="1" s="1"/>
  <c r="A512" i="1" s="1"/>
  <c r="A513" i="1" s="1"/>
  <c r="A514" i="1" s="1"/>
  <c r="A515" i="1" s="1"/>
  <c r="A516" i="1" s="1"/>
  <c r="A517" i="1" s="1"/>
  <c r="A519" i="1" s="1"/>
  <c r="A520" i="1" s="1"/>
  <c r="A508" i="1"/>
  <c r="B240" i="1"/>
  <c r="B238" i="1"/>
  <c r="B239" i="1" s="1"/>
  <c r="B237" i="1"/>
  <c r="B196" i="1"/>
  <c r="B216" i="1"/>
  <c r="B217" i="1" s="1"/>
  <c r="B218" i="1" s="1"/>
  <c r="B215" i="1"/>
  <c r="B210" i="1"/>
  <c r="B211" i="1" s="1"/>
  <c r="B212" i="1" s="1"/>
  <c r="B209" i="1"/>
  <c r="B169" i="1"/>
  <c r="B170" i="1" s="1"/>
  <c r="B171" i="1" s="1"/>
  <c r="B168" i="1"/>
  <c r="B163" i="1"/>
  <c r="B164" i="1" s="1"/>
  <c r="B165" i="1" s="1"/>
  <c r="B162" i="1"/>
  <c r="C67" i="1" l="1"/>
  <c r="J78" i="1"/>
  <c r="J77" i="1"/>
  <c r="J76" i="1"/>
  <c r="J75" i="1"/>
  <c r="H68" i="1"/>
  <c r="D79" i="1" l="1"/>
  <c r="D75" i="1"/>
  <c r="J71" i="1"/>
  <c r="D76" i="1"/>
  <c r="D78" i="1"/>
  <c r="D74" i="1"/>
  <c r="J73" i="1"/>
  <c r="J74" i="1" s="1"/>
  <c r="J79" i="1" s="1"/>
  <c r="J80" i="1" s="1"/>
  <c r="C72" i="1" s="1"/>
  <c r="D77" i="1"/>
  <c r="D73" i="1"/>
  <c r="J67" i="1"/>
  <c r="J69" i="1" s="1"/>
  <c r="J72" i="1"/>
  <c r="C71" i="1" s="1"/>
  <c r="J70" i="1"/>
  <c r="D80" i="1"/>
  <c r="E204" i="1"/>
  <c r="D204" i="1"/>
  <c r="E203" i="1"/>
  <c r="D203" i="1"/>
  <c r="E196" i="1"/>
  <c r="D196" i="1"/>
  <c r="K195" i="1"/>
  <c r="J195" i="1"/>
  <c r="I195" i="1"/>
  <c r="E195" i="1"/>
  <c r="D195" i="1"/>
  <c r="E247" i="1"/>
  <c r="D247" i="1"/>
  <c r="E246" i="1"/>
  <c r="D246" i="1"/>
  <c r="E245" i="1"/>
  <c r="D245" i="1"/>
  <c r="E244" i="1"/>
  <c r="D244" i="1"/>
  <c r="K242" i="1"/>
  <c r="J242" i="1"/>
  <c r="I242" i="1"/>
  <c r="E240" i="1"/>
  <c r="D240" i="1"/>
  <c r="E239" i="1"/>
  <c r="D239" i="1"/>
  <c r="E238" i="1"/>
  <c r="D238" i="1"/>
  <c r="E237" i="1"/>
  <c r="D237" i="1"/>
  <c r="F237" i="1" s="1"/>
  <c r="H237" i="1" s="1"/>
  <c r="E236" i="1"/>
  <c r="D236" i="1"/>
  <c r="E235" i="1"/>
  <c r="D235" i="1"/>
  <c r="E234" i="1"/>
  <c r="D234" i="1"/>
  <c r="E232" i="1"/>
  <c r="D232" i="1"/>
  <c r="K231" i="1"/>
  <c r="J231" i="1"/>
  <c r="I231" i="1"/>
  <c r="E231" i="1"/>
  <c r="D231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K173" i="1"/>
  <c r="J173" i="1"/>
  <c r="I173" i="1"/>
  <c r="E173" i="1"/>
  <c r="D173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5" i="1"/>
  <c r="D185" i="1"/>
  <c r="K184" i="1"/>
  <c r="J184" i="1"/>
  <c r="I184" i="1"/>
  <c r="E184" i="1"/>
  <c r="D184" i="1"/>
  <c r="E229" i="1"/>
  <c r="D229" i="1"/>
  <c r="E228" i="1"/>
  <c r="D228" i="1"/>
  <c r="E227" i="1"/>
  <c r="D227" i="1"/>
  <c r="E226" i="1"/>
  <c r="D226" i="1"/>
  <c r="F226" i="1" s="1"/>
  <c r="H226" i="1" s="1"/>
  <c r="E225" i="1"/>
  <c r="D225" i="1"/>
  <c r="E224" i="1"/>
  <c r="D224" i="1"/>
  <c r="E223" i="1"/>
  <c r="D223" i="1"/>
  <c r="E222" i="1"/>
  <c r="D222" i="1"/>
  <c r="F222" i="1" s="1"/>
  <c r="H222" i="1" s="1"/>
  <c r="E221" i="1"/>
  <c r="D221" i="1"/>
  <c r="K220" i="1"/>
  <c r="J220" i="1"/>
  <c r="I220" i="1"/>
  <c r="E220" i="1"/>
  <c r="D220" i="1"/>
  <c r="F220" i="1" s="1"/>
  <c r="H220" i="1" s="1"/>
  <c r="E218" i="1"/>
  <c r="D218" i="1"/>
  <c r="E217" i="1"/>
  <c r="D217" i="1"/>
  <c r="E216" i="1"/>
  <c r="D216" i="1"/>
  <c r="E215" i="1"/>
  <c r="D215" i="1"/>
  <c r="F215" i="1" s="1"/>
  <c r="H215" i="1" s="1"/>
  <c r="K214" i="1"/>
  <c r="J214" i="1"/>
  <c r="I214" i="1"/>
  <c r="E214" i="1"/>
  <c r="D214" i="1"/>
  <c r="E171" i="1"/>
  <c r="D171" i="1"/>
  <c r="E170" i="1"/>
  <c r="D170" i="1"/>
  <c r="E169" i="1"/>
  <c r="D169" i="1"/>
  <c r="E168" i="1"/>
  <c r="D168" i="1"/>
  <c r="E167" i="1"/>
  <c r="K167" i="1"/>
  <c r="J167" i="1"/>
  <c r="I167" i="1"/>
  <c r="D167" i="1"/>
  <c r="E212" i="1"/>
  <c r="D212" i="1"/>
  <c r="E211" i="1"/>
  <c r="D211" i="1"/>
  <c r="E210" i="1"/>
  <c r="D210" i="1"/>
  <c r="E209" i="1"/>
  <c r="D209" i="1"/>
  <c r="E208" i="1"/>
  <c r="D208" i="1"/>
  <c r="E165" i="1"/>
  <c r="D165" i="1"/>
  <c r="E164" i="1"/>
  <c r="D164" i="1"/>
  <c r="E163" i="1"/>
  <c r="D163" i="1"/>
  <c r="E162" i="1"/>
  <c r="D162" i="1"/>
  <c r="E161" i="1"/>
  <c r="D161" i="1"/>
  <c r="K161" i="1"/>
  <c r="J161" i="1"/>
  <c r="I161" i="1"/>
  <c r="E71" i="1" l="1"/>
  <c r="D72" i="1"/>
  <c r="G71" i="1"/>
  <c r="D71" i="1"/>
  <c r="J68" i="1" s="1"/>
  <c r="F238" i="1"/>
  <c r="H238" i="1" s="1"/>
  <c r="F218" i="1"/>
  <c r="H218" i="1" s="1"/>
  <c r="F221" i="1"/>
  <c r="H221" i="1" s="1"/>
  <c r="F229" i="1"/>
  <c r="H229" i="1" s="1"/>
  <c r="F236" i="1"/>
  <c r="H236" i="1" s="1"/>
  <c r="F240" i="1"/>
  <c r="H240" i="1" s="1"/>
  <c r="F231" i="1"/>
  <c r="H231" i="1" s="1"/>
  <c r="F234" i="1"/>
  <c r="H234" i="1" s="1"/>
  <c r="F176" i="1"/>
  <c r="H176" i="1" s="1"/>
  <c r="F239" i="1"/>
  <c r="H239" i="1" s="1"/>
  <c r="F232" i="1"/>
  <c r="H232" i="1" s="1"/>
  <c r="F181" i="1"/>
  <c r="H181" i="1" s="1"/>
  <c r="F235" i="1"/>
  <c r="H235" i="1" s="1"/>
  <c r="F195" i="1"/>
  <c r="H195" i="1" s="1"/>
  <c r="F174" i="1"/>
  <c r="H174" i="1" s="1"/>
  <c r="F245" i="1"/>
  <c r="H245" i="1" s="1"/>
  <c r="F173" i="1"/>
  <c r="H173" i="1" s="1"/>
  <c r="F171" i="1"/>
  <c r="H171" i="1" s="1"/>
  <c r="F179" i="1"/>
  <c r="H179" i="1" s="1"/>
  <c r="F247" i="1"/>
  <c r="H247" i="1" s="1"/>
  <c r="F196" i="1"/>
  <c r="H196" i="1" s="1"/>
  <c r="F203" i="1"/>
  <c r="H203" i="1" s="1"/>
  <c r="F246" i="1"/>
  <c r="H246" i="1" s="1"/>
  <c r="F204" i="1"/>
  <c r="H204" i="1" s="1"/>
  <c r="F244" i="1"/>
  <c r="H244" i="1" s="1"/>
  <c r="F184" i="1"/>
  <c r="H184" i="1" s="1"/>
  <c r="F217" i="1"/>
  <c r="H217" i="1" s="1"/>
  <c r="F192" i="1"/>
  <c r="H192" i="1" s="1"/>
  <c r="F177" i="1"/>
  <c r="H177" i="1" s="1"/>
  <c r="F170" i="1"/>
  <c r="H170" i="1" s="1"/>
  <c r="F185" i="1"/>
  <c r="H185" i="1" s="1"/>
  <c r="F190" i="1"/>
  <c r="H190" i="1" s="1"/>
  <c r="F216" i="1"/>
  <c r="H216" i="1" s="1"/>
  <c r="F223" i="1"/>
  <c r="H223" i="1" s="1"/>
  <c r="F182" i="1"/>
  <c r="H182" i="1" s="1"/>
  <c r="F168" i="1"/>
  <c r="H168" i="1" s="1"/>
  <c r="F214" i="1"/>
  <c r="H214" i="1" s="1"/>
  <c r="F191" i="1"/>
  <c r="H191" i="1" s="1"/>
  <c r="F188" i="1"/>
  <c r="H188" i="1" s="1"/>
  <c r="F167" i="1"/>
  <c r="H167" i="1" s="1"/>
  <c r="F189" i="1"/>
  <c r="H189" i="1" s="1"/>
  <c r="F178" i="1"/>
  <c r="H178" i="1" s="1"/>
  <c r="F180" i="1"/>
  <c r="H180" i="1" s="1"/>
  <c r="F169" i="1"/>
  <c r="H169" i="1" s="1"/>
  <c r="F228" i="1"/>
  <c r="H228" i="1" s="1"/>
  <c r="F175" i="1"/>
  <c r="H175" i="1" s="1"/>
  <c r="F187" i="1"/>
  <c r="H187" i="1" s="1"/>
  <c r="F193" i="1"/>
  <c r="H193" i="1" s="1"/>
  <c r="F227" i="1"/>
  <c r="H227" i="1" s="1"/>
  <c r="F224" i="1"/>
  <c r="H224" i="1" s="1"/>
  <c r="F225" i="1"/>
  <c r="H225" i="1" s="1"/>
  <c r="F162" i="1"/>
  <c r="H162" i="1" s="1"/>
  <c r="F165" i="1"/>
  <c r="H165" i="1" s="1"/>
  <c r="F211" i="1"/>
  <c r="H211" i="1" s="1"/>
  <c r="F209" i="1"/>
  <c r="H209" i="1" s="1"/>
  <c r="F164" i="1"/>
  <c r="H164" i="1" s="1"/>
  <c r="F210" i="1"/>
  <c r="H210" i="1" s="1"/>
  <c r="F208" i="1"/>
  <c r="F212" i="1"/>
  <c r="H212" i="1" s="1"/>
  <c r="F161" i="1"/>
  <c r="F163" i="1"/>
  <c r="H163" i="1" s="1"/>
  <c r="D153" i="1"/>
  <c r="F153" i="1" s="1"/>
  <c r="H153" i="1" s="1"/>
  <c r="D152" i="1"/>
  <c r="F152" i="1" s="1"/>
  <c r="H152" i="1" s="1"/>
  <c r="D151" i="1"/>
  <c r="D150" i="1"/>
  <c r="F150" i="1" s="1"/>
  <c r="H150" i="1" s="1"/>
  <c r="D149" i="1"/>
  <c r="F149" i="1" s="1"/>
  <c r="H149" i="1" s="1"/>
  <c r="D148" i="1"/>
  <c r="F148" i="1" s="1"/>
  <c r="H148" i="1" s="1"/>
  <c r="D147" i="1"/>
  <c r="F147" i="1" s="1"/>
  <c r="H147" i="1" s="1"/>
  <c r="D146" i="1"/>
  <c r="F146" i="1" s="1"/>
  <c r="H146" i="1" s="1"/>
  <c r="D145" i="1"/>
  <c r="F145" i="1" s="1"/>
  <c r="D142" i="1"/>
  <c r="F142" i="1" s="1"/>
  <c r="H142" i="1" s="1"/>
  <c r="D141" i="1"/>
  <c r="F141" i="1" s="1"/>
  <c r="H141" i="1" s="1"/>
  <c r="D140" i="1"/>
  <c r="F140" i="1" s="1"/>
  <c r="H140" i="1" s="1"/>
  <c r="D139" i="1"/>
  <c r="F139" i="1" s="1"/>
  <c r="H139" i="1" s="1"/>
  <c r="D138" i="1"/>
  <c r="F138" i="1" s="1"/>
  <c r="H138" i="1" s="1"/>
  <c r="D137" i="1"/>
  <c r="F137" i="1" s="1"/>
  <c r="H137" i="1" s="1"/>
  <c r="D136" i="1"/>
  <c r="F136" i="1" s="1"/>
  <c r="H136" i="1" s="1"/>
  <c r="D135" i="1"/>
  <c r="F135" i="1" s="1"/>
  <c r="H135" i="1" s="1"/>
  <c r="D134" i="1"/>
  <c r="F134" i="1" s="1"/>
  <c r="F151" i="1"/>
  <c r="H151" i="1" s="1"/>
  <c r="I147" i="1"/>
  <c r="A146" i="1"/>
  <c r="A147" i="1" s="1"/>
  <c r="A148" i="1" s="1"/>
  <c r="A149" i="1" s="1"/>
  <c r="A150" i="1" s="1"/>
  <c r="A151" i="1" s="1"/>
  <c r="A152" i="1" s="1"/>
  <c r="A153" i="1" s="1"/>
  <c r="I145" i="1"/>
  <c r="I136" i="1"/>
  <c r="I134" i="1"/>
  <c r="A135" i="1"/>
  <c r="A136" i="1" s="1"/>
  <c r="A137" i="1" s="1"/>
  <c r="A138" i="1" s="1"/>
  <c r="A139" i="1" s="1"/>
  <c r="A140" i="1" s="1"/>
  <c r="A141" i="1" s="1"/>
  <c r="A142" i="1" s="1"/>
  <c r="I68" i="1" l="1"/>
  <c r="H145" i="1"/>
  <c r="G118" i="1" s="1"/>
  <c r="E118" i="1"/>
  <c r="C118" i="1"/>
  <c r="H208" i="1"/>
  <c r="G123" i="1" s="1"/>
  <c r="E123" i="1"/>
  <c r="C123" i="1"/>
  <c r="H134" i="1"/>
  <c r="G117" i="1" s="1"/>
  <c r="G119" i="1" s="1"/>
  <c r="E117" i="1"/>
  <c r="C117" i="1"/>
  <c r="H161" i="1"/>
  <c r="G122" i="1" s="1"/>
  <c r="E122" i="1"/>
  <c r="C122" i="1"/>
  <c r="D54" i="1"/>
  <c r="I69" i="1" l="1"/>
  <c r="I67" i="1" s="1"/>
  <c r="C69" i="1" s="1"/>
  <c r="E119" i="1"/>
  <c r="C119" i="1"/>
  <c r="C81" i="1"/>
  <c r="A380" i="1" l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67" i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54" i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41" i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28" i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11" i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298" i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285" i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E390" i="1" l="1"/>
  <c r="D390" i="1"/>
  <c r="E389" i="1"/>
  <c r="D389" i="1"/>
  <c r="E388" i="1"/>
  <c r="D388" i="1"/>
  <c r="E387" i="1"/>
  <c r="D387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7" i="1"/>
  <c r="D377" i="1"/>
  <c r="E376" i="1"/>
  <c r="D376" i="1"/>
  <c r="E375" i="1"/>
  <c r="D375" i="1"/>
  <c r="E374" i="1"/>
  <c r="D374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21" i="1"/>
  <c r="D321" i="1"/>
  <c r="E320" i="1"/>
  <c r="D320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8" i="1"/>
  <c r="D308" i="1"/>
  <c r="E307" i="1"/>
  <c r="D307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F346" i="1" s="1"/>
  <c r="H346" i="1" s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I334" i="1"/>
  <c r="I327" i="1"/>
  <c r="I258" i="1"/>
  <c r="F366" i="1"/>
  <c r="H366" i="1" s="1"/>
  <c r="D364" i="1"/>
  <c r="D363" i="1"/>
  <c r="D362" i="1"/>
  <c r="D361" i="1"/>
  <c r="F361" i="1" s="1"/>
  <c r="H361" i="1" s="1"/>
  <c r="D360" i="1"/>
  <c r="D359" i="1"/>
  <c r="D358" i="1"/>
  <c r="D357" i="1"/>
  <c r="D356" i="1"/>
  <c r="D355" i="1"/>
  <c r="D354" i="1"/>
  <c r="D353" i="1"/>
  <c r="E338" i="1"/>
  <c r="E337" i="1"/>
  <c r="E336" i="1"/>
  <c r="E335" i="1"/>
  <c r="E334" i="1"/>
  <c r="E333" i="1"/>
  <c r="E332" i="1"/>
  <c r="E331" i="1"/>
  <c r="E329" i="1"/>
  <c r="E328" i="1"/>
  <c r="E327" i="1"/>
  <c r="D334" i="1"/>
  <c r="D338" i="1"/>
  <c r="D337" i="1"/>
  <c r="D336" i="1"/>
  <c r="D335" i="1"/>
  <c r="D333" i="1"/>
  <c r="D332" i="1"/>
  <c r="D331" i="1"/>
  <c r="D329" i="1"/>
  <c r="D328" i="1"/>
  <c r="D327" i="1"/>
  <c r="D295" i="1"/>
  <c r="D294" i="1"/>
  <c r="E268" i="1"/>
  <c r="D268" i="1"/>
  <c r="D293" i="1"/>
  <c r="D292" i="1"/>
  <c r="D291" i="1"/>
  <c r="D290" i="1"/>
  <c r="D289" i="1"/>
  <c r="D288" i="1"/>
  <c r="D287" i="1"/>
  <c r="D286" i="1"/>
  <c r="D285" i="1"/>
  <c r="D284" i="1"/>
  <c r="D267" i="1"/>
  <c r="D259" i="1"/>
  <c r="D260" i="1"/>
  <c r="D261" i="1"/>
  <c r="D262" i="1"/>
  <c r="D263" i="1"/>
  <c r="D264" i="1"/>
  <c r="D265" i="1"/>
  <c r="D266" i="1"/>
  <c r="D258" i="1"/>
  <c r="E267" i="1"/>
  <c r="E259" i="1"/>
  <c r="E260" i="1"/>
  <c r="E261" i="1"/>
  <c r="E262" i="1"/>
  <c r="E263" i="1"/>
  <c r="E264" i="1"/>
  <c r="E265" i="1"/>
  <c r="E266" i="1"/>
  <c r="E258" i="1"/>
  <c r="A259" i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F363" i="1" l="1"/>
  <c r="H363" i="1" s="1"/>
  <c r="F355" i="1"/>
  <c r="H355" i="1" s="1"/>
  <c r="F318" i="1"/>
  <c r="H318" i="1" s="1"/>
  <c r="F274" i="1"/>
  <c r="H274" i="1" s="1"/>
  <c r="F278" i="1"/>
  <c r="H278" i="1" s="1"/>
  <c r="F313" i="1"/>
  <c r="H313" i="1" s="1"/>
  <c r="F282" i="1"/>
  <c r="H282" i="1" s="1"/>
  <c r="F312" i="1"/>
  <c r="H312" i="1" s="1"/>
  <c r="F383" i="1"/>
  <c r="H383" i="1" s="1"/>
  <c r="F299" i="1"/>
  <c r="H299" i="1" s="1"/>
  <c r="F308" i="1"/>
  <c r="H308" i="1" s="1"/>
  <c r="F317" i="1"/>
  <c r="H317" i="1" s="1"/>
  <c r="F327" i="1"/>
  <c r="H327" i="1" s="1"/>
  <c r="F343" i="1"/>
  <c r="H343" i="1" s="1"/>
  <c r="F294" i="1"/>
  <c r="H294" i="1" s="1"/>
  <c r="F338" i="1"/>
  <c r="H338" i="1" s="1"/>
  <c r="F271" i="1"/>
  <c r="H271" i="1" s="1"/>
  <c r="F275" i="1"/>
  <c r="H275" i="1" s="1"/>
  <c r="F279" i="1"/>
  <c r="H279" i="1" s="1"/>
  <c r="F340" i="1"/>
  <c r="H340" i="1" s="1"/>
  <c r="F345" i="1"/>
  <c r="H345" i="1" s="1"/>
  <c r="F349" i="1"/>
  <c r="H349" i="1" s="1"/>
  <c r="F298" i="1"/>
  <c r="H298" i="1" s="1"/>
  <c r="F307" i="1"/>
  <c r="H307" i="1" s="1"/>
  <c r="F321" i="1"/>
  <c r="H321" i="1" s="1"/>
  <c r="F379" i="1"/>
  <c r="H379" i="1" s="1"/>
  <c r="F370" i="1"/>
  <c r="H370" i="1" s="1"/>
  <c r="F380" i="1"/>
  <c r="H380" i="1" s="1"/>
  <c r="F384" i="1"/>
  <c r="H384" i="1" s="1"/>
  <c r="F295" i="1"/>
  <c r="H295" i="1" s="1"/>
  <c r="F328" i="1"/>
  <c r="H328" i="1" s="1"/>
  <c r="F337" i="1"/>
  <c r="H337" i="1" s="1"/>
  <c r="C124" i="1"/>
  <c r="F358" i="1"/>
  <c r="H358" i="1" s="1"/>
  <c r="F320" i="1"/>
  <c r="H320" i="1" s="1"/>
  <c r="F368" i="1"/>
  <c r="H368" i="1" s="1"/>
  <c r="F341" i="1"/>
  <c r="H341" i="1" s="1"/>
  <c r="F273" i="1"/>
  <c r="H273" i="1" s="1"/>
  <c r="F359" i="1"/>
  <c r="H359" i="1" s="1"/>
  <c r="F336" i="1"/>
  <c r="H336" i="1" s="1"/>
  <c r="F342" i="1"/>
  <c r="H342" i="1" s="1"/>
  <c r="F354" i="1"/>
  <c r="H354" i="1" s="1"/>
  <c r="F293" i="1"/>
  <c r="H293" i="1" s="1"/>
  <c r="C125" i="1"/>
  <c r="F300" i="1"/>
  <c r="H300" i="1" s="1"/>
  <c r="F310" i="1"/>
  <c r="H310" i="1" s="1"/>
  <c r="F314" i="1"/>
  <c r="H314" i="1" s="1"/>
  <c r="F367" i="1"/>
  <c r="H367" i="1" s="1"/>
  <c r="F371" i="1"/>
  <c r="H371" i="1" s="1"/>
  <c r="F376" i="1"/>
  <c r="H376" i="1" s="1"/>
  <c r="F381" i="1"/>
  <c r="H381" i="1" s="1"/>
  <c r="F385" i="1"/>
  <c r="H385" i="1" s="1"/>
  <c r="F260" i="1"/>
  <c r="H260" i="1" s="1"/>
  <c r="F362" i="1"/>
  <c r="H362" i="1" s="1"/>
  <c r="F272" i="1"/>
  <c r="H272" i="1" s="1"/>
  <c r="F276" i="1"/>
  <c r="H276" i="1" s="1"/>
  <c r="F348" i="1"/>
  <c r="H348" i="1" s="1"/>
  <c r="F297" i="1"/>
  <c r="H297" i="1" s="1"/>
  <c r="F301" i="1"/>
  <c r="H301" i="1" s="1"/>
  <c r="F305" i="1"/>
  <c r="H305" i="1" s="1"/>
  <c r="F311" i="1"/>
  <c r="H311" i="1" s="1"/>
  <c r="F372" i="1"/>
  <c r="H372" i="1" s="1"/>
  <c r="F377" i="1"/>
  <c r="H377" i="1" s="1"/>
  <c r="F387" i="1"/>
  <c r="H387" i="1" s="1"/>
  <c r="F302" i="1"/>
  <c r="H302" i="1" s="1"/>
  <c r="F374" i="1"/>
  <c r="H374" i="1" s="1"/>
  <c r="F356" i="1"/>
  <c r="H356" i="1" s="1"/>
  <c r="F281" i="1"/>
  <c r="H281" i="1" s="1"/>
  <c r="F280" i="1"/>
  <c r="H280" i="1" s="1"/>
  <c r="F347" i="1"/>
  <c r="H347" i="1" s="1"/>
  <c r="F350" i="1"/>
  <c r="H350" i="1" s="1"/>
  <c r="F284" i="1"/>
  <c r="H284" i="1" s="1"/>
  <c r="F364" i="1"/>
  <c r="H364" i="1" s="1"/>
  <c r="F258" i="1"/>
  <c r="F267" i="1"/>
  <c r="H267" i="1" s="1"/>
  <c r="F329" i="1"/>
  <c r="H329" i="1" s="1"/>
  <c r="F277" i="1"/>
  <c r="H277" i="1" s="1"/>
  <c r="F344" i="1"/>
  <c r="H344" i="1" s="1"/>
  <c r="F351" i="1"/>
  <c r="H351" i="1" s="1"/>
  <c r="F390" i="1"/>
  <c r="H390" i="1" s="1"/>
  <c r="F335" i="1"/>
  <c r="H335" i="1" s="1"/>
  <c r="F353" i="1"/>
  <c r="H353" i="1" s="1"/>
  <c r="F262" i="1"/>
  <c r="H262" i="1" s="1"/>
  <c r="F285" i="1"/>
  <c r="H285" i="1" s="1"/>
  <c r="F289" i="1"/>
  <c r="H289" i="1" s="1"/>
  <c r="F375" i="1"/>
  <c r="H375" i="1" s="1"/>
  <c r="F388" i="1"/>
  <c r="H388" i="1" s="1"/>
  <c r="F315" i="1"/>
  <c r="H315" i="1" s="1"/>
  <c r="F360" i="1"/>
  <c r="H360" i="1" s="1"/>
  <c r="F303" i="1"/>
  <c r="H303" i="1" s="1"/>
  <c r="F357" i="1"/>
  <c r="H357" i="1" s="1"/>
  <c r="F389" i="1"/>
  <c r="H389" i="1" s="1"/>
  <c r="F304" i="1"/>
  <c r="H304" i="1" s="1"/>
  <c r="F316" i="1"/>
  <c r="H316" i="1" s="1"/>
  <c r="F369" i="1"/>
  <c r="H369" i="1" s="1"/>
  <c r="F382" i="1"/>
  <c r="H382" i="1" s="1"/>
  <c r="F331" i="1"/>
  <c r="H331" i="1" s="1"/>
  <c r="F332" i="1"/>
  <c r="H332" i="1" s="1"/>
  <c r="F333" i="1"/>
  <c r="H333" i="1" s="1"/>
  <c r="F334" i="1"/>
  <c r="H334" i="1" s="1"/>
  <c r="F263" i="1"/>
  <c r="H263" i="1" s="1"/>
  <c r="F259" i="1"/>
  <c r="H259" i="1" s="1"/>
  <c r="F286" i="1"/>
  <c r="H286" i="1" s="1"/>
  <c r="F292" i="1"/>
  <c r="H292" i="1" s="1"/>
  <c r="F288" i="1"/>
  <c r="H288" i="1" s="1"/>
  <c r="F290" i="1"/>
  <c r="H290" i="1" s="1"/>
  <c r="F287" i="1"/>
  <c r="H287" i="1" s="1"/>
  <c r="F291" i="1"/>
  <c r="H291" i="1" s="1"/>
  <c r="F268" i="1"/>
  <c r="H268" i="1" s="1"/>
  <c r="F266" i="1"/>
  <c r="H266" i="1" s="1"/>
  <c r="F265" i="1"/>
  <c r="H265" i="1" s="1"/>
  <c r="F264" i="1"/>
  <c r="H264" i="1" s="1"/>
  <c r="F261" i="1"/>
  <c r="H261" i="1" s="1"/>
  <c r="C126" i="1" l="1"/>
  <c r="G125" i="1"/>
  <c r="E124" i="1"/>
  <c r="H258" i="1"/>
  <c r="G124" i="1" s="1"/>
  <c r="E125" i="1"/>
  <c r="D505" i="1"/>
  <c r="F505" i="1" s="1"/>
  <c r="D504" i="1"/>
  <c r="F504" i="1" s="1"/>
  <c r="D503" i="1"/>
  <c r="F503" i="1" s="1"/>
  <c r="D502" i="1"/>
  <c r="F502" i="1" s="1"/>
  <c r="D500" i="1"/>
  <c r="F500" i="1" s="1"/>
  <c r="D499" i="1"/>
  <c r="F499" i="1" s="1"/>
  <c r="D498" i="1"/>
  <c r="F498" i="1" s="1"/>
  <c r="D497" i="1"/>
  <c r="F497" i="1" s="1"/>
  <c r="D496" i="1"/>
  <c r="F496" i="1" s="1"/>
  <c r="D495" i="1"/>
  <c r="F495" i="1" s="1"/>
  <c r="D494" i="1"/>
  <c r="F494" i="1" s="1"/>
  <c r="D492" i="1"/>
  <c r="D491" i="1"/>
  <c r="D490" i="1"/>
  <c r="D489" i="1"/>
  <c r="D487" i="1"/>
  <c r="D486" i="1"/>
  <c r="D485" i="1"/>
  <c r="D484" i="1"/>
  <c r="D483" i="1"/>
  <c r="D482" i="1"/>
  <c r="D481" i="1"/>
  <c r="D468" i="1"/>
  <c r="G494" i="1"/>
  <c r="D475" i="1"/>
  <c r="D479" i="1"/>
  <c r="D478" i="1"/>
  <c r="D477" i="1"/>
  <c r="D476" i="1"/>
  <c r="D474" i="1"/>
  <c r="D473" i="1"/>
  <c r="D472" i="1"/>
  <c r="D471" i="1"/>
  <c r="D470" i="1"/>
  <c r="D469" i="1"/>
  <c r="D462" i="1"/>
  <c r="D466" i="1"/>
  <c r="D465" i="1"/>
  <c r="D464" i="1"/>
  <c r="D463" i="1"/>
  <c r="D461" i="1"/>
  <c r="D460" i="1"/>
  <c r="D459" i="1"/>
  <c r="D457" i="1"/>
  <c r="D456" i="1"/>
  <c r="D455" i="1"/>
  <c r="D449" i="1"/>
  <c r="F449" i="1" s="1"/>
  <c r="D448" i="1"/>
  <c r="F448" i="1" s="1"/>
  <c r="D446" i="1"/>
  <c r="F446" i="1" s="1"/>
  <c r="D445" i="1"/>
  <c r="F445" i="1" s="1"/>
  <c r="D444" i="1"/>
  <c r="F444" i="1" s="1"/>
  <c r="D443" i="1"/>
  <c r="F443" i="1" s="1"/>
  <c r="D442" i="1"/>
  <c r="F442" i="1" s="1"/>
  <c r="D441" i="1"/>
  <c r="F441" i="1" s="1"/>
  <c r="D440" i="1"/>
  <c r="F440" i="1" s="1"/>
  <c r="D439" i="1"/>
  <c r="F439" i="1" s="1"/>
  <c r="D438" i="1"/>
  <c r="F438" i="1" s="1"/>
  <c r="D436" i="1"/>
  <c r="D435" i="1"/>
  <c r="D421" i="1"/>
  <c r="D433" i="1"/>
  <c r="D432" i="1"/>
  <c r="D431" i="1"/>
  <c r="D430" i="1"/>
  <c r="D429" i="1"/>
  <c r="D428" i="1"/>
  <c r="D427" i="1"/>
  <c r="D426" i="1"/>
  <c r="D425" i="1"/>
  <c r="D423" i="1"/>
  <c r="D422" i="1"/>
  <c r="D420" i="1"/>
  <c r="D419" i="1"/>
  <c r="D418" i="1"/>
  <c r="D417" i="1"/>
  <c r="D416" i="1"/>
  <c r="D415" i="1"/>
  <c r="D414" i="1"/>
  <c r="D413" i="1"/>
  <c r="D412" i="1"/>
  <c r="D409" i="1"/>
  <c r="D408" i="1"/>
  <c r="D407" i="1"/>
  <c r="D406" i="1"/>
  <c r="D405" i="1"/>
  <c r="D404" i="1"/>
  <c r="D403" i="1"/>
  <c r="D402" i="1"/>
  <c r="D401" i="1"/>
  <c r="D400" i="1"/>
  <c r="D399" i="1"/>
  <c r="C95" i="1"/>
  <c r="G126" i="1" l="1"/>
  <c r="E126" i="1"/>
  <c r="J106" i="1"/>
  <c r="J105" i="1"/>
  <c r="J104" i="1"/>
  <c r="J103" i="1"/>
  <c r="H96" i="1"/>
  <c r="J101" i="1" l="1"/>
  <c r="J102" i="1" s="1"/>
  <c r="J107" i="1" s="1"/>
  <c r="D107" i="1"/>
  <c r="D105" i="1"/>
  <c r="D103" i="1"/>
  <c r="D101" i="1"/>
  <c r="J99" i="1"/>
  <c r="J95" i="1"/>
  <c r="J97" i="1" s="1"/>
  <c r="J100" i="1"/>
  <c r="C99" i="1" s="1"/>
  <c r="J98" i="1"/>
  <c r="D108" i="1"/>
  <c r="D106" i="1"/>
  <c r="D104" i="1"/>
  <c r="D102" i="1"/>
  <c r="K399" i="1"/>
  <c r="J108" i="1" l="1"/>
  <c r="C100" i="1" s="1"/>
  <c r="G99" i="1" s="1"/>
  <c r="D99" i="1"/>
  <c r="I447" i="1"/>
  <c r="D100" i="1" l="1"/>
  <c r="I96" i="1" s="1"/>
  <c r="I97" i="1" s="1"/>
  <c r="E99" i="1"/>
  <c r="J96" i="1"/>
  <c r="F492" i="1"/>
  <c r="F491" i="1"/>
  <c r="F490" i="1"/>
  <c r="F489" i="1"/>
  <c r="F487" i="1"/>
  <c r="F486" i="1"/>
  <c r="F485" i="1"/>
  <c r="F484" i="1"/>
  <c r="F483" i="1"/>
  <c r="F482" i="1"/>
  <c r="F481" i="1"/>
  <c r="F479" i="1"/>
  <c r="I479" i="1" s="1"/>
  <c r="F478" i="1"/>
  <c r="I478" i="1" s="1"/>
  <c r="F477" i="1"/>
  <c r="I477" i="1" s="1"/>
  <c r="F476" i="1"/>
  <c r="I476" i="1" s="1"/>
  <c r="F475" i="1"/>
  <c r="I475" i="1" s="1"/>
  <c r="F474" i="1"/>
  <c r="I474" i="1" s="1"/>
  <c r="F473" i="1"/>
  <c r="I473" i="1" s="1"/>
  <c r="F472" i="1"/>
  <c r="I472" i="1" s="1"/>
  <c r="F471" i="1"/>
  <c r="I471" i="1" s="1"/>
  <c r="F470" i="1"/>
  <c r="I470" i="1" s="1"/>
  <c r="F469" i="1"/>
  <c r="I469" i="1" s="1"/>
  <c r="F468" i="1"/>
  <c r="I468" i="1" s="1"/>
  <c r="F466" i="1"/>
  <c r="F465" i="1"/>
  <c r="F436" i="1"/>
  <c r="F435" i="1"/>
  <c r="F433" i="1"/>
  <c r="F431" i="1"/>
  <c r="F430" i="1"/>
  <c r="F429" i="1"/>
  <c r="F428" i="1"/>
  <c r="F427" i="1"/>
  <c r="F426" i="1"/>
  <c r="F425" i="1"/>
  <c r="J449" i="1"/>
  <c r="J447" i="1"/>
  <c r="M446" i="1"/>
  <c r="J445" i="1"/>
  <c r="J444" i="1"/>
  <c r="J443" i="1"/>
  <c r="J441" i="1"/>
  <c r="J439" i="1"/>
  <c r="F423" i="1"/>
  <c r="K423" i="1" s="1"/>
  <c r="F422" i="1"/>
  <c r="K422" i="1" s="1"/>
  <c r="F421" i="1"/>
  <c r="K421" i="1" s="1"/>
  <c r="F420" i="1"/>
  <c r="K420" i="1" s="1"/>
  <c r="F419" i="1"/>
  <c r="K419" i="1" s="1"/>
  <c r="F418" i="1"/>
  <c r="K418" i="1" s="1"/>
  <c r="F417" i="1"/>
  <c r="K417" i="1" s="1"/>
  <c r="F416" i="1"/>
  <c r="K416" i="1" s="1"/>
  <c r="F415" i="1"/>
  <c r="K415" i="1" s="1"/>
  <c r="F414" i="1"/>
  <c r="K414" i="1" s="1"/>
  <c r="F413" i="1"/>
  <c r="K413" i="1" s="1"/>
  <c r="F412" i="1"/>
  <c r="K412" i="1" s="1"/>
  <c r="F409" i="1"/>
  <c r="J409" i="1" s="1"/>
  <c r="F407" i="1"/>
  <c r="J407" i="1" s="1"/>
  <c r="F406" i="1"/>
  <c r="J406" i="1" s="1"/>
  <c r="F405" i="1"/>
  <c r="J405" i="1" s="1"/>
  <c r="F404" i="1"/>
  <c r="J404" i="1" s="1"/>
  <c r="F403" i="1"/>
  <c r="J403" i="1" s="1"/>
  <c r="F402" i="1"/>
  <c r="J402" i="1" s="1"/>
  <c r="F401" i="1"/>
  <c r="J401" i="1" s="1"/>
  <c r="F400" i="1"/>
  <c r="J400" i="1" s="1"/>
  <c r="I408" i="1"/>
  <c r="F432" i="1"/>
  <c r="G425" i="1"/>
  <c r="G481" i="1"/>
  <c r="G438" i="1"/>
  <c r="G468" i="1"/>
  <c r="G412" i="1"/>
  <c r="A400" i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I399" i="1"/>
  <c r="G399" i="1"/>
  <c r="I455" i="1"/>
  <c r="I95" i="1" l="1"/>
  <c r="C97" i="1" s="1"/>
  <c r="J438" i="1"/>
  <c r="L439" i="1"/>
  <c r="F408" i="1"/>
  <c r="J408" i="1" s="1"/>
  <c r="L408" i="1"/>
  <c r="F399" i="1"/>
  <c r="L399" i="1" s="1"/>
  <c r="M447" i="1"/>
  <c r="J448" i="1"/>
  <c r="J446" i="1"/>
  <c r="J442" i="1"/>
  <c r="J440" i="1"/>
  <c r="F464" i="1"/>
  <c r="F463" i="1"/>
  <c r="F462" i="1"/>
  <c r="F461" i="1"/>
  <c r="F460" i="1"/>
  <c r="J399" i="1" l="1"/>
  <c r="E42" i="1"/>
  <c r="E43" i="1" s="1"/>
  <c r="C14" i="1" l="1"/>
  <c r="E29" i="1" l="1"/>
  <c r="F114" i="1" l="1"/>
  <c r="B508" i="1" l="1"/>
  <c r="F459" i="1" l="1"/>
  <c r="F456" i="1"/>
  <c r="F455" i="1"/>
  <c r="F457" i="1"/>
  <c r="B50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33" i="1"/>
  <c r="G455" i="1"/>
  <c r="A456" i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J92" i="1"/>
  <c r="J91" i="1"/>
  <c r="J90" i="1"/>
  <c r="J89" i="1"/>
  <c r="G49" i="1"/>
  <c r="C49" i="1"/>
  <c r="C50" i="1" s="1"/>
  <c r="E26" i="1"/>
  <c r="E24" i="1"/>
  <c r="E7" i="1"/>
  <c r="E3" i="1"/>
  <c r="H82" i="1"/>
  <c r="D61" i="1" l="1"/>
  <c r="D94" i="1"/>
  <c r="D92" i="1"/>
  <c r="D91" i="1"/>
  <c r="D90" i="1"/>
  <c r="D88" i="1"/>
  <c r="J81" i="1"/>
  <c r="D93" i="1"/>
  <c r="D89" i="1"/>
  <c r="J85" i="1"/>
  <c r="J86" i="1"/>
  <c r="C85" i="1" s="1"/>
  <c r="J84" i="1"/>
  <c r="J87" i="1"/>
  <c r="J88" i="1" s="1"/>
  <c r="J93" i="1" s="1"/>
  <c r="J94" i="1" s="1"/>
  <c r="C86" i="1" s="1"/>
  <c r="D87" i="1" l="1"/>
  <c r="J83" i="1"/>
  <c r="E85" i="1"/>
  <c r="D86" i="1"/>
  <c r="G85" i="1"/>
  <c r="D65" i="1" s="1"/>
  <c r="D66" i="1" s="1"/>
  <c r="D85" i="1"/>
  <c r="I82" i="1" l="1"/>
  <c r="J82" i="1"/>
  <c r="F66" i="1"/>
  <c r="I83" i="1" l="1"/>
  <c r="I81" i="1" s="1"/>
  <c r="C83" i="1" s="1"/>
</calcChain>
</file>

<file path=xl/comments1.xml><?xml version="1.0" encoding="utf-8"?>
<comments xmlns="http://schemas.openxmlformats.org/spreadsheetml/2006/main">
  <authors>
    <author>SACHIN</author>
  </authors>
  <commentList>
    <comment ref="H156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<sst xmlns="http://schemas.openxmlformats.org/spreadsheetml/2006/main" count="947" uniqueCount="287">
  <si>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</si>
  <si>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</si>
  <si>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</si>
  <si>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</si>
  <si>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</si>
  <si>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</si>
  <si>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</si>
  <si>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</si>
  <si>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</si>
  <si>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</si>
  <si>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</si>
  <si>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</si>
  <si>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</si>
  <si>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</si>
  <si>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</si>
  <si>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</si>
  <si>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</si>
  <si>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</si>
  <si>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</si>
  <si>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</si>
  <si>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</si>
  <si>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</si>
  <si>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</si>
  <si>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</si>
  <si>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</si>
  <si>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</si>
  <si>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</si>
  <si>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</si>
  <si>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</si>
  <si>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</si>
  <si>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</si>
  <si>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</si>
  <si>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</si>
  <si>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</si>
  <si>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</si>
  <si>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</si>
  <si>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</si>
  <si>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</si>
  <si>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</si>
  <si>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</si>
  <si>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</si>
  <si>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</si>
  <si>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</si>
  <si>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</si>
  <si>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</si>
  <si>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</si>
  <si>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</si>
  <si>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</si>
  <si>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</si>
  <si>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</si>
  <si>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</si>
  <si>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</si>
  <si>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</si>
  <si>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</si>
  <si>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</si>
  <si>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</si>
  <si>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</si>
  <si>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</si>
  <si>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</si>
  <si>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</si>
  <si>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</si>
  <si>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</si>
  <si>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</si>
  <si>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</si>
  <si>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</si>
  <si>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</si>
  <si>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</si>
  <si>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</si>
  <si>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</si>
  <si>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</si>
  <si>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</si>
  <si>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</si>
  <si>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</si>
  <si>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</si>
  <si>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</si>
  <si>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</si>
  <si>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</si>
  <si>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</si>
  <si>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</si>
  <si>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</si>
  <si>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</si>
  <si>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</si>
  <si>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</si>
  <si>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</si>
  <si>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</si>
  <si>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</si>
  <si>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</si>
  <si>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</si>
  <si>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</si>
  <si>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</si>
  <si>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</si>
  <si>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</si>
  <si>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</si>
  <si>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</si>
  <si>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</si>
  <si>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</si>
  <si>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</si>
  <si>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</si>
  <si>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</si>
  <si>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</si>
  <si>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</si>
  <si>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</si>
  <si>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</si>
  <si>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</si>
  <si>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</si>
  <si>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</si>
  <si>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</si>
  <si>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</si>
  <si>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</si>
  <si>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</si>
  <si>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</si>
  <si>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</si>
  <si>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</si>
  <si>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</si>
  <si>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</si>
  <si>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</si>
  <si>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</si>
  <si>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</si>
  <si>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</si>
  <si>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</si>
  <si>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</si>
  <si>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</si>
  <si>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</si>
  <si>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</si>
  <si>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</si>
  <si>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</si>
  <si>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</si>
  <si>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</si>
  <si>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</si>
  <si>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</si>
  <si>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</si>
  <si>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</si>
  <si>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</si>
  <si>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</si>
  <si>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</si>
  <si>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</si>
  <si>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</si>
  <si>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</si>
  <si>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</si>
  <si>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</si>
  <si>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</si>
  <si>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</si>
  <si>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</si>
  <si>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</si>
  <si>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</si>
  <si>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</si>
  <si>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</si>
  <si>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</si>
  <si>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</si>
  <si>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</si>
  <si>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</si>
  <si>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</si>
  <si>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</si>
  <si>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</si>
  <si>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</si>
  <si>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</si>
  <si>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</si>
  <si>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Approved Plans, CC, Builder Saleable Area, Cost Sheet</t>
  </si>
  <si>
    <t>Aarav Group</t>
  </si>
  <si>
    <t>Survey No</t>
  </si>
  <si>
    <t>54, H.No.4</t>
  </si>
  <si>
    <t>Balyani</t>
  </si>
  <si>
    <t>Thane</t>
  </si>
  <si>
    <t>Kalyan</t>
  </si>
  <si>
    <t>Kalyan-Dombivli Municipal Corporation (KDMC)</t>
  </si>
  <si>
    <t>As per RERA - 31/12/2026</t>
  </si>
  <si>
    <t>Sarnobat nagar</t>
  </si>
  <si>
    <t>Titwala - Ambivli Road</t>
  </si>
  <si>
    <t>1.2KM from Titwala Railway Station</t>
  </si>
  <si>
    <t>Building No. 2</t>
  </si>
  <si>
    <t>Axis Badlapur</t>
  </si>
  <si>
    <t>1st Podium Floor For Parking</t>
  </si>
  <si>
    <t>2nd Podium Floor For Society Office &amp; Parking</t>
  </si>
  <si>
    <t>3rd Floor For Residential</t>
  </si>
  <si>
    <t>C Wing</t>
  </si>
  <si>
    <t>1BHK</t>
  </si>
  <si>
    <t>D Wing</t>
  </si>
  <si>
    <t>Void</t>
  </si>
  <si>
    <t xml:space="preserve"> </t>
  </si>
  <si>
    <t>7th Floor (Part Refuge Area)</t>
  </si>
  <si>
    <t>Refuge Area</t>
  </si>
  <si>
    <t>Chawl</t>
  </si>
  <si>
    <t>Mata Vaishno Devi Temple</t>
  </si>
  <si>
    <t>Internal Road</t>
  </si>
  <si>
    <t>Office No. 1031, Wing J, Akshar Business Park, Plot No. 03 Sector 25, Near APMC Market,
Vashi, Navi Mumbai, Maharashtra 400703 TEL: 022-46090378/79/8
E mail : vsjcapf@gmail.com. Web site : www.vsjadon.com</t>
  </si>
  <si>
    <t>Latitude,Longitude</t>
  </si>
  <si>
    <t>KDMC/TPD/BP/KD/2022-23/24/385</t>
  </si>
  <si>
    <t>Building No. 2 (C Wing) = G + 2P + 3rd to 14th Floor</t>
  </si>
  <si>
    <t>Building No. 2 (D Wing) = G + 2P + 3rd to 14th Floor</t>
  </si>
  <si>
    <t>99 acres</t>
  </si>
  <si>
    <t>19.285683,73.199830</t>
  </si>
  <si>
    <t>https://maps.app.goo.gl/g93ZM2nKXjnmg3pB9</t>
  </si>
  <si>
    <t>Other Plot</t>
  </si>
  <si>
    <t>Exisitng Road/Other Plot</t>
  </si>
  <si>
    <t>Chawl/Other Plot</t>
  </si>
  <si>
    <t>Titwala East</t>
  </si>
  <si>
    <t>Ground Floor For Entrance Lobby &amp; Parking</t>
  </si>
  <si>
    <t>Ground Floor For Entrance Lobby, Drivers Room, &amp; Parking</t>
  </si>
  <si>
    <t>2nd Podium Floor For Fire Control Room, &amp; Parking</t>
  </si>
  <si>
    <t>4th to 6th, 8th to 11th, 13th &amp; 14th Floor</t>
  </si>
  <si>
    <t>12th Floor (Part Refuge Area)</t>
  </si>
  <si>
    <t>Carpet area</t>
  </si>
  <si>
    <t>Double Height Entrance Lobby Below</t>
  </si>
  <si>
    <t>5th, 9th, 11th &amp; 13th Floor</t>
  </si>
  <si>
    <t>4th, 6th, 8th, 10th &amp; 14th Floor</t>
  </si>
  <si>
    <t>Service Slab + Balcony Area</t>
  </si>
  <si>
    <t>We considered Gross carpet area = Net carpet + Service Slab + Balcony.</t>
  </si>
  <si>
    <t>Miss.Swati 8369223816</t>
  </si>
  <si>
    <t xml:space="preserve">Creche/Day care, Community Hall, Indoor Games, Sewage Treatment Plant, Jogging Track, Club House, Gated Community, etc
</t>
  </si>
  <si>
    <t>Type C</t>
  </si>
  <si>
    <t>Type C1</t>
  </si>
  <si>
    <t>Type D</t>
  </si>
  <si>
    <t>-</t>
  </si>
  <si>
    <t>We have updated Revised approved plans &amp; CC (On 16/09/2024).</t>
  </si>
  <si>
    <t xml:space="preserve">change this remark when disbursement exceeds from 74% </t>
  </si>
  <si>
    <t>As per Approved Floor Plans, Structure of Wing C &amp; D will be Gr. + 14 upper Floors instead of Gr. + 10 upper Floors. Therefore, construction stage is decreased due revision in proposed structure.</t>
  </si>
  <si>
    <t>Mr. Namrata : 8180947558</t>
  </si>
  <si>
    <t>4200 to 4350 shailesh verbal on 31/12/2024</t>
  </si>
  <si>
    <t>Rate 4550 by bhargav Verbal  on 05/03/2025</t>
  </si>
  <si>
    <t>Recommended Rates/Other Charges of the Property have been revised on 31/12/2024 &amp; 05/03/2025.</t>
  </si>
  <si>
    <t>Mr. Manjit 9930026325</t>
  </si>
  <si>
    <t>Mangesh Bapardekar</t>
  </si>
  <si>
    <t>Subhash Residency Wing A to D</t>
  </si>
  <si>
    <t>Building No. 2 (A to D Wing)</t>
  </si>
  <si>
    <t>Subhash Residency Wing C &amp; D =P51700048150
Subhash Residency Wing A &amp; B =P51700079631</t>
  </si>
  <si>
    <t>04 Wings</t>
  </si>
  <si>
    <t>Building No. 2 (A &amp; B Wing) = St/Gr(Pt) + 1st to 10th Floor
Building No. 2 (C &amp; D Wing) = St/Gr(Pt) + 1st to 14th Floor</t>
  </si>
  <si>
    <t>Approved area of building (Sq.Mt)
Building No. 2 Wing A to D</t>
  </si>
  <si>
    <t>Building Details Floor Wise</t>
  </si>
  <si>
    <t xml:space="preserve">Details of Residential &amp; Commercials in Building   </t>
  </si>
  <si>
    <t>Shop No. (Sale Plan)</t>
  </si>
  <si>
    <t>Attached Loft area</t>
  </si>
  <si>
    <r>
      <t xml:space="preserve">Shop No.
</t>
    </r>
    <r>
      <rPr>
        <b/>
        <sz val="11"/>
        <color theme="1"/>
        <rFont val="Times New Roman"/>
        <family val="1"/>
      </rPr>
      <t>(Approved Plan)</t>
    </r>
  </si>
  <si>
    <t>Building No. 02</t>
  </si>
  <si>
    <t>Wing A</t>
  </si>
  <si>
    <t>Shop</t>
  </si>
  <si>
    <t>Ground Floor For Commercial, Entrance Lobby, &amp; Parking</t>
  </si>
  <si>
    <t>A Wing</t>
  </si>
  <si>
    <t>1st Podium Floor For Residential &amp; Parking</t>
  </si>
  <si>
    <t>B Wing</t>
  </si>
  <si>
    <t>2nd Podium Floor For Residential, Society Office , Fire Control Room &amp; Parking</t>
  </si>
  <si>
    <t>3rd to 6th, 8th &amp; 9th Floor For Residential</t>
  </si>
  <si>
    <t>7th Floor For Residential (Part Refuge Area)</t>
  </si>
  <si>
    <t>10th Floor For Residential (Part Terrace Area)</t>
  </si>
  <si>
    <t>Terrace Area</t>
  </si>
  <si>
    <t>Commercial Area Details : Building No. 02</t>
  </si>
  <si>
    <t>Residential Area Details : Building No. 02</t>
  </si>
  <si>
    <t>Wing B</t>
  </si>
  <si>
    <t>Shruti</t>
  </si>
  <si>
    <t>We have added Building No. 02(Wing A &amp; B) on 09/09/2025 &amp;
We have Refered approved Plans from RERA site on 09/09/2025.</t>
  </si>
  <si>
    <t xml:space="preserve">Flats - 448, Shop - 18, </t>
  </si>
  <si>
    <t>Building No. 2 (A &amp; B Wing) = Gr/St + 1st to 10th Floor</t>
  </si>
  <si>
    <t>Building No. 2 (A &amp; B Wing) = Gr/St + 1st to 10th Floor
Building No. 2 (C &amp; D Wing) = G + 2P + 3rd to 14th Floor</t>
  </si>
  <si>
    <t>Construction work is in process at the time of visit. Internal photos was not allowed.</t>
  </si>
  <si>
    <t>Flat No. (Sale Plan)</t>
  </si>
  <si>
    <t>1
Type A</t>
  </si>
  <si>
    <t>2
Type A</t>
  </si>
  <si>
    <t>3
Type A</t>
  </si>
  <si>
    <t>4
Type A</t>
  </si>
  <si>
    <t>5
Type A</t>
  </si>
  <si>
    <t>16
Type A</t>
  </si>
  <si>
    <t>17
Type A</t>
  </si>
  <si>
    <t>18
Type A</t>
  </si>
  <si>
    <t>19
Type A</t>
  </si>
  <si>
    <t>20
Type A</t>
  </si>
  <si>
    <t>14
Type A</t>
  </si>
  <si>
    <t>15
Type A</t>
  </si>
  <si>
    <t>7
Type A</t>
  </si>
  <si>
    <t>8
Type A</t>
  </si>
  <si>
    <t>6
Type A</t>
  </si>
  <si>
    <t>9
Type A</t>
  </si>
  <si>
    <t>10
Type A</t>
  </si>
  <si>
    <t>11
Type A</t>
  </si>
  <si>
    <t>12
Type A</t>
  </si>
  <si>
    <t>13
Type A</t>
  </si>
  <si>
    <t>301 to 601, 801, 901</t>
  </si>
  <si>
    <t>302 to 602, 802, 902</t>
  </si>
  <si>
    <t>303 to 603, 803, 903</t>
  </si>
  <si>
    <t>304 to 604, 804, 904</t>
  </si>
  <si>
    <t>305 to 605, 805, 905</t>
  </si>
  <si>
    <t>306 to 606, 806, 906</t>
  </si>
  <si>
    <t>307 to 607, 807, 907</t>
  </si>
  <si>
    <t>308 to 608, 808, 908</t>
  </si>
  <si>
    <t>309 to 609, 809, 909</t>
  </si>
  <si>
    <t>310 to 610, 810, 910</t>
  </si>
  <si>
    <t>We have updated flat numbering as per sale plan for building no.2 (Wing A &amp; B), provided to us on mail by bank officials. 
Sale plan attached below.</t>
  </si>
  <si>
    <t>Remark No.12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</si>
</sst>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26" fillId="0" borderId="0" xfId="10"/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15" fillId="0" borderId="1" xfId="1" applyNumberFormat="1" applyFont="1" applyBorder="1" applyAlignment="1" applyProtection="1">
      <alignment horizontal="center" vertical="center" wrapText="1"/>
      <protection locked="0"/>
    </xf>
    <xf numFmtId="9" fontId="13" fillId="0" borderId="15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2" xfId="1" applyNumberFormat="1" applyFont="1" applyBorder="1" applyAlignment="1" applyProtection="1">
      <alignment horizontal="center" vertical="top" wrapText="1"/>
      <protection locked="0"/>
    </xf>
    <xf numFmtId="9" fontId="10" fillId="0" borderId="15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4" xfId="0" applyFont="1" applyFill="1" applyBorder="1"/>
    <xf numFmtId="0" fontId="25" fillId="0" borderId="8" xfId="0" applyFont="1" applyBorder="1"/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15" fillId="2" borderId="2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15" fillId="0" borderId="7" xfId="1" applyNumberFormat="1" applyFont="1" applyBorder="1" applyAlignment="1" applyProtection="1">
      <alignment horizontal="center" vertical="center" wrapText="1"/>
      <protection locked="0"/>
    </xf>
    <xf numFmtId="1" fontId="15" fillId="0" borderId="20" xfId="1" applyNumberFormat="1" applyFont="1" applyBorder="1" applyAlignment="1" applyProtection="1">
      <alignment horizontal="center" vertical="center" wrapText="1"/>
      <protection locked="0"/>
    </xf>
    <xf numFmtId="1" fontId="15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13" fillId="0" borderId="15" xfId="1" applyNumberFormat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0" fillId="0" borderId="2" xfId="1" applyNumberFormat="1" applyFont="1" applyBorder="1" applyAlignment="1" applyProtection="1">
      <alignment horizontal="center" vertical="top" wrapText="1"/>
      <protection locked="0"/>
    </xf>
    <xf numFmtId="1" fontId="10" fillId="0" borderId="15" xfId="1" applyNumberFormat="1" applyFont="1" applyBorder="1" applyAlignment="1" applyProtection="1">
      <alignment horizontal="center" vertical="top" wrapText="1"/>
      <protection locked="0"/>
    </xf>
    <xf numFmtId="1" fontId="29" fillId="0" borderId="2" xfId="1" applyNumberFormat="1" applyFont="1" applyBorder="1" applyAlignment="1" applyProtection="1">
      <alignment horizontal="center" vertical="top" wrapText="1"/>
      <protection locked="0"/>
    </xf>
    <xf numFmtId="1" fontId="29" fillId="0" borderId="15" xfId="1" applyNumberFormat="1" applyFont="1" applyBorder="1" applyAlignment="1" applyProtection="1">
      <alignment horizontal="center" vertical="top" wrapText="1"/>
      <protection locked="0"/>
    </xf>
    <xf numFmtId="1" fontId="10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20" xfId="1" applyNumberFormat="1" applyFont="1" applyBorder="1" applyAlignment="1" applyProtection="1">
      <alignment horizontal="center" vertical="center" wrapText="1"/>
      <protection locked="0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27145</xdr:colOff>
      <xdr:row>535</xdr:row>
      <xdr:rowOff>33618</xdr:rowOff>
    </xdr:from>
    <xdr:to>
      <xdr:col>11</xdr:col>
      <xdr:colOff>134278</xdr:colOff>
      <xdr:row>537</xdr:row>
      <xdr:rowOff>10744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8913410" y="52140971"/>
          <a:ext cx="857927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Wing C</a:t>
          </a:r>
        </a:p>
      </xdr:txBody>
    </xdr:sp>
    <xdr:clientData/>
  </xdr:twoCellAnchor>
  <xdr:twoCellAnchor>
    <xdr:from>
      <xdr:col>11</xdr:col>
      <xdr:colOff>183686</xdr:colOff>
      <xdr:row>535</xdr:row>
      <xdr:rowOff>22412</xdr:rowOff>
    </xdr:from>
    <xdr:to>
      <xdr:col>12</xdr:col>
      <xdr:colOff>314865</xdr:colOff>
      <xdr:row>536</xdr:row>
      <xdr:rowOff>201244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9820745" y="52129765"/>
          <a:ext cx="881973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Wing D</a:t>
          </a:r>
        </a:p>
      </xdr:txBody>
    </xdr:sp>
    <xdr:clientData/>
  </xdr:twoCellAnchor>
  <xdr:twoCellAnchor editAs="oneCell">
    <xdr:from>
      <xdr:col>8</xdr:col>
      <xdr:colOff>759516</xdr:colOff>
      <xdr:row>259</xdr:row>
      <xdr:rowOff>60877</xdr:rowOff>
    </xdr:from>
    <xdr:to>
      <xdr:col>14</xdr:col>
      <xdr:colOff>225411</xdr:colOff>
      <xdr:row>270</xdr:row>
      <xdr:rowOff>20601</xdr:rowOff>
    </xdr:to>
    <xdr:pic>
      <xdr:nvPicPr>
        <xdr:cNvPr id="34" name="Picture 33" descr="D:\Kunal\Sept 2024\Axis\APF Update\New folder\WhatsApp Image 2024-09-16 at 4.17.07 PM.jpe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66333" y="25842981"/>
          <a:ext cx="4567982" cy="214633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1073425</xdr:colOff>
      <xdr:row>284</xdr:row>
      <xdr:rowOff>148699</xdr:rowOff>
    </xdr:from>
    <xdr:to>
      <xdr:col>13</xdr:col>
      <xdr:colOff>156383</xdr:colOff>
      <xdr:row>295</xdr:row>
      <xdr:rowOff>56294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0242" y="30900369"/>
          <a:ext cx="3323654" cy="20942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865532</xdr:colOff>
      <xdr:row>295</xdr:row>
      <xdr:rowOff>179734</xdr:rowOff>
    </xdr:from>
    <xdr:to>
      <xdr:col>12</xdr:col>
      <xdr:colOff>763499</xdr:colOff>
      <xdr:row>305</xdr:row>
      <xdr:rowOff>185792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72349" y="33118012"/>
          <a:ext cx="3323654" cy="199388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390524</xdr:colOff>
      <xdr:row>318</xdr:row>
      <xdr:rowOff>133352</xdr:rowOff>
    </xdr:from>
    <xdr:to>
      <xdr:col>18</xdr:col>
      <xdr:colOff>412574</xdr:colOff>
      <xdr:row>342</xdr:row>
      <xdr:rowOff>192752</xdr:rowOff>
    </xdr:to>
    <xdr:pic>
      <xdr:nvPicPr>
        <xdr:cNvPr id="39" name="Picture 38" descr="D:\Kunal\Sept 2024\Axis\APF Update\New folder\WhatsApp Image 2024-09-16 at 4.17.05 PM.jpe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96224" y="35385377"/>
          <a:ext cx="6480000" cy="48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1099930</xdr:colOff>
      <xdr:row>271</xdr:row>
      <xdr:rowOff>148699</xdr:rowOff>
    </xdr:from>
    <xdr:ext cx="3240000" cy="2107870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6747" y="28316195"/>
          <a:ext cx="3240000" cy="21078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 editAs="oneCell">
    <xdr:from>
      <xdr:col>8</xdr:col>
      <xdr:colOff>714374</xdr:colOff>
      <xdr:row>119</xdr:row>
      <xdr:rowOff>123825</xdr:rowOff>
    </xdr:from>
    <xdr:to>
      <xdr:col>11</xdr:col>
      <xdr:colOff>76199</xdr:colOff>
      <xdr:row>127</xdr:row>
      <xdr:rowOff>133349</xdr:rowOff>
    </xdr:to>
    <xdr:pic>
      <xdr:nvPicPr>
        <xdr:cNvPr id="41" name="Picture 40" descr="C:\Users\VSJ\AppData\Local\Packages\Microsoft.Windows.Photos_8wekyb3d8bbwe\TempState\ShareServiceTempFolder\9e92b7a8-1c0d-497a-8e59-21cf1596052a.jpe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058024" y="22374225"/>
          <a:ext cx="1990725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303149</xdr:colOff>
      <xdr:row>576</xdr:row>
      <xdr:rowOff>33128</xdr:rowOff>
    </xdr:from>
    <xdr:to>
      <xdr:col>6</xdr:col>
      <xdr:colOff>503582</xdr:colOff>
      <xdr:row>615</xdr:row>
      <xdr:rowOff>33129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1103249" y="108891178"/>
          <a:ext cx="4556533" cy="7677151"/>
          <a:chOff x="1283995" y="371967"/>
          <a:chExt cx="4405605" cy="8354592"/>
        </a:xfrm>
      </xdr:grpSpPr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046797" y="5507734"/>
            <a:ext cx="2880000" cy="3218825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grpSp>
        <xdr:nvGrpSpPr>
          <xdr:cNvPr id="44" name="Group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GrpSpPr/>
        </xdr:nvGrpSpPr>
        <xdr:grpSpPr>
          <a:xfrm>
            <a:off x="1283995" y="371967"/>
            <a:ext cx="4405605" cy="5012833"/>
            <a:chOff x="1283995" y="371967"/>
            <a:chExt cx="4405605" cy="5288605"/>
          </a:xfrm>
        </xdr:grpSpPr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283995" y="371967"/>
              <a:ext cx="4405605" cy="5288605"/>
            </a:xfrm>
            <a:prstGeom prst="rect">
              <a:avLst/>
            </a:prstGeom>
            <a:ln w="12700">
              <a:solidFill>
                <a:schemeClr val="tx1"/>
              </a:solidFill>
            </a:ln>
          </xdr:spPr>
        </xdr:pic>
        <xdr:sp macro="" textlink="">
          <xdr:nvSpPr>
            <xdr:cNvPr id="46" name="L-Shape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>
            <a:xfrm rot="199706">
              <a:off x="2706936" y="2580749"/>
              <a:ext cx="926386" cy="517265"/>
            </a:xfrm>
            <a:prstGeom prst="corner">
              <a:avLst>
                <a:gd name="adj1" fmla="val 56896"/>
                <a:gd name="adj2" fmla="val 62069"/>
              </a:avLst>
            </a:prstGeom>
            <a:noFill/>
            <a:ln w="19050">
              <a:solidFill>
                <a:srgbClr val="00206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IN" sz="1100"/>
            </a:p>
          </xdr:txBody>
        </xdr:sp>
        <xdr:sp macro="" textlink="">
          <xdr:nvSpPr>
            <xdr:cNvPr id="47" name="L-Shape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>
            <a:xfrm rot="302795" flipH="1">
              <a:off x="3669445" y="2611229"/>
              <a:ext cx="811114" cy="543889"/>
            </a:xfrm>
            <a:prstGeom prst="corner">
              <a:avLst>
                <a:gd name="adj1" fmla="val 48709"/>
                <a:gd name="adj2" fmla="val 56928"/>
              </a:avLst>
            </a:prstGeom>
            <a:noFill/>
            <a:ln w="19050">
              <a:solidFill>
                <a:srgbClr val="00206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IN" sz="1100"/>
            </a:p>
          </xdr:txBody>
        </xdr:sp>
        <xdr:sp macro="" textlink="">
          <xdr:nvSpPr>
            <xdr:cNvPr id="48" name="TextBox 16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>
              <a:off x="3236507" y="2547007"/>
              <a:ext cx="947349" cy="3584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000" b="1">
                  <a:solidFill>
                    <a:srgbClr val="002060"/>
                  </a:solidFill>
                </a:rPr>
                <a:t>Building No.2</a:t>
              </a:r>
            </a:p>
          </xdr:txBody>
        </xdr:sp>
        <xdr:sp macro="" textlink="">
          <xdr:nvSpPr>
            <xdr:cNvPr id="49" name="TextBox 17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 txBox="1"/>
          </xdr:nvSpPr>
          <xdr:spPr>
            <a:xfrm>
              <a:off x="3780521" y="3106066"/>
              <a:ext cx="612146" cy="27141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100" b="1">
                  <a:solidFill>
                    <a:srgbClr val="002060"/>
                  </a:solidFill>
                </a:rPr>
                <a:t>D Wing</a:t>
              </a:r>
            </a:p>
          </xdr:txBody>
        </xdr:sp>
        <xdr:sp macro="" textlink="">
          <xdr:nvSpPr>
            <xdr:cNvPr id="50" name="TextBox 18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 txBox="1"/>
          </xdr:nvSpPr>
          <xdr:spPr>
            <a:xfrm>
              <a:off x="2692701" y="3071848"/>
              <a:ext cx="633165" cy="2357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100" b="1">
                  <a:solidFill>
                    <a:srgbClr val="002060"/>
                  </a:solidFill>
                </a:rPr>
                <a:t>C Wing</a:t>
              </a:r>
            </a:p>
          </xdr:txBody>
        </xdr:sp>
        <xdr:cxnSp macro="">
          <xdr:nvCxnSpPr>
            <xdr:cNvPr id="51" name="Straight Arrow Connector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CxnSpPr/>
          </xdr:nvCxnSpPr>
          <xdr:spPr>
            <a:xfrm flipV="1">
              <a:off x="4958409" y="4080674"/>
              <a:ext cx="1" cy="520985"/>
            </a:xfrm>
            <a:prstGeom prst="straightConnector1">
              <a:avLst/>
            </a:prstGeom>
            <a:ln w="28575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2" name="TextBox 23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 txBox="1"/>
          </xdr:nvSpPr>
          <xdr:spPr>
            <a:xfrm>
              <a:off x="4591599" y="4552558"/>
              <a:ext cx="922193" cy="4193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100" b="1">
                  <a:solidFill>
                    <a:srgbClr val="FFFF00"/>
                  </a:solidFill>
                </a:rPr>
                <a:t>North</a:t>
              </a:r>
            </a:p>
          </xdr:txBody>
        </xdr:sp>
      </xdr:grpSp>
    </xdr:grpSp>
    <xdr:clientData/>
  </xdr:twoCellAnchor>
  <xdr:twoCellAnchor>
    <xdr:from>
      <xdr:col>0</xdr:col>
      <xdr:colOff>356152</xdr:colOff>
      <xdr:row>653</xdr:row>
      <xdr:rowOff>190501</xdr:rowOff>
    </xdr:from>
    <xdr:to>
      <xdr:col>7</xdr:col>
      <xdr:colOff>298174</xdr:colOff>
      <xdr:row>686</xdr:row>
      <xdr:rowOff>82827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/>
      </xdr:nvGrpSpPr>
      <xdr:grpSpPr>
        <a:xfrm>
          <a:off x="356152" y="124009151"/>
          <a:ext cx="5917372" cy="6388376"/>
          <a:chOff x="400050" y="369750"/>
          <a:chExt cx="5760000" cy="7169145"/>
        </a:xfrm>
      </xdr:grpSpPr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60050" y="369750"/>
            <a:ext cx="5040000" cy="3314595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grpSp>
        <xdr:nvGrpSpPr>
          <xdr:cNvPr id="55" name="Group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GrpSpPr/>
        </xdr:nvGrpSpPr>
        <xdr:grpSpPr>
          <a:xfrm>
            <a:off x="400050" y="3790950"/>
            <a:ext cx="5760000" cy="3747945"/>
            <a:chOff x="400050" y="3886200"/>
            <a:chExt cx="5760000" cy="3747945"/>
          </a:xfrm>
        </xdr:grpSpPr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400050" y="3886200"/>
              <a:ext cx="5760000" cy="3747945"/>
            </a:xfrm>
            <a:prstGeom prst="rect">
              <a:avLst/>
            </a:prstGeom>
            <a:ln w="12700">
              <a:solidFill>
                <a:schemeClr val="tx1"/>
              </a:solidFill>
            </a:ln>
          </xdr:spPr>
        </xdr:pic>
        <xdr:sp macro="" textlink="">
          <xdr:nvSpPr>
            <xdr:cNvPr id="57" name="Rectangle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>
            <a:xfrm rot="20854981">
              <a:off x="2643055" y="6041797"/>
              <a:ext cx="1654656" cy="649268"/>
            </a:xfrm>
            <a:prstGeom prst="rect">
              <a:avLst/>
            </a:prstGeom>
            <a:noFill/>
            <a:ln w="1905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cxnSp macro="">
          <xdr:nvCxnSpPr>
            <xdr:cNvPr id="58" name="Straight Connector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CxnSpPr/>
          </xdr:nvCxnSpPr>
          <xdr:spPr>
            <a:xfrm>
              <a:off x="2405063" y="5231606"/>
              <a:ext cx="246697" cy="1801654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Straight Connector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CxnSpPr/>
          </xdr:nvCxnSpPr>
          <xdr:spPr>
            <a:xfrm flipV="1">
              <a:off x="2407920" y="4937760"/>
              <a:ext cx="125656" cy="28956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Straight Connector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CxnSpPr/>
          </xdr:nvCxnSpPr>
          <xdr:spPr>
            <a:xfrm flipV="1">
              <a:off x="2533576" y="4800600"/>
              <a:ext cx="948764" cy="13716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" name="Straight Connector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CxnSpPr/>
          </xdr:nvCxnSpPr>
          <xdr:spPr>
            <a:xfrm>
              <a:off x="3482340" y="4800600"/>
              <a:ext cx="1059106" cy="383013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" name="Straight Connector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CxnSpPr/>
          </xdr:nvCxnSpPr>
          <xdr:spPr>
            <a:xfrm>
              <a:off x="4541446" y="5168653"/>
              <a:ext cx="198194" cy="994336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" name="Straight Connector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CxnSpPr/>
          </xdr:nvCxnSpPr>
          <xdr:spPr>
            <a:xfrm flipV="1">
              <a:off x="2659380" y="6606540"/>
              <a:ext cx="1600200" cy="42672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4" name="Straight Connector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CxnSpPr/>
          </xdr:nvCxnSpPr>
          <xdr:spPr>
            <a:xfrm flipV="1">
              <a:off x="4259580" y="6162990"/>
              <a:ext cx="480060" cy="443551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5" name="TextBox 45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 txBox="1"/>
          </xdr:nvSpPr>
          <xdr:spPr>
            <a:xfrm rot="20865263">
              <a:off x="2741309" y="5621327"/>
              <a:ext cx="1120820" cy="4616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solidFill>
                    <a:srgbClr val="FFFF00"/>
                  </a:solidFill>
                </a:rPr>
                <a:t>Building No. 2 </a:t>
              </a:r>
            </a:p>
            <a:p>
              <a:r>
                <a:rPr lang="en-US" sz="1200" b="1">
                  <a:solidFill>
                    <a:srgbClr val="FFFF00"/>
                  </a:solidFill>
                </a:rPr>
                <a:t>Wing C &amp; D</a:t>
              </a:r>
              <a:endParaRPr lang="en-IN" sz="1200" b="1">
                <a:solidFill>
                  <a:srgbClr val="FFFF00"/>
                </a:solidFill>
              </a:endParaRPr>
            </a:p>
          </xdr:txBody>
        </xdr:sp>
      </xdr:grpSp>
    </xdr:grpSp>
    <xdr:clientData/>
  </xdr:twoCellAnchor>
  <xdr:twoCellAnchor>
    <xdr:from>
      <xdr:col>8</xdr:col>
      <xdr:colOff>1019175</xdr:colOff>
      <xdr:row>533</xdr:row>
      <xdr:rowOff>65086</xdr:rowOff>
    </xdr:from>
    <xdr:to>
      <xdr:col>16</xdr:col>
      <xdr:colOff>544466</xdr:colOff>
      <xdr:row>572</xdr:row>
      <xdr:rowOff>169274</xdr:rowOff>
    </xdr:to>
    <xdr:grpSp>
      <xdr:nvGrpSpPr>
        <xdr:cNvPr id="2" name="Group 1"/>
        <xdr:cNvGrpSpPr/>
      </xdr:nvGrpSpPr>
      <xdr:grpSpPr>
        <a:xfrm>
          <a:off x="7673975" y="100464936"/>
          <a:ext cx="6224541" cy="7774988"/>
          <a:chOff x="200025" y="57167461"/>
          <a:chExt cx="5926091" cy="7895638"/>
        </a:xfrm>
      </xdr:grpSpPr>
      <xdr:pic>
        <xdr:nvPicPr>
          <xdr:cNvPr id="66" name="Picture 65" descr="https://vsjcllp.vsjadon.com/upload/insp-23644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00575" y="63026924"/>
            <a:ext cx="1525541" cy="2036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" name="Picture 66" descr="https://vsjcllp.vsjadon.com/upload/insp-236441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7250" y="57167461"/>
            <a:ext cx="4710076" cy="35353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9" name="Picture 68" descr="https://vsjcllp.vsjadon.com/upload/insp-236441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90850" y="63026924"/>
            <a:ext cx="1525541" cy="2036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Picture 79" descr="https://vsjcllp.vsjadon.com/upload/insp-236441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09925" y="60777437"/>
            <a:ext cx="28777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Picture 80" descr="https://vsjcllp.vsjadon.com/upload/insp-236441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7650" y="60777437"/>
            <a:ext cx="28777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2" name="Picture 81" descr="https://vsjcllp.vsjadon.com/upload/insp-236441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0025" y="63025336"/>
            <a:ext cx="2712745" cy="2036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3" name="TextBox 168">
            <a:extLst>
              <a:ext uri="{FF2B5EF4-FFF2-40B4-BE49-F238E27FC236}">
                <a16:creationId xmlns:a16="http://schemas.microsoft.com/office/drawing/2014/main" id="{6F6B5DD7-9C85-47FD-AE47-F3A0F638CF15}"/>
              </a:ext>
            </a:extLst>
          </xdr:cNvPr>
          <xdr:cNvSpPr txBox="1"/>
        </xdr:nvSpPr>
        <xdr:spPr>
          <a:xfrm>
            <a:off x="3667125" y="57262711"/>
            <a:ext cx="381000" cy="51593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3200" b="1">
                <a:solidFill>
                  <a:sysClr val="windowText" lastClr="000000"/>
                </a:solidFill>
              </a:rPr>
              <a:t>C</a:t>
            </a:r>
            <a:endParaRPr lang="en-IN" sz="3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4" name="TextBox 168">
            <a:extLst>
              <a:ext uri="{FF2B5EF4-FFF2-40B4-BE49-F238E27FC236}">
                <a16:creationId xmlns:a16="http://schemas.microsoft.com/office/drawing/2014/main" id="{6F6B5DD7-9C85-47FD-AE47-F3A0F638CF15}"/>
              </a:ext>
            </a:extLst>
          </xdr:cNvPr>
          <xdr:cNvSpPr txBox="1"/>
        </xdr:nvSpPr>
        <xdr:spPr>
          <a:xfrm>
            <a:off x="1847850" y="57481786"/>
            <a:ext cx="381000" cy="51593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3200" b="1">
                <a:solidFill>
                  <a:sysClr val="windowText" lastClr="000000"/>
                </a:solidFill>
              </a:rPr>
              <a:t>D</a:t>
            </a:r>
            <a:endParaRPr lang="en-IN" sz="32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150573</xdr:colOff>
      <xdr:row>583</xdr:row>
      <xdr:rowOff>141088</xdr:rowOff>
    </xdr:from>
    <xdr:to>
      <xdr:col>3</xdr:col>
      <xdr:colOff>805429</xdr:colOff>
      <xdr:row>584</xdr:row>
      <xdr:rowOff>146637</xdr:rowOff>
    </xdr:to>
    <xdr:sp macro="" textlink="">
      <xdr:nvSpPr>
        <xdr:cNvPr id="68" name="TextBox 1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rot="21189455">
          <a:off x="2677873" y="93759138"/>
          <a:ext cx="654856" cy="202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>
              <a:solidFill>
                <a:srgbClr val="002060"/>
              </a:solidFill>
            </a:rPr>
            <a:t>A Wing</a:t>
          </a:r>
        </a:p>
      </xdr:txBody>
    </xdr:sp>
    <xdr:clientData/>
  </xdr:twoCellAnchor>
  <xdr:twoCellAnchor>
    <xdr:from>
      <xdr:col>4</xdr:col>
      <xdr:colOff>252172</xdr:colOff>
      <xdr:row>582</xdr:row>
      <xdr:rowOff>179188</xdr:rowOff>
    </xdr:from>
    <xdr:to>
      <xdr:col>5</xdr:col>
      <xdr:colOff>87878</xdr:colOff>
      <xdr:row>583</xdr:row>
      <xdr:rowOff>184737</xdr:rowOff>
    </xdr:to>
    <xdr:sp macro="" textlink="">
      <xdr:nvSpPr>
        <xdr:cNvPr id="70" name="TextBox 1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rot="21189455">
          <a:off x="3770072" y="93600388"/>
          <a:ext cx="654856" cy="202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>
              <a:solidFill>
                <a:srgbClr val="002060"/>
              </a:solidFill>
            </a:rPr>
            <a:t>B Wing</a:t>
          </a:r>
        </a:p>
      </xdr:txBody>
    </xdr:sp>
    <xdr:clientData/>
  </xdr:twoCellAnchor>
  <xdr:oneCellAnchor>
    <xdr:from>
      <xdr:col>8</xdr:col>
      <xdr:colOff>984250</xdr:colOff>
      <xdr:row>531</xdr:row>
      <xdr:rowOff>88900</xdr:rowOff>
    </xdr:from>
    <xdr:ext cx="590162" cy="264560"/>
    <xdr:sp macro="" textlink="">
      <xdr:nvSpPr>
        <xdr:cNvPr id="3" name="TextBox 2"/>
        <xdr:cNvSpPr txBox="1"/>
      </xdr:nvSpPr>
      <xdr:spPr>
        <a:xfrm>
          <a:off x="7639050" y="86029800"/>
          <a:ext cx="590162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C</a:t>
          </a:r>
        </a:p>
      </xdr:txBody>
    </xdr:sp>
    <xdr:clientData/>
  </xdr:oneCellAnchor>
  <xdr:twoCellAnchor>
    <xdr:from>
      <xdr:col>0</xdr:col>
      <xdr:colOff>146050</xdr:colOff>
      <xdr:row>533</xdr:row>
      <xdr:rowOff>158750</xdr:rowOff>
    </xdr:from>
    <xdr:to>
      <xdr:col>7</xdr:col>
      <xdr:colOff>584716</xdr:colOff>
      <xdr:row>569</xdr:row>
      <xdr:rowOff>10454</xdr:rowOff>
    </xdr:to>
    <xdr:grpSp>
      <xdr:nvGrpSpPr>
        <xdr:cNvPr id="4" name="Group 3"/>
        <xdr:cNvGrpSpPr/>
      </xdr:nvGrpSpPr>
      <xdr:grpSpPr>
        <a:xfrm>
          <a:off x="146050" y="100558600"/>
          <a:ext cx="6414016" cy="6931954"/>
          <a:chOff x="146050" y="86429850"/>
          <a:chExt cx="6414016" cy="6931954"/>
        </a:xfrm>
      </xdr:grpSpPr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41753" y="9120180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86429850"/>
            <a:ext cx="3117524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3162" y="88905827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3162" y="86429850"/>
            <a:ext cx="3117524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3602" y="9120180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91201804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5860" y="88905827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8" name="TextBox 77"/>
          <xdr:cNvSpPr txBox="1"/>
        </xdr:nvSpPr>
        <xdr:spPr>
          <a:xfrm>
            <a:off x="1974850" y="86734650"/>
            <a:ext cx="590162" cy="26456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C</a:t>
            </a:r>
          </a:p>
        </xdr:txBody>
      </xdr:sp>
      <xdr:sp macro="" textlink="">
        <xdr:nvSpPr>
          <xdr:cNvPr id="79" name="TextBox 78"/>
          <xdr:cNvSpPr txBox="1"/>
        </xdr:nvSpPr>
        <xdr:spPr>
          <a:xfrm>
            <a:off x="825500" y="86448900"/>
            <a:ext cx="601768" cy="26456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D</a:t>
            </a:r>
          </a:p>
        </xdr:txBody>
      </xdr:sp>
      <xdr:sp macro="" textlink="">
        <xdr:nvSpPr>
          <xdr:cNvPr id="85" name="TextBox 84"/>
          <xdr:cNvSpPr txBox="1"/>
        </xdr:nvSpPr>
        <xdr:spPr>
          <a:xfrm>
            <a:off x="2552700" y="87395050"/>
            <a:ext cx="596574" cy="26456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86" name="TextBox 85"/>
          <xdr:cNvSpPr txBox="1"/>
        </xdr:nvSpPr>
        <xdr:spPr>
          <a:xfrm>
            <a:off x="1035050" y="88315800"/>
            <a:ext cx="590162" cy="26456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</a:p>
        </xdr:txBody>
      </xdr:sp>
      <xdr:sp macro="" textlink="">
        <xdr:nvSpPr>
          <xdr:cNvPr id="87" name="TextBox 86"/>
          <xdr:cNvSpPr txBox="1"/>
        </xdr:nvSpPr>
        <xdr:spPr>
          <a:xfrm>
            <a:off x="5409762" y="86899750"/>
            <a:ext cx="596574" cy="26456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</xdr:grpSp>
    <xdr:clientData/>
  </xdr:twoCellAnchor>
  <xdr:twoCellAnchor editAs="oneCell">
    <xdr:from>
      <xdr:col>0</xdr:col>
      <xdr:colOff>82550</xdr:colOff>
      <xdr:row>618</xdr:row>
      <xdr:rowOff>158750</xdr:rowOff>
    </xdr:from>
    <xdr:to>
      <xdr:col>7</xdr:col>
      <xdr:colOff>587200</xdr:colOff>
      <xdr:row>638</xdr:row>
      <xdr:rowOff>32272</xdr:rowOff>
    </xdr:to>
    <xdr:pic>
      <xdr:nvPicPr>
        <xdr:cNvPr id="101" name="Picture 100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550" y="117087650"/>
          <a:ext cx="6480000" cy="38105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114300</xdr:rowOff>
    </xdr:from>
    <xdr:to>
      <xdr:col>6</xdr:col>
      <xdr:colOff>459441</xdr:colOff>
      <xdr:row>55</xdr:row>
      <xdr:rowOff>160042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7930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g93ZM2nKXjnmg3pB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653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9.72656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12" ht="46.5" customHeight="1" x14ac:dyDescent="0.35">
      <c r="A1" s="180" t="s">
        <v>184</v>
      </c>
      <c r="B1" s="180"/>
      <c r="C1" s="180"/>
      <c r="D1" s="180"/>
      <c r="E1" s="180"/>
      <c r="F1" s="180"/>
      <c r="G1" s="180"/>
      <c r="H1" s="180"/>
    </row>
    <row r="2" spans="1:12" ht="16.5" customHeight="1" x14ac:dyDescent="0.35">
      <c r="A2" s="181" t="s">
        <v>0</v>
      </c>
      <c r="B2" s="181"/>
      <c r="C2" s="181"/>
      <c r="D2" s="181"/>
      <c r="E2" s="181"/>
      <c r="F2" s="181"/>
      <c r="G2" s="181"/>
      <c r="H2" s="181"/>
    </row>
    <row r="3" spans="1:12" x14ac:dyDescent="0.35">
      <c r="A3" s="168" t="s">
        <v>1</v>
      </c>
      <c r="B3" s="168"/>
      <c r="C3" s="168"/>
      <c r="D3" s="168"/>
      <c r="E3" s="168" t="str">
        <f ca="1">TEXT(TODAY(),"DD/MM/YYYY")</f>
        <v>22/09/2025</v>
      </c>
      <c r="F3" s="168"/>
      <c r="G3" s="168"/>
      <c r="H3" s="168"/>
    </row>
    <row r="4" spans="1:12" ht="15" customHeight="1" x14ac:dyDescent="0.35">
      <c r="A4" s="168" t="s">
        <v>2</v>
      </c>
      <c r="B4" s="168"/>
      <c r="C4" s="168"/>
      <c r="D4" s="168"/>
      <c r="E4" s="168" t="s">
        <v>170</v>
      </c>
      <c r="F4" s="168"/>
      <c r="G4" s="168"/>
      <c r="H4" s="168"/>
    </row>
    <row r="5" spans="1:12" x14ac:dyDescent="0.35">
      <c r="A5" s="168" t="s">
        <v>3</v>
      </c>
      <c r="B5" s="168"/>
      <c r="C5" s="168"/>
      <c r="D5" s="168"/>
      <c r="E5" s="182">
        <v>45906</v>
      </c>
      <c r="F5" s="126"/>
      <c r="G5" s="126"/>
      <c r="H5" s="126"/>
    </row>
    <row r="6" spans="1:12" ht="16.5" customHeight="1" x14ac:dyDescent="0.35">
      <c r="A6" s="168" t="s">
        <v>4</v>
      </c>
      <c r="B6" s="168"/>
      <c r="C6" s="168"/>
      <c r="D6" s="168"/>
      <c r="E6" s="168" t="s">
        <v>158</v>
      </c>
      <c r="F6" s="168"/>
      <c r="G6" s="168"/>
      <c r="H6" s="168"/>
    </row>
    <row r="7" spans="1:12" ht="15" customHeight="1" x14ac:dyDescent="0.35">
      <c r="A7" s="168" t="s">
        <v>5</v>
      </c>
      <c r="B7" s="168"/>
      <c r="C7" s="168"/>
      <c r="D7" s="168"/>
      <c r="E7" s="168" t="str">
        <f>E6</f>
        <v>Aarav Group</v>
      </c>
      <c r="F7" s="168"/>
      <c r="G7" s="168"/>
      <c r="H7" s="168"/>
    </row>
    <row r="8" spans="1:12" x14ac:dyDescent="0.35">
      <c r="A8" s="168" t="s">
        <v>6</v>
      </c>
      <c r="B8" s="168"/>
      <c r="C8" s="168"/>
      <c r="D8" s="168"/>
      <c r="E8" s="103" t="s">
        <v>222</v>
      </c>
      <c r="F8" s="103"/>
      <c r="G8" s="103"/>
      <c r="H8" s="103"/>
    </row>
    <row r="9" spans="1:12" x14ac:dyDescent="0.35">
      <c r="A9" s="168" t="s">
        <v>154</v>
      </c>
      <c r="B9" s="168"/>
      <c r="C9" s="168"/>
      <c r="D9" s="168"/>
      <c r="E9" s="168" t="s">
        <v>207</v>
      </c>
      <c r="F9" s="168"/>
      <c r="G9" s="168"/>
      <c r="H9" s="168"/>
    </row>
    <row r="10" spans="1:12" x14ac:dyDescent="0.35">
      <c r="A10" s="168" t="s">
        <v>155</v>
      </c>
      <c r="B10" s="168"/>
      <c r="C10" s="168"/>
      <c r="D10" s="168"/>
      <c r="E10" s="126" t="s">
        <v>220</v>
      </c>
      <c r="F10" s="126"/>
      <c r="G10" s="126"/>
      <c r="H10" s="126"/>
      <c r="I10" s="126" t="s">
        <v>216</v>
      </c>
      <c r="J10" s="126"/>
      <c r="K10" s="126"/>
      <c r="L10" s="126"/>
    </row>
    <row r="11" spans="1:12" x14ac:dyDescent="0.35">
      <c r="A11" s="168" t="s">
        <v>7</v>
      </c>
      <c r="B11" s="168"/>
      <c r="C11" s="168"/>
      <c r="D11" s="168"/>
      <c r="E11" s="158" t="s">
        <v>223</v>
      </c>
      <c r="F11" s="168"/>
      <c r="G11" s="168"/>
      <c r="H11" s="168"/>
    </row>
    <row r="12" spans="1:12" ht="32.25" customHeight="1" x14ac:dyDescent="0.35">
      <c r="A12" s="155" t="s">
        <v>8</v>
      </c>
      <c r="B12" s="155"/>
      <c r="C12" s="155"/>
      <c r="D12" s="155"/>
      <c r="E12" s="158" t="s">
        <v>157</v>
      </c>
      <c r="F12" s="158"/>
      <c r="G12" s="158"/>
      <c r="H12" s="158"/>
    </row>
    <row r="13" spans="1:12" ht="32.25" customHeight="1" x14ac:dyDescent="0.35">
      <c r="A13" s="155" t="s">
        <v>9</v>
      </c>
      <c r="B13" s="155"/>
      <c r="C13" s="155"/>
      <c r="D13" s="155"/>
      <c r="E13" s="158" t="s">
        <v>224</v>
      </c>
      <c r="F13" s="168"/>
      <c r="G13" s="168"/>
      <c r="H13" s="168"/>
    </row>
    <row r="14" spans="1:12" ht="48.75" customHeight="1" x14ac:dyDescent="0.35">
      <c r="A14" s="157" t="s">
        <v>10</v>
      </c>
      <c r="B14" s="157"/>
      <c r="C14" s="15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Subhash Residency Wing A to D, Survey No.54, H.No.4, near Mata Vaishno Devi Temple, Titwala - Ambivli Road, Sarnobat nagar, Balyani, Titwala East, Kalyan, Thane - 421605.</v>
      </c>
      <c r="D14" s="157"/>
      <c r="E14" s="157"/>
      <c r="F14" s="157"/>
      <c r="G14" s="157"/>
      <c r="H14" s="157"/>
    </row>
    <row r="15" spans="1:12" x14ac:dyDescent="0.35">
      <c r="A15" s="158" t="s">
        <v>159</v>
      </c>
      <c r="B15" s="158"/>
      <c r="C15" s="158" t="s">
        <v>160</v>
      </c>
      <c r="D15" s="158"/>
      <c r="E15" s="158"/>
      <c r="F15" s="158"/>
      <c r="G15" s="158"/>
      <c r="H15" s="158"/>
    </row>
    <row r="16" spans="1:12" ht="15.75" customHeight="1" x14ac:dyDescent="0.35">
      <c r="A16" s="158" t="s">
        <v>153</v>
      </c>
      <c r="B16" s="158"/>
      <c r="C16" s="158" t="s">
        <v>166</v>
      </c>
      <c r="D16" s="158"/>
      <c r="E16" s="158"/>
      <c r="F16" s="158"/>
      <c r="G16" s="158"/>
      <c r="H16" s="158"/>
    </row>
    <row r="17" spans="1:11" ht="15.75" customHeight="1" x14ac:dyDescent="0.35">
      <c r="A17" s="157" t="s">
        <v>11</v>
      </c>
      <c r="B17" s="157"/>
      <c r="C17" s="168" t="s">
        <v>167</v>
      </c>
      <c r="D17" s="168"/>
      <c r="E17" s="157" t="s">
        <v>72</v>
      </c>
      <c r="F17" s="157"/>
      <c r="G17" s="158" t="s">
        <v>161</v>
      </c>
      <c r="H17" s="158"/>
    </row>
    <row r="18" spans="1:11" x14ac:dyDescent="0.35">
      <c r="A18" s="155" t="s">
        <v>13</v>
      </c>
      <c r="B18" s="155"/>
      <c r="C18" s="158" t="s">
        <v>195</v>
      </c>
      <c r="D18" s="158"/>
      <c r="E18" s="157" t="s">
        <v>12</v>
      </c>
      <c r="F18" s="157"/>
      <c r="G18" s="183" t="s">
        <v>162</v>
      </c>
      <c r="H18" s="183"/>
    </row>
    <row r="19" spans="1:11" x14ac:dyDescent="0.35">
      <c r="A19" s="155" t="s">
        <v>73</v>
      </c>
      <c r="B19" s="155"/>
      <c r="C19" s="158" t="s">
        <v>163</v>
      </c>
      <c r="D19" s="158"/>
      <c r="E19" s="157" t="s">
        <v>14</v>
      </c>
      <c r="F19" s="157"/>
      <c r="G19" s="158">
        <v>421605</v>
      </c>
      <c r="H19" s="158"/>
      <c r="K19" s="21" t="s">
        <v>178</v>
      </c>
    </row>
    <row r="20" spans="1:11" ht="32.25" customHeight="1" x14ac:dyDescent="0.35">
      <c r="A20" s="155" t="s">
        <v>115</v>
      </c>
      <c r="B20" s="155"/>
      <c r="C20" s="158" t="s">
        <v>182</v>
      </c>
      <c r="D20" s="158"/>
      <c r="E20" s="157" t="s">
        <v>15</v>
      </c>
      <c r="F20" s="157"/>
      <c r="G20" s="158" t="s">
        <v>168</v>
      </c>
      <c r="H20" s="158"/>
      <c r="I20" s="54"/>
    </row>
    <row r="21" spans="1:11" ht="15" customHeight="1" x14ac:dyDescent="0.35">
      <c r="A21" s="157" t="s">
        <v>75</v>
      </c>
      <c r="B21" s="157"/>
      <c r="C21" s="157"/>
      <c r="D21" s="157"/>
      <c r="E21" s="168" t="s">
        <v>16</v>
      </c>
      <c r="F21" s="168"/>
      <c r="G21" s="168"/>
      <c r="H21" s="168"/>
    </row>
    <row r="22" spans="1:11" ht="18.75" customHeight="1" x14ac:dyDescent="0.35">
      <c r="A22" s="157"/>
      <c r="B22" s="157"/>
      <c r="C22" s="157"/>
      <c r="D22" s="157"/>
      <c r="E22" s="168"/>
      <c r="F22" s="168"/>
      <c r="G22" s="168"/>
      <c r="H22" s="168"/>
    </row>
    <row r="23" spans="1:11" ht="15" customHeight="1" x14ac:dyDescent="0.35">
      <c r="A23" s="157" t="s">
        <v>17</v>
      </c>
      <c r="B23" s="157"/>
      <c r="C23" s="157"/>
      <c r="D23" s="157"/>
      <c r="E23" s="158" t="s">
        <v>18</v>
      </c>
      <c r="F23" s="158"/>
      <c r="G23" s="158"/>
      <c r="H23" s="158"/>
    </row>
    <row r="24" spans="1:11" ht="15" customHeight="1" x14ac:dyDescent="0.35">
      <c r="A24" s="155" t="s">
        <v>19</v>
      </c>
      <c r="B24" s="155"/>
      <c r="C24" s="155"/>
      <c r="D24" s="155"/>
      <c r="E24" s="158" t="str">
        <f>IF(AND(G18="Mumbai"),"Upper Class","Middle Class")</f>
        <v>Middle Class</v>
      </c>
      <c r="F24" s="158"/>
      <c r="G24" s="158"/>
      <c r="H24" s="158"/>
    </row>
    <row r="25" spans="1:11" x14ac:dyDescent="0.35">
      <c r="A25" s="155" t="s">
        <v>20</v>
      </c>
      <c r="B25" s="155"/>
      <c r="C25" s="155"/>
      <c r="D25" s="155"/>
      <c r="E25" s="158" t="s">
        <v>21</v>
      </c>
      <c r="F25" s="158"/>
      <c r="G25" s="158"/>
      <c r="H25" s="158"/>
    </row>
    <row r="26" spans="1:11" ht="15.75" customHeight="1" x14ac:dyDescent="0.35">
      <c r="A26" s="155" t="s">
        <v>22</v>
      </c>
      <c r="B26" s="155"/>
      <c r="C26" s="155"/>
      <c r="D26" s="155"/>
      <c r="E26" s="158" t="str">
        <f>IF(AND(G18="Mumbai"),"Developed","Developing")</f>
        <v>Developing</v>
      </c>
      <c r="F26" s="158"/>
      <c r="G26" s="158"/>
      <c r="H26" s="158"/>
    </row>
    <row r="27" spans="1:11" x14ac:dyDescent="0.35">
      <c r="A27" s="155" t="s">
        <v>23</v>
      </c>
      <c r="B27" s="155"/>
      <c r="C27" s="155"/>
      <c r="D27" s="155"/>
      <c r="E27" s="158" t="s">
        <v>24</v>
      </c>
      <c r="F27" s="158"/>
      <c r="G27" s="158"/>
      <c r="H27" s="158"/>
    </row>
    <row r="28" spans="1:11" ht="15.75" customHeight="1" x14ac:dyDescent="0.35">
      <c r="A28" s="155" t="s">
        <v>80</v>
      </c>
      <c r="B28" s="155"/>
      <c r="C28" s="155"/>
      <c r="D28" s="155"/>
      <c r="E28" s="158" t="s">
        <v>81</v>
      </c>
      <c r="F28" s="158"/>
      <c r="G28" s="158"/>
      <c r="H28" s="158"/>
    </row>
    <row r="29" spans="1:11" ht="15" customHeight="1" x14ac:dyDescent="0.35">
      <c r="A29" s="155" t="s">
        <v>33</v>
      </c>
      <c r="B29" s="155"/>
      <c r="C29" s="155"/>
      <c r="D29" s="155"/>
      <c r="E29" s="15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58"/>
      <c r="G29" s="158"/>
      <c r="H29" s="158"/>
    </row>
    <row r="30" spans="1:11" ht="15.75" customHeight="1" x14ac:dyDescent="0.35">
      <c r="A30" s="155" t="s">
        <v>91</v>
      </c>
      <c r="B30" s="155"/>
      <c r="C30" s="155"/>
      <c r="D30" s="155"/>
      <c r="E30" s="158" t="s">
        <v>34</v>
      </c>
      <c r="F30" s="158"/>
      <c r="G30" s="158"/>
      <c r="H30" s="158"/>
    </row>
    <row r="31" spans="1:11" s="22" customFormat="1" x14ac:dyDescent="0.35">
      <c r="A31" s="187" t="s">
        <v>92</v>
      </c>
      <c r="B31" s="187"/>
      <c r="C31" s="186" t="s">
        <v>29</v>
      </c>
      <c r="D31" s="186"/>
      <c r="E31" s="186"/>
      <c r="F31" s="186" t="s">
        <v>31</v>
      </c>
      <c r="G31" s="186"/>
      <c r="H31" s="186"/>
    </row>
    <row r="32" spans="1:11" s="22" customFormat="1" x14ac:dyDescent="0.35">
      <c r="A32" s="184" t="s">
        <v>25</v>
      </c>
      <c r="B32" s="184" t="s">
        <v>30</v>
      </c>
      <c r="C32" s="185" t="s">
        <v>192</v>
      </c>
      <c r="D32" s="185"/>
      <c r="E32" s="185"/>
      <c r="F32" s="185" t="s">
        <v>183</v>
      </c>
      <c r="G32" s="185"/>
      <c r="H32" s="185"/>
    </row>
    <row r="33" spans="1:8" x14ac:dyDescent="0.35">
      <c r="A33" s="184" t="s">
        <v>26</v>
      </c>
      <c r="B33" s="184" t="s">
        <v>30</v>
      </c>
      <c r="C33" s="185" t="s">
        <v>192</v>
      </c>
      <c r="D33" s="185"/>
      <c r="E33" s="185"/>
      <c r="F33" s="185" t="s">
        <v>181</v>
      </c>
      <c r="G33" s="185"/>
      <c r="H33" s="185"/>
    </row>
    <row r="34" spans="1:8" s="22" customFormat="1" x14ac:dyDescent="0.35">
      <c r="A34" s="184" t="s">
        <v>28</v>
      </c>
      <c r="B34" s="184" t="s">
        <v>30</v>
      </c>
      <c r="C34" s="185" t="s">
        <v>193</v>
      </c>
      <c r="D34" s="185"/>
      <c r="E34" s="185"/>
      <c r="F34" s="185" t="s">
        <v>167</v>
      </c>
      <c r="G34" s="185"/>
      <c r="H34" s="185"/>
    </row>
    <row r="35" spans="1:8" x14ac:dyDescent="0.35">
      <c r="A35" s="184" t="s">
        <v>27</v>
      </c>
      <c r="B35" s="184" t="s">
        <v>30</v>
      </c>
      <c r="C35" s="185" t="s">
        <v>194</v>
      </c>
      <c r="D35" s="185"/>
      <c r="E35" s="185"/>
      <c r="F35" s="185" t="s">
        <v>181</v>
      </c>
      <c r="G35" s="185"/>
      <c r="H35" s="185"/>
    </row>
    <row r="36" spans="1:8" x14ac:dyDescent="0.35">
      <c r="A36" s="155" t="s">
        <v>32</v>
      </c>
      <c r="B36" s="155"/>
      <c r="C36" s="155"/>
      <c r="D36" s="155"/>
      <c r="E36" s="155"/>
      <c r="F36" s="155"/>
      <c r="G36" s="155"/>
      <c r="H36" s="155"/>
    </row>
    <row r="37" spans="1:8" ht="15.75" customHeight="1" x14ac:dyDescent="0.35">
      <c r="A37" s="155" t="s">
        <v>185</v>
      </c>
      <c r="B37" s="155"/>
      <c r="C37" s="136" t="s">
        <v>190</v>
      </c>
      <c r="D37" s="136"/>
      <c r="E37" s="136"/>
      <c r="F37" s="136"/>
      <c r="G37" s="136"/>
      <c r="H37" s="136"/>
    </row>
    <row r="38" spans="1:8" x14ac:dyDescent="0.35">
      <c r="A38" s="155" t="s">
        <v>152</v>
      </c>
      <c r="B38" s="155"/>
      <c r="C38" s="193" t="s">
        <v>191</v>
      </c>
      <c r="D38" s="158"/>
      <c r="E38" s="158"/>
      <c r="F38" s="158"/>
      <c r="G38" s="158"/>
      <c r="H38" s="158"/>
    </row>
    <row r="39" spans="1:8" x14ac:dyDescent="0.35">
      <c r="A39" s="169" t="s">
        <v>35</v>
      </c>
      <c r="B39" s="169"/>
      <c r="C39" s="169"/>
      <c r="D39" s="169"/>
      <c r="E39" s="169"/>
      <c r="F39" s="169"/>
      <c r="G39" s="169"/>
      <c r="H39" s="169"/>
    </row>
    <row r="40" spans="1:8" x14ac:dyDescent="0.35">
      <c r="A40" s="155" t="s">
        <v>36</v>
      </c>
      <c r="B40" s="155"/>
      <c r="C40" s="155"/>
      <c r="D40" s="155"/>
      <c r="E40" s="198">
        <v>12054.84</v>
      </c>
      <c r="F40" s="198"/>
      <c r="G40" s="198"/>
      <c r="H40" s="198"/>
    </row>
    <row r="41" spans="1:8" x14ac:dyDescent="0.35">
      <c r="A41" s="155" t="s">
        <v>37</v>
      </c>
      <c r="B41" s="155"/>
      <c r="C41" s="155"/>
      <c r="D41" s="155"/>
      <c r="E41" s="159">
        <v>1</v>
      </c>
      <c r="F41" s="159"/>
      <c r="G41" s="159"/>
      <c r="H41" s="159"/>
    </row>
    <row r="42" spans="1:8" x14ac:dyDescent="0.35">
      <c r="A42" s="155" t="s">
        <v>38</v>
      </c>
      <c r="B42" s="155"/>
      <c r="C42" s="155"/>
      <c r="D42" s="155"/>
      <c r="E42" s="159">
        <f>E44/E40-E41</f>
        <v>0.97637297550195612</v>
      </c>
      <c r="F42" s="159"/>
      <c r="G42" s="159"/>
      <c r="H42" s="159"/>
    </row>
    <row r="43" spans="1:8" x14ac:dyDescent="0.35">
      <c r="A43" s="155" t="s">
        <v>39</v>
      </c>
      <c r="B43" s="155"/>
      <c r="C43" s="155"/>
      <c r="D43" s="155"/>
      <c r="E43" s="159">
        <f>E41+E42</f>
        <v>1.9763729755019561</v>
      </c>
      <c r="F43" s="159"/>
      <c r="G43" s="159"/>
      <c r="H43" s="159"/>
    </row>
    <row r="44" spans="1:8" x14ac:dyDescent="0.35">
      <c r="A44" s="155" t="s">
        <v>90</v>
      </c>
      <c r="B44" s="155"/>
      <c r="C44" s="155"/>
      <c r="D44" s="155"/>
      <c r="E44" s="190">
        <v>23824.86</v>
      </c>
      <c r="F44" s="190"/>
      <c r="G44" s="190"/>
      <c r="H44" s="190"/>
    </row>
    <row r="45" spans="1:8" x14ac:dyDescent="0.35">
      <c r="A45" s="168" t="s">
        <v>40</v>
      </c>
      <c r="B45" s="168"/>
      <c r="C45" s="168"/>
      <c r="D45" s="168"/>
      <c r="E45" s="168" t="s">
        <v>225</v>
      </c>
      <c r="F45" s="168"/>
      <c r="G45" s="168"/>
      <c r="H45" s="168"/>
    </row>
    <row r="46" spans="1:8" x14ac:dyDescent="0.35">
      <c r="A46" s="169" t="s">
        <v>41</v>
      </c>
      <c r="B46" s="169"/>
      <c r="C46" s="169"/>
      <c r="D46" s="169"/>
      <c r="E46" s="169"/>
      <c r="F46" s="169"/>
      <c r="G46" s="169"/>
      <c r="H46" s="169"/>
    </row>
    <row r="47" spans="1:8" ht="33.75" customHeight="1" x14ac:dyDescent="0.35">
      <c r="A47" s="152" t="s">
        <v>144</v>
      </c>
      <c r="B47" s="154"/>
      <c r="C47" s="194" t="s">
        <v>164</v>
      </c>
      <c r="D47" s="195"/>
      <c r="E47" s="195"/>
      <c r="F47" s="195"/>
      <c r="G47" s="195"/>
      <c r="H47" s="196"/>
    </row>
    <row r="48" spans="1:8" ht="15.75" customHeight="1" x14ac:dyDescent="0.35">
      <c r="A48" s="152" t="s">
        <v>42</v>
      </c>
      <c r="B48" s="154"/>
      <c r="C48" s="152" t="s">
        <v>186</v>
      </c>
      <c r="D48" s="153"/>
      <c r="E48" s="154"/>
      <c r="F48" s="18" t="s">
        <v>43</v>
      </c>
      <c r="G48" s="160">
        <v>45363</v>
      </c>
      <c r="H48" s="154"/>
    </row>
    <row r="49" spans="1:14" x14ac:dyDescent="0.35">
      <c r="A49" s="152" t="s">
        <v>44</v>
      </c>
      <c r="B49" s="154"/>
      <c r="C49" s="152" t="str">
        <f>C48</f>
        <v>KDMC/TPD/BP/KD/2022-23/24/385</v>
      </c>
      <c r="D49" s="153"/>
      <c r="E49" s="154"/>
      <c r="F49" s="18" t="s">
        <v>43</v>
      </c>
      <c r="G49" s="160">
        <f>G48</f>
        <v>45363</v>
      </c>
      <c r="H49" s="161"/>
    </row>
    <row r="50" spans="1:14" s="23" customFormat="1" ht="15.75" customHeight="1" x14ac:dyDescent="0.35">
      <c r="A50" s="199" t="s">
        <v>147</v>
      </c>
      <c r="B50" s="200"/>
      <c r="C50" s="152" t="str">
        <f>C49</f>
        <v>KDMC/TPD/BP/KD/2022-23/24/385</v>
      </c>
      <c r="D50" s="153"/>
      <c r="E50" s="154"/>
      <c r="F50" s="18" t="s">
        <v>43</v>
      </c>
      <c r="G50" s="160">
        <v>45363</v>
      </c>
      <c r="H50" s="161"/>
    </row>
    <row r="51" spans="1:14" s="23" customFormat="1" ht="32.25" customHeight="1" x14ac:dyDescent="0.35">
      <c r="A51" s="201"/>
      <c r="B51" s="202"/>
      <c r="C51" s="152" t="s">
        <v>226</v>
      </c>
      <c r="D51" s="153"/>
      <c r="E51" s="153"/>
      <c r="F51" s="153"/>
      <c r="G51" s="153"/>
      <c r="H51" s="154"/>
    </row>
    <row r="52" spans="1:14" x14ac:dyDescent="0.35">
      <c r="A52" s="162" t="s">
        <v>45</v>
      </c>
      <c r="B52" s="163"/>
      <c r="C52" s="162" t="s">
        <v>99</v>
      </c>
      <c r="D52" s="164"/>
      <c r="E52" s="163"/>
      <c r="F52" s="46" t="s">
        <v>43</v>
      </c>
      <c r="G52" s="166" t="s">
        <v>30</v>
      </c>
      <c r="H52" s="167"/>
    </row>
    <row r="53" spans="1:14" x14ac:dyDescent="0.35">
      <c r="A53" s="165" t="s">
        <v>47</v>
      </c>
      <c r="B53" s="165"/>
      <c r="C53" s="165"/>
      <c r="D53" s="165"/>
      <c r="E53" s="165"/>
      <c r="F53" s="165"/>
      <c r="G53" s="165"/>
      <c r="H53" s="165"/>
    </row>
    <row r="54" spans="1:14" ht="34.5" customHeight="1" x14ac:dyDescent="0.35">
      <c r="A54" s="157" t="s">
        <v>227</v>
      </c>
      <c r="B54" s="157"/>
      <c r="C54" s="157"/>
      <c r="D54" s="155">
        <f>8991.48+6425.13+6491.61</f>
        <v>21908.22</v>
      </c>
      <c r="E54" s="155"/>
      <c r="F54" s="155"/>
      <c r="G54" s="155"/>
      <c r="H54" s="155"/>
    </row>
    <row r="55" spans="1:14" x14ac:dyDescent="0.35">
      <c r="A55" s="158" t="s">
        <v>48</v>
      </c>
      <c r="B55" s="168"/>
      <c r="C55" s="168"/>
      <c r="D55" s="197" t="s">
        <v>250</v>
      </c>
      <c r="E55" s="197"/>
      <c r="F55" s="197"/>
      <c r="G55" s="197"/>
      <c r="H55" s="197"/>
      <c r="I55" s="24"/>
    </row>
    <row r="56" spans="1:14" ht="30" customHeight="1" x14ac:dyDescent="0.35">
      <c r="A56" s="92" t="s">
        <v>49</v>
      </c>
      <c r="B56" s="93"/>
      <c r="C56" s="94"/>
      <c r="D56" s="191" t="s">
        <v>252</v>
      </c>
      <c r="E56" s="192"/>
      <c r="F56" s="192"/>
      <c r="G56" s="192"/>
      <c r="H56" s="192"/>
    </row>
    <row r="57" spans="1:14" ht="15.75" customHeight="1" x14ac:dyDescent="0.35">
      <c r="A57" s="92" t="s">
        <v>88</v>
      </c>
      <c r="B57" s="93"/>
      <c r="C57" s="94"/>
      <c r="D57" s="89" t="s">
        <v>251</v>
      </c>
      <c r="E57" s="90"/>
      <c r="F57" s="90"/>
      <c r="G57" s="90"/>
      <c r="H57" s="91"/>
    </row>
    <row r="58" spans="1:14" ht="15.75" customHeight="1" x14ac:dyDescent="0.35">
      <c r="A58" s="95"/>
      <c r="B58" s="96"/>
      <c r="C58" s="97"/>
      <c r="D58" s="89" t="s">
        <v>187</v>
      </c>
      <c r="E58" s="90"/>
      <c r="F58" s="90"/>
      <c r="G58" s="90"/>
      <c r="H58" s="91"/>
    </row>
    <row r="59" spans="1:14" ht="15.75" customHeight="1" x14ac:dyDescent="0.35">
      <c r="A59" s="98"/>
      <c r="B59" s="99"/>
      <c r="C59" s="100"/>
      <c r="D59" s="89" t="s">
        <v>188</v>
      </c>
      <c r="E59" s="90"/>
      <c r="F59" s="90"/>
      <c r="G59" s="90"/>
      <c r="H59" s="91"/>
    </row>
    <row r="60" spans="1:14" ht="15.75" customHeight="1" x14ac:dyDescent="0.35">
      <c r="A60" s="155" t="s">
        <v>46</v>
      </c>
      <c r="B60" s="155"/>
      <c r="C60" s="155"/>
      <c r="D60" s="188" t="s">
        <v>165</v>
      </c>
      <c r="E60" s="188"/>
      <c r="F60" s="188"/>
      <c r="G60" s="188"/>
      <c r="H60" s="188"/>
      <c r="J60" s="25"/>
      <c r="K60" s="24"/>
      <c r="N60" s="24"/>
    </row>
    <row r="61" spans="1:14" ht="15.75" customHeight="1" x14ac:dyDescent="0.35">
      <c r="A61" s="155" t="s">
        <v>86</v>
      </c>
      <c r="B61" s="155"/>
      <c r="C61" s="155"/>
      <c r="D61" s="189" t="str">
        <f>(IF(G52="NA","60 Years After Completion",IF(G52&lt;&gt;"NA",""&amp;60-ROUNDDOWN((E3-G52)/360,0)&amp;" Years"," ")))</f>
        <v>60 Years After Completion</v>
      </c>
      <c r="E61" s="189"/>
      <c r="F61" s="189"/>
      <c r="G61" s="189"/>
      <c r="H61" s="189"/>
      <c r="N61" s="24"/>
    </row>
    <row r="62" spans="1:14" ht="15.75" customHeight="1" x14ac:dyDescent="0.35">
      <c r="A62" s="155" t="s">
        <v>87</v>
      </c>
      <c r="B62" s="155"/>
      <c r="C62" s="155"/>
      <c r="D62" s="157" t="s">
        <v>24</v>
      </c>
      <c r="E62" s="157"/>
      <c r="F62" s="157"/>
      <c r="G62" s="157"/>
      <c r="H62" s="157"/>
      <c r="J62" s="26"/>
      <c r="K62" s="26"/>
    </row>
    <row r="63" spans="1:14" ht="46.5" customHeight="1" x14ac:dyDescent="0.35">
      <c r="A63" s="155" t="s">
        <v>74</v>
      </c>
      <c r="B63" s="155"/>
      <c r="C63" s="155"/>
      <c r="D63" s="158" t="s">
        <v>208</v>
      </c>
      <c r="E63" s="157"/>
      <c r="F63" s="157"/>
      <c r="G63" s="157"/>
      <c r="H63" s="157"/>
      <c r="I63" s="21" t="s">
        <v>189</v>
      </c>
    </row>
    <row r="64" spans="1:14" x14ac:dyDescent="0.35">
      <c r="A64" s="157" t="s">
        <v>141</v>
      </c>
      <c r="B64" s="157"/>
      <c r="C64" s="157"/>
      <c r="D64" s="157" t="s">
        <v>30</v>
      </c>
      <c r="E64" s="157"/>
      <c r="F64" s="157"/>
      <c r="G64" s="157"/>
      <c r="H64" s="157"/>
      <c r="I64" s="27"/>
      <c r="J64" s="27"/>
      <c r="K64" s="27"/>
      <c r="L64" s="27"/>
      <c r="M64" s="27"/>
      <c r="N64" s="27"/>
    </row>
    <row r="65" spans="1:10" ht="15.75" customHeight="1" x14ac:dyDescent="0.35">
      <c r="A65" s="155" t="s">
        <v>85</v>
      </c>
      <c r="B65" s="155"/>
      <c r="C65" s="155"/>
      <c r="D65" s="158" t="str">
        <f ca="1">(IF(G85&gt;95%,"Nothing",IF(G85&gt;0%,"Cement, Aggregate, Steel, etc",IF(G85=0%,"Work not yet Started"))))</f>
        <v>Cement, Aggregate, Steel, etc</v>
      </c>
      <c r="E65" s="158"/>
      <c r="F65" s="158"/>
      <c r="G65" s="158"/>
      <c r="H65" s="158"/>
      <c r="J65" s="26"/>
    </row>
    <row r="66" spans="1:10" ht="33.75" customHeight="1" thickBot="1" x14ac:dyDescent="0.4">
      <c r="A66" s="157" t="s">
        <v>112</v>
      </c>
      <c r="B66" s="157"/>
      <c r="C66" s="157"/>
      <c r="D66" s="158" t="str">
        <f ca="1">(IF(D65="Nothing","Yes",IF(D65="Cement, Aggregate, Steel, etc","Under Construction",IF(D65="Work not yet Started","Work not yet Started"))))</f>
        <v>Under Construction</v>
      </c>
      <c r="E66" s="158"/>
      <c r="F66" s="158" t="str">
        <f ca="1">(IF(D65="Nothing","Yes",IF(D65="Cement, Aggregate, Steel, etc","Under Construction",IF(D65="Work not yet Started","Work not yet Started"))))</f>
        <v>Under Construction</v>
      </c>
      <c r="G66" s="158"/>
      <c r="H66" s="158"/>
    </row>
    <row r="67" spans="1:10" ht="15.75" customHeight="1" x14ac:dyDescent="0.35">
      <c r="A67" s="101" t="s">
        <v>133</v>
      </c>
      <c r="B67" s="101"/>
      <c r="C67" s="102" t="str">
        <f>D57</f>
        <v>Building No. 2 (A &amp; B Wing) = Gr/St + 1st to 10th Floor</v>
      </c>
      <c r="D67" s="102"/>
      <c r="E67" s="102"/>
      <c r="F67" s="102"/>
      <c r="G67" s="102"/>
      <c r="H67" s="102"/>
      <c r="I67" s="74" t="str">
        <f ca="1">IF(D80=100%,"All work Completed. Possession granted to the Building.",IF(D79=100%,"All work Completed, Waiting for OC",I68&amp;""&amp;I69&amp;""&amp;J68&amp;""&amp;J67&amp;" "&amp;J69))</f>
        <v>Excavation, Plinth Completed, RCC upto 3 Slab Completed</v>
      </c>
      <c r="J67" s="50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3 Slab</v>
      </c>
    </row>
    <row r="68" spans="1:10" x14ac:dyDescent="0.35">
      <c r="A68" s="70" t="s">
        <v>135</v>
      </c>
      <c r="B68" s="70">
        <v>0</v>
      </c>
      <c r="C68" s="70" t="s">
        <v>71</v>
      </c>
      <c r="D68" s="70">
        <v>1</v>
      </c>
      <c r="E68" s="70" t="s">
        <v>70</v>
      </c>
      <c r="F68" s="70">
        <v>0</v>
      </c>
      <c r="G68" s="48" t="s">
        <v>79</v>
      </c>
      <c r="H68" s="70">
        <f ca="1">--TRIM(RIGHT(SUBSTITUTE(LEFT(C67,_xlfn.AGGREGATE(16,6,FIND({0,1,2,3,4,5,6,7,8,9},C67,ROW(INDIRECT("1:"&amp;LEN(C67)))),1))," ",REPT(" ",LEN(C67))),LEN(C67)))</f>
        <v>10</v>
      </c>
      <c r="I68" s="75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2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x14ac:dyDescent="0.35">
      <c r="A69" s="103" t="s">
        <v>89</v>
      </c>
      <c r="B69" s="103"/>
      <c r="C69" s="102" t="str">
        <f ca="1">I67</f>
        <v>Excavation, Plinth Completed, RCC upto 3 Slab Completed</v>
      </c>
      <c r="D69" s="102"/>
      <c r="E69" s="102"/>
      <c r="F69" s="102"/>
      <c r="G69" s="102"/>
      <c r="H69" s="102"/>
      <c r="I69" s="75" t="str">
        <f ca="1">IF(I68&lt;&gt;""," Completed","")</f>
        <v xml:space="preserve"> Completed</v>
      </c>
      <c r="J69" s="52" t="str">
        <f ca="1">IF(J67&lt;&gt;"","Completed","")</f>
        <v>Completed</v>
      </c>
    </row>
    <row r="70" spans="1:10" ht="15.75" customHeight="1" x14ac:dyDescent="0.35">
      <c r="A70" s="77" t="s">
        <v>50</v>
      </c>
      <c r="B70" s="77"/>
      <c r="C70" s="69" t="s">
        <v>132</v>
      </c>
      <c r="D70" s="69" t="s">
        <v>82</v>
      </c>
      <c r="E70" s="77" t="s">
        <v>84</v>
      </c>
      <c r="F70" s="77"/>
      <c r="G70" s="77" t="s">
        <v>83</v>
      </c>
      <c r="H70" s="77"/>
      <c r="I70" s="14" t="s">
        <v>134</v>
      </c>
      <c r="J70" s="28">
        <f ca="1">H68*25%</f>
        <v>2.5</v>
      </c>
    </row>
    <row r="71" spans="1:10" x14ac:dyDescent="0.35">
      <c r="A71" s="76" t="s">
        <v>121</v>
      </c>
      <c r="B71" s="77"/>
      <c r="C71" s="69">
        <f ca="1">J72</f>
        <v>10</v>
      </c>
      <c r="D71" s="19">
        <f ca="1">((100/H68)*C71)/100</f>
        <v>1</v>
      </c>
      <c r="E71" s="78">
        <f ca="1">(((C72/H68*10)+(40/(D68+F68+H68)*C73)+(7.5/(H68)*C74)+(7.5/(H68)*C75)+(10/H68*C76)+(10/H68*C77)+(5/H68*C78)+(5/H68*C79)+(5/H68*C80))/100)</f>
        <v>0.20909090909090908</v>
      </c>
      <c r="F71" s="79"/>
      <c r="G71" s="78">
        <f ca="1">((((C71/H68)*20)+((C72/H68)*25)+(30/(H68+F68+D68)*C73)+(5/H68*C74)+(5/H68*C75)+(5/H68*C76)+(5/H68*C77)+(0/H68*C78)+(0/H68*C79)+(5/H68*C80))/100)</f>
        <v>0.53181818181818175</v>
      </c>
      <c r="H71" s="84"/>
      <c r="I71" s="14" t="s">
        <v>94</v>
      </c>
      <c r="J71" s="29">
        <f ca="1">H68*50%</f>
        <v>5</v>
      </c>
    </row>
    <row r="72" spans="1:10" x14ac:dyDescent="0.35">
      <c r="A72" s="76" t="s">
        <v>51</v>
      </c>
      <c r="B72" s="77"/>
      <c r="C72" s="57">
        <f ca="1">J80</f>
        <v>10</v>
      </c>
      <c r="D72" s="19">
        <f ca="1">((100/H68)*C72)/100</f>
        <v>1</v>
      </c>
      <c r="E72" s="80"/>
      <c r="F72" s="81"/>
      <c r="G72" s="80"/>
      <c r="H72" s="85"/>
      <c r="I72" s="14" t="s">
        <v>95</v>
      </c>
      <c r="J72" s="29">
        <f ca="1">H68</f>
        <v>10</v>
      </c>
    </row>
    <row r="73" spans="1:10" ht="15.75" customHeight="1" x14ac:dyDescent="0.35">
      <c r="A73" s="76" t="s">
        <v>122</v>
      </c>
      <c r="B73" s="77"/>
      <c r="C73" s="69">
        <v>3</v>
      </c>
      <c r="D73" s="19">
        <f ca="1">((100/(D68+F68+H68))*C73)/100</f>
        <v>0.27272727272727271</v>
      </c>
      <c r="E73" s="80"/>
      <c r="F73" s="81"/>
      <c r="G73" s="80"/>
      <c r="H73" s="85"/>
      <c r="I73" s="14" t="s">
        <v>96</v>
      </c>
      <c r="J73" s="30">
        <f ca="1">(IF(B68&gt;1,(H68/(B68+2)),H68/4))</f>
        <v>2.5</v>
      </c>
    </row>
    <row r="74" spans="1:10" ht="15.75" customHeight="1" x14ac:dyDescent="0.35">
      <c r="A74" s="76" t="s">
        <v>129</v>
      </c>
      <c r="B74" s="77" t="s">
        <v>123</v>
      </c>
      <c r="C74" s="69">
        <v>0</v>
      </c>
      <c r="D74" s="19">
        <f ca="1">((100/H68)*C74)/100</f>
        <v>0</v>
      </c>
      <c r="E74" s="80"/>
      <c r="F74" s="81"/>
      <c r="G74" s="80"/>
      <c r="H74" s="85"/>
      <c r="I74" s="14" t="s">
        <v>97</v>
      </c>
      <c r="J74" s="30">
        <f ca="1">(IF(B68&gt;1,(H68/(B68+2)+J73),H68/4+J73))</f>
        <v>5</v>
      </c>
    </row>
    <row r="75" spans="1:10" ht="15.75" customHeight="1" x14ac:dyDescent="0.35">
      <c r="A75" s="76" t="s">
        <v>130</v>
      </c>
      <c r="B75" s="77" t="s">
        <v>123</v>
      </c>
      <c r="C75" s="69">
        <v>0</v>
      </c>
      <c r="D75" s="19">
        <f ca="1">((100/H68)*C75)/100</f>
        <v>0</v>
      </c>
      <c r="E75" s="80"/>
      <c r="F75" s="81"/>
      <c r="G75" s="80"/>
      <c r="H75" s="85"/>
      <c r="I75" s="14" t="s">
        <v>139</v>
      </c>
      <c r="J75" s="30">
        <f>(IF(B68&gt;1,(H68/(B68+2)+J74),0))</f>
        <v>0</v>
      </c>
    </row>
    <row r="76" spans="1:10" ht="15" customHeight="1" x14ac:dyDescent="0.35">
      <c r="A76" s="76" t="s">
        <v>128</v>
      </c>
      <c r="B76" s="77" t="s">
        <v>125</v>
      </c>
      <c r="C76" s="69">
        <v>0</v>
      </c>
      <c r="D76" s="19">
        <f ca="1">((100/(H68))*C76)/100</f>
        <v>0</v>
      </c>
      <c r="E76" s="80"/>
      <c r="F76" s="81"/>
      <c r="G76" s="80"/>
      <c r="H76" s="85"/>
      <c r="I76" s="14" t="s">
        <v>136</v>
      </c>
      <c r="J76" s="30">
        <f>(IF(B68&gt;2,(H68/(B68+2)+J75),0))</f>
        <v>0</v>
      </c>
    </row>
    <row r="77" spans="1:10" ht="15.75" customHeight="1" x14ac:dyDescent="0.35">
      <c r="A77" s="76" t="s">
        <v>124</v>
      </c>
      <c r="B77" s="77" t="s">
        <v>124</v>
      </c>
      <c r="C77" s="69">
        <v>0</v>
      </c>
      <c r="D77" s="19">
        <f ca="1">((100/H68)*C77)/100</f>
        <v>0</v>
      </c>
      <c r="E77" s="80"/>
      <c r="F77" s="81"/>
      <c r="G77" s="80"/>
      <c r="H77" s="85"/>
      <c r="I77" s="14" t="s">
        <v>137</v>
      </c>
      <c r="J77" s="31">
        <f>(IF(B68&gt;3,(H68/(B68+2)+J76),0))</f>
        <v>0</v>
      </c>
    </row>
    <row r="78" spans="1:10" ht="15.75" customHeight="1" x14ac:dyDescent="0.35">
      <c r="A78" s="76" t="s">
        <v>131</v>
      </c>
      <c r="B78" s="77"/>
      <c r="C78" s="69">
        <v>0</v>
      </c>
      <c r="D78" s="19">
        <f ca="1">((100/H68)*C78)/100</f>
        <v>0</v>
      </c>
      <c r="E78" s="80"/>
      <c r="F78" s="81"/>
      <c r="G78" s="80"/>
      <c r="H78" s="85"/>
      <c r="I78" s="14" t="s">
        <v>138</v>
      </c>
      <c r="J78" s="30">
        <f>(IF(B68&gt;4,(H68/(B68+2)+J77),0))</f>
        <v>0</v>
      </c>
    </row>
    <row r="79" spans="1:10" ht="15.75" customHeight="1" x14ac:dyDescent="0.35">
      <c r="A79" s="76" t="s">
        <v>126</v>
      </c>
      <c r="B79" s="77" t="s">
        <v>126</v>
      </c>
      <c r="C79" s="69">
        <v>0</v>
      </c>
      <c r="D79" s="19">
        <f ca="1">((100/(H68))*C79)/100</f>
        <v>0</v>
      </c>
      <c r="E79" s="80"/>
      <c r="F79" s="81"/>
      <c r="G79" s="80"/>
      <c r="H79" s="85"/>
      <c r="I79" s="14" t="s">
        <v>140</v>
      </c>
      <c r="J79" s="30">
        <f ca="1">(IF(B68=1,(H68/(B68+3)+J74),IF(B68=0,(H68/4+J74),IF(B68&gt;1,0))))</f>
        <v>7.5</v>
      </c>
    </row>
    <row r="80" spans="1:10" ht="16" thickBot="1" x14ac:dyDescent="0.4">
      <c r="A80" s="87" t="s">
        <v>127</v>
      </c>
      <c r="B80" s="88"/>
      <c r="C80" s="71">
        <v>0</v>
      </c>
      <c r="D80" s="20">
        <f ca="1">((100/(H68))*C80)/100</f>
        <v>0</v>
      </c>
      <c r="E80" s="82"/>
      <c r="F80" s="83"/>
      <c r="G80" s="82"/>
      <c r="H80" s="86"/>
      <c r="I80" s="15" t="s">
        <v>98</v>
      </c>
      <c r="J80" s="32">
        <f ca="1">(IF(B68&gt;1.5,(H68/(B68+2)+J74+MAX(0,J75-J74)+MAX(0,J76-J75)+MAX(0,J77-J76)+MAX(0,J78-J77)+MAX(0,J79-J78)),IF(B68=1,(H68/(B68+3)+J79),IF(B68=0,H68/4+J79))))</f>
        <v>10</v>
      </c>
    </row>
    <row r="81" spans="1:10" ht="15.75" customHeight="1" x14ac:dyDescent="0.35">
      <c r="A81" s="204" t="s">
        <v>133</v>
      </c>
      <c r="B81" s="205"/>
      <c r="C81" s="206" t="str">
        <f>D58</f>
        <v>Building No. 2 (C Wing) = G + 2P + 3rd to 14th Floor</v>
      </c>
      <c r="D81" s="207"/>
      <c r="E81" s="207"/>
      <c r="F81" s="207"/>
      <c r="G81" s="207"/>
      <c r="H81" s="208"/>
      <c r="I81" s="49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 Completed, Flooring upto 12 Floor, Painting upto 12 Floor Completed</v>
      </c>
      <c r="J81" s="50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Flooring upto 12 Floor, Painting upto 12 Floor</v>
      </c>
    </row>
    <row r="82" spans="1:10" x14ac:dyDescent="0.35">
      <c r="A82" s="16" t="s">
        <v>135</v>
      </c>
      <c r="B82" s="53">
        <v>0</v>
      </c>
      <c r="C82" s="53" t="s">
        <v>71</v>
      </c>
      <c r="D82" s="53">
        <v>1</v>
      </c>
      <c r="E82" s="53" t="s">
        <v>70</v>
      </c>
      <c r="F82" s="53">
        <v>0</v>
      </c>
      <c r="G82" s="48" t="s">
        <v>79</v>
      </c>
      <c r="H82" s="17">
        <f ca="1">--TRIM(RIGHT(SUBSTITUTE(LEFT(C81,_xlfn.AGGREGATE(16,6,FIND({0,1,2,3,4,5,6,7,8,9},C81,ROW(INDIRECT("1:"&amp;LEN(C81)))),1))," ",REPT(" ",LEN(C81))),LEN(C81)))</f>
        <v>14</v>
      </c>
      <c r="I82" s="51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</v>
      </c>
      <c r="J82" s="52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2.5" customHeight="1" x14ac:dyDescent="0.35">
      <c r="A83" s="203" t="s">
        <v>89</v>
      </c>
      <c r="B83" s="103"/>
      <c r="C83" s="102" t="str">
        <f ca="1">I81</f>
        <v>Excavation, Plinth, RCC Slab, Brickwork, Internal Plaster, External Plaster Completed, Flooring upto 12 Floor, Painting upto 12 Floor Completed</v>
      </c>
      <c r="D83" s="102"/>
      <c r="E83" s="102"/>
      <c r="F83" s="102"/>
      <c r="G83" s="102"/>
      <c r="H83" s="137"/>
      <c r="I83" s="51" t="str">
        <f ca="1">IF(I82&lt;&gt;""," Completed","")</f>
        <v xml:space="preserve"> Completed</v>
      </c>
      <c r="J83" s="52" t="str">
        <f ca="1">IF(J81&lt;&gt;"","Completed","")</f>
        <v>Completed</v>
      </c>
    </row>
    <row r="84" spans="1:10" ht="15.75" customHeight="1" x14ac:dyDescent="0.35">
      <c r="A84" s="76" t="s">
        <v>50</v>
      </c>
      <c r="B84" s="77"/>
      <c r="C84" s="44" t="s">
        <v>132</v>
      </c>
      <c r="D84" s="44" t="s">
        <v>82</v>
      </c>
      <c r="E84" s="77" t="s">
        <v>84</v>
      </c>
      <c r="F84" s="77"/>
      <c r="G84" s="77" t="s">
        <v>83</v>
      </c>
      <c r="H84" s="138"/>
      <c r="I84" s="14" t="s">
        <v>134</v>
      </c>
      <c r="J84" s="28">
        <f ca="1">H82*25%</f>
        <v>3.5</v>
      </c>
    </row>
    <row r="85" spans="1:10" x14ac:dyDescent="0.35">
      <c r="A85" s="76" t="s">
        <v>121</v>
      </c>
      <c r="B85" s="77"/>
      <c r="C85" s="44">
        <f ca="1">J86</f>
        <v>14</v>
      </c>
      <c r="D85" s="19">
        <f ca="1">((100/H82)*C85)/100</f>
        <v>1</v>
      </c>
      <c r="E85" s="78">
        <f ca="1">(((C86/H82*10)+(40/(D82+F82+H82)*C87)+(7.5/(H82)*C88)+(7.5/(H82)*C89)+(10/H82*C90)+(10/H82*C91)+(5/H82*C92)+(5/H82*C93)+(5/H82*C94))/100)</f>
        <v>0.87857142857142856</v>
      </c>
      <c r="F85" s="79"/>
      <c r="G85" s="78">
        <f ca="1">((((C85/H82)*20)+((C86/H82)*25)+(30/(H82+F82+D82)*C87)+(5/H82*C88)+(5/H82*C89)+(5/H82*C90)+(5/H82*C91)+(0/H82*C92)+(0/H82*C93)+(5/H82*C94))/100)</f>
        <v>0.94285714285714295</v>
      </c>
      <c r="H85" s="84"/>
      <c r="I85" s="14" t="s">
        <v>94</v>
      </c>
      <c r="J85" s="29">
        <f ca="1">H82*50%</f>
        <v>7</v>
      </c>
    </row>
    <row r="86" spans="1:10" x14ac:dyDescent="0.35">
      <c r="A86" s="76" t="s">
        <v>51</v>
      </c>
      <c r="B86" s="77"/>
      <c r="C86" s="57">
        <f ca="1">J94</f>
        <v>14</v>
      </c>
      <c r="D86" s="19">
        <f ca="1">((100/H82)*C86)/100</f>
        <v>1</v>
      </c>
      <c r="E86" s="80"/>
      <c r="F86" s="81"/>
      <c r="G86" s="80"/>
      <c r="H86" s="85"/>
      <c r="I86" s="14" t="s">
        <v>95</v>
      </c>
      <c r="J86" s="29">
        <f ca="1">H82</f>
        <v>14</v>
      </c>
    </row>
    <row r="87" spans="1:10" ht="15.75" customHeight="1" x14ac:dyDescent="0.35">
      <c r="A87" s="76" t="s">
        <v>122</v>
      </c>
      <c r="B87" s="77"/>
      <c r="C87" s="44">
        <v>15</v>
      </c>
      <c r="D87" s="19">
        <f ca="1">((100/(D82+F82+H82))*C87)/100</f>
        <v>1</v>
      </c>
      <c r="E87" s="80"/>
      <c r="F87" s="81"/>
      <c r="G87" s="80"/>
      <c r="H87" s="85"/>
      <c r="I87" s="14" t="s">
        <v>96</v>
      </c>
      <c r="J87" s="30">
        <f ca="1">(IF(B82&gt;1,(H82/(B82+2)),H82/4))</f>
        <v>3.5</v>
      </c>
    </row>
    <row r="88" spans="1:10" ht="15.75" customHeight="1" x14ac:dyDescent="0.35">
      <c r="A88" s="76" t="s">
        <v>129</v>
      </c>
      <c r="B88" s="77" t="s">
        <v>123</v>
      </c>
      <c r="C88" s="44">
        <v>14</v>
      </c>
      <c r="D88" s="19">
        <f ca="1">((100/H82)*C88)/100</f>
        <v>1</v>
      </c>
      <c r="E88" s="80"/>
      <c r="F88" s="81"/>
      <c r="G88" s="80"/>
      <c r="H88" s="85"/>
      <c r="I88" s="14" t="s">
        <v>97</v>
      </c>
      <c r="J88" s="30">
        <f ca="1">(IF(B82&gt;1,(H82/(B82+2)+J87),H82/4+J87))</f>
        <v>7</v>
      </c>
    </row>
    <row r="89" spans="1:10" ht="15.75" customHeight="1" x14ac:dyDescent="0.35">
      <c r="A89" s="76" t="s">
        <v>130</v>
      </c>
      <c r="B89" s="77" t="s">
        <v>123</v>
      </c>
      <c r="C89" s="44">
        <v>14</v>
      </c>
      <c r="D89" s="19">
        <f ca="1">((100/H82)*C89)/100</f>
        <v>1</v>
      </c>
      <c r="E89" s="80"/>
      <c r="F89" s="81"/>
      <c r="G89" s="80"/>
      <c r="H89" s="85"/>
      <c r="I89" s="14" t="s">
        <v>139</v>
      </c>
      <c r="J89" s="30">
        <f>(IF(B82&gt;1,(H82/(B82+2)+J88),0))</f>
        <v>0</v>
      </c>
    </row>
    <row r="90" spans="1:10" ht="15" customHeight="1" x14ac:dyDescent="0.35">
      <c r="A90" s="76" t="s">
        <v>128</v>
      </c>
      <c r="B90" s="77" t="s">
        <v>125</v>
      </c>
      <c r="C90" s="44">
        <v>14</v>
      </c>
      <c r="D90" s="19">
        <f ca="1">((100/(H82))*C90)/100</f>
        <v>1</v>
      </c>
      <c r="E90" s="80"/>
      <c r="F90" s="81"/>
      <c r="G90" s="80"/>
      <c r="H90" s="85"/>
      <c r="I90" s="14" t="s">
        <v>136</v>
      </c>
      <c r="J90" s="30">
        <f>(IF(B82&gt;2,(H82/(B82+2)+J89),0))</f>
        <v>0</v>
      </c>
    </row>
    <row r="91" spans="1:10" ht="15.75" customHeight="1" x14ac:dyDescent="0.35">
      <c r="A91" s="76" t="s">
        <v>124</v>
      </c>
      <c r="B91" s="77" t="s">
        <v>124</v>
      </c>
      <c r="C91" s="44">
        <v>12</v>
      </c>
      <c r="D91" s="19">
        <f ca="1">((100/H82)*C91)/100</f>
        <v>0.85714285714285721</v>
      </c>
      <c r="E91" s="80"/>
      <c r="F91" s="81"/>
      <c r="G91" s="80"/>
      <c r="H91" s="85"/>
      <c r="I91" s="14" t="s">
        <v>137</v>
      </c>
      <c r="J91" s="31">
        <f>(IF(B82&gt;3,(H82/(B82+2)+J90),0))</f>
        <v>0</v>
      </c>
    </row>
    <row r="92" spans="1:10" ht="15.75" customHeight="1" x14ac:dyDescent="0.35">
      <c r="A92" s="76" t="s">
        <v>131</v>
      </c>
      <c r="B92" s="77"/>
      <c r="C92" s="44">
        <v>12</v>
      </c>
      <c r="D92" s="19">
        <f ca="1">((100/H82)*C92)/100</f>
        <v>0.85714285714285721</v>
      </c>
      <c r="E92" s="80"/>
      <c r="F92" s="81"/>
      <c r="G92" s="80"/>
      <c r="H92" s="85"/>
      <c r="I92" s="14" t="s">
        <v>138</v>
      </c>
      <c r="J92" s="30">
        <f>(IF(B82&gt;4,(H82/(B82+2)+J91),0))</f>
        <v>0</v>
      </c>
    </row>
    <row r="93" spans="1:10" ht="15.75" customHeight="1" x14ac:dyDescent="0.35">
      <c r="A93" s="76" t="s">
        <v>126</v>
      </c>
      <c r="B93" s="77" t="s">
        <v>126</v>
      </c>
      <c r="C93" s="44">
        <v>0</v>
      </c>
      <c r="D93" s="19">
        <f ca="1">((100/(H82))*C93)/100</f>
        <v>0</v>
      </c>
      <c r="E93" s="80"/>
      <c r="F93" s="81"/>
      <c r="G93" s="80"/>
      <c r="H93" s="85"/>
      <c r="I93" s="14" t="s">
        <v>140</v>
      </c>
      <c r="J93" s="30">
        <f ca="1">(IF(B82=1,(H82/(B82+3)+J88),IF(B82=0,(H82/4+J88),IF(B82&gt;1,0))))</f>
        <v>10.5</v>
      </c>
    </row>
    <row r="94" spans="1:10" ht="16" thickBot="1" x14ac:dyDescent="0.4">
      <c r="A94" s="87" t="s">
        <v>127</v>
      </c>
      <c r="B94" s="88"/>
      <c r="C94" s="45">
        <v>0</v>
      </c>
      <c r="D94" s="20">
        <f ca="1">((100/(H82))*C94)/100</f>
        <v>0</v>
      </c>
      <c r="E94" s="82"/>
      <c r="F94" s="83"/>
      <c r="G94" s="82"/>
      <c r="H94" s="86"/>
      <c r="I94" s="15" t="s">
        <v>98</v>
      </c>
      <c r="J94" s="32">
        <f ca="1">(IF(B82&gt;1.5,(H82/(B82+2)+J88+MAX(0,J89-J88)+MAX(0,J90-J89)+MAX(0,J91-J90)+MAX(0,J92-J91)+MAX(0,J93-J92)),IF(B82=1,(H82/(B82+3)+J93),IF(B82=0,H82/4+J93))))</f>
        <v>14</v>
      </c>
    </row>
    <row r="95" spans="1:10" ht="15.75" customHeight="1" x14ac:dyDescent="0.35">
      <c r="A95" s="204" t="s">
        <v>133</v>
      </c>
      <c r="B95" s="205"/>
      <c r="C95" s="206" t="str">
        <f>D59</f>
        <v>Building No. 2 (D Wing) = G + 2P + 3rd to 14th Floor</v>
      </c>
      <c r="D95" s="207"/>
      <c r="E95" s="207"/>
      <c r="F95" s="207"/>
      <c r="G95" s="207"/>
      <c r="H95" s="208"/>
      <c r="I95" s="49" t="str">
        <f ca="1">IF(D108=100%,"All work Completed. Possession granted to the Building.",IF(D107=100%,"All work Completed, Waiting for OC",I96&amp;""&amp;I97&amp;""&amp;J96&amp;""&amp;J95&amp;" "&amp;J97))</f>
        <v>Excavation, Plinth, RCC Slab, Brickwork, Internal Plaster, External Plaster Completed, Flooring upto 12 Floor, Painting upto 12 Floor Completed</v>
      </c>
      <c r="J95" s="50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Flooring upto 12 Floor, Painting upto 12 Floor</v>
      </c>
    </row>
    <row r="96" spans="1:10" x14ac:dyDescent="0.35">
      <c r="A96" s="16" t="s">
        <v>135</v>
      </c>
      <c r="B96" s="53">
        <v>0</v>
      </c>
      <c r="C96" s="53" t="s">
        <v>71</v>
      </c>
      <c r="D96" s="53">
        <v>1</v>
      </c>
      <c r="E96" s="53" t="s">
        <v>70</v>
      </c>
      <c r="F96" s="53">
        <v>0</v>
      </c>
      <c r="G96" s="48" t="s">
        <v>79</v>
      </c>
      <c r="H96" s="17">
        <f ca="1">--TRIM(RIGHT(SUBSTITUTE(LEFT(C95,_xlfn.AGGREGATE(16,6,FIND({0,1,2,3,4,5,6,7,8,9},C95,ROW(INDIRECT("1:"&amp;LEN(C95)))),1))," ",REPT(" ",LEN(C95))),LEN(C95)))</f>
        <v>14</v>
      </c>
      <c r="I96" s="51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Slab, Brickwork, Internal Plaster, External Plaster</v>
      </c>
      <c r="J96" s="52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4" customHeight="1" x14ac:dyDescent="0.35">
      <c r="A97" s="103" t="s">
        <v>89</v>
      </c>
      <c r="B97" s="103"/>
      <c r="C97" s="102" t="str">
        <f ca="1">I95</f>
        <v>Excavation, Plinth, RCC Slab, Brickwork, Internal Plaster, External Plaster Completed, Flooring upto 12 Floor, Painting upto 12 Floor Completed</v>
      </c>
      <c r="D97" s="102"/>
      <c r="E97" s="102"/>
      <c r="F97" s="102"/>
      <c r="G97" s="102"/>
      <c r="H97" s="102"/>
      <c r="I97" s="75" t="str">
        <f ca="1">IF(I96&lt;&gt;""," Completed","")</f>
        <v xml:space="preserve"> Completed</v>
      </c>
      <c r="J97" s="52" t="str">
        <f ca="1">IF(J95&lt;&gt;"","Completed","")</f>
        <v>Completed</v>
      </c>
    </row>
    <row r="98" spans="1:10" ht="15.75" customHeight="1" x14ac:dyDescent="0.35">
      <c r="A98" s="77" t="s">
        <v>50</v>
      </c>
      <c r="B98" s="77"/>
      <c r="C98" s="69" t="s">
        <v>132</v>
      </c>
      <c r="D98" s="69" t="s">
        <v>82</v>
      </c>
      <c r="E98" s="77" t="s">
        <v>84</v>
      </c>
      <c r="F98" s="77"/>
      <c r="G98" s="77" t="s">
        <v>83</v>
      </c>
      <c r="H98" s="77"/>
      <c r="I98" s="14" t="s">
        <v>134</v>
      </c>
      <c r="J98" s="28">
        <f ca="1">H96*25%</f>
        <v>3.5</v>
      </c>
    </row>
    <row r="99" spans="1:10" x14ac:dyDescent="0.35">
      <c r="A99" s="77" t="s">
        <v>121</v>
      </c>
      <c r="B99" s="77"/>
      <c r="C99" s="69">
        <f ca="1">J100</f>
        <v>14</v>
      </c>
      <c r="D99" s="19">
        <f ca="1">((100/H96)*C99)/100</f>
        <v>1</v>
      </c>
      <c r="E99" s="211">
        <f ca="1">(((C100/H96*10)+(40/(D96+F96+H96)*C101)+(7.5/(H96)*C102)+(7.5/(H96)*C103)+(10/H96*C104)+(10/H96*C105)+(5/H96*C106)+(5/H96*C107)+(5/H96*C108))/100)</f>
        <v>0.87857142857142856</v>
      </c>
      <c r="F99" s="211"/>
      <c r="G99" s="211">
        <f ca="1">((((C99/H96)*20)+((C100/H96)*25)+(30/(H96+F96+D96)*C101)+(5/H96*C102)+(5/H96*C103)+(5/H96*C104)+(5/H96*C105)+(0/H96*C106)+(0/H96*C107)+(5/H96*C108))/100)</f>
        <v>0.94285714285714295</v>
      </c>
      <c r="H99" s="211"/>
      <c r="I99" s="14" t="s">
        <v>94</v>
      </c>
      <c r="J99" s="29">
        <f ca="1">H96*50%</f>
        <v>7</v>
      </c>
    </row>
    <row r="100" spans="1:10" x14ac:dyDescent="0.35">
      <c r="A100" s="77" t="s">
        <v>51</v>
      </c>
      <c r="B100" s="77"/>
      <c r="C100" s="57">
        <f ca="1">J108</f>
        <v>14</v>
      </c>
      <c r="D100" s="19">
        <f ca="1">((100/H96)*C100)/100</f>
        <v>1</v>
      </c>
      <c r="E100" s="211"/>
      <c r="F100" s="211"/>
      <c r="G100" s="211"/>
      <c r="H100" s="211"/>
      <c r="I100" s="14" t="s">
        <v>95</v>
      </c>
      <c r="J100" s="29">
        <f ca="1">H96</f>
        <v>14</v>
      </c>
    </row>
    <row r="101" spans="1:10" ht="15.75" customHeight="1" x14ac:dyDescent="0.35">
      <c r="A101" s="77" t="s">
        <v>122</v>
      </c>
      <c r="B101" s="77"/>
      <c r="C101" s="69">
        <v>15</v>
      </c>
      <c r="D101" s="19">
        <f ca="1">((100/(D96+F96+H96))*C101)/100</f>
        <v>1</v>
      </c>
      <c r="E101" s="211"/>
      <c r="F101" s="211"/>
      <c r="G101" s="211"/>
      <c r="H101" s="211"/>
      <c r="I101" s="14" t="s">
        <v>96</v>
      </c>
      <c r="J101" s="30">
        <f ca="1">(IF(B96&gt;1,(H96/(B96+2)),H96/4))</f>
        <v>3.5</v>
      </c>
    </row>
    <row r="102" spans="1:10" ht="15.75" customHeight="1" x14ac:dyDescent="0.35">
      <c r="A102" s="77" t="s">
        <v>129</v>
      </c>
      <c r="B102" s="77" t="s">
        <v>123</v>
      </c>
      <c r="C102" s="69">
        <v>14</v>
      </c>
      <c r="D102" s="19">
        <f ca="1">((100/H96)*C102)/100</f>
        <v>1</v>
      </c>
      <c r="E102" s="211"/>
      <c r="F102" s="211"/>
      <c r="G102" s="211"/>
      <c r="H102" s="211"/>
      <c r="I102" s="14" t="s">
        <v>97</v>
      </c>
      <c r="J102" s="30">
        <f ca="1">(IF(B96&gt;1,(H96/(B96+2)+J101),H96/4+J101))</f>
        <v>7</v>
      </c>
    </row>
    <row r="103" spans="1:10" ht="15.75" customHeight="1" x14ac:dyDescent="0.35">
      <c r="A103" s="77" t="s">
        <v>130</v>
      </c>
      <c r="B103" s="77" t="s">
        <v>123</v>
      </c>
      <c r="C103" s="69">
        <v>14</v>
      </c>
      <c r="D103" s="19">
        <f ca="1">((100/H96)*C103)/100</f>
        <v>1</v>
      </c>
      <c r="E103" s="211"/>
      <c r="F103" s="211"/>
      <c r="G103" s="211"/>
      <c r="H103" s="211"/>
      <c r="I103" s="14" t="s">
        <v>139</v>
      </c>
      <c r="J103" s="30">
        <f>(IF(B96&gt;1,(H96/(B96+2)+J102),0))</f>
        <v>0</v>
      </c>
    </row>
    <row r="104" spans="1:10" ht="15" customHeight="1" x14ac:dyDescent="0.35">
      <c r="A104" s="77" t="s">
        <v>128</v>
      </c>
      <c r="B104" s="77" t="s">
        <v>125</v>
      </c>
      <c r="C104" s="69">
        <v>14</v>
      </c>
      <c r="D104" s="19">
        <f ca="1">((100/(H96))*C104)/100</f>
        <v>1</v>
      </c>
      <c r="E104" s="211"/>
      <c r="F104" s="211"/>
      <c r="G104" s="211"/>
      <c r="H104" s="211"/>
      <c r="I104" s="14" t="s">
        <v>136</v>
      </c>
      <c r="J104" s="30">
        <f>(IF(B96&gt;2,(H96/(B96+2)+J103),0))</f>
        <v>0</v>
      </c>
    </row>
    <row r="105" spans="1:10" ht="15.75" customHeight="1" x14ac:dyDescent="0.35">
      <c r="A105" s="77" t="s">
        <v>124</v>
      </c>
      <c r="B105" s="77" t="s">
        <v>124</v>
      </c>
      <c r="C105" s="69">
        <v>12</v>
      </c>
      <c r="D105" s="19">
        <f ca="1">((100/H96)*C105)/100</f>
        <v>0.85714285714285721</v>
      </c>
      <c r="E105" s="211"/>
      <c r="F105" s="211"/>
      <c r="G105" s="211"/>
      <c r="H105" s="211"/>
      <c r="I105" s="14" t="s">
        <v>137</v>
      </c>
      <c r="J105" s="31">
        <f>(IF(B96&gt;3,(H96/(B96+2)+J104),0))</f>
        <v>0</v>
      </c>
    </row>
    <row r="106" spans="1:10" ht="15.75" customHeight="1" x14ac:dyDescent="0.35">
      <c r="A106" s="77" t="s">
        <v>131</v>
      </c>
      <c r="B106" s="77"/>
      <c r="C106" s="69">
        <v>12</v>
      </c>
      <c r="D106" s="19">
        <f ca="1">((100/H96)*C106)/100</f>
        <v>0.85714285714285721</v>
      </c>
      <c r="E106" s="211"/>
      <c r="F106" s="211"/>
      <c r="G106" s="211"/>
      <c r="H106" s="211"/>
      <c r="I106" s="14" t="s">
        <v>138</v>
      </c>
      <c r="J106" s="30">
        <f>(IF(B96&gt;4,(H96/(B96+2)+J105),0))</f>
        <v>0</v>
      </c>
    </row>
    <row r="107" spans="1:10" ht="15.75" customHeight="1" x14ac:dyDescent="0.35">
      <c r="A107" s="77" t="s">
        <v>126</v>
      </c>
      <c r="B107" s="77" t="s">
        <v>126</v>
      </c>
      <c r="C107" s="69">
        <v>0</v>
      </c>
      <c r="D107" s="19">
        <f ca="1">((100/(H96))*C107)/100</f>
        <v>0</v>
      </c>
      <c r="E107" s="211"/>
      <c r="F107" s="211"/>
      <c r="G107" s="211"/>
      <c r="H107" s="211"/>
      <c r="I107" s="14" t="s">
        <v>140</v>
      </c>
      <c r="J107" s="30">
        <f ca="1">(IF(B96=1,(H96/(B96+3)+J102),IF(B96=0,(H96/4+J102),IF(B96&gt;1,0))))</f>
        <v>10.5</v>
      </c>
    </row>
    <row r="108" spans="1:10" ht="16" thickBot="1" x14ac:dyDescent="0.4">
      <c r="A108" s="77" t="s">
        <v>127</v>
      </c>
      <c r="B108" s="77"/>
      <c r="C108" s="69">
        <v>0</v>
      </c>
      <c r="D108" s="19">
        <f ca="1">((100/(H96))*C108)/100</f>
        <v>0</v>
      </c>
      <c r="E108" s="211"/>
      <c r="F108" s="211"/>
      <c r="G108" s="211"/>
      <c r="H108" s="211"/>
      <c r="I108" s="15" t="s">
        <v>98</v>
      </c>
      <c r="J108" s="32">
        <f ca="1">(IF(B96&gt;1.5,(H96/(B96+2)+J102+MAX(0,J103-J102)+MAX(0,J104-J103)+MAX(0,J105-J104)+MAX(0,J106-J105)+MAX(0,J107-J106)),IF(B96=1,(H96/(B96+3)+J107),IF(B96=0,H96/4+J107))))</f>
        <v>14</v>
      </c>
    </row>
    <row r="109" spans="1:10" x14ac:dyDescent="0.35">
      <c r="A109" s="139" t="s">
        <v>148</v>
      </c>
      <c r="B109" s="139"/>
      <c r="C109" s="139"/>
      <c r="D109" s="139"/>
      <c r="E109" s="139"/>
      <c r="F109" s="150" t="s">
        <v>150</v>
      </c>
      <c r="G109" s="150"/>
      <c r="H109" s="150"/>
    </row>
    <row r="110" spans="1:10" x14ac:dyDescent="0.35">
      <c r="A110" s="155" t="s">
        <v>149</v>
      </c>
      <c r="B110" s="155"/>
      <c r="C110" s="155"/>
      <c r="D110" s="155"/>
      <c r="E110" s="155"/>
      <c r="F110" s="156">
        <v>4550</v>
      </c>
      <c r="G110" s="156"/>
      <c r="H110" s="156"/>
      <c r="I110" s="21" t="s">
        <v>217</v>
      </c>
    </row>
    <row r="111" spans="1:10" s="33" customFormat="1" hidden="1" x14ac:dyDescent="0.3">
      <c r="A111" s="155" t="s">
        <v>151</v>
      </c>
      <c r="B111" s="155"/>
      <c r="C111" s="155"/>
      <c r="D111" s="155"/>
      <c r="E111" s="155"/>
      <c r="F111" s="156">
        <v>15000</v>
      </c>
      <c r="G111" s="156"/>
      <c r="H111" s="156"/>
    </row>
    <row r="112" spans="1:10" s="33" customFormat="1" x14ac:dyDescent="0.3">
      <c r="A112" s="155" t="s">
        <v>93</v>
      </c>
      <c r="B112" s="155"/>
      <c r="C112" s="155"/>
      <c r="D112" s="155"/>
      <c r="E112" s="155"/>
      <c r="F112" s="156">
        <v>200000</v>
      </c>
      <c r="G112" s="156"/>
      <c r="H112" s="156"/>
      <c r="I112" s="33" t="s">
        <v>218</v>
      </c>
    </row>
    <row r="113" spans="1:20" x14ac:dyDescent="0.35">
      <c r="A113" s="155" t="s">
        <v>52</v>
      </c>
      <c r="B113" s="155"/>
      <c r="C113" s="155"/>
      <c r="D113" s="155"/>
      <c r="E113" s="155"/>
      <c r="F113" s="156">
        <v>200000</v>
      </c>
      <c r="G113" s="156"/>
      <c r="H113" s="156"/>
    </row>
    <row r="114" spans="1:20" s="34" customFormat="1" x14ac:dyDescent="0.35">
      <c r="A114" s="169" t="s">
        <v>53</v>
      </c>
      <c r="B114" s="169"/>
      <c r="C114" s="169"/>
      <c r="D114" s="169"/>
      <c r="E114" s="169"/>
      <c r="F114" s="156">
        <f>F110*0.8</f>
        <v>3640</v>
      </c>
      <c r="G114" s="156"/>
      <c r="H114" s="156"/>
      <c r="K114"/>
    </row>
    <row r="115" spans="1:20" s="35" customFormat="1" x14ac:dyDescent="0.35">
      <c r="A115" s="106" t="s">
        <v>245</v>
      </c>
      <c r="B115" s="106"/>
      <c r="C115" s="106"/>
      <c r="D115" s="106"/>
      <c r="E115" s="106"/>
      <c r="F115" s="106"/>
      <c r="G115" s="106"/>
      <c r="H115" s="106"/>
    </row>
    <row r="116" spans="1:20" s="35" customFormat="1" ht="15.75" customHeight="1" x14ac:dyDescent="0.35">
      <c r="A116" s="108" t="s">
        <v>54</v>
      </c>
      <c r="B116" s="108"/>
      <c r="C116" s="109" t="s">
        <v>77</v>
      </c>
      <c r="D116" s="109"/>
      <c r="E116" s="110" t="s">
        <v>55</v>
      </c>
      <c r="F116" s="110"/>
      <c r="G116" s="108" t="s">
        <v>56</v>
      </c>
      <c r="H116" s="108"/>
    </row>
    <row r="117" spans="1:20" s="35" customFormat="1" x14ac:dyDescent="0.35">
      <c r="A117" s="104" t="s">
        <v>237</v>
      </c>
      <c r="B117" s="104"/>
      <c r="C117" s="105">
        <f>COUNT(F134:F142)</f>
        <v>9</v>
      </c>
      <c r="D117" s="105"/>
      <c r="E117" s="105">
        <f>SUM(F134:F142)</f>
        <v>2358.3923999999997</v>
      </c>
      <c r="F117" s="105"/>
      <c r="G117" s="105">
        <f>SUM(H134:H142)</f>
        <v>3537.5886</v>
      </c>
      <c r="H117" s="105"/>
    </row>
    <row r="118" spans="1:20" s="35" customFormat="1" x14ac:dyDescent="0.35">
      <c r="A118" s="104" t="s">
        <v>239</v>
      </c>
      <c r="B118" s="104"/>
      <c r="C118" s="105">
        <f>COUNT(F145:F153)</f>
        <v>9</v>
      </c>
      <c r="D118" s="105"/>
      <c r="E118" s="105">
        <f>SUM(F145:F153)</f>
        <v>2358.3923999999997</v>
      </c>
      <c r="F118" s="105"/>
      <c r="G118" s="105">
        <f>SUM(H145:H153)</f>
        <v>3537.5886</v>
      </c>
      <c r="H118" s="105"/>
    </row>
    <row r="119" spans="1:20" s="35" customFormat="1" x14ac:dyDescent="0.35">
      <c r="A119" s="106" t="s">
        <v>143</v>
      </c>
      <c r="B119" s="106"/>
      <c r="C119" s="107">
        <f>SUM(C117:C118)</f>
        <v>18</v>
      </c>
      <c r="D119" s="107"/>
      <c r="E119" s="107">
        <f>SUM(E117:E118)</f>
        <v>4716.7847999999994</v>
      </c>
      <c r="F119" s="107"/>
      <c r="G119" s="107">
        <f>SUM(G117:G118)</f>
        <v>7075.1772000000001</v>
      </c>
      <c r="H119" s="107"/>
    </row>
    <row r="120" spans="1:20" s="35" customFormat="1" x14ac:dyDescent="0.35">
      <c r="A120" s="106" t="s">
        <v>246</v>
      </c>
      <c r="B120" s="106"/>
      <c r="C120" s="106"/>
      <c r="D120" s="106"/>
      <c r="E120" s="106"/>
      <c r="F120" s="106"/>
      <c r="G120" s="106"/>
      <c r="H120" s="106"/>
    </row>
    <row r="121" spans="1:20" s="35" customFormat="1" ht="15.75" customHeight="1" x14ac:dyDescent="0.35">
      <c r="A121" s="108" t="s">
        <v>54</v>
      </c>
      <c r="B121" s="108"/>
      <c r="C121" s="109" t="s">
        <v>77</v>
      </c>
      <c r="D121" s="109"/>
      <c r="E121" s="110" t="s">
        <v>55</v>
      </c>
      <c r="F121" s="110"/>
      <c r="G121" s="108" t="s">
        <v>56</v>
      </c>
      <c r="H121" s="108"/>
    </row>
    <row r="122" spans="1:20" s="35" customFormat="1" x14ac:dyDescent="0.35">
      <c r="A122" s="104" t="s">
        <v>237</v>
      </c>
      <c r="B122" s="104"/>
      <c r="C122" s="105">
        <f>COUNT(F161:F165)+COUNT(F167:F171)+COUNT(F173:F182)*6+COUNT(F184:F185,F187:F193)+COUNT(F195:F196,F203:F204)</f>
        <v>83</v>
      </c>
      <c r="D122" s="105"/>
      <c r="E122" s="105">
        <f>SUM(F161:F165)+SUM(F167:F171)+SUM(F173:F182)*6+SUM(F184:F185,F187:F193)+SUM(F195:F196,F203:F204)</f>
        <v>31583.459699999992</v>
      </c>
      <c r="F122" s="105"/>
      <c r="G122" s="105">
        <f>SUM(H161:H165)+SUM(H167:H171)+SUM(H173:H182)*6+SUM(H184:H185,H187:H193)+SUM(H195:H196,H203:H204)</f>
        <v>45796.016564999991</v>
      </c>
      <c r="H122" s="105"/>
    </row>
    <row r="123" spans="1:20" s="35" customFormat="1" x14ac:dyDescent="0.35">
      <c r="A123" s="104" t="s">
        <v>239</v>
      </c>
      <c r="B123" s="104"/>
      <c r="C123" s="105">
        <f>COUNT(F208:F212)+COUNT(F214:F218)+COUNT(F220:F229)*6+COUNT(F231:F232,F234:F240)+COUNT(F244:F247)</f>
        <v>83</v>
      </c>
      <c r="D123" s="105"/>
      <c r="E123" s="105">
        <f>SUM(F208:F212)+SUM(F214:F218)+SUM(F220:F229)*6+SUM(F231:F232,F234:F240)+SUM(F244:F247)</f>
        <v>31583.459699999992</v>
      </c>
      <c r="F123" s="105"/>
      <c r="G123" s="105">
        <f>SUM(H208:H212)+SUM(H214:H218)+SUM(H220:H229)*6+SUM(H231:H232,H234:H240)+SUM(H244:H247)</f>
        <v>45796.016564999991</v>
      </c>
      <c r="H123" s="105"/>
    </row>
    <row r="124" spans="1:20" s="35" customFormat="1" x14ac:dyDescent="0.35">
      <c r="A124" s="104" t="s">
        <v>174</v>
      </c>
      <c r="B124" s="104"/>
      <c r="C124" s="105">
        <f>COUNT(D258:D268)+COUNT(D271:D282)*4+COUNT(D284:D295)*5+COUNT(D297:D305,D307:D308)+COUNT(D310:D318,D320:D321)</f>
        <v>141</v>
      </c>
      <c r="D124" s="105"/>
      <c r="E124" s="105">
        <f t="shared" ref="E124" si="0">SUM(F258:F268)+SUM(F271:F282)*4+SUM(F284:F295)*5+SUM(F297:F305,F307:F308)+SUM(F310:F318,F320:F321)</f>
        <v>51943.996259999993</v>
      </c>
      <c r="F124" s="105"/>
      <c r="G124" s="105">
        <f t="shared" ref="G124" si="1">SUM(H258:H268)+SUM(H271:H282)*4+SUM(H284:H295)*5+SUM(H297:H305,H307:H308)+SUM(H310:H318,H320:H321)</f>
        <v>75318.794576999993</v>
      </c>
      <c r="H124" s="105"/>
    </row>
    <row r="125" spans="1:20" s="35" customFormat="1" x14ac:dyDescent="0.35">
      <c r="A125" s="104" t="s">
        <v>176</v>
      </c>
      <c r="B125" s="104"/>
      <c r="C125" s="105">
        <f>COUNT(D327:D329,D331:D338)+COUNT(D340:D351)*4+COUNT(D353:D364)*5+COUNT(D366:D372,D374:D377)+COUNT(D379:D385,D387:D390)</f>
        <v>141</v>
      </c>
      <c r="D125" s="105"/>
      <c r="E125" s="105">
        <f t="shared" ref="E125" si="2">SUM(F327:F329,F331:F338)+SUM(F340:F351)*4+SUM(F353:F364)*5+SUM(F366:F372,F374:F377)+SUM(F379:F385,F387:F390)</f>
        <v>51916.763339999983</v>
      </c>
      <c r="F125" s="105"/>
      <c r="G125" s="105">
        <f t="shared" ref="G125" si="3">SUM(H327:H329,H331:H338)+SUM(H340:H351)*4+SUM(H353:H364)*5+SUM(H366:H372,H374:H377)+SUM(H379:H385,H387:H390)</f>
        <v>75279.306843000013</v>
      </c>
      <c r="H125" s="105"/>
    </row>
    <row r="126" spans="1:20" s="35" customFormat="1" x14ac:dyDescent="0.35">
      <c r="A126" s="106" t="s">
        <v>143</v>
      </c>
      <c r="B126" s="106"/>
      <c r="C126" s="107">
        <f>SUM(C122:C125)</f>
        <v>448</v>
      </c>
      <c r="D126" s="148"/>
      <c r="E126" s="107">
        <f>SUM(E122:E125)</f>
        <v>167027.67899999995</v>
      </c>
      <c r="F126" s="148"/>
      <c r="G126" s="107">
        <f>SUM(G122:G125)</f>
        <v>242190.13454999996</v>
      </c>
      <c r="H126" s="148"/>
    </row>
    <row r="127" spans="1:20" s="34" customFormat="1" x14ac:dyDescent="0.35">
      <c r="A127" s="150" t="s">
        <v>228</v>
      </c>
      <c r="B127" s="150"/>
      <c r="C127" s="150"/>
      <c r="D127" s="150"/>
      <c r="E127" s="150"/>
      <c r="F127" s="150"/>
      <c r="G127" s="150"/>
      <c r="H127" s="150"/>
      <c r="T127" s="35"/>
    </row>
    <row r="128" spans="1:20" x14ac:dyDescent="0.35">
      <c r="A128" s="151" t="s">
        <v>229</v>
      </c>
      <c r="B128" s="151"/>
      <c r="C128" s="151"/>
      <c r="D128" s="151"/>
      <c r="E128" s="151"/>
      <c r="F128" s="151"/>
      <c r="G128" s="151"/>
      <c r="H128" s="151"/>
      <c r="T128" s="35"/>
    </row>
    <row r="129" spans="1:20" ht="47.25" customHeight="1" x14ac:dyDescent="0.35">
      <c r="A129" s="212" t="s">
        <v>232</v>
      </c>
      <c r="B129" s="212" t="s">
        <v>230</v>
      </c>
      <c r="C129" s="212" t="s">
        <v>57</v>
      </c>
      <c r="D129" s="212" t="s">
        <v>201</v>
      </c>
      <c r="E129" s="214" t="s">
        <v>231</v>
      </c>
      <c r="F129" s="212" t="s">
        <v>58</v>
      </c>
      <c r="G129" s="214" t="s">
        <v>59</v>
      </c>
      <c r="H129" s="65" t="s">
        <v>142</v>
      </c>
      <c r="T129" s="35"/>
    </row>
    <row r="130" spans="1:20" s="62" customFormat="1" x14ac:dyDescent="0.35">
      <c r="A130" s="213"/>
      <c r="B130" s="213"/>
      <c r="C130" s="213"/>
      <c r="D130" s="213"/>
      <c r="E130" s="215"/>
      <c r="F130" s="213"/>
      <c r="G130" s="215"/>
      <c r="H130" s="66">
        <v>0.5</v>
      </c>
      <c r="T130" s="35"/>
    </row>
    <row r="131" spans="1:20" s="62" customFormat="1" x14ac:dyDescent="0.35">
      <c r="A131" s="216" t="s">
        <v>233</v>
      </c>
      <c r="B131" s="217"/>
      <c r="C131" s="217"/>
      <c r="D131" s="217"/>
      <c r="E131" s="217"/>
      <c r="F131" s="217"/>
      <c r="G131" s="217"/>
      <c r="H131" s="218"/>
      <c r="J131" s="36"/>
      <c r="T131" s="35"/>
    </row>
    <row r="132" spans="1:20" s="62" customFormat="1" x14ac:dyDescent="0.35">
      <c r="A132" s="216" t="s">
        <v>234</v>
      </c>
      <c r="B132" s="217"/>
      <c r="C132" s="217"/>
      <c r="D132" s="217"/>
      <c r="E132" s="217"/>
      <c r="F132" s="217"/>
      <c r="G132" s="217"/>
      <c r="H132" s="218"/>
      <c r="J132" s="36"/>
      <c r="T132" s="35"/>
    </row>
    <row r="133" spans="1:20" s="62" customFormat="1" x14ac:dyDescent="0.35">
      <c r="A133" s="216" t="s">
        <v>236</v>
      </c>
      <c r="B133" s="217"/>
      <c r="C133" s="217"/>
      <c r="D133" s="217"/>
      <c r="E133" s="217"/>
      <c r="F133" s="217"/>
      <c r="G133" s="217"/>
      <c r="H133" s="218"/>
      <c r="J133" s="55">
        <v>10.763999999999999</v>
      </c>
      <c r="T133" s="35"/>
    </row>
    <row r="134" spans="1:20" s="62" customFormat="1" ht="15.75" customHeight="1" x14ac:dyDescent="0.35">
      <c r="A134" s="219">
        <v>1</v>
      </c>
      <c r="B134" s="220"/>
      <c r="C134" s="67" t="s">
        <v>235</v>
      </c>
      <c r="D134" s="55">
        <f>(15.72)*10.764</f>
        <v>169.21008</v>
      </c>
      <c r="E134" s="67">
        <v>0</v>
      </c>
      <c r="F134" s="67">
        <f t="shared" ref="F134:F142" si="4">D134+(IF(E134&lt;201,E134,IF(E134&lt;301,E134/2,E134/3)))</f>
        <v>169.21008</v>
      </c>
      <c r="G134" s="67">
        <v>0</v>
      </c>
      <c r="H134" s="67">
        <f>(F134+(IF(G134&lt;101,G134,IF(G134&lt;201,G134/2,IF(G134&lt;=301,G134/3,G134/4)))))*(($H$130)+1)</f>
        <v>253.81512000000001</v>
      </c>
      <c r="I134" s="56">
        <f>2.4*4.9+1.15*1.65+1.1*1.5</f>
        <v>15.307499999999999</v>
      </c>
      <c r="L134" s="111"/>
      <c r="M134" s="111"/>
      <c r="N134" s="36"/>
      <c r="T134" s="35"/>
    </row>
    <row r="135" spans="1:20" s="62" customFormat="1" ht="15.75" customHeight="1" x14ac:dyDescent="0.35">
      <c r="A135" s="219">
        <f t="shared" ref="A135:A142" si="5">A134+1</f>
        <v>2</v>
      </c>
      <c r="B135" s="220"/>
      <c r="C135" s="67" t="s">
        <v>235</v>
      </c>
      <c r="D135" s="55">
        <f>(15.72)*10.764</f>
        <v>169.21008</v>
      </c>
      <c r="E135" s="67">
        <v>0</v>
      </c>
      <c r="F135" s="67">
        <f t="shared" si="4"/>
        <v>169.21008</v>
      </c>
      <c r="G135" s="67">
        <v>0</v>
      </c>
      <c r="H135" s="67">
        <f t="shared" ref="H135:H140" si="6">(F135+(IF(G135&lt;101,G135,IF(G135&lt;201,G135/2,IF(G135&lt;=301,G135/3,G135/4)))))*(($H$130)+1)</f>
        <v>253.81512000000001</v>
      </c>
      <c r="I135" s="56"/>
      <c r="L135" s="111"/>
      <c r="M135" s="111"/>
      <c r="N135" s="36"/>
      <c r="T135" s="34"/>
    </row>
    <row r="136" spans="1:20" s="62" customFormat="1" ht="15.75" customHeight="1" x14ac:dyDescent="0.35">
      <c r="A136" s="219">
        <f t="shared" si="5"/>
        <v>3</v>
      </c>
      <c r="B136" s="220"/>
      <c r="C136" s="67" t="s">
        <v>235</v>
      </c>
      <c r="D136" s="55">
        <f>(18.01)*10.764</f>
        <v>193.85964000000001</v>
      </c>
      <c r="E136" s="67">
        <v>0</v>
      </c>
      <c r="F136" s="67">
        <f t="shared" si="4"/>
        <v>193.85964000000001</v>
      </c>
      <c r="G136" s="67">
        <v>0</v>
      </c>
      <c r="H136" s="67">
        <f t="shared" si="6"/>
        <v>290.78946000000002</v>
      </c>
      <c r="I136" s="56">
        <f>2.75*4.9+1.5*1.65+1.1*1.5</f>
        <v>17.600000000000001</v>
      </c>
      <c r="L136" s="111"/>
      <c r="M136" s="111"/>
      <c r="N136" s="36"/>
      <c r="T136" s="21"/>
    </row>
    <row r="137" spans="1:20" s="62" customFormat="1" ht="15.75" customHeight="1" x14ac:dyDescent="0.35">
      <c r="A137" s="219">
        <f t="shared" si="5"/>
        <v>4</v>
      </c>
      <c r="B137" s="220"/>
      <c r="C137" s="67" t="s">
        <v>235</v>
      </c>
      <c r="D137" s="55">
        <f>(18.01)*10.764</f>
        <v>193.85964000000001</v>
      </c>
      <c r="E137" s="67">
        <v>0</v>
      </c>
      <c r="F137" s="67">
        <f t="shared" si="4"/>
        <v>193.85964000000001</v>
      </c>
      <c r="G137" s="67">
        <v>0</v>
      </c>
      <c r="H137" s="67">
        <f t="shared" si="6"/>
        <v>290.78946000000002</v>
      </c>
      <c r="I137" s="36"/>
      <c r="L137" s="111"/>
      <c r="M137" s="111"/>
      <c r="N137" s="36"/>
      <c r="T137" s="21"/>
    </row>
    <row r="138" spans="1:20" s="62" customFormat="1" ht="15.75" customHeight="1" x14ac:dyDescent="0.35">
      <c r="A138" s="219">
        <f t="shared" si="5"/>
        <v>5</v>
      </c>
      <c r="B138" s="220"/>
      <c r="C138" s="67" t="s">
        <v>235</v>
      </c>
      <c r="D138" s="55">
        <f>(15.72)*10.764</f>
        <v>169.21008</v>
      </c>
      <c r="E138" s="67">
        <v>0</v>
      </c>
      <c r="F138" s="67">
        <f t="shared" si="4"/>
        <v>169.21008</v>
      </c>
      <c r="G138" s="67">
        <v>0</v>
      </c>
      <c r="H138" s="67">
        <f t="shared" si="6"/>
        <v>253.81512000000001</v>
      </c>
      <c r="I138" s="36"/>
      <c r="L138" s="111"/>
      <c r="M138" s="111"/>
      <c r="N138" s="36"/>
      <c r="T138" s="34"/>
    </row>
    <row r="139" spans="1:20" s="62" customFormat="1" ht="15.75" customHeight="1" x14ac:dyDescent="0.35">
      <c r="A139" s="219">
        <f t="shared" si="5"/>
        <v>6</v>
      </c>
      <c r="B139" s="220"/>
      <c r="C139" s="67" t="s">
        <v>235</v>
      </c>
      <c r="D139" s="55">
        <f>(15.72)*10.764</f>
        <v>169.21008</v>
      </c>
      <c r="E139" s="67">
        <v>0</v>
      </c>
      <c r="F139" s="67">
        <f t="shared" si="4"/>
        <v>169.21008</v>
      </c>
      <c r="G139" s="67">
        <v>0</v>
      </c>
      <c r="H139" s="67">
        <f t="shared" si="6"/>
        <v>253.81512000000001</v>
      </c>
      <c r="I139" s="36"/>
      <c r="L139" s="111"/>
      <c r="M139" s="111"/>
      <c r="N139" s="36"/>
      <c r="T139" s="21"/>
    </row>
    <row r="140" spans="1:20" s="62" customFormat="1" ht="15.75" customHeight="1" x14ac:dyDescent="0.35">
      <c r="A140" s="219">
        <f t="shared" si="5"/>
        <v>7</v>
      </c>
      <c r="B140" s="220"/>
      <c r="C140" s="67" t="s">
        <v>235</v>
      </c>
      <c r="D140" s="55">
        <f>(22.61)*10.764</f>
        <v>243.37403999999998</v>
      </c>
      <c r="E140" s="67">
        <v>0</v>
      </c>
      <c r="F140" s="67">
        <f t="shared" si="4"/>
        <v>243.37403999999998</v>
      </c>
      <c r="G140" s="67">
        <v>0</v>
      </c>
      <c r="H140" s="67">
        <f t="shared" si="6"/>
        <v>365.06106</v>
      </c>
      <c r="I140" s="36"/>
      <c r="L140" s="111"/>
      <c r="M140" s="111"/>
      <c r="N140" s="36"/>
      <c r="T140" s="21"/>
    </row>
    <row r="141" spans="1:20" s="62" customFormat="1" ht="15.75" customHeight="1" x14ac:dyDescent="0.35">
      <c r="A141" s="219">
        <f t="shared" si="5"/>
        <v>8</v>
      </c>
      <c r="B141" s="220"/>
      <c r="C141" s="67" t="s">
        <v>235</v>
      </c>
      <c r="D141" s="55">
        <f>(51.03)*10.764</f>
        <v>549.28692000000001</v>
      </c>
      <c r="E141" s="67">
        <v>0</v>
      </c>
      <c r="F141" s="67">
        <f t="shared" si="4"/>
        <v>549.28692000000001</v>
      </c>
      <c r="G141" s="67">
        <v>0</v>
      </c>
      <c r="H141" s="67">
        <f>(F141+(IF(G141&lt;101,G141,IF(G141&lt;201,G141/2,IF(G141&lt;=301,G141/3,G141/4)))))*(($H$130)+1)</f>
        <v>823.93038000000001</v>
      </c>
      <c r="I141" s="36"/>
      <c r="L141" s="111"/>
      <c r="M141" s="111"/>
      <c r="N141" s="36"/>
      <c r="T141" s="21"/>
    </row>
    <row r="142" spans="1:20" s="62" customFormat="1" ht="15.75" customHeight="1" x14ac:dyDescent="0.35">
      <c r="A142" s="219">
        <f t="shared" si="5"/>
        <v>9</v>
      </c>
      <c r="B142" s="220"/>
      <c r="C142" s="67" t="s">
        <v>235</v>
      </c>
      <c r="D142" s="55">
        <f>(46.56)*10.764</f>
        <v>501.17183999999997</v>
      </c>
      <c r="E142" s="67">
        <v>0</v>
      </c>
      <c r="F142" s="67">
        <f t="shared" si="4"/>
        <v>501.17183999999997</v>
      </c>
      <c r="G142" s="67">
        <v>0</v>
      </c>
      <c r="H142" s="67">
        <f>(F142+(IF(G142&lt;101,G142,IF(G142&lt;201,G142/2,IF(G142&lt;=301,G142/3,G142/4)))))*(($H$130)+1)</f>
        <v>751.75775999999996</v>
      </c>
      <c r="I142" s="36"/>
      <c r="L142" s="111"/>
      <c r="M142" s="111"/>
      <c r="N142" s="36"/>
      <c r="T142" s="21"/>
    </row>
    <row r="143" spans="1:20" s="62" customFormat="1" x14ac:dyDescent="0.35">
      <c r="A143" s="221" t="s">
        <v>247</v>
      </c>
      <c r="B143" s="221"/>
      <c r="C143" s="221"/>
      <c r="D143" s="221"/>
      <c r="E143" s="221"/>
      <c r="F143" s="221"/>
      <c r="G143" s="221"/>
      <c r="H143" s="221"/>
      <c r="J143" s="36"/>
      <c r="T143" s="35"/>
    </row>
    <row r="144" spans="1:20" s="62" customFormat="1" x14ac:dyDescent="0.35">
      <c r="A144" s="221" t="s">
        <v>236</v>
      </c>
      <c r="B144" s="221"/>
      <c r="C144" s="221"/>
      <c r="D144" s="221"/>
      <c r="E144" s="221"/>
      <c r="F144" s="221"/>
      <c r="G144" s="221"/>
      <c r="H144" s="221"/>
      <c r="J144" s="36"/>
      <c r="T144" s="35"/>
    </row>
    <row r="145" spans="1:20" s="62" customFormat="1" ht="15.75" customHeight="1" x14ac:dyDescent="0.35">
      <c r="A145" s="222">
        <v>1</v>
      </c>
      <c r="B145" s="222"/>
      <c r="C145" s="67" t="s">
        <v>235</v>
      </c>
      <c r="D145" s="55">
        <f>(15.72)*10.764</f>
        <v>169.21008</v>
      </c>
      <c r="E145" s="67">
        <v>0</v>
      </c>
      <c r="F145" s="67">
        <f t="shared" ref="F145:F153" si="7">D145+(IF(E145&lt;201,E145,IF(E145&lt;301,E145/2,E145/3)))</f>
        <v>169.21008</v>
      </c>
      <c r="G145" s="67">
        <v>0</v>
      </c>
      <c r="H145" s="67">
        <f>(F145+(IF(G145&lt;101,G145,IF(G145&lt;201,G145/2,IF(G145&lt;=301,G145/3,G145/4)))))*(($H$130)+1)</f>
        <v>253.81512000000001</v>
      </c>
      <c r="I145" s="56">
        <f>2.4*4.9+1.15*1.65+1.1*1.5</f>
        <v>15.307499999999999</v>
      </c>
      <c r="L145" s="111"/>
      <c r="M145" s="111"/>
      <c r="N145" s="36"/>
      <c r="T145" s="35"/>
    </row>
    <row r="146" spans="1:20" s="62" customFormat="1" ht="15.75" customHeight="1" x14ac:dyDescent="0.35">
      <c r="A146" s="222">
        <f t="shared" ref="A146:A153" si="8">A145+1</f>
        <v>2</v>
      </c>
      <c r="B146" s="222"/>
      <c r="C146" s="67" t="s">
        <v>235</v>
      </c>
      <c r="D146" s="55">
        <f>(15.72)*10.764</f>
        <v>169.21008</v>
      </c>
      <c r="E146" s="67">
        <v>0</v>
      </c>
      <c r="F146" s="67">
        <f t="shared" si="7"/>
        <v>169.21008</v>
      </c>
      <c r="G146" s="67">
        <v>0</v>
      </c>
      <c r="H146" s="67">
        <f t="shared" ref="H146:H151" si="9">(F146+(IF(G146&lt;101,G146,IF(G146&lt;201,G146/2,IF(G146&lt;=301,G146/3,G146/4)))))*(($H$130)+1)</f>
        <v>253.81512000000001</v>
      </c>
      <c r="I146" s="56"/>
      <c r="L146" s="111"/>
      <c r="M146" s="111"/>
      <c r="N146" s="36"/>
      <c r="T146" s="34"/>
    </row>
    <row r="147" spans="1:20" s="62" customFormat="1" ht="15.75" customHeight="1" x14ac:dyDescent="0.35">
      <c r="A147" s="222">
        <f t="shared" si="8"/>
        <v>3</v>
      </c>
      <c r="B147" s="222"/>
      <c r="C147" s="67" t="s">
        <v>235</v>
      </c>
      <c r="D147" s="55">
        <f>(18.01)*10.764</f>
        <v>193.85964000000001</v>
      </c>
      <c r="E147" s="67">
        <v>0</v>
      </c>
      <c r="F147" s="67">
        <f t="shared" si="7"/>
        <v>193.85964000000001</v>
      </c>
      <c r="G147" s="67">
        <v>0</v>
      </c>
      <c r="H147" s="67">
        <f t="shared" si="9"/>
        <v>290.78946000000002</v>
      </c>
      <c r="I147" s="56">
        <f>2.75*4.9+1.5*1.65+1.1*1.5</f>
        <v>17.600000000000001</v>
      </c>
      <c r="L147" s="111"/>
      <c r="M147" s="111"/>
      <c r="N147" s="36"/>
      <c r="T147" s="21"/>
    </row>
    <row r="148" spans="1:20" s="62" customFormat="1" ht="15.75" customHeight="1" x14ac:dyDescent="0.35">
      <c r="A148" s="222">
        <f t="shared" si="8"/>
        <v>4</v>
      </c>
      <c r="B148" s="222"/>
      <c r="C148" s="67" t="s">
        <v>235</v>
      </c>
      <c r="D148" s="55">
        <f>(18.01)*10.764</f>
        <v>193.85964000000001</v>
      </c>
      <c r="E148" s="67">
        <v>0</v>
      </c>
      <c r="F148" s="67">
        <f t="shared" si="7"/>
        <v>193.85964000000001</v>
      </c>
      <c r="G148" s="67">
        <v>0</v>
      </c>
      <c r="H148" s="67">
        <f t="shared" si="9"/>
        <v>290.78946000000002</v>
      </c>
      <c r="I148" s="36"/>
      <c r="L148" s="111"/>
      <c r="M148" s="111"/>
      <c r="N148" s="36"/>
      <c r="T148" s="21"/>
    </row>
    <row r="149" spans="1:20" s="62" customFormat="1" ht="15.75" customHeight="1" x14ac:dyDescent="0.35">
      <c r="A149" s="222">
        <f t="shared" si="8"/>
        <v>5</v>
      </c>
      <c r="B149" s="222"/>
      <c r="C149" s="67" t="s">
        <v>235</v>
      </c>
      <c r="D149" s="55">
        <f>(15.72)*10.764</f>
        <v>169.21008</v>
      </c>
      <c r="E149" s="67">
        <v>0</v>
      </c>
      <c r="F149" s="67">
        <f t="shared" si="7"/>
        <v>169.21008</v>
      </c>
      <c r="G149" s="67">
        <v>0</v>
      </c>
      <c r="H149" s="67">
        <f t="shared" si="9"/>
        <v>253.81512000000001</v>
      </c>
      <c r="I149" s="36"/>
      <c r="L149" s="111"/>
      <c r="M149" s="111"/>
      <c r="N149" s="36"/>
      <c r="T149" s="34"/>
    </row>
    <row r="150" spans="1:20" s="62" customFormat="1" ht="15.75" customHeight="1" x14ac:dyDescent="0.35">
      <c r="A150" s="222">
        <f t="shared" si="8"/>
        <v>6</v>
      </c>
      <c r="B150" s="222"/>
      <c r="C150" s="67" t="s">
        <v>235</v>
      </c>
      <c r="D150" s="55">
        <f>(15.72)*10.764</f>
        <v>169.21008</v>
      </c>
      <c r="E150" s="67">
        <v>0</v>
      </c>
      <c r="F150" s="67">
        <f t="shared" si="7"/>
        <v>169.21008</v>
      </c>
      <c r="G150" s="67">
        <v>0</v>
      </c>
      <c r="H150" s="67">
        <f t="shared" si="9"/>
        <v>253.81512000000001</v>
      </c>
      <c r="I150" s="36"/>
      <c r="L150" s="111"/>
      <c r="M150" s="111"/>
      <c r="N150" s="36"/>
      <c r="T150" s="21"/>
    </row>
    <row r="151" spans="1:20" s="62" customFormat="1" ht="15.75" customHeight="1" x14ac:dyDescent="0.35">
      <c r="A151" s="222">
        <f t="shared" si="8"/>
        <v>7</v>
      </c>
      <c r="B151" s="222"/>
      <c r="C151" s="67" t="s">
        <v>235</v>
      </c>
      <c r="D151" s="55">
        <f>(22.61)*10.764</f>
        <v>243.37403999999998</v>
      </c>
      <c r="E151" s="67">
        <v>0</v>
      </c>
      <c r="F151" s="67">
        <f t="shared" si="7"/>
        <v>243.37403999999998</v>
      </c>
      <c r="G151" s="67">
        <v>0</v>
      </c>
      <c r="H151" s="67">
        <f t="shared" si="9"/>
        <v>365.06106</v>
      </c>
      <c r="I151" s="36"/>
      <c r="L151" s="111"/>
      <c r="M151" s="111"/>
      <c r="N151" s="36"/>
      <c r="T151" s="21"/>
    </row>
    <row r="152" spans="1:20" s="62" customFormat="1" ht="15.75" customHeight="1" x14ac:dyDescent="0.35">
      <c r="A152" s="222">
        <f t="shared" si="8"/>
        <v>8</v>
      </c>
      <c r="B152" s="222"/>
      <c r="C152" s="67" t="s">
        <v>235</v>
      </c>
      <c r="D152" s="55">
        <f>(51.03)*10.764</f>
        <v>549.28692000000001</v>
      </c>
      <c r="E152" s="67">
        <v>0</v>
      </c>
      <c r="F152" s="67">
        <f t="shared" si="7"/>
        <v>549.28692000000001</v>
      </c>
      <c r="G152" s="67">
        <v>0</v>
      </c>
      <c r="H152" s="67">
        <f>(F152+(IF(G152&lt;101,G152,IF(G152&lt;201,G152/2,IF(G152&lt;=301,G152/3,G152/4)))))*(($H$130)+1)</f>
        <v>823.93038000000001</v>
      </c>
      <c r="I152" s="36"/>
      <c r="L152" s="111"/>
      <c r="M152" s="111"/>
      <c r="N152" s="36"/>
      <c r="T152" s="21"/>
    </row>
    <row r="153" spans="1:20" s="62" customFormat="1" ht="15.75" customHeight="1" x14ac:dyDescent="0.35">
      <c r="A153" s="222">
        <f t="shared" si="8"/>
        <v>9</v>
      </c>
      <c r="B153" s="222"/>
      <c r="C153" s="67" t="s">
        <v>235</v>
      </c>
      <c r="D153" s="55">
        <f>(46.56)*10.764</f>
        <v>501.17183999999997</v>
      </c>
      <c r="E153" s="67">
        <v>0</v>
      </c>
      <c r="F153" s="67">
        <f t="shared" si="7"/>
        <v>501.17183999999997</v>
      </c>
      <c r="G153" s="67">
        <v>0</v>
      </c>
      <c r="H153" s="67">
        <f>(F153+(IF(G153&lt;101,G153,IF(G153&lt;201,G153/2,IF(G153&lt;=301,G153/3,G153/4)))))*(($H$130)+1)</f>
        <v>751.75775999999996</v>
      </c>
      <c r="I153" s="36"/>
      <c r="L153" s="111"/>
      <c r="M153" s="111"/>
      <c r="N153" s="36"/>
      <c r="T153" s="21"/>
    </row>
    <row r="154" spans="1:20" s="62" customFormat="1" x14ac:dyDescent="0.35">
      <c r="A154" s="113"/>
      <c r="B154" s="113"/>
      <c r="C154" s="113"/>
      <c r="D154" s="113"/>
      <c r="E154" s="113"/>
      <c r="F154" s="113"/>
      <c r="G154" s="113"/>
      <c r="H154" s="113"/>
      <c r="I154" s="36"/>
      <c r="N154" s="36"/>
    </row>
    <row r="155" spans="1:20" ht="47.25" customHeight="1" x14ac:dyDescent="0.35">
      <c r="A155" s="144" t="s">
        <v>113</v>
      </c>
      <c r="B155" s="209" t="s">
        <v>254</v>
      </c>
      <c r="C155" s="140" t="s">
        <v>57</v>
      </c>
      <c r="D155" s="209" t="s">
        <v>201</v>
      </c>
      <c r="E155" s="209" t="s">
        <v>205</v>
      </c>
      <c r="F155" s="140" t="s">
        <v>58</v>
      </c>
      <c r="G155" s="142" t="s">
        <v>59</v>
      </c>
      <c r="H155" s="43" t="s">
        <v>142</v>
      </c>
      <c r="I155" s="36"/>
      <c r="T155" s="37"/>
    </row>
    <row r="156" spans="1:20" s="37" customFormat="1" x14ac:dyDescent="0.35">
      <c r="A156" s="146"/>
      <c r="B156" s="210"/>
      <c r="C156" s="141"/>
      <c r="D156" s="210"/>
      <c r="E156" s="210"/>
      <c r="F156" s="141"/>
      <c r="G156" s="143"/>
      <c r="H156" s="59">
        <v>0.45</v>
      </c>
      <c r="I156" s="36"/>
    </row>
    <row r="157" spans="1:20" s="63" customFormat="1" x14ac:dyDescent="0.35">
      <c r="A157" s="112" t="s">
        <v>169</v>
      </c>
      <c r="B157" s="112"/>
      <c r="C157" s="112"/>
      <c r="D157" s="112"/>
      <c r="E157" s="112"/>
      <c r="F157" s="112"/>
      <c r="G157" s="112"/>
      <c r="H157" s="112"/>
      <c r="I157" s="36"/>
      <c r="L157" s="111"/>
      <c r="M157" s="111"/>
    </row>
    <row r="158" spans="1:20" s="63" customFormat="1" x14ac:dyDescent="0.35">
      <c r="A158" s="112" t="s">
        <v>237</v>
      </c>
      <c r="B158" s="112"/>
      <c r="C158" s="112"/>
      <c r="D158" s="112"/>
      <c r="E158" s="112"/>
      <c r="F158" s="112"/>
      <c r="G158" s="112"/>
      <c r="H158" s="112"/>
      <c r="I158" s="36"/>
      <c r="L158" s="111"/>
      <c r="M158" s="111"/>
    </row>
    <row r="159" spans="1:20" s="63" customFormat="1" x14ac:dyDescent="0.35">
      <c r="A159" s="112" t="s">
        <v>196</v>
      </c>
      <c r="B159" s="112"/>
      <c r="C159" s="112"/>
      <c r="D159" s="112"/>
      <c r="E159" s="112"/>
      <c r="F159" s="112"/>
      <c r="G159" s="112"/>
      <c r="H159" s="112"/>
      <c r="I159" s="36"/>
      <c r="L159" s="111"/>
      <c r="M159" s="111"/>
    </row>
    <row r="160" spans="1:20" s="63" customFormat="1" x14ac:dyDescent="0.35">
      <c r="A160" s="112" t="s">
        <v>238</v>
      </c>
      <c r="B160" s="112"/>
      <c r="C160" s="112"/>
      <c r="D160" s="112"/>
      <c r="E160" s="112"/>
      <c r="F160" s="112"/>
      <c r="G160" s="112"/>
      <c r="H160" s="112"/>
      <c r="I160" s="36"/>
      <c r="L160" s="111"/>
      <c r="M160" s="111"/>
    </row>
    <row r="161" spans="1:20" s="63" customFormat="1" ht="32" customHeight="1" x14ac:dyDescent="0.35">
      <c r="A161" s="64" t="s">
        <v>255</v>
      </c>
      <c r="B161" s="64">
        <v>101</v>
      </c>
      <c r="C161" s="64" t="s">
        <v>175</v>
      </c>
      <c r="D161" s="64">
        <f>(29.63)*(10.764)</f>
        <v>318.93731999999994</v>
      </c>
      <c r="E161" s="64">
        <f>(1.5*2.75+0.9*2.05)*(10.764)</f>
        <v>64.261079999999993</v>
      </c>
      <c r="F161" s="64">
        <f>D161+E161</f>
        <v>383.19839999999994</v>
      </c>
      <c r="G161" s="64">
        <v>0</v>
      </c>
      <c r="H161" s="64">
        <f t="shared" ref="H161:H212" si="10">F161*(($H$156)+1)+(IF(G161&lt;101,G161,IF(G161&lt;201,G161/2,IF(G161&lt;=301,G161/3,G161/4))))</f>
        <v>555.63767999999993</v>
      </c>
      <c r="I161" s="36">
        <f>2.75*3.35+2.05*2.59+2.75*2.9+1.2*1.8+1.2*1.72+1.32*0.55+0.7*0.55</f>
        <v>27.832000000000001</v>
      </c>
      <c r="J161" s="63">
        <f>1.5*2.75</f>
        <v>4.125</v>
      </c>
      <c r="K161" s="63">
        <f>0.9*2.05</f>
        <v>1.845</v>
      </c>
      <c r="L161" s="111"/>
      <c r="M161" s="111"/>
      <c r="N161" s="36"/>
    </row>
    <row r="162" spans="1:20" s="63" customFormat="1" ht="31" customHeight="1" x14ac:dyDescent="0.35">
      <c r="A162" s="64" t="s">
        <v>256</v>
      </c>
      <c r="B162" s="64">
        <f>B161+1</f>
        <v>102</v>
      </c>
      <c r="C162" s="64" t="s">
        <v>175</v>
      </c>
      <c r="D162" s="64">
        <f t="shared" ref="D162:D212" si="11">(29.63)*(10.764)</f>
        <v>318.93731999999994</v>
      </c>
      <c r="E162" s="64">
        <f t="shared" ref="E162:E212" si="12">(1.5*2.75+0.9*2.05)*(10.764)</f>
        <v>64.261079999999993</v>
      </c>
      <c r="F162" s="64">
        <f>D162+E162</f>
        <v>383.19839999999994</v>
      </c>
      <c r="G162" s="64">
        <v>0</v>
      </c>
      <c r="H162" s="64">
        <f t="shared" si="10"/>
        <v>555.63767999999993</v>
      </c>
      <c r="I162" s="36"/>
      <c r="L162" s="111"/>
      <c r="M162" s="111"/>
      <c r="N162" s="36"/>
    </row>
    <row r="163" spans="1:20" s="63" customFormat="1" ht="31.5" customHeight="1" x14ac:dyDescent="0.35">
      <c r="A163" s="72" t="s">
        <v>257</v>
      </c>
      <c r="B163" s="72">
        <f t="shared" ref="B163:B165" si="13">B162+1</f>
        <v>103</v>
      </c>
      <c r="C163" s="64" t="s">
        <v>175</v>
      </c>
      <c r="D163" s="64">
        <f t="shared" si="11"/>
        <v>318.93731999999994</v>
      </c>
      <c r="E163" s="64">
        <f t="shared" si="12"/>
        <v>64.261079999999993</v>
      </c>
      <c r="F163" s="64">
        <f>D163+E163</f>
        <v>383.19839999999994</v>
      </c>
      <c r="G163" s="64">
        <v>0</v>
      </c>
      <c r="H163" s="64">
        <f t="shared" si="10"/>
        <v>555.63767999999993</v>
      </c>
      <c r="I163" s="36"/>
      <c r="L163" s="111"/>
      <c r="M163" s="111"/>
      <c r="N163" s="36"/>
    </row>
    <row r="164" spans="1:20" s="63" customFormat="1" ht="32" customHeight="1" x14ac:dyDescent="0.35">
      <c r="A164" s="72" t="s">
        <v>258</v>
      </c>
      <c r="B164" s="72">
        <f t="shared" si="13"/>
        <v>104</v>
      </c>
      <c r="C164" s="64" t="s">
        <v>175</v>
      </c>
      <c r="D164" s="64">
        <f t="shared" si="11"/>
        <v>318.93731999999994</v>
      </c>
      <c r="E164" s="64">
        <f t="shared" si="12"/>
        <v>64.261079999999993</v>
      </c>
      <c r="F164" s="64">
        <f>D164+E164</f>
        <v>383.19839999999994</v>
      </c>
      <c r="G164" s="64">
        <v>0</v>
      </c>
      <c r="H164" s="64">
        <f t="shared" si="10"/>
        <v>555.63767999999993</v>
      </c>
      <c r="I164" s="36"/>
      <c r="L164" s="111"/>
      <c r="M164" s="111"/>
      <c r="N164" s="36"/>
      <c r="T164" s="21"/>
    </row>
    <row r="165" spans="1:20" s="63" customFormat="1" ht="32" customHeight="1" x14ac:dyDescent="0.35">
      <c r="A165" s="72" t="s">
        <v>259</v>
      </c>
      <c r="B165" s="72">
        <f t="shared" si="13"/>
        <v>105</v>
      </c>
      <c r="C165" s="64" t="s">
        <v>175</v>
      </c>
      <c r="D165" s="64">
        <f t="shared" si="11"/>
        <v>318.93731999999994</v>
      </c>
      <c r="E165" s="64">
        <f t="shared" si="12"/>
        <v>64.261079999999993</v>
      </c>
      <c r="F165" s="64">
        <f t="shared" ref="F165:F212" si="14">D165+E165</f>
        <v>383.19839999999994</v>
      </c>
      <c r="G165" s="64">
        <v>0</v>
      </c>
      <c r="H165" s="64">
        <f t="shared" si="10"/>
        <v>555.63767999999993</v>
      </c>
      <c r="I165" s="36"/>
      <c r="L165" s="111"/>
      <c r="M165" s="111"/>
      <c r="N165" s="36"/>
      <c r="T165" s="21"/>
    </row>
    <row r="166" spans="1:20" s="63" customFormat="1" x14ac:dyDescent="0.35">
      <c r="A166" s="112" t="s">
        <v>240</v>
      </c>
      <c r="B166" s="112"/>
      <c r="C166" s="112"/>
      <c r="D166" s="112"/>
      <c r="E166" s="112"/>
      <c r="F166" s="112"/>
      <c r="G166" s="112"/>
      <c r="H166" s="112"/>
      <c r="I166" s="36"/>
      <c r="L166" s="111"/>
      <c r="M166" s="111"/>
    </row>
    <row r="167" spans="1:20" s="63" customFormat="1" ht="31.5" customHeight="1" x14ac:dyDescent="0.35">
      <c r="A167" s="72" t="s">
        <v>255</v>
      </c>
      <c r="B167" s="64">
        <v>201</v>
      </c>
      <c r="C167" s="64" t="s">
        <v>175</v>
      </c>
      <c r="D167" s="64">
        <f>(29.63)*(10.764)</f>
        <v>318.93731999999994</v>
      </c>
      <c r="E167" s="64">
        <f>(0.9*2.05)*(10.764)</f>
        <v>19.859579999999998</v>
      </c>
      <c r="F167" s="64">
        <f>D167+E167</f>
        <v>338.79689999999994</v>
      </c>
      <c r="G167" s="64">
        <v>0</v>
      </c>
      <c r="H167" s="64">
        <f t="shared" ref="H167:H171" si="15">F167*(($H$156)+1)+(IF(G167&lt;101,G167,IF(G167&lt;201,G167/2,IF(G167&lt;=301,G167/3,G167/4))))</f>
        <v>491.25550499999991</v>
      </c>
      <c r="I167" s="36">
        <f>2.75*3.35+2.05*2.59+2.75*2.9+1.2*1.8+1.2*1.72+1.32*0.55+0.7*0.55</f>
        <v>27.832000000000001</v>
      </c>
      <c r="J167" s="63">
        <f>1.5*2.75</f>
        <v>4.125</v>
      </c>
      <c r="K167" s="63">
        <f>0.9*2.05</f>
        <v>1.845</v>
      </c>
      <c r="L167" s="111"/>
      <c r="M167" s="111"/>
      <c r="N167" s="36"/>
    </row>
    <row r="168" spans="1:20" s="63" customFormat="1" ht="32.5" customHeight="1" x14ac:dyDescent="0.35">
      <c r="A168" s="72" t="s">
        <v>256</v>
      </c>
      <c r="B168" s="64">
        <f>B167+1</f>
        <v>202</v>
      </c>
      <c r="C168" s="64" t="s">
        <v>175</v>
      </c>
      <c r="D168" s="64">
        <f t="shared" ref="D168:D171" si="16">(29.63)*(10.764)</f>
        <v>318.93731999999994</v>
      </c>
      <c r="E168" s="64">
        <f t="shared" ref="E168:E171" si="17">(0.9*2.05)*(10.764)</f>
        <v>19.859579999999998</v>
      </c>
      <c r="F168" s="64">
        <f>D168+E168</f>
        <v>338.79689999999994</v>
      </c>
      <c r="G168" s="64">
        <v>0</v>
      </c>
      <c r="H168" s="64">
        <f t="shared" si="15"/>
        <v>491.25550499999991</v>
      </c>
      <c r="I168" s="36"/>
      <c r="L168" s="111"/>
      <c r="M168" s="111"/>
      <c r="N168" s="36"/>
    </row>
    <row r="169" spans="1:20" s="63" customFormat="1" ht="31" customHeight="1" x14ac:dyDescent="0.35">
      <c r="A169" s="72" t="s">
        <v>257</v>
      </c>
      <c r="B169" s="72">
        <f t="shared" ref="B169:B171" si="18">B168+1</f>
        <v>203</v>
      </c>
      <c r="C169" s="64" t="s">
        <v>175</v>
      </c>
      <c r="D169" s="64">
        <f t="shared" si="16"/>
        <v>318.93731999999994</v>
      </c>
      <c r="E169" s="64">
        <f t="shared" si="17"/>
        <v>19.859579999999998</v>
      </c>
      <c r="F169" s="64">
        <f>D169+E169</f>
        <v>338.79689999999994</v>
      </c>
      <c r="G169" s="64">
        <v>0</v>
      </c>
      <c r="H169" s="64">
        <f t="shared" si="15"/>
        <v>491.25550499999991</v>
      </c>
      <c r="I169" s="36"/>
      <c r="L169" s="111"/>
      <c r="M169" s="111"/>
      <c r="N169" s="36"/>
    </row>
    <row r="170" spans="1:20" s="63" customFormat="1" ht="30" customHeight="1" x14ac:dyDescent="0.35">
      <c r="A170" s="72" t="s">
        <v>258</v>
      </c>
      <c r="B170" s="72">
        <f t="shared" si="18"/>
        <v>204</v>
      </c>
      <c r="C170" s="64" t="s">
        <v>175</v>
      </c>
      <c r="D170" s="64">
        <f t="shared" si="16"/>
        <v>318.93731999999994</v>
      </c>
      <c r="E170" s="64">
        <f t="shared" si="17"/>
        <v>19.859579999999998</v>
      </c>
      <c r="F170" s="64">
        <f>D170+E170</f>
        <v>338.79689999999994</v>
      </c>
      <c r="G170" s="64">
        <v>0</v>
      </c>
      <c r="H170" s="64">
        <f t="shared" si="15"/>
        <v>491.25550499999991</v>
      </c>
      <c r="I170" s="36"/>
      <c r="L170" s="111"/>
      <c r="M170" s="111"/>
      <c r="N170" s="36"/>
      <c r="T170" s="21"/>
    </row>
    <row r="171" spans="1:20" s="63" customFormat="1" ht="31.5" customHeight="1" x14ac:dyDescent="0.35">
      <c r="A171" s="72" t="s">
        <v>259</v>
      </c>
      <c r="B171" s="72">
        <f t="shared" si="18"/>
        <v>205</v>
      </c>
      <c r="C171" s="64" t="s">
        <v>175</v>
      </c>
      <c r="D171" s="64">
        <f t="shared" si="16"/>
        <v>318.93731999999994</v>
      </c>
      <c r="E171" s="64">
        <f t="shared" si="17"/>
        <v>19.859579999999998</v>
      </c>
      <c r="F171" s="64">
        <f t="shared" ref="F171" si="19">D171+E171</f>
        <v>338.79689999999994</v>
      </c>
      <c r="G171" s="64">
        <v>0</v>
      </c>
      <c r="H171" s="64">
        <f t="shared" si="15"/>
        <v>491.25550499999991</v>
      </c>
      <c r="I171" s="36"/>
      <c r="L171" s="111"/>
      <c r="M171" s="111"/>
      <c r="N171" s="36"/>
      <c r="T171" s="21"/>
    </row>
    <row r="172" spans="1:20" s="63" customFormat="1" x14ac:dyDescent="0.35">
      <c r="A172" s="112" t="s">
        <v>241</v>
      </c>
      <c r="B172" s="112"/>
      <c r="C172" s="112"/>
      <c r="D172" s="112"/>
      <c r="E172" s="112"/>
      <c r="F172" s="112"/>
      <c r="G172" s="112"/>
      <c r="H172" s="112"/>
      <c r="I172" s="36"/>
      <c r="L172" s="111"/>
      <c r="M172" s="111"/>
    </row>
    <row r="173" spans="1:20" s="63" customFormat="1" ht="32" customHeight="1" x14ac:dyDescent="0.35">
      <c r="A173" s="72" t="s">
        <v>255</v>
      </c>
      <c r="B173" s="64" t="s">
        <v>275</v>
      </c>
      <c r="C173" s="64" t="s">
        <v>175</v>
      </c>
      <c r="D173" s="64">
        <f>(29.63)*(10.764)</f>
        <v>318.93731999999994</v>
      </c>
      <c r="E173" s="64">
        <f t="shared" ref="E173:E182" si="20">(1.5*2.75+0.9*2.05)*(10.764)</f>
        <v>64.261079999999993</v>
      </c>
      <c r="F173" s="64">
        <f>D173+E173</f>
        <v>383.19839999999994</v>
      </c>
      <c r="G173" s="64">
        <v>0</v>
      </c>
      <c r="H173" s="64">
        <f t="shared" ref="H173:H182" si="21">F173*(($H$156)+1)+(IF(G173&lt;101,G173,IF(G173&lt;201,G173/2,IF(G173&lt;=301,G173/3,G173/4))))</f>
        <v>555.63767999999993</v>
      </c>
      <c r="I173" s="36">
        <f>2.75*3.35+2.05*2.59+2.75*2.9+1.2*1.8+1.2*1.72+1.32*0.55+0.7*0.55</f>
        <v>27.832000000000001</v>
      </c>
      <c r="J173" s="63">
        <f>1.5*2.75</f>
        <v>4.125</v>
      </c>
      <c r="K173" s="63">
        <f>0.9*2.05</f>
        <v>1.845</v>
      </c>
      <c r="L173" s="111"/>
      <c r="M173" s="111"/>
      <c r="N173" s="36"/>
    </row>
    <row r="174" spans="1:20" s="63" customFormat="1" ht="32.5" customHeight="1" x14ac:dyDescent="0.35">
      <c r="A174" s="72" t="s">
        <v>256</v>
      </c>
      <c r="B174" s="72" t="s">
        <v>276</v>
      </c>
      <c r="C174" s="64" t="s">
        <v>175</v>
      </c>
      <c r="D174" s="64">
        <f t="shared" ref="D174:D182" si="22">(29.63)*(10.764)</f>
        <v>318.93731999999994</v>
      </c>
      <c r="E174" s="64">
        <f t="shared" si="20"/>
        <v>64.261079999999993</v>
      </c>
      <c r="F174" s="64">
        <f>D174+E174</f>
        <v>383.19839999999994</v>
      </c>
      <c r="G174" s="64">
        <v>0</v>
      </c>
      <c r="H174" s="64">
        <f t="shared" si="21"/>
        <v>555.63767999999993</v>
      </c>
      <c r="I174" s="36"/>
      <c r="L174" s="111"/>
      <c r="M174" s="111"/>
      <c r="N174" s="36"/>
    </row>
    <row r="175" spans="1:20" s="63" customFormat="1" ht="30.5" customHeight="1" x14ac:dyDescent="0.35">
      <c r="A175" s="72" t="s">
        <v>257</v>
      </c>
      <c r="B175" s="72" t="s">
        <v>277</v>
      </c>
      <c r="C175" s="64" t="s">
        <v>175</v>
      </c>
      <c r="D175" s="64">
        <f t="shared" si="22"/>
        <v>318.93731999999994</v>
      </c>
      <c r="E175" s="64">
        <f t="shared" si="20"/>
        <v>64.261079999999993</v>
      </c>
      <c r="F175" s="64">
        <f>D175+E175</f>
        <v>383.19839999999994</v>
      </c>
      <c r="G175" s="64">
        <v>0</v>
      </c>
      <c r="H175" s="64">
        <f t="shared" si="21"/>
        <v>555.63767999999993</v>
      </c>
      <c r="I175" s="36"/>
      <c r="L175" s="111"/>
      <c r="M175" s="111"/>
      <c r="N175" s="36"/>
    </row>
    <row r="176" spans="1:20" s="63" customFormat="1" ht="31.5" customHeight="1" x14ac:dyDescent="0.35">
      <c r="A176" s="72" t="s">
        <v>258</v>
      </c>
      <c r="B176" s="72" t="s">
        <v>278</v>
      </c>
      <c r="C176" s="64" t="s">
        <v>175</v>
      </c>
      <c r="D176" s="64">
        <f t="shared" si="22"/>
        <v>318.93731999999994</v>
      </c>
      <c r="E176" s="64">
        <f t="shared" si="20"/>
        <v>64.261079999999993</v>
      </c>
      <c r="F176" s="64">
        <f>D176+E176</f>
        <v>383.19839999999994</v>
      </c>
      <c r="G176" s="64">
        <v>0</v>
      </c>
      <c r="H176" s="64">
        <f t="shared" si="21"/>
        <v>555.63767999999993</v>
      </c>
      <c r="I176" s="36"/>
      <c r="L176" s="111"/>
      <c r="M176" s="111"/>
      <c r="N176" s="36"/>
      <c r="T176" s="21"/>
    </row>
    <row r="177" spans="1:20" s="63" customFormat="1" ht="31.5" customHeight="1" x14ac:dyDescent="0.35">
      <c r="A177" s="72" t="s">
        <v>259</v>
      </c>
      <c r="B177" s="72" t="s">
        <v>279</v>
      </c>
      <c r="C177" s="64" t="s">
        <v>175</v>
      </c>
      <c r="D177" s="64">
        <f t="shared" si="22"/>
        <v>318.93731999999994</v>
      </c>
      <c r="E177" s="64">
        <f t="shared" si="20"/>
        <v>64.261079999999993</v>
      </c>
      <c r="F177" s="64">
        <f t="shared" ref="F177" si="23">D177+E177</f>
        <v>383.19839999999994</v>
      </c>
      <c r="G177" s="64">
        <v>0</v>
      </c>
      <c r="H177" s="64">
        <f t="shared" si="21"/>
        <v>555.63767999999993</v>
      </c>
      <c r="I177" s="36"/>
      <c r="L177" s="111"/>
      <c r="M177" s="111"/>
      <c r="N177" s="36"/>
      <c r="T177" s="21"/>
    </row>
    <row r="178" spans="1:20" s="63" customFormat="1" ht="32" customHeight="1" x14ac:dyDescent="0.35">
      <c r="A178" s="64" t="s">
        <v>260</v>
      </c>
      <c r="B178" s="72" t="s">
        <v>280</v>
      </c>
      <c r="C178" s="64" t="s">
        <v>175</v>
      </c>
      <c r="D178" s="64">
        <f t="shared" si="22"/>
        <v>318.93731999999994</v>
      </c>
      <c r="E178" s="64">
        <f t="shared" si="20"/>
        <v>64.261079999999993</v>
      </c>
      <c r="F178" s="64">
        <f>D178+E178</f>
        <v>383.19839999999994</v>
      </c>
      <c r="G178" s="64">
        <v>0</v>
      </c>
      <c r="H178" s="64">
        <f t="shared" si="21"/>
        <v>555.63767999999993</v>
      </c>
      <c r="I178" s="36"/>
      <c r="L178" s="111"/>
      <c r="M178" s="111"/>
      <c r="N178" s="36"/>
    </row>
    <row r="179" spans="1:20" s="63" customFormat="1" ht="31" customHeight="1" x14ac:dyDescent="0.35">
      <c r="A179" s="64" t="s">
        <v>261</v>
      </c>
      <c r="B179" s="72" t="s">
        <v>281</v>
      </c>
      <c r="C179" s="64" t="s">
        <v>175</v>
      </c>
      <c r="D179" s="64">
        <f t="shared" si="22"/>
        <v>318.93731999999994</v>
      </c>
      <c r="E179" s="64">
        <f t="shared" si="20"/>
        <v>64.261079999999993</v>
      </c>
      <c r="F179" s="64">
        <f>D179+E179</f>
        <v>383.19839999999994</v>
      </c>
      <c r="G179" s="64">
        <v>0</v>
      </c>
      <c r="H179" s="64">
        <f t="shared" si="21"/>
        <v>555.63767999999993</v>
      </c>
      <c r="I179" s="36"/>
      <c r="N179" s="36"/>
    </row>
    <row r="180" spans="1:20" s="63" customFormat="1" ht="31.5" customHeight="1" x14ac:dyDescent="0.35">
      <c r="A180" s="64" t="s">
        <v>262</v>
      </c>
      <c r="B180" s="72" t="s">
        <v>282</v>
      </c>
      <c r="C180" s="64" t="s">
        <v>175</v>
      </c>
      <c r="D180" s="64">
        <f t="shared" si="22"/>
        <v>318.93731999999994</v>
      </c>
      <c r="E180" s="64">
        <f t="shared" si="20"/>
        <v>64.261079999999993</v>
      </c>
      <c r="F180" s="64">
        <f>D180+E180</f>
        <v>383.19839999999994</v>
      </c>
      <c r="G180" s="64">
        <v>0</v>
      </c>
      <c r="H180" s="64">
        <f t="shared" si="21"/>
        <v>555.63767999999993</v>
      </c>
      <c r="I180" s="36"/>
      <c r="L180" s="111"/>
      <c r="M180" s="111"/>
      <c r="N180" s="36"/>
      <c r="T180" s="21"/>
    </row>
    <row r="181" spans="1:20" s="63" customFormat="1" ht="31" customHeight="1" x14ac:dyDescent="0.35">
      <c r="A181" s="64" t="s">
        <v>263</v>
      </c>
      <c r="B181" s="72" t="s">
        <v>283</v>
      </c>
      <c r="C181" s="64" t="s">
        <v>175</v>
      </c>
      <c r="D181" s="64">
        <f t="shared" si="22"/>
        <v>318.93731999999994</v>
      </c>
      <c r="E181" s="64">
        <f t="shared" si="20"/>
        <v>64.261079999999993</v>
      </c>
      <c r="F181" s="64">
        <f t="shared" ref="F181:F182" si="24">D181+E181</f>
        <v>383.19839999999994</v>
      </c>
      <c r="G181" s="64">
        <v>0</v>
      </c>
      <c r="H181" s="64">
        <f t="shared" si="21"/>
        <v>555.63767999999993</v>
      </c>
      <c r="I181" s="36"/>
      <c r="L181" s="111"/>
      <c r="M181" s="111"/>
      <c r="N181" s="36"/>
      <c r="T181" s="21"/>
    </row>
    <row r="182" spans="1:20" s="63" customFormat="1" ht="32" customHeight="1" x14ac:dyDescent="0.35">
      <c r="A182" s="64" t="s">
        <v>264</v>
      </c>
      <c r="B182" s="72" t="s">
        <v>284</v>
      </c>
      <c r="C182" s="64" t="s">
        <v>175</v>
      </c>
      <c r="D182" s="64">
        <f t="shared" si="22"/>
        <v>318.93731999999994</v>
      </c>
      <c r="E182" s="64">
        <f t="shared" si="20"/>
        <v>64.261079999999993</v>
      </c>
      <c r="F182" s="64">
        <f t="shared" si="24"/>
        <v>383.19839999999994</v>
      </c>
      <c r="G182" s="64">
        <v>0</v>
      </c>
      <c r="H182" s="64">
        <f t="shared" si="21"/>
        <v>555.63767999999993</v>
      </c>
      <c r="I182" s="36"/>
      <c r="L182" s="111"/>
      <c r="M182" s="111"/>
      <c r="N182" s="36"/>
      <c r="T182" s="21"/>
    </row>
    <row r="183" spans="1:20" s="63" customFormat="1" x14ac:dyDescent="0.35">
      <c r="A183" s="112" t="s">
        <v>242</v>
      </c>
      <c r="B183" s="112"/>
      <c r="C183" s="112"/>
      <c r="D183" s="112"/>
      <c r="E183" s="112"/>
      <c r="F183" s="112"/>
      <c r="G183" s="112"/>
      <c r="H183" s="112"/>
      <c r="I183" s="36"/>
      <c r="L183" s="111"/>
      <c r="M183" s="111"/>
    </row>
    <row r="184" spans="1:20" s="63" customFormat="1" ht="33" customHeight="1" x14ac:dyDescent="0.35">
      <c r="A184" s="72" t="s">
        <v>255</v>
      </c>
      <c r="B184" s="64">
        <v>701</v>
      </c>
      <c r="C184" s="64" t="s">
        <v>175</v>
      </c>
      <c r="D184" s="64">
        <f>(29.63)*(10.764)</f>
        <v>318.93731999999994</v>
      </c>
      <c r="E184" s="64">
        <f t="shared" ref="E184:E193" si="25">(1.5*2.75+0.9*2.05)*(10.764)</f>
        <v>64.261079999999993</v>
      </c>
      <c r="F184" s="64">
        <f>D184+E184</f>
        <v>383.19839999999994</v>
      </c>
      <c r="G184" s="64">
        <v>0</v>
      </c>
      <c r="H184" s="64">
        <f t="shared" ref="H184:H185" si="26">F184*(($H$156)+1)+(IF(G184&lt;101,G184,IF(G184&lt;201,G184/2,IF(G184&lt;=301,G184/3,G184/4))))</f>
        <v>555.63767999999993</v>
      </c>
      <c r="I184" s="36">
        <f>2.75*3.35+2.05*2.59+2.75*2.9+1.2*1.8+1.2*1.72+1.32*0.55+0.7*0.55</f>
        <v>27.832000000000001</v>
      </c>
      <c r="J184" s="63">
        <f>1.5*2.75</f>
        <v>4.125</v>
      </c>
      <c r="K184" s="63">
        <f>0.9*2.05</f>
        <v>1.845</v>
      </c>
      <c r="L184" s="111"/>
      <c r="M184" s="111"/>
      <c r="N184" s="36"/>
    </row>
    <row r="185" spans="1:20" s="63" customFormat="1" ht="30.5" customHeight="1" x14ac:dyDescent="0.35">
      <c r="A185" s="72" t="s">
        <v>256</v>
      </c>
      <c r="B185" s="64">
        <v>702</v>
      </c>
      <c r="C185" s="64" t="s">
        <v>175</v>
      </c>
      <c r="D185" s="64">
        <f t="shared" ref="D185:D193" si="27">(29.63)*(10.764)</f>
        <v>318.93731999999994</v>
      </c>
      <c r="E185" s="64">
        <f t="shared" si="25"/>
        <v>64.261079999999993</v>
      </c>
      <c r="F185" s="64">
        <f>D185+E185</f>
        <v>383.19839999999994</v>
      </c>
      <c r="G185" s="64">
        <v>0</v>
      </c>
      <c r="H185" s="64">
        <f t="shared" si="26"/>
        <v>555.63767999999993</v>
      </c>
      <c r="I185" s="36"/>
      <c r="L185" s="111"/>
      <c r="M185" s="111"/>
      <c r="N185" s="36"/>
    </row>
    <row r="186" spans="1:20" s="63" customFormat="1" ht="15.75" customHeight="1" x14ac:dyDescent="0.35">
      <c r="A186" s="68" t="s">
        <v>212</v>
      </c>
      <c r="B186" s="68" t="s">
        <v>212</v>
      </c>
      <c r="C186" s="113" t="s">
        <v>180</v>
      </c>
      <c r="D186" s="113"/>
      <c r="E186" s="113"/>
      <c r="F186" s="113"/>
      <c r="G186" s="113"/>
      <c r="H186" s="68" t="s">
        <v>212</v>
      </c>
      <c r="I186" s="36"/>
      <c r="L186" s="111"/>
      <c r="M186" s="111"/>
      <c r="N186" s="36"/>
    </row>
    <row r="187" spans="1:20" s="63" customFormat="1" ht="32" customHeight="1" x14ac:dyDescent="0.35">
      <c r="A187" s="72" t="s">
        <v>257</v>
      </c>
      <c r="B187" s="68">
        <v>704</v>
      </c>
      <c r="C187" s="68" t="s">
        <v>175</v>
      </c>
      <c r="D187" s="68">
        <f t="shared" si="27"/>
        <v>318.93731999999994</v>
      </c>
      <c r="E187" s="68">
        <f t="shared" si="25"/>
        <v>64.261079999999993</v>
      </c>
      <c r="F187" s="68">
        <f>D187+E187</f>
        <v>383.19839999999994</v>
      </c>
      <c r="G187" s="68">
        <v>0</v>
      </c>
      <c r="H187" s="68">
        <f t="shared" ref="H187:H193" si="28">F187*(($H$156)+1)+(IF(G187&lt;101,G187,IF(G187&lt;201,G187/2,IF(G187&lt;=301,G187/3,G187/4))))</f>
        <v>555.63767999999993</v>
      </c>
      <c r="I187" s="36"/>
      <c r="L187" s="111"/>
      <c r="M187" s="111"/>
      <c r="N187" s="36"/>
      <c r="T187" s="21"/>
    </row>
    <row r="188" spans="1:20" s="63" customFormat="1" ht="32.5" customHeight="1" x14ac:dyDescent="0.35">
      <c r="A188" s="68" t="s">
        <v>258</v>
      </c>
      <c r="B188" s="72">
        <v>705</v>
      </c>
      <c r="C188" s="68" t="s">
        <v>175</v>
      </c>
      <c r="D188" s="68">
        <f t="shared" si="27"/>
        <v>318.93731999999994</v>
      </c>
      <c r="E188" s="68">
        <f t="shared" si="25"/>
        <v>64.261079999999993</v>
      </c>
      <c r="F188" s="68">
        <f t="shared" ref="F188" si="29">D188+E188</f>
        <v>383.19839999999994</v>
      </c>
      <c r="G188" s="68">
        <v>0</v>
      </c>
      <c r="H188" s="68">
        <f t="shared" si="28"/>
        <v>555.63767999999993</v>
      </c>
      <c r="I188" s="36"/>
      <c r="L188" s="111"/>
      <c r="M188" s="111"/>
      <c r="N188" s="36"/>
      <c r="T188" s="21"/>
    </row>
    <row r="189" spans="1:20" s="63" customFormat="1" ht="32" customHeight="1" x14ac:dyDescent="0.35">
      <c r="A189" s="68" t="s">
        <v>265</v>
      </c>
      <c r="B189" s="72">
        <v>706</v>
      </c>
      <c r="C189" s="68" t="s">
        <v>175</v>
      </c>
      <c r="D189" s="68">
        <f t="shared" si="27"/>
        <v>318.93731999999994</v>
      </c>
      <c r="E189" s="68">
        <f t="shared" si="25"/>
        <v>64.261079999999993</v>
      </c>
      <c r="F189" s="68">
        <f>D189+E189</f>
        <v>383.19839999999994</v>
      </c>
      <c r="G189" s="68">
        <v>0</v>
      </c>
      <c r="H189" s="68">
        <f t="shared" si="28"/>
        <v>555.63767999999993</v>
      </c>
      <c r="I189" s="36"/>
      <c r="L189" s="111"/>
      <c r="M189" s="111"/>
      <c r="N189" s="36"/>
    </row>
    <row r="190" spans="1:20" s="63" customFormat="1" ht="32" customHeight="1" x14ac:dyDescent="0.35">
      <c r="A190" s="68" t="s">
        <v>266</v>
      </c>
      <c r="B190" s="72">
        <v>707</v>
      </c>
      <c r="C190" s="68" t="s">
        <v>175</v>
      </c>
      <c r="D190" s="68">
        <f t="shared" si="27"/>
        <v>318.93731999999994</v>
      </c>
      <c r="E190" s="68">
        <f t="shared" si="25"/>
        <v>64.261079999999993</v>
      </c>
      <c r="F190" s="68">
        <f>D190+E190</f>
        <v>383.19839999999994</v>
      </c>
      <c r="G190" s="68">
        <v>0</v>
      </c>
      <c r="H190" s="68">
        <f t="shared" si="28"/>
        <v>555.63767999999993</v>
      </c>
      <c r="I190" s="36"/>
      <c r="N190" s="36"/>
    </row>
    <row r="191" spans="1:20" s="63" customFormat="1" ht="30" customHeight="1" x14ac:dyDescent="0.35">
      <c r="A191" s="72" t="s">
        <v>260</v>
      </c>
      <c r="B191" s="72">
        <v>708</v>
      </c>
      <c r="C191" s="68" t="s">
        <v>175</v>
      </c>
      <c r="D191" s="68">
        <f t="shared" si="27"/>
        <v>318.93731999999994</v>
      </c>
      <c r="E191" s="68">
        <f t="shared" si="25"/>
        <v>64.261079999999993</v>
      </c>
      <c r="F191" s="68">
        <f>D191+E191</f>
        <v>383.19839999999994</v>
      </c>
      <c r="G191" s="68">
        <v>0</v>
      </c>
      <c r="H191" s="68">
        <f t="shared" si="28"/>
        <v>555.63767999999993</v>
      </c>
      <c r="I191" s="36"/>
      <c r="L191" s="111"/>
      <c r="M191" s="111"/>
      <c r="N191" s="36"/>
      <c r="T191" s="21"/>
    </row>
    <row r="192" spans="1:20" s="63" customFormat="1" ht="31.5" customHeight="1" x14ac:dyDescent="0.35">
      <c r="A192" s="72" t="s">
        <v>261</v>
      </c>
      <c r="B192" s="72">
        <v>709</v>
      </c>
      <c r="C192" s="68" t="s">
        <v>175</v>
      </c>
      <c r="D192" s="68">
        <f t="shared" si="27"/>
        <v>318.93731999999994</v>
      </c>
      <c r="E192" s="68">
        <f t="shared" si="25"/>
        <v>64.261079999999993</v>
      </c>
      <c r="F192" s="68">
        <f t="shared" ref="F192:F193" si="30">D192+E192</f>
        <v>383.19839999999994</v>
      </c>
      <c r="G192" s="68">
        <v>0</v>
      </c>
      <c r="H192" s="68">
        <f t="shared" si="28"/>
        <v>555.63767999999993</v>
      </c>
      <c r="I192" s="36"/>
      <c r="L192" s="111"/>
      <c r="M192" s="111"/>
      <c r="N192" s="36"/>
      <c r="T192" s="21"/>
    </row>
    <row r="193" spans="1:20" s="63" customFormat="1" ht="33" customHeight="1" x14ac:dyDescent="0.35">
      <c r="A193" s="72" t="s">
        <v>262</v>
      </c>
      <c r="B193" s="72">
        <v>710</v>
      </c>
      <c r="C193" s="68" t="s">
        <v>175</v>
      </c>
      <c r="D193" s="68">
        <f t="shared" si="27"/>
        <v>318.93731999999994</v>
      </c>
      <c r="E193" s="68">
        <f t="shared" si="25"/>
        <v>64.261079999999993</v>
      </c>
      <c r="F193" s="68">
        <f t="shared" si="30"/>
        <v>383.19839999999994</v>
      </c>
      <c r="G193" s="68">
        <v>0</v>
      </c>
      <c r="H193" s="68">
        <f t="shared" si="28"/>
        <v>555.63767999999993</v>
      </c>
      <c r="I193" s="36"/>
      <c r="L193" s="111"/>
      <c r="M193" s="111"/>
      <c r="N193" s="36"/>
      <c r="T193" s="21"/>
    </row>
    <row r="194" spans="1:20" s="63" customFormat="1" x14ac:dyDescent="0.35">
      <c r="A194" s="112" t="s">
        <v>243</v>
      </c>
      <c r="B194" s="112"/>
      <c r="C194" s="112"/>
      <c r="D194" s="112"/>
      <c r="E194" s="112"/>
      <c r="F194" s="112"/>
      <c r="G194" s="112"/>
      <c r="H194" s="112"/>
      <c r="I194" s="36"/>
      <c r="L194" s="111"/>
      <c r="M194" s="111"/>
    </row>
    <row r="195" spans="1:20" s="63" customFormat="1" ht="32" customHeight="1" x14ac:dyDescent="0.35">
      <c r="A195" s="72" t="s">
        <v>255</v>
      </c>
      <c r="B195" s="68">
        <v>1001</v>
      </c>
      <c r="C195" s="68" t="s">
        <v>175</v>
      </c>
      <c r="D195" s="68">
        <f>(29.63)*(10.764)</f>
        <v>318.93731999999994</v>
      </c>
      <c r="E195" s="68">
        <f t="shared" ref="E195:E204" si="31">(1.5*2.75+0.9*2.05)*(10.764)</f>
        <v>64.261079999999993</v>
      </c>
      <c r="F195" s="68">
        <f>D195+E195</f>
        <v>383.19839999999994</v>
      </c>
      <c r="G195" s="68">
        <v>0</v>
      </c>
      <c r="H195" s="68">
        <f>F195*(($H$156)+1)+(IF(G195&lt;101,G195,IF(G195&lt;201,G195/2,IF(G195&lt;=301,G195/3,G195/4))))</f>
        <v>555.63767999999993</v>
      </c>
      <c r="I195" s="36">
        <f>2.75*3.35+2.05*2.59+2.75*2.9+1.2*1.8+1.2*1.72+1.32*0.55+0.7*0.55</f>
        <v>27.832000000000001</v>
      </c>
      <c r="J195" s="63">
        <f>1.5*2.75</f>
        <v>4.125</v>
      </c>
      <c r="K195" s="63">
        <f>0.9*2.05</f>
        <v>1.845</v>
      </c>
      <c r="L195" s="111"/>
      <c r="M195" s="111"/>
      <c r="N195" s="36"/>
    </row>
    <row r="196" spans="1:20" s="63" customFormat="1" ht="34" customHeight="1" x14ac:dyDescent="0.35">
      <c r="A196" s="72" t="s">
        <v>256</v>
      </c>
      <c r="B196" s="68">
        <f>B195+1</f>
        <v>1002</v>
      </c>
      <c r="C196" s="68" t="s">
        <v>175</v>
      </c>
      <c r="D196" s="68">
        <f t="shared" ref="D196:D204" si="32">(29.63)*(10.764)</f>
        <v>318.93731999999994</v>
      </c>
      <c r="E196" s="68">
        <f t="shared" si="31"/>
        <v>64.261079999999993</v>
      </c>
      <c r="F196" s="68">
        <f>D196+E196</f>
        <v>383.19839999999994</v>
      </c>
      <c r="G196" s="68">
        <v>0</v>
      </c>
      <c r="H196" s="68">
        <f>F196*(($H$156)+1)+(IF(G196&lt;101,G196,IF(G196&lt;201,G196/2,IF(G196&lt;=301,G196/3,G196/4))))</f>
        <v>555.63767999999993</v>
      </c>
      <c r="I196" s="36"/>
      <c r="L196" s="111"/>
      <c r="M196" s="111"/>
      <c r="N196" s="36"/>
    </row>
    <row r="197" spans="1:20" s="63" customFormat="1" ht="15.75" customHeight="1" x14ac:dyDescent="0.35">
      <c r="A197" s="68" t="s">
        <v>212</v>
      </c>
      <c r="B197" s="68" t="s">
        <v>212</v>
      </c>
      <c r="C197" s="113" t="s">
        <v>244</v>
      </c>
      <c r="D197" s="113"/>
      <c r="E197" s="113"/>
      <c r="F197" s="113"/>
      <c r="G197" s="113"/>
      <c r="H197" s="68" t="s">
        <v>212</v>
      </c>
      <c r="I197" s="36"/>
      <c r="L197" s="111"/>
      <c r="M197" s="111"/>
      <c r="N197" s="36"/>
    </row>
    <row r="198" spans="1:20" s="63" customFormat="1" ht="15.75" customHeight="1" x14ac:dyDescent="0.35">
      <c r="A198" s="68" t="s">
        <v>212</v>
      </c>
      <c r="B198" s="68" t="s">
        <v>212</v>
      </c>
      <c r="C198" s="113"/>
      <c r="D198" s="113"/>
      <c r="E198" s="113"/>
      <c r="F198" s="113"/>
      <c r="G198" s="113"/>
      <c r="H198" s="68" t="s">
        <v>212</v>
      </c>
      <c r="I198" s="36"/>
      <c r="L198" s="111"/>
      <c r="M198" s="111"/>
      <c r="N198" s="36"/>
      <c r="T198" s="21"/>
    </row>
    <row r="199" spans="1:20" s="63" customFormat="1" ht="15.75" customHeight="1" x14ac:dyDescent="0.35">
      <c r="A199" s="68" t="s">
        <v>212</v>
      </c>
      <c r="B199" s="68" t="s">
        <v>212</v>
      </c>
      <c r="C199" s="113"/>
      <c r="D199" s="113"/>
      <c r="E199" s="113"/>
      <c r="F199" s="113"/>
      <c r="G199" s="113"/>
      <c r="H199" s="68" t="s">
        <v>212</v>
      </c>
      <c r="I199" s="36"/>
      <c r="L199" s="111"/>
      <c r="M199" s="111"/>
      <c r="N199" s="36"/>
      <c r="T199" s="21"/>
    </row>
    <row r="200" spans="1:20" s="63" customFormat="1" ht="15.75" customHeight="1" x14ac:dyDescent="0.35">
      <c r="A200" s="68" t="s">
        <v>212</v>
      </c>
      <c r="B200" s="68" t="s">
        <v>212</v>
      </c>
      <c r="C200" s="113"/>
      <c r="D200" s="113"/>
      <c r="E200" s="113"/>
      <c r="F200" s="113"/>
      <c r="G200" s="113"/>
      <c r="H200" s="68" t="s">
        <v>212</v>
      </c>
      <c r="I200" s="36"/>
      <c r="L200" s="111"/>
      <c r="M200" s="111"/>
      <c r="N200" s="36"/>
    </row>
    <row r="201" spans="1:20" s="63" customFormat="1" ht="15.75" customHeight="1" x14ac:dyDescent="0.35">
      <c r="A201" s="68" t="s">
        <v>212</v>
      </c>
      <c r="B201" s="68" t="s">
        <v>212</v>
      </c>
      <c r="C201" s="113"/>
      <c r="D201" s="113"/>
      <c r="E201" s="113"/>
      <c r="F201" s="113"/>
      <c r="G201" s="113"/>
      <c r="H201" s="68" t="s">
        <v>212</v>
      </c>
      <c r="I201" s="36"/>
      <c r="N201" s="36"/>
    </row>
    <row r="202" spans="1:20" s="63" customFormat="1" ht="15.75" customHeight="1" x14ac:dyDescent="0.35">
      <c r="A202" s="68" t="s">
        <v>212</v>
      </c>
      <c r="B202" s="68" t="s">
        <v>212</v>
      </c>
      <c r="C202" s="113"/>
      <c r="D202" s="113"/>
      <c r="E202" s="113"/>
      <c r="F202" s="113"/>
      <c r="G202" s="113"/>
      <c r="H202" s="68" t="s">
        <v>212</v>
      </c>
      <c r="I202" s="36"/>
      <c r="L202" s="111"/>
      <c r="M202" s="111"/>
      <c r="N202" s="36"/>
      <c r="T202" s="21"/>
    </row>
    <row r="203" spans="1:20" s="63" customFormat="1" ht="32" customHeight="1" x14ac:dyDescent="0.35">
      <c r="A203" s="64" t="s">
        <v>267</v>
      </c>
      <c r="B203" s="64">
        <v>1009</v>
      </c>
      <c r="C203" s="64" t="s">
        <v>175</v>
      </c>
      <c r="D203" s="64">
        <f t="shared" si="32"/>
        <v>318.93731999999994</v>
      </c>
      <c r="E203" s="64">
        <f t="shared" si="31"/>
        <v>64.261079999999993</v>
      </c>
      <c r="F203" s="64">
        <f t="shared" ref="F203:F204" si="33">D203+E203</f>
        <v>383.19839999999994</v>
      </c>
      <c r="G203" s="64">
        <v>0</v>
      </c>
      <c r="H203" s="64">
        <f>F203*(($H$156)+1)+(IF(G203&lt;101,G203,IF(G203&lt;201,G203/2,IF(G203&lt;=301,G203/3,G203/4))))</f>
        <v>555.63767999999993</v>
      </c>
      <c r="I203" s="36"/>
      <c r="L203" s="111"/>
      <c r="M203" s="111"/>
      <c r="N203" s="36"/>
      <c r="T203" s="21"/>
    </row>
    <row r="204" spans="1:20" s="63" customFormat="1" ht="32" customHeight="1" x14ac:dyDescent="0.35">
      <c r="A204" s="64" t="s">
        <v>268</v>
      </c>
      <c r="B204" s="64">
        <v>1010</v>
      </c>
      <c r="C204" s="64" t="s">
        <v>175</v>
      </c>
      <c r="D204" s="64">
        <f t="shared" si="32"/>
        <v>318.93731999999994</v>
      </c>
      <c r="E204" s="64">
        <f t="shared" si="31"/>
        <v>64.261079999999993</v>
      </c>
      <c r="F204" s="64">
        <f t="shared" si="33"/>
        <v>383.19839999999994</v>
      </c>
      <c r="G204" s="64">
        <v>0</v>
      </c>
      <c r="H204" s="64">
        <f>F204*(($H$156)+1)+(IF(G204&lt;101,G204,IF(G204&lt;201,G204/2,IF(G204&lt;=301,G204/3,G204/4))))</f>
        <v>555.63767999999993</v>
      </c>
      <c r="I204" s="36"/>
      <c r="L204" s="111"/>
      <c r="M204" s="111"/>
      <c r="N204" s="36"/>
      <c r="T204" s="21"/>
    </row>
    <row r="205" spans="1:20" s="63" customFormat="1" x14ac:dyDescent="0.35">
      <c r="A205" s="112" t="s">
        <v>239</v>
      </c>
      <c r="B205" s="112"/>
      <c r="C205" s="112"/>
      <c r="D205" s="112"/>
      <c r="E205" s="112"/>
      <c r="F205" s="112"/>
      <c r="G205" s="112"/>
      <c r="H205" s="112"/>
      <c r="I205" s="36"/>
      <c r="L205" s="111"/>
      <c r="M205" s="111"/>
    </row>
    <row r="206" spans="1:20" s="63" customFormat="1" x14ac:dyDescent="0.35">
      <c r="A206" s="112" t="s">
        <v>196</v>
      </c>
      <c r="B206" s="112"/>
      <c r="C206" s="112"/>
      <c r="D206" s="112"/>
      <c r="E206" s="112"/>
      <c r="F206" s="112"/>
      <c r="G206" s="112"/>
      <c r="H206" s="112"/>
      <c r="I206" s="36"/>
      <c r="L206" s="111"/>
      <c r="M206" s="111"/>
    </row>
    <row r="207" spans="1:20" s="63" customFormat="1" x14ac:dyDescent="0.35">
      <c r="A207" s="112" t="s">
        <v>238</v>
      </c>
      <c r="B207" s="112"/>
      <c r="C207" s="112"/>
      <c r="D207" s="112"/>
      <c r="E207" s="112"/>
      <c r="F207" s="112"/>
      <c r="G207" s="112"/>
      <c r="H207" s="112"/>
      <c r="I207" s="36"/>
      <c r="L207" s="111"/>
      <c r="M207" s="111"/>
    </row>
    <row r="208" spans="1:20" s="63" customFormat="1" ht="32" customHeight="1" x14ac:dyDescent="0.35">
      <c r="A208" s="64" t="s">
        <v>269</v>
      </c>
      <c r="B208" s="64">
        <v>105</v>
      </c>
      <c r="C208" s="64" t="s">
        <v>175</v>
      </c>
      <c r="D208" s="64">
        <f t="shared" si="11"/>
        <v>318.93731999999994</v>
      </c>
      <c r="E208" s="64">
        <f t="shared" si="12"/>
        <v>64.261079999999993</v>
      </c>
      <c r="F208" s="64">
        <f t="shared" si="14"/>
        <v>383.19839999999994</v>
      </c>
      <c r="G208" s="64">
        <v>0</v>
      </c>
      <c r="H208" s="64">
        <f t="shared" si="10"/>
        <v>555.63767999999993</v>
      </c>
      <c r="I208" s="36"/>
      <c r="L208" s="111"/>
      <c r="M208" s="111"/>
      <c r="N208" s="36"/>
      <c r="T208" s="21"/>
    </row>
    <row r="209" spans="1:20" s="63" customFormat="1" ht="33" customHeight="1" x14ac:dyDescent="0.35">
      <c r="A209" s="72" t="s">
        <v>267</v>
      </c>
      <c r="B209" s="64">
        <f>B208-1</f>
        <v>104</v>
      </c>
      <c r="C209" s="64" t="s">
        <v>175</v>
      </c>
      <c r="D209" s="64">
        <f t="shared" si="11"/>
        <v>318.93731999999994</v>
      </c>
      <c r="E209" s="64">
        <f t="shared" si="12"/>
        <v>64.261079999999993</v>
      </c>
      <c r="F209" s="64">
        <f t="shared" si="14"/>
        <v>383.19839999999994</v>
      </c>
      <c r="G209" s="64">
        <v>0</v>
      </c>
      <c r="H209" s="64">
        <f t="shared" si="10"/>
        <v>555.63767999999993</v>
      </c>
      <c r="I209" s="36"/>
      <c r="L209" s="111"/>
      <c r="M209" s="111"/>
      <c r="N209" s="36"/>
      <c r="T209" s="21"/>
    </row>
    <row r="210" spans="1:20" s="63" customFormat="1" ht="31" customHeight="1" x14ac:dyDescent="0.35">
      <c r="A210" s="72" t="s">
        <v>268</v>
      </c>
      <c r="B210" s="72">
        <f t="shared" ref="B210:B212" si="34">B209-1</f>
        <v>103</v>
      </c>
      <c r="C210" s="64" t="s">
        <v>175</v>
      </c>
      <c r="D210" s="64">
        <f t="shared" si="11"/>
        <v>318.93731999999994</v>
      </c>
      <c r="E210" s="64">
        <f t="shared" si="12"/>
        <v>64.261079999999993</v>
      </c>
      <c r="F210" s="64">
        <f t="shared" si="14"/>
        <v>383.19839999999994</v>
      </c>
      <c r="G210" s="64">
        <v>0</v>
      </c>
      <c r="H210" s="64">
        <f t="shared" si="10"/>
        <v>555.63767999999993</v>
      </c>
      <c r="I210" s="36"/>
      <c r="L210" s="111"/>
      <c r="M210" s="111"/>
      <c r="N210" s="36"/>
      <c r="T210" s="21"/>
    </row>
    <row r="211" spans="1:20" s="63" customFormat="1" ht="31.5" customHeight="1" x14ac:dyDescent="0.35">
      <c r="A211" s="72" t="s">
        <v>270</v>
      </c>
      <c r="B211" s="72">
        <f t="shared" si="34"/>
        <v>102</v>
      </c>
      <c r="C211" s="64" t="s">
        <v>175</v>
      </c>
      <c r="D211" s="64">
        <f t="shared" si="11"/>
        <v>318.93731999999994</v>
      </c>
      <c r="E211" s="64">
        <f t="shared" si="12"/>
        <v>64.261079999999993</v>
      </c>
      <c r="F211" s="64">
        <f t="shared" si="14"/>
        <v>383.19839999999994</v>
      </c>
      <c r="G211" s="64">
        <v>0</v>
      </c>
      <c r="H211" s="64">
        <f t="shared" si="10"/>
        <v>555.63767999999993</v>
      </c>
      <c r="I211" s="36"/>
      <c r="L211" s="111"/>
      <c r="M211" s="111"/>
      <c r="N211" s="36"/>
      <c r="T211" s="21"/>
    </row>
    <row r="212" spans="1:20" s="63" customFormat="1" ht="31.5" customHeight="1" x14ac:dyDescent="0.35">
      <c r="A212" s="72" t="s">
        <v>271</v>
      </c>
      <c r="B212" s="72">
        <f t="shared" si="34"/>
        <v>101</v>
      </c>
      <c r="C212" s="64" t="s">
        <v>175</v>
      </c>
      <c r="D212" s="64">
        <f t="shared" si="11"/>
        <v>318.93731999999994</v>
      </c>
      <c r="E212" s="64">
        <f t="shared" si="12"/>
        <v>64.261079999999993</v>
      </c>
      <c r="F212" s="64">
        <f t="shared" si="14"/>
        <v>383.19839999999994</v>
      </c>
      <c r="G212" s="64">
        <v>0</v>
      </c>
      <c r="H212" s="64">
        <f t="shared" si="10"/>
        <v>555.63767999999993</v>
      </c>
      <c r="I212" s="36"/>
      <c r="L212" s="111"/>
      <c r="M212" s="111"/>
      <c r="N212" s="36"/>
      <c r="T212" s="21"/>
    </row>
    <row r="213" spans="1:20" s="63" customFormat="1" x14ac:dyDescent="0.35">
      <c r="A213" s="112" t="s">
        <v>240</v>
      </c>
      <c r="B213" s="112"/>
      <c r="C213" s="112"/>
      <c r="D213" s="112"/>
      <c r="E213" s="112"/>
      <c r="F213" s="112"/>
      <c r="G213" s="112"/>
      <c r="H213" s="112"/>
      <c r="I213" s="36"/>
      <c r="L213" s="111"/>
      <c r="M213" s="111"/>
    </row>
    <row r="214" spans="1:20" s="63" customFormat="1" ht="33" customHeight="1" x14ac:dyDescent="0.35">
      <c r="A214" s="72" t="s">
        <v>269</v>
      </c>
      <c r="B214" s="64">
        <v>205</v>
      </c>
      <c r="C214" s="64" t="s">
        <v>175</v>
      </c>
      <c r="D214" s="64">
        <f>(29.63)*(10.764)</f>
        <v>318.93731999999994</v>
      </c>
      <c r="E214" s="64">
        <f>(0.9*2.05)*(10.764)</f>
        <v>19.859579999999998</v>
      </c>
      <c r="F214" s="64">
        <f>D214+E214</f>
        <v>338.79689999999994</v>
      </c>
      <c r="G214" s="64">
        <v>0</v>
      </c>
      <c r="H214" s="64">
        <f t="shared" ref="H214:H218" si="35">F214*(($H$156)+1)+(IF(G214&lt;101,G214,IF(G214&lt;201,G214/2,IF(G214&lt;=301,G214/3,G214/4))))</f>
        <v>491.25550499999991</v>
      </c>
      <c r="I214" s="36">
        <f>2.75*3.35+2.05*2.59+2.75*2.9+1.2*1.8+1.2*1.72+1.32*0.55+0.7*0.55</f>
        <v>27.832000000000001</v>
      </c>
      <c r="J214" s="63">
        <f>1.5*2.75</f>
        <v>4.125</v>
      </c>
      <c r="K214" s="63">
        <f>0.9*2.05</f>
        <v>1.845</v>
      </c>
      <c r="L214" s="111"/>
      <c r="M214" s="111"/>
      <c r="N214" s="36"/>
    </row>
    <row r="215" spans="1:20" s="63" customFormat="1" ht="31.5" customHeight="1" x14ac:dyDescent="0.35">
      <c r="A215" s="72" t="s">
        <v>267</v>
      </c>
      <c r="B215" s="64">
        <f>B214-1</f>
        <v>204</v>
      </c>
      <c r="C215" s="64" t="s">
        <v>175</v>
      </c>
      <c r="D215" s="64">
        <f t="shared" ref="D215:D218" si="36">(29.63)*(10.764)</f>
        <v>318.93731999999994</v>
      </c>
      <c r="E215" s="64">
        <f t="shared" ref="E215:E218" si="37">(0.9*2.05)*(10.764)</f>
        <v>19.859579999999998</v>
      </c>
      <c r="F215" s="64">
        <f>D215+E215</f>
        <v>338.79689999999994</v>
      </c>
      <c r="G215" s="64">
        <v>0</v>
      </c>
      <c r="H215" s="64">
        <f t="shared" si="35"/>
        <v>491.25550499999991</v>
      </c>
      <c r="I215" s="36"/>
      <c r="L215" s="111"/>
      <c r="M215" s="111"/>
      <c r="N215" s="36"/>
    </row>
    <row r="216" spans="1:20" s="63" customFormat="1" ht="31" customHeight="1" x14ac:dyDescent="0.35">
      <c r="A216" s="72" t="s">
        <v>268</v>
      </c>
      <c r="B216" s="72">
        <f t="shared" ref="B216:B218" si="38">B215-1</f>
        <v>203</v>
      </c>
      <c r="C216" s="64" t="s">
        <v>175</v>
      </c>
      <c r="D216" s="64">
        <f t="shared" si="36"/>
        <v>318.93731999999994</v>
      </c>
      <c r="E216" s="64">
        <f t="shared" si="37"/>
        <v>19.859579999999998</v>
      </c>
      <c r="F216" s="64">
        <f>D216+E216</f>
        <v>338.79689999999994</v>
      </c>
      <c r="G216" s="64">
        <v>0</v>
      </c>
      <c r="H216" s="64">
        <f t="shared" si="35"/>
        <v>491.25550499999991</v>
      </c>
      <c r="I216" s="36"/>
      <c r="L216" s="111"/>
      <c r="M216" s="111"/>
      <c r="N216" s="36"/>
    </row>
    <row r="217" spans="1:20" s="63" customFormat="1" ht="31" customHeight="1" x14ac:dyDescent="0.35">
      <c r="A217" s="72" t="s">
        <v>270</v>
      </c>
      <c r="B217" s="72">
        <f t="shared" si="38"/>
        <v>202</v>
      </c>
      <c r="C217" s="64" t="s">
        <v>175</v>
      </c>
      <c r="D217" s="64">
        <f t="shared" si="36"/>
        <v>318.93731999999994</v>
      </c>
      <c r="E217" s="64">
        <f t="shared" si="37"/>
        <v>19.859579999999998</v>
      </c>
      <c r="F217" s="64">
        <f>D217+E217</f>
        <v>338.79689999999994</v>
      </c>
      <c r="G217" s="64">
        <v>0</v>
      </c>
      <c r="H217" s="64">
        <f t="shared" si="35"/>
        <v>491.25550499999991</v>
      </c>
      <c r="I217" s="36"/>
      <c r="L217" s="111"/>
      <c r="M217" s="111"/>
      <c r="N217" s="36"/>
      <c r="T217" s="21"/>
    </row>
    <row r="218" spans="1:20" s="63" customFormat="1" ht="31.5" customHeight="1" x14ac:dyDescent="0.35">
      <c r="A218" s="72" t="s">
        <v>271</v>
      </c>
      <c r="B218" s="72">
        <f t="shared" si="38"/>
        <v>201</v>
      </c>
      <c r="C218" s="64" t="s">
        <v>175</v>
      </c>
      <c r="D218" s="64">
        <f t="shared" si="36"/>
        <v>318.93731999999994</v>
      </c>
      <c r="E218" s="64">
        <f t="shared" si="37"/>
        <v>19.859579999999998</v>
      </c>
      <c r="F218" s="64">
        <f t="shared" ref="F218" si="39">D218+E218</f>
        <v>338.79689999999994</v>
      </c>
      <c r="G218" s="64">
        <v>0</v>
      </c>
      <c r="H218" s="64">
        <f t="shared" si="35"/>
        <v>491.25550499999991</v>
      </c>
      <c r="I218" s="36"/>
      <c r="L218" s="111"/>
      <c r="M218" s="111"/>
      <c r="N218" s="36"/>
      <c r="T218" s="21"/>
    </row>
    <row r="219" spans="1:20" s="63" customFormat="1" x14ac:dyDescent="0.35">
      <c r="A219" s="112" t="s">
        <v>241</v>
      </c>
      <c r="B219" s="112"/>
      <c r="C219" s="112"/>
      <c r="D219" s="112"/>
      <c r="E219" s="112"/>
      <c r="F219" s="112"/>
      <c r="G219" s="112"/>
      <c r="H219" s="112"/>
      <c r="I219" s="36"/>
      <c r="L219" s="111"/>
      <c r="M219" s="111"/>
    </row>
    <row r="220" spans="1:20" s="63" customFormat="1" ht="30.5" customHeight="1" x14ac:dyDescent="0.35">
      <c r="A220" s="72" t="s">
        <v>269</v>
      </c>
      <c r="B220" s="72" t="s">
        <v>279</v>
      </c>
      <c r="C220" s="64" t="s">
        <v>175</v>
      </c>
      <c r="D220" s="64">
        <f>(29.63)*(10.764)</f>
        <v>318.93731999999994</v>
      </c>
      <c r="E220" s="64">
        <f t="shared" ref="E220:E229" si="40">(1.5*2.75+0.9*2.05)*(10.764)</f>
        <v>64.261079999999993</v>
      </c>
      <c r="F220" s="64">
        <f>D220+E220</f>
        <v>383.19839999999994</v>
      </c>
      <c r="G220" s="64">
        <v>0</v>
      </c>
      <c r="H220" s="64">
        <f t="shared" ref="H220:H229" si="41">F220*(($H$156)+1)+(IF(G220&lt;101,G220,IF(G220&lt;201,G220/2,IF(G220&lt;=301,G220/3,G220/4))))</f>
        <v>555.63767999999993</v>
      </c>
      <c r="I220" s="36">
        <f>2.75*3.35+2.05*2.59+2.75*2.9+1.2*1.8+1.2*1.72+1.32*0.55+0.7*0.55</f>
        <v>27.832000000000001</v>
      </c>
      <c r="J220" s="63">
        <f>1.5*2.75</f>
        <v>4.125</v>
      </c>
      <c r="K220" s="63">
        <f>0.9*2.05</f>
        <v>1.845</v>
      </c>
      <c r="L220" s="111"/>
      <c r="M220" s="111"/>
      <c r="N220" s="36"/>
    </row>
    <row r="221" spans="1:20" s="63" customFormat="1" ht="30" customHeight="1" x14ac:dyDescent="0.35">
      <c r="A221" s="72" t="s">
        <v>267</v>
      </c>
      <c r="B221" s="72" t="s">
        <v>278</v>
      </c>
      <c r="C221" s="64" t="s">
        <v>175</v>
      </c>
      <c r="D221" s="64">
        <f t="shared" ref="D221:D229" si="42">(29.63)*(10.764)</f>
        <v>318.93731999999994</v>
      </c>
      <c r="E221" s="64">
        <f t="shared" si="40"/>
        <v>64.261079999999993</v>
      </c>
      <c r="F221" s="64">
        <f>D221+E221</f>
        <v>383.19839999999994</v>
      </c>
      <c r="G221" s="64">
        <v>0</v>
      </c>
      <c r="H221" s="64">
        <f t="shared" si="41"/>
        <v>555.63767999999993</v>
      </c>
      <c r="I221" s="36"/>
      <c r="L221" s="111"/>
      <c r="M221" s="111"/>
      <c r="N221" s="36"/>
    </row>
    <row r="222" spans="1:20" s="63" customFormat="1" ht="30" customHeight="1" x14ac:dyDescent="0.35">
      <c r="A222" s="72" t="s">
        <v>268</v>
      </c>
      <c r="B222" s="72" t="s">
        <v>277</v>
      </c>
      <c r="C222" s="64" t="s">
        <v>175</v>
      </c>
      <c r="D222" s="64">
        <f t="shared" si="42"/>
        <v>318.93731999999994</v>
      </c>
      <c r="E222" s="64">
        <f t="shared" si="40"/>
        <v>64.261079999999993</v>
      </c>
      <c r="F222" s="64">
        <f>D222+E222</f>
        <v>383.19839999999994</v>
      </c>
      <c r="G222" s="64">
        <v>0</v>
      </c>
      <c r="H222" s="64">
        <f t="shared" si="41"/>
        <v>555.63767999999993</v>
      </c>
      <c r="I222" s="36"/>
      <c r="L222" s="111"/>
      <c r="M222" s="111"/>
      <c r="N222" s="36"/>
    </row>
    <row r="223" spans="1:20" s="63" customFormat="1" ht="30" customHeight="1" x14ac:dyDescent="0.35">
      <c r="A223" s="72" t="s">
        <v>270</v>
      </c>
      <c r="B223" s="72" t="s">
        <v>276</v>
      </c>
      <c r="C223" s="64" t="s">
        <v>175</v>
      </c>
      <c r="D223" s="64">
        <f t="shared" si="42"/>
        <v>318.93731999999994</v>
      </c>
      <c r="E223" s="64">
        <f t="shared" si="40"/>
        <v>64.261079999999993</v>
      </c>
      <c r="F223" s="64">
        <f>D223+E223</f>
        <v>383.19839999999994</v>
      </c>
      <c r="G223" s="64">
        <v>0</v>
      </c>
      <c r="H223" s="64">
        <f t="shared" si="41"/>
        <v>555.63767999999993</v>
      </c>
      <c r="I223" s="36"/>
      <c r="L223" s="111"/>
      <c r="M223" s="111"/>
      <c r="N223" s="36"/>
      <c r="T223" s="21"/>
    </row>
    <row r="224" spans="1:20" s="63" customFormat="1" ht="30" customHeight="1" x14ac:dyDescent="0.35">
      <c r="A224" s="72" t="s">
        <v>271</v>
      </c>
      <c r="B224" s="72" t="s">
        <v>275</v>
      </c>
      <c r="C224" s="64" t="s">
        <v>175</v>
      </c>
      <c r="D224" s="64">
        <f t="shared" si="42"/>
        <v>318.93731999999994</v>
      </c>
      <c r="E224" s="64">
        <f t="shared" si="40"/>
        <v>64.261079999999993</v>
      </c>
      <c r="F224" s="64">
        <f t="shared" ref="F224" si="43">D224+E224</f>
        <v>383.19839999999994</v>
      </c>
      <c r="G224" s="64">
        <v>0</v>
      </c>
      <c r="H224" s="64">
        <f t="shared" si="41"/>
        <v>555.63767999999993</v>
      </c>
      <c r="I224" s="36"/>
      <c r="L224" s="111"/>
      <c r="M224" s="111"/>
      <c r="N224" s="36"/>
      <c r="T224" s="21"/>
    </row>
    <row r="225" spans="1:20" s="63" customFormat="1" ht="31.5" customHeight="1" x14ac:dyDescent="0.35">
      <c r="A225" s="72" t="s">
        <v>272</v>
      </c>
      <c r="B225" s="72" t="s">
        <v>284</v>
      </c>
      <c r="C225" s="64" t="s">
        <v>175</v>
      </c>
      <c r="D225" s="64">
        <f t="shared" si="42"/>
        <v>318.93731999999994</v>
      </c>
      <c r="E225" s="64">
        <f t="shared" si="40"/>
        <v>64.261079999999993</v>
      </c>
      <c r="F225" s="64">
        <f>D225+E225</f>
        <v>383.19839999999994</v>
      </c>
      <c r="G225" s="64">
        <v>0</v>
      </c>
      <c r="H225" s="64">
        <f t="shared" si="41"/>
        <v>555.63767999999993</v>
      </c>
      <c r="I225" s="36"/>
      <c r="L225" s="111"/>
      <c r="M225" s="111"/>
      <c r="N225" s="36"/>
    </row>
    <row r="226" spans="1:20" s="63" customFormat="1" ht="30.5" customHeight="1" x14ac:dyDescent="0.35">
      <c r="A226" s="72" t="s">
        <v>273</v>
      </c>
      <c r="B226" s="72" t="s">
        <v>283</v>
      </c>
      <c r="C226" s="64" t="s">
        <v>175</v>
      </c>
      <c r="D226" s="64">
        <f t="shared" si="42"/>
        <v>318.93731999999994</v>
      </c>
      <c r="E226" s="64">
        <f t="shared" si="40"/>
        <v>64.261079999999993</v>
      </c>
      <c r="F226" s="64">
        <f>D226+E226</f>
        <v>383.19839999999994</v>
      </c>
      <c r="G226" s="64">
        <v>0</v>
      </c>
      <c r="H226" s="64">
        <f t="shared" si="41"/>
        <v>555.63767999999993</v>
      </c>
      <c r="I226" s="36"/>
      <c r="N226" s="36"/>
    </row>
    <row r="227" spans="1:20" s="63" customFormat="1" ht="30" customHeight="1" x14ac:dyDescent="0.35">
      <c r="A227" s="72" t="s">
        <v>274</v>
      </c>
      <c r="B227" s="72" t="s">
        <v>282</v>
      </c>
      <c r="C227" s="64" t="s">
        <v>175</v>
      </c>
      <c r="D227" s="64">
        <f t="shared" si="42"/>
        <v>318.93731999999994</v>
      </c>
      <c r="E227" s="64">
        <f t="shared" si="40"/>
        <v>64.261079999999993</v>
      </c>
      <c r="F227" s="64">
        <f>D227+E227</f>
        <v>383.19839999999994</v>
      </c>
      <c r="G227" s="64">
        <v>0</v>
      </c>
      <c r="H227" s="64">
        <f t="shared" si="41"/>
        <v>555.63767999999993</v>
      </c>
      <c r="I227" s="36"/>
      <c r="L227" s="111"/>
      <c r="M227" s="111"/>
      <c r="N227" s="36"/>
      <c r="T227" s="21"/>
    </row>
    <row r="228" spans="1:20" s="63" customFormat="1" ht="29" customHeight="1" x14ac:dyDescent="0.35">
      <c r="A228" s="72" t="s">
        <v>265</v>
      </c>
      <c r="B228" s="72" t="s">
        <v>281</v>
      </c>
      <c r="C228" s="64" t="s">
        <v>175</v>
      </c>
      <c r="D228" s="64">
        <f t="shared" si="42"/>
        <v>318.93731999999994</v>
      </c>
      <c r="E228" s="64">
        <f t="shared" si="40"/>
        <v>64.261079999999993</v>
      </c>
      <c r="F228" s="64">
        <f t="shared" ref="F228:F229" si="44">D228+E228</f>
        <v>383.19839999999994</v>
      </c>
      <c r="G228" s="64">
        <v>0</v>
      </c>
      <c r="H228" s="64">
        <f t="shared" si="41"/>
        <v>555.63767999999993</v>
      </c>
      <c r="I228" s="36"/>
      <c r="L228" s="111"/>
      <c r="M228" s="111"/>
      <c r="N228" s="36"/>
      <c r="T228" s="21"/>
    </row>
    <row r="229" spans="1:20" s="63" customFormat="1" ht="30.5" customHeight="1" x14ac:dyDescent="0.35">
      <c r="A229" s="72" t="s">
        <v>266</v>
      </c>
      <c r="B229" s="72" t="s">
        <v>280</v>
      </c>
      <c r="C229" s="64" t="s">
        <v>175</v>
      </c>
      <c r="D229" s="64">
        <f t="shared" si="42"/>
        <v>318.93731999999994</v>
      </c>
      <c r="E229" s="64">
        <f t="shared" si="40"/>
        <v>64.261079999999993</v>
      </c>
      <c r="F229" s="64">
        <f t="shared" si="44"/>
        <v>383.19839999999994</v>
      </c>
      <c r="G229" s="64">
        <v>0</v>
      </c>
      <c r="H229" s="64">
        <f t="shared" si="41"/>
        <v>555.63767999999993</v>
      </c>
      <c r="I229" s="36"/>
      <c r="L229" s="111"/>
      <c r="M229" s="111"/>
      <c r="N229" s="36"/>
      <c r="T229" s="21"/>
    </row>
    <row r="230" spans="1:20" s="63" customFormat="1" x14ac:dyDescent="0.35">
      <c r="A230" s="112" t="s">
        <v>242</v>
      </c>
      <c r="B230" s="112"/>
      <c r="C230" s="112"/>
      <c r="D230" s="112"/>
      <c r="E230" s="112"/>
      <c r="F230" s="112"/>
      <c r="G230" s="112"/>
      <c r="H230" s="112"/>
      <c r="I230" s="36"/>
      <c r="L230" s="111"/>
      <c r="M230" s="111"/>
    </row>
    <row r="231" spans="1:20" s="63" customFormat="1" ht="31" customHeight="1" x14ac:dyDescent="0.35">
      <c r="A231" s="68" t="s">
        <v>259</v>
      </c>
      <c r="B231" s="68">
        <v>705</v>
      </c>
      <c r="C231" s="68" t="s">
        <v>175</v>
      </c>
      <c r="D231" s="68">
        <f>(29.63)*(10.764)</f>
        <v>318.93731999999994</v>
      </c>
      <c r="E231" s="68">
        <f t="shared" ref="E231:E240" si="45">(1.5*2.75+0.9*2.05)*(10.764)</f>
        <v>64.261079999999993</v>
      </c>
      <c r="F231" s="68">
        <f>D231+E231</f>
        <v>383.19839999999994</v>
      </c>
      <c r="G231" s="68">
        <v>0</v>
      </c>
      <c r="H231" s="68">
        <f t="shared" ref="H231:H232" si="46">F231*(($H$156)+1)+(IF(G231&lt;101,G231,IF(G231&lt;201,G231/2,IF(G231&lt;=301,G231/3,G231/4))))</f>
        <v>555.63767999999993</v>
      </c>
      <c r="I231" s="36">
        <f>2.75*3.35+2.05*2.59+2.75*2.9+1.2*1.8+1.2*1.72+1.32*0.55+0.7*0.55</f>
        <v>27.832000000000001</v>
      </c>
      <c r="J231" s="63">
        <f>1.5*2.75</f>
        <v>4.125</v>
      </c>
      <c r="K231" s="63">
        <f>0.9*2.05</f>
        <v>1.845</v>
      </c>
      <c r="L231" s="111"/>
      <c r="M231" s="111"/>
      <c r="N231" s="36"/>
    </row>
    <row r="232" spans="1:20" s="63" customFormat="1" ht="33" customHeight="1" x14ac:dyDescent="0.35">
      <c r="A232" s="68" t="s">
        <v>269</v>
      </c>
      <c r="B232" s="68">
        <v>704</v>
      </c>
      <c r="C232" s="68" t="s">
        <v>175</v>
      </c>
      <c r="D232" s="68">
        <f t="shared" ref="D232:D240" si="47">(29.63)*(10.764)</f>
        <v>318.93731999999994</v>
      </c>
      <c r="E232" s="68">
        <f t="shared" si="45"/>
        <v>64.261079999999993</v>
      </c>
      <c r="F232" s="68">
        <f>D232+E232</f>
        <v>383.19839999999994</v>
      </c>
      <c r="G232" s="68">
        <v>0</v>
      </c>
      <c r="H232" s="68">
        <f t="shared" si="46"/>
        <v>555.63767999999993</v>
      </c>
      <c r="I232" s="36"/>
      <c r="L232" s="111"/>
      <c r="M232" s="111"/>
      <c r="N232" s="36"/>
    </row>
    <row r="233" spans="1:20" s="63" customFormat="1" ht="15.75" customHeight="1" x14ac:dyDescent="0.35">
      <c r="A233" s="68" t="s">
        <v>212</v>
      </c>
      <c r="B233" s="68" t="s">
        <v>212</v>
      </c>
      <c r="C233" s="113" t="s">
        <v>180</v>
      </c>
      <c r="D233" s="113"/>
      <c r="E233" s="113"/>
      <c r="F233" s="113"/>
      <c r="G233" s="113"/>
      <c r="H233" s="68" t="s">
        <v>212</v>
      </c>
      <c r="I233" s="36"/>
      <c r="L233" s="111"/>
      <c r="M233" s="111"/>
      <c r="N233" s="36"/>
    </row>
    <row r="234" spans="1:20" s="63" customFormat="1" ht="32.5" customHeight="1" x14ac:dyDescent="0.35">
      <c r="A234" s="68" t="s">
        <v>267</v>
      </c>
      <c r="B234" s="68">
        <v>702</v>
      </c>
      <c r="C234" s="68" t="s">
        <v>175</v>
      </c>
      <c r="D234" s="68">
        <f t="shared" si="47"/>
        <v>318.93731999999994</v>
      </c>
      <c r="E234" s="68">
        <f t="shared" si="45"/>
        <v>64.261079999999993</v>
      </c>
      <c r="F234" s="68">
        <f>D234+E234</f>
        <v>383.19839999999994</v>
      </c>
      <c r="G234" s="68">
        <v>0</v>
      </c>
      <c r="H234" s="68">
        <f t="shared" ref="H234:H240" si="48">F234*(($H$156)+1)+(IF(G234&lt;101,G234,IF(G234&lt;201,G234/2,IF(G234&lt;=301,G234/3,G234/4))))</f>
        <v>555.63767999999993</v>
      </c>
      <c r="I234" s="36"/>
      <c r="L234" s="111"/>
      <c r="M234" s="111"/>
      <c r="N234" s="36"/>
      <c r="T234" s="21"/>
    </row>
    <row r="235" spans="1:20" s="63" customFormat="1" ht="31" customHeight="1" x14ac:dyDescent="0.35">
      <c r="A235" s="72" t="s">
        <v>268</v>
      </c>
      <c r="B235" s="68">
        <v>701</v>
      </c>
      <c r="C235" s="68" t="s">
        <v>175</v>
      </c>
      <c r="D235" s="68">
        <f t="shared" si="47"/>
        <v>318.93731999999994</v>
      </c>
      <c r="E235" s="68">
        <f t="shared" si="45"/>
        <v>64.261079999999993</v>
      </c>
      <c r="F235" s="68">
        <f t="shared" ref="F235" si="49">D235+E235</f>
        <v>383.19839999999994</v>
      </c>
      <c r="G235" s="68">
        <v>0</v>
      </c>
      <c r="H235" s="68">
        <f t="shared" si="48"/>
        <v>555.63767999999993</v>
      </c>
      <c r="I235" s="36"/>
      <c r="L235" s="111"/>
      <c r="M235" s="111"/>
      <c r="N235" s="36"/>
      <c r="T235" s="21"/>
    </row>
    <row r="236" spans="1:20" s="63" customFormat="1" ht="31.5" customHeight="1" x14ac:dyDescent="0.35">
      <c r="A236" s="72" t="s">
        <v>270</v>
      </c>
      <c r="B236" s="68">
        <v>710</v>
      </c>
      <c r="C236" s="68" t="s">
        <v>175</v>
      </c>
      <c r="D236" s="68">
        <f t="shared" si="47"/>
        <v>318.93731999999994</v>
      </c>
      <c r="E236" s="68">
        <f t="shared" si="45"/>
        <v>64.261079999999993</v>
      </c>
      <c r="F236" s="68">
        <f>D236+E236</f>
        <v>383.19839999999994</v>
      </c>
      <c r="G236" s="68">
        <v>0</v>
      </c>
      <c r="H236" s="68">
        <f t="shared" si="48"/>
        <v>555.63767999999993</v>
      </c>
      <c r="I236" s="36"/>
      <c r="L236" s="111"/>
      <c r="M236" s="111"/>
      <c r="N236" s="36"/>
    </row>
    <row r="237" spans="1:20" s="63" customFormat="1" ht="29.5" customHeight="1" x14ac:dyDescent="0.35">
      <c r="A237" s="72" t="s">
        <v>271</v>
      </c>
      <c r="B237" s="68">
        <f>B236-1</f>
        <v>709</v>
      </c>
      <c r="C237" s="68" t="s">
        <v>175</v>
      </c>
      <c r="D237" s="68">
        <f t="shared" si="47"/>
        <v>318.93731999999994</v>
      </c>
      <c r="E237" s="68">
        <f t="shared" si="45"/>
        <v>64.261079999999993</v>
      </c>
      <c r="F237" s="68">
        <f>D237+E237</f>
        <v>383.19839999999994</v>
      </c>
      <c r="G237" s="68">
        <v>0</v>
      </c>
      <c r="H237" s="68">
        <f t="shared" si="48"/>
        <v>555.63767999999993</v>
      </c>
      <c r="I237" s="36"/>
      <c r="N237" s="36"/>
    </row>
    <row r="238" spans="1:20" s="63" customFormat="1" ht="31.5" customHeight="1" x14ac:dyDescent="0.35">
      <c r="A238" s="72" t="s">
        <v>272</v>
      </c>
      <c r="B238" s="72">
        <f t="shared" ref="B238:B240" si="50">B237-1</f>
        <v>708</v>
      </c>
      <c r="C238" s="68" t="s">
        <v>175</v>
      </c>
      <c r="D238" s="68">
        <f t="shared" si="47"/>
        <v>318.93731999999994</v>
      </c>
      <c r="E238" s="68">
        <f t="shared" si="45"/>
        <v>64.261079999999993</v>
      </c>
      <c r="F238" s="68">
        <f>D238+E238</f>
        <v>383.19839999999994</v>
      </c>
      <c r="G238" s="68">
        <v>0</v>
      </c>
      <c r="H238" s="68">
        <f t="shared" si="48"/>
        <v>555.63767999999993</v>
      </c>
      <c r="I238" s="36"/>
      <c r="L238" s="111"/>
      <c r="M238" s="111"/>
      <c r="N238" s="36"/>
      <c r="T238" s="21"/>
    </row>
    <row r="239" spans="1:20" s="63" customFormat="1" ht="34" customHeight="1" x14ac:dyDescent="0.35">
      <c r="A239" s="72" t="s">
        <v>273</v>
      </c>
      <c r="B239" s="72">
        <f t="shared" si="50"/>
        <v>707</v>
      </c>
      <c r="C239" s="64" t="s">
        <v>175</v>
      </c>
      <c r="D239" s="64">
        <f t="shared" si="47"/>
        <v>318.93731999999994</v>
      </c>
      <c r="E239" s="64">
        <f t="shared" si="45"/>
        <v>64.261079999999993</v>
      </c>
      <c r="F239" s="64">
        <f t="shared" ref="F239:F240" si="51">D239+E239</f>
        <v>383.19839999999994</v>
      </c>
      <c r="G239" s="64">
        <v>0</v>
      </c>
      <c r="H239" s="64">
        <f t="shared" si="48"/>
        <v>555.63767999999993</v>
      </c>
      <c r="I239" s="36"/>
      <c r="L239" s="111"/>
      <c r="M239" s="111"/>
      <c r="N239" s="36"/>
      <c r="T239" s="21"/>
    </row>
    <row r="240" spans="1:20" s="63" customFormat="1" ht="33" customHeight="1" x14ac:dyDescent="0.35">
      <c r="A240" s="72" t="s">
        <v>274</v>
      </c>
      <c r="B240" s="72">
        <f t="shared" si="50"/>
        <v>706</v>
      </c>
      <c r="C240" s="64" t="s">
        <v>175</v>
      </c>
      <c r="D240" s="64">
        <f t="shared" si="47"/>
        <v>318.93731999999994</v>
      </c>
      <c r="E240" s="64">
        <f t="shared" si="45"/>
        <v>64.261079999999993</v>
      </c>
      <c r="F240" s="64">
        <f t="shared" si="51"/>
        <v>383.19839999999994</v>
      </c>
      <c r="G240" s="64">
        <v>0</v>
      </c>
      <c r="H240" s="64">
        <f t="shared" si="48"/>
        <v>555.63767999999993</v>
      </c>
      <c r="I240" s="36"/>
      <c r="L240" s="111"/>
      <c r="M240" s="111"/>
      <c r="N240" s="36"/>
      <c r="T240" s="21"/>
    </row>
    <row r="241" spans="1:20" s="63" customFormat="1" x14ac:dyDescent="0.35">
      <c r="A241" s="112" t="s">
        <v>243</v>
      </c>
      <c r="B241" s="112"/>
      <c r="C241" s="112"/>
      <c r="D241" s="112"/>
      <c r="E241" s="112"/>
      <c r="F241" s="112"/>
      <c r="G241" s="112"/>
      <c r="H241" s="112"/>
      <c r="I241" s="36"/>
      <c r="L241" s="111"/>
      <c r="M241" s="111"/>
    </row>
    <row r="242" spans="1:20" s="63" customFormat="1" ht="15.75" customHeight="1" x14ac:dyDescent="0.35">
      <c r="A242" s="64" t="s">
        <v>212</v>
      </c>
      <c r="B242" s="64" t="s">
        <v>212</v>
      </c>
      <c r="C242" s="114" t="s">
        <v>244</v>
      </c>
      <c r="D242" s="115"/>
      <c r="E242" s="115"/>
      <c r="F242" s="115"/>
      <c r="G242" s="116"/>
      <c r="H242" s="64" t="s">
        <v>212</v>
      </c>
      <c r="I242" s="36">
        <f>2.75*3.35+2.05*2.59+2.75*2.9+1.2*1.8+1.2*1.72+1.32*0.55+0.7*0.55</f>
        <v>27.832000000000001</v>
      </c>
      <c r="J242" s="63">
        <f>1.5*2.75</f>
        <v>4.125</v>
      </c>
      <c r="K242" s="63">
        <f>0.9*2.05</f>
        <v>1.845</v>
      </c>
      <c r="L242" s="111"/>
      <c r="M242" s="111"/>
      <c r="N242" s="36"/>
    </row>
    <row r="243" spans="1:20" s="63" customFormat="1" ht="15.75" customHeight="1" x14ac:dyDescent="0.35">
      <c r="A243" s="64" t="s">
        <v>212</v>
      </c>
      <c r="B243" s="64" t="s">
        <v>212</v>
      </c>
      <c r="C243" s="117"/>
      <c r="D243" s="118"/>
      <c r="E243" s="118"/>
      <c r="F243" s="118"/>
      <c r="G243" s="119"/>
      <c r="H243" s="64" t="s">
        <v>212</v>
      </c>
      <c r="I243" s="36"/>
      <c r="L243" s="111"/>
      <c r="M243" s="111"/>
      <c r="N243" s="36"/>
    </row>
    <row r="244" spans="1:20" s="63" customFormat="1" ht="33.5" customHeight="1" x14ac:dyDescent="0.35">
      <c r="A244" s="64" t="s">
        <v>257</v>
      </c>
      <c r="B244" s="64">
        <v>1002</v>
      </c>
      <c r="C244" s="64" t="s">
        <v>175</v>
      </c>
      <c r="D244" s="64">
        <f t="shared" ref="D244:D247" si="52">(29.63)*(10.764)</f>
        <v>318.93731999999994</v>
      </c>
      <c r="E244" s="64">
        <f t="shared" ref="E244:E247" si="53">(1.5*2.75+0.9*2.05)*(10.764)</f>
        <v>64.261079999999993</v>
      </c>
      <c r="F244" s="64">
        <f>D244+E244</f>
        <v>383.19839999999994</v>
      </c>
      <c r="G244" s="64">
        <v>0</v>
      </c>
      <c r="H244" s="64">
        <f>F244*(($H$156)+1)+(IF(G244&lt;101,G244,IF(G244&lt;201,G244/2,IF(G244&lt;=301,G244/3,G244/4))))</f>
        <v>555.63767999999993</v>
      </c>
      <c r="I244" s="36"/>
      <c r="L244" s="111"/>
      <c r="M244" s="111"/>
      <c r="N244" s="36"/>
    </row>
    <row r="245" spans="1:20" s="63" customFormat="1" ht="32.5" customHeight="1" x14ac:dyDescent="0.35">
      <c r="A245" s="72" t="s">
        <v>258</v>
      </c>
      <c r="B245" s="64">
        <v>1001</v>
      </c>
      <c r="C245" s="64" t="s">
        <v>175</v>
      </c>
      <c r="D245" s="64">
        <f t="shared" si="52"/>
        <v>318.93731999999994</v>
      </c>
      <c r="E245" s="64">
        <f t="shared" si="53"/>
        <v>64.261079999999993</v>
      </c>
      <c r="F245" s="64">
        <f>D245+E245</f>
        <v>383.19839999999994</v>
      </c>
      <c r="G245" s="64">
        <v>0</v>
      </c>
      <c r="H245" s="64">
        <f>F245*(($H$156)+1)+(IF(G245&lt;101,G245,IF(G245&lt;201,G245/2,IF(G245&lt;=301,G245/3,G245/4))))</f>
        <v>555.63767999999993</v>
      </c>
      <c r="I245" s="36"/>
      <c r="L245" s="111"/>
      <c r="M245" s="111"/>
      <c r="N245" s="36"/>
      <c r="T245" s="21"/>
    </row>
    <row r="246" spans="1:20" s="63" customFormat="1" ht="35" customHeight="1" x14ac:dyDescent="0.35">
      <c r="A246" s="72" t="s">
        <v>259</v>
      </c>
      <c r="B246" s="64">
        <v>1010</v>
      </c>
      <c r="C246" s="64" t="s">
        <v>175</v>
      </c>
      <c r="D246" s="64">
        <f t="shared" si="52"/>
        <v>318.93731999999994</v>
      </c>
      <c r="E246" s="64">
        <f t="shared" si="53"/>
        <v>64.261079999999993</v>
      </c>
      <c r="F246" s="64">
        <f t="shared" ref="F246" si="54">D246+E246</f>
        <v>383.19839999999994</v>
      </c>
      <c r="G246" s="64">
        <v>0</v>
      </c>
      <c r="H246" s="64">
        <f>F246*(($H$156)+1)+(IF(G246&lt;101,G246,IF(G246&lt;201,G246/2,IF(G246&lt;=301,G246/3,G246/4))))</f>
        <v>555.63767999999993</v>
      </c>
      <c r="I246" s="36"/>
      <c r="L246" s="111"/>
      <c r="M246" s="111"/>
      <c r="N246" s="36"/>
      <c r="T246" s="21"/>
    </row>
    <row r="247" spans="1:20" s="63" customFormat="1" ht="32.5" customHeight="1" x14ac:dyDescent="0.35">
      <c r="A247" s="72" t="s">
        <v>269</v>
      </c>
      <c r="B247" s="64">
        <v>1009</v>
      </c>
      <c r="C247" s="64" t="s">
        <v>175</v>
      </c>
      <c r="D247" s="64">
        <f t="shared" si="52"/>
        <v>318.93731999999994</v>
      </c>
      <c r="E247" s="64">
        <f t="shared" si="53"/>
        <v>64.261079999999993</v>
      </c>
      <c r="F247" s="64">
        <f>D247+E247</f>
        <v>383.19839999999994</v>
      </c>
      <c r="G247" s="64">
        <v>0</v>
      </c>
      <c r="H247" s="64">
        <f>F247*(($H$156)+1)+(IF(G247&lt;101,G247,IF(G247&lt;201,G247/2,IF(G247&lt;=301,G247/3,G247/4))))</f>
        <v>555.63767999999993</v>
      </c>
      <c r="I247" s="36"/>
      <c r="L247" s="111"/>
      <c r="M247" s="111"/>
      <c r="N247" s="36"/>
    </row>
    <row r="248" spans="1:20" s="63" customFormat="1" ht="14" customHeight="1" x14ac:dyDescent="0.35">
      <c r="A248" s="64" t="s">
        <v>212</v>
      </c>
      <c r="B248" s="64" t="s">
        <v>212</v>
      </c>
      <c r="C248" s="114" t="s">
        <v>244</v>
      </c>
      <c r="D248" s="115"/>
      <c r="E248" s="115"/>
      <c r="F248" s="115"/>
      <c r="G248" s="116"/>
      <c r="H248" s="64" t="s">
        <v>212</v>
      </c>
      <c r="I248" s="36"/>
      <c r="N248" s="36"/>
    </row>
    <row r="249" spans="1:20" s="63" customFormat="1" ht="15.75" customHeight="1" x14ac:dyDescent="0.35">
      <c r="A249" s="64" t="s">
        <v>212</v>
      </c>
      <c r="B249" s="64" t="s">
        <v>212</v>
      </c>
      <c r="C249" s="120"/>
      <c r="D249" s="121"/>
      <c r="E249" s="121"/>
      <c r="F249" s="121"/>
      <c r="G249" s="122"/>
      <c r="H249" s="64" t="s">
        <v>212</v>
      </c>
      <c r="I249" s="36"/>
      <c r="L249" s="111"/>
      <c r="M249" s="111"/>
      <c r="N249" s="36"/>
      <c r="T249" s="21"/>
    </row>
    <row r="250" spans="1:20" s="63" customFormat="1" ht="15.75" customHeight="1" x14ac:dyDescent="0.35">
      <c r="A250" s="64" t="s">
        <v>212</v>
      </c>
      <c r="B250" s="64" t="s">
        <v>212</v>
      </c>
      <c r="C250" s="120"/>
      <c r="D250" s="121"/>
      <c r="E250" s="121"/>
      <c r="F250" s="121"/>
      <c r="G250" s="122"/>
      <c r="H250" s="64" t="s">
        <v>212</v>
      </c>
      <c r="I250" s="36"/>
      <c r="L250" s="111"/>
      <c r="M250" s="111"/>
      <c r="N250" s="36"/>
      <c r="T250" s="21"/>
    </row>
    <row r="251" spans="1:20" s="63" customFormat="1" ht="15.75" customHeight="1" x14ac:dyDescent="0.35">
      <c r="A251" s="64" t="s">
        <v>212</v>
      </c>
      <c r="B251" s="64" t="s">
        <v>212</v>
      </c>
      <c r="C251" s="117"/>
      <c r="D251" s="118"/>
      <c r="E251" s="118"/>
      <c r="F251" s="118"/>
      <c r="G251" s="119"/>
      <c r="H251" s="64" t="s">
        <v>212</v>
      </c>
      <c r="I251" s="36"/>
      <c r="L251" s="111"/>
      <c r="M251" s="111"/>
      <c r="N251" s="36"/>
      <c r="T251" s="21"/>
    </row>
    <row r="252" spans="1:20" s="37" customFormat="1" x14ac:dyDescent="0.35">
      <c r="A252" s="112" t="s">
        <v>169</v>
      </c>
      <c r="B252" s="112"/>
      <c r="C252" s="112"/>
      <c r="D252" s="112"/>
      <c r="E252" s="112"/>
      <c r="F252" s="112"/>
      <c r="G252" s="112"/>
      <c r="H252" s="112"/>
      <c r="I252" s="36"/>
      <c r="L252" s="111"/>
      <c r="M252" s="111"/>
    </row>
    <row r="253" spans="1:20" s="37" customFormat="1" x14ac:dyDescent="0.35">
      <c r="A253" s="112" t="s">
        <v>174</v>
      </c>
      <c r="B253" s="112"/>
      <c r="C253" s="112"/>
      <c r="D253" s="112"/>
      <c r="E253" s="112"/>
      <c r="F253" s="112"/>
      <c r="G253" s="112"/>
      <c r="H253" s="112"/>
      <c r="I253" s="36"/>
      <c r="L253" s="111"/>
      <c r="M253" s="111"/>
    </row>
    <row r="254" spans="1:20" s="37" customFormat="1" x14ac:dyDescent="0.35">
      <c r="A254" s="112" t="s">
        <v>196</v>
      </c>
      <c r="B254" s="112"/>
      <c r="C254" s="112"/>
      <c r="D254" s="112"/>
      <c r="E254" s="112"/>
      <c r="F254" s="112"/>
      <c r="G254" s="112"/>
      <c r="H254" s="112"/>
      <c r="I254" s="36"/>
      <c r="L254" s="111"/>
      <c r="M254" s="111"/>
    </row>
    <row r="255" spans="1:20" s="37" customFormat="1" x14ac:dyDescent="0.35">
      <c r="A255" s="112" t="s">
        <v>171</v>
      </c>
      <c r="B255" s="112"/>
      <c r="C255" s="112"/>
      <c r="D255" s="112"/>
      <c r="E255" s="112"/>
      <c r="F255" s="112"/>
      <c r="G255" s="112"/>
      <c r="H255" s="112"/>
      <c r="I255" s="36"/>
      <c r="L255" s="111"/>
      <c r="M255" s="111"/>
    </row>
    <row r="256" spans="1:20" s="37" customFormat="1" x14ac:dyDescent="0.35">
      <c r="A256" s="112" t="s">
        <v>172</v>
      </c>
      <c r="B256" s="112"/>
      <c r="C256" s="112"/>
      <c r="D256" s="112"/>
      <c r="E256" s="112"/>
      <c r="F256" s="112"/>
      <c r="G256" s="112"/>
      <c r="H256" s="112"/>
      <c r="I256" s="36"/>
      <c r="L256" s="111"/>
      <c r="M256" s="111"/>
    </row>
    <row r="257" spans="1:20" s="37" customFormat="1" ht="15.75" customHeight="1" x14ac:dyDescent="0.35">
      <c r="A257" s="112" t="s">
        <v>173</v>
      </c>
      <c r="B257" s="112"/>
      <c r="C257" s="112"/>
      <c r="D257" s="112"/>
      <c r="E257" s="112"/>
      <c r="F257" s="112"/>
      <c r="G257" s="112"/>
      <c r="H257" s="112"/>
      <c r="J257" s="36"/>
    </row>
    <row r="258" spans="1:20" s="37" customFormat="1" ht="15.75" customHeight="1" x14ac:dyDescent="0.35">
      <c r="A258" s="61">
        <v>1</v>
      </c>
      <c r="B258" s="61" t="s">
        <v>209</v>
      </c>
      <c r="C258" s="61" t="s">
        <v>175</v>
      </c>
      <c r="D258" s="61">
        <f>(29.74)*(10.764)</f>
        <v>320.12135999999998</v>
      </c>
      <c r="E258" s="61">
        <f>(1*2.05)*(10.764)</f>
        <v>22.066199999999998</v>
      </c>
      <c r="F258" s="61">
        <f>D258+E258</f>
        <v>342.18755999999996</v>
      </c>
      <c r="G258" s="61">
        <v>0</v>
      </c>
      <c r="H258" s="61">
        <f t="shared" ref="H258:H268" si="55">F258*(($H$156)+1)+(IF(G258&lt;101,G258,IF(G258&lt;201,G258/2,IF(G258&lt;=301,G258/3,G258/4))))</f>
        <v>496.17196199999995</v>
      </c>
      <c r="I258" s="36">
        <f>2.75*3.35+2.05*2.59+2.75*2.9+1.2*1.8+1.2*1.72+1.2*0.55+0.7*0.55</f>
        <v>27.766000000000002</v>
      </c>
      <c r="L258" s="111"/>
      <c r="M258" s="111"/>
      <c r="N258" s="36"/>
    </row>
    <row r="259" spans="1:20" s="37" customFormat="1" ht="15.75" customHeight="1" x14ac:dyDescent="0.35">
      <c r="A259" s="61">
        <f>A258+1</f>
        <v>2</v>
      </c>
      <c r="B259" s="61" t="s">
        <v>209</v>
      </c>
      <c r="C259" s="61" t="s">
        <v>175</v>
      </c>
      <c r="D259" s="61">
        <f t="shared" ref="D259:D266" si="56">(29.74)*(10.764)</f>
        <v>320.12135999999998</v>
      </c>
      <c r="E259" s="61">
        <f t="shared" ref="E259:E266" si="57">(1*2.05)*(10.764)</f>
        <v>22.066199999999998</v>
      </c>
      <c r="F259" s="61">
        <f>D259+E259</f>
        <v>342.18755999999996</v>
      </c>
      <c r="G259" s="61">
        <v>0</v>
      </c>
      <c r="H259" s="61">
        <f t="shared" si="55"/>
        <v>496.17196199999995</v>
      </c>
      <c r="I259" s="36"/>
      <c r="L259" s="111"/>
      <c r="M259" s="111"/>
      <c r="N259" s="36"/>
    </row>
    <row r="260" spans="1:20" s="37" customFormat="1" ht="15.75" customHeight="1" x14ac:dyDescent="0.35">
      <c r="A260" s="61">
        <f>A259+1</f>
        <v>3</v>
      </c>
      <c r="B260" s="61" t="s">
        <v>209</v>
      </c>
      <c r="C260" s="61" t="s">
        <v>175</v>
      </c>
      <c r="D260" s="61">
        <f t="shared" si="56"/>
        <v>320.12135999999998</v>
      </c>
      <c r="E260" s="61">
        <f t="shared" si="57"/>
        <v>22.066199999999998</v>
      </c>
      <c r="F260" s="61">
        <f>D260+E260</f>
        <v>342.18755999999996</v>
      </c>
      <c r="G260" s="61">
        <v>0</v>
      </c>
      <c r="H260" s="61">
        <f t="shared" si="55"/>
        <v>496.17196199999995</v>
      </c>
      <c r="I260" s="36"/>
      <c r="L260" s="111"/>
      <c r="M260" s="111"/>
      <c r="N260" s="36"/>
    </row>
    <row r="261" spans="1:20" s="37" customFormat="1" ht="15.75" customHeight="1" x14ac:dyDescent="0.35">
      <c r="A261" s="61">
        <f>A260+1</f>
        <v>4</v>
      </c>
      <c r="B261" s="61" t="s">
        <v>209</v>
      </c>
      <c r="C261" s="61" t="s">
        <v>175</v>
      </c>
      <c r="D261" s="61">
        <f t="shared" si="56"/>
        <v>320.12135999999998</v>
      </c>
      <c r="E261" s="61">
        <f t="shared" si="57"/>
        <v>22.066199999999998</v>
      </c>
      <c r="F261" s="61">
        <f>D261+E261</f>
        <v>342.18755999999996</v>
      </c>
      <c r="G261" s="61">
        <v>0</v>
      </c>
      <c r="H261" s="61">
        <f t="shared" si="55"/>
        <v>496.17196199999995</v>
      </c>
      <c r="I261" s="36"/>
      <c r="L261" s="111"/>
      <c r="M261" s="111"/>
      <c r="N261" s="36"/>
      <c r="T261" s="21"/>
    </row>
    <row r="262" spans="1:20" s="37" customFormat="1" ht="15.75" customHeight="1" x14ac:dyDescent="0.35">
      <c r="A262" s="61">
        <f t="shared" ref="A262:A269" si="58">A261+1</f>
        <v>5</v>
      </c>
      <c r="B262" s="61" t="s">
        <v>209</v>
      </c>
      <c r="C262" s="61" t="s">
        <v>175</v>
      </c>
      <c r="D262" s="61">
        <f t="shared" si="56"/>
        <v>320.12135999999998</v>
      </c>
      <c r="E262" s="61">
        <f t="shared" si="57"/>
        <v>22.066199999999998</v>
      </c>
      <c r="F262" s="61">
        <f t="shared" ref="F262:F268" si="59">D262+E262</f>
        <v>342.18755999999996</v>
      </c>
      <c r="G262" s="61">
        <v>0</v>
      </c>
      <c r="H262" s="61">
        <f t="shared" si="55"/>
        <v>496.17196199999995</v>
      </c>
      <c r="I262" s="36"/>
      <c r="L262" s="111"/>
      <c r="M262" s="111"/>
      <c r="N262" s="36"/>
      <c r="T262" s="21"/>
    </row>
    <row r="263" spans="1:20" s="37" customFormat="1" ht="15.75" customHeight="1" x14ac:dyDescent="0.35">
      <c r="A263" s="61">
        <f t="shared" si="58"/>
        <v>6</v>
      </c>
      <c r="B263" s="61" t="s">
        <v>209</v>
      </c>
      <c r="C263" s="61" t="s">
        <v>175</v>
      </c>
      <c r="D263" s="61">
        <f t="shared" si="56"/>
        <v>320.12135999999998</v>
      </c>
      <c r="E263" s="61">
        <f t="shared" si="57"/>
        <v>22.066199999999998</v>
      </c>
      <c r="F263" s="61">
        <f t="shared" si="59"/>
        <v>342.18755999999996</v>
      </c>
      <c r="G263" s="61">
        <v>0</v>
      </c>
      <c r="H263" s="61">
        <f t="shared" si="55"/>
        <v>496.17196199999995</v>
      </c>
      <c r="I263" s="36"/>
      <c r="L263" s="111"/>
      <c r="M263" s="111"/>
      <c r="N263" s="36"/>
      <c r="T263" s="21"/>
    </row>
    <row r="264" spans="1:20" s="37" customFormat="1" ht="15.75" customHeight="1" x14ac:dyDescent="0.35">
      <c r="A264" s="61">
        <f t="shared" si="58"/>
        <v>7</v>
      </c>
      <c r="B264" s="61" t="s">
        <v>209</v>
      </c>
      <c r="C264" s="61" t="s">
        <v>175</v>
      </c>
      <c r="D264" s="61">
        <f t="shared" si="56"/>
        <v>320.12135999999998</v>
      </c>
      <c r="E264" s="61">
        <f t="shared" si="57"/>
        <v>22.066199999999998</v>
      </c>
      <c r="F264" s="61">
        <f t="shared" si="59"/>
        <v>342.18755999999996</v>
      </c>
      <c r="G264" s="61">
        <v>0</v>
      </c>
      <c r="H264" s="61">
        <f t="shared" si="55"/>
        <v>496.17196199999995</v>
      </c>
      <c r="I264" s="36"/>
      <c r="L264" s="111"/>
      <c r="M264" s="111"/>
      <c r="N264" s="36"/>
      <c r="T264" s="21"/>
    </row>
    <row r="265" spans="1:20" s="37" customFormat="1" ht="15.75" customHeight="1" x14ac:dyDescent="0.35">
      <c r="A265" s="61">
        <f t="shared" si="58"/>
        <v>8</v>
      </c>
      <c r="B265" s="61" t="s">
        <v>209</v>
      </c>
      <c r="C265" s="61" t="s">
        <v>175</v>
      </c>
      <c r="D265" s="61">
        <f t="shared" si="56"/>
        <v>320.12135999999998</v>
      </c>
      <c r="E265" s="61">
        <f t="shared" si="57"/>
        <v>22.066199999999998</v>
      </c>
      <c r="F265" s="61">
        <f t="shared" si="59"/>
        <v>342.18755999999996</v>
      </c>
      <c r="G265" s="61">
        <v>0</v>
      </c>
      <c r="H265" s="61">
        <f t="shared" si="55"/>
        <v>496.17196199999995</v>
      </c>
      <c r="I265" s="36"/>
      <c r="L265" s="111"/>
      <c r="M265" s="111"/>
      <c r="N265" s="36"/>
      <c r="T265" s="21"/>
    </row>
    <row r="266" spans="1:20" s="37" customFormat="1" ht="15.75" customHeight="1" x14ac:dyDescent="0.35">
      <c r="A266" s="61">
        <f t="shared" si="58"/>
        <v>9</v>
      </c>
      <c r="B266" s="61" t="s">
        <v>209</v>
      </c>
      <c r="C266" s="61" t="s">
        <v>175</v>
      </c>
      <c r="D266" s="61">
        <f t="shared" si="56"/>
        <v>320.12135999999998</v>
      </c>
      <c r="E266" s="61">
        <f t="shared" si="57"/>
        <v>22.066199999999998</v>
      </c>
      <c r="F266" s="61">
        <f t="shared" si="59"/>
        <v>342.18755999999996</v>
      </c>
      <c r="G266" s="61">
        <v>0</v>
      </c>
      <c r="H266" s="61">
        <f t="shared" si="55"/>
        <v>496.17196199999995</v>
      </c>
      <c r="I266" s="36"/>
      <c r="L266" s="111"/>
      <c r="M266" s="111"/>
      <c r="N266" s="36"/>
      <c r="T266" s="21"/>
    </row>
    <row r="267" spans="1:20" s="37" customFormat="1" ht="15.75" customHeight="1" x14ac:dyDescent="0.35">
      <c r="A267" s="61">
        <f t="shared" si="58"/>
        <v>10</v>
      </c>
      <c r="B267" s="61" t="s">
        <v>211</v>
      </c>
      <c r="C267" s="61" t="s">
        <v>175</v>
      </c>
      <c r="D267" s="61">
        <f>(34.75)*(10.764)</f>
        <v>374.04899999999998</v>
      </c>
      <c r="E267" s="61">
        <f>(1*2.14)*(10.764)</f>
        <v>23.034960000000002</v>
      </c>
      <c r="F267" s="61">
        <f t="shared" si="59"/>
        <v>397.08395999999999</v>
      </c>
      <c r="G267" s="61">
        <v>0</v>
      </c>
      <c r="H267" s="61">
        <f t="shared" si="55"/>
        <v>575.77174200000002</v>
      </c>
      <c r="I267" s="36"/>
      <c r="L267" s="111"/>
      <c r="M267" s="111"/>
      <c r="N267" s="36"/>
      <c r="T267" s="21"/>
    </row>
    <row r="268" spans="1:20" s="37" customFormat="1" ht="15.75" customHeight="1" x14ac:dyDescent="0.35">
      <c r="A268" s="60">
        <f t="shared" si="58"/>
        <v>11</v>
      </c>
      <c r="B268" s="60" t="s">
        <v>210</v>
      </c>
      <c r="C268" s="42" t="s">
        <v>175</v>
      </c>
      <c r="D268" s="55">
        <f>(29.85)*(10.764)</f>
        <v>321.30540000000002</v>
      </c>
      <c r="E268" s="55">
        <f>(1*2.05)*(10.764)</f>
        <v>22.066199999999998</v>
      </c>
      <c r="F268" s="42">
        <f t="shared" si="59"/>
        <v>343.3716</v>
      </c>
      <c r="G268" s="42">
        <v>0</v>
      </c>
      <c r="H268" s="42">
        <f t="shared" si="55"/>
        <v>497.88882000000001</v>
      </c>
      <c r="I268" s="36"/>
      <c r="L268" s="111"/>
      <c r="M268" s="111"/>
      <c r="N268" s="36"/>
      <c r="T268" s="21"/>
    </row>
    <row r="269" spans="1:20" s="37" customFormat="1" ht="15.75" customHeight="1" x14ac:dyDescent="0.35">
      <c r="A269" s="60">
        <f t="shared" si="58"/>
        <v>12</v>
      </c>
      <c r="B269" s="60" t="s">
        <v>212</v>
      </c>
      <c r="C269" s="130" t="s">
        <v>202</v>
      </c>
      <c r="D269" s="131"/>
      <c r="E269" s="131"/>
      <c r="F269" s="131"/>
      <c r="G269" s="131"/>
      <c r="H269" s="132"/>
      <c r="I269" s="36"/>
      <c r="L269" s="111"/>
      <c r="M269" s="111"/>
      <c r="N269" s="36"/>
      <c r="T269" s="21"/>
    </row>
    <row r="270" spans="1:20" s="37" customFormat="1" ht="15.75" customHeight="1" x14ac:dyDescent="0.35">
      <c r="A270" s="112" t="s">
        <v>203</v>
      </c>
      <c r="B270" s="112"/>
      <c r="C270" s="112"/>
      <c r="D270" s="112"/>
      <c r="E270" s="112"/>
      <c r="F270" s="112"/>
      <c r="G270" s="112"/>
      <c r="H270" s="112"/>
      <c r="J270" s="36"/>
    </row>
    <row r="271" spans="1:20" s="37" customFormat="1" ht="15.75" customHeight="1" x14ac:dyDescent="0.35">
      <c r="A271" s="68">
        <v>1</v>
      </c>
      <c r="B271" s="68" t="s">
        <v>209</v>
      </c>
      <c r="C271" s="68" t="s">
        <v>175</v>
      </c>
      <c r="D271" s="68">
        <f>(29.74)*(10.764)</f>
        <v>320.12135999999998</v>
      </c>
      <c r="E271" s="68">
        <f>(1*2.05)*(10.764)</f>
        <v>22.066199999999998</v>
      </c>
      <c r="F271" s="68">
        <f>D271+E271</f>
        <v>342.18755999999996</v>
      </c>
      <c r="G271" s="68">
        <v>0</v>
      </c>
      <c r="H271" s="68">
        <f t="shared" ref="H271:H282" si="60">F271*(($H$156)+1)+(IF(G271&lt;101,G271,IF(G271&lt;201,G271/2,IF(G271&lt;=301,G271/3,G271/4))))</f>
        <v>496.17196199999995</v>
      </c>
      <c r="I271" s="36"/>
      <c r="L271" s="111"/>
      <c r="M271" s="111"/>
      <c r="N271" s="36"/>
    </row>
    <row r="272" spans="1:20" s="37" customFormat="1" ht="15.75" customHeight="1" x14ac:dyDescent="0.35">
      <c r="A272" s="68">
        <f>A271+1</f>
        <v>2</v>
      </c>
      <c r="B272" s="68" t="s">
        <v>209</v>
      </c>
      <c r="C272" s="68" t="s">
        <v>175</v>
      </c>
      <c r="D272" s="68">
        <f t="shared" ref="D272:D279" si="61">(29.74)*(10.764)</f>
        <v>320.12135999999998</v>
      </c>
      <c r="E272" s="68">
        <f t="shared" ref="E272:E279" si="62">(1*2.05)*(10.764)</f>
        <v>22.066199999999998</v>
      </c>
      <c r="F272" s="68">
        <f>D272+E272</f>
        <v>342.18755999999996</v>
      </c>
      <c r="G272" s="68">
        <v>0</v>
      </c>
      <c r="H272" s="68">
        <f t="shared" si="60"/>
        <v>496.17196199999995</v>
      </c>
      <c r="I272" s="36"/>
      <c r="L272" s="111"/>
      <c r="M272" s="111"/>
      <c r="N272" s="36"/>
    </row>
    <row r="273" spans="1:20" s="37" customFormat="1" ht="15.75" customHeight="1" x14ac:dyDescent="0.35">
      <c r="A273" s="68">
        <f>A272+1</f>
        <v>3</v>
      </c>
      <c r="B273" s="68" t="s">
        <v>209</v>
      </c>
      <c r="C273" s="68" t="s">
        <v>175</v>
      </c>
      <c r="D273" s="68">
        <f t="shared" si="61"/>
        <v>320.12135999999998</v>
      </c>
      <c r="E273" s="68">
        <f t="shared" si="62"/>
        <v>22.066199999999998</v>
      </c>
      <c r="F273" s="68">
        <f>D273+E273</f>
        <v>342.18755999999996</v>
      </c>
      <c r="G273" s="68">
        <v>0</v>
      </c>
      <c r="H273" s="68">
        <f t="shared" si="60"/>
        <v>496.17196199999995</v>
      </c>
      <c r="I273" s="36"/>
      <c r="L273" s="111"/>
      <c r="M273" s="111"/>
      <c r="N273" s="36"/>
    </row>
    <row r="274" spans="1:20" s="37" customFormat="1" ht="15.75" customHeight="1" x14ac:dyDescent="0.35">
      <c r="A274" s="68">
        <f>A273+1</f>
        <v>4</v>
      </c>
      <c r="B274" s="68" t="s">
        <v>209</v>
      </c>
      <c r="C274" s="68" t="s">
        <v>175</v>
      </c>
      <c r="D274" s="68">
        <f t="shared" si="61"/>
        <v>320.12135999999998</v>
      </c>
      <c r="E274" s="68">
        <f t="shared" si="62"/>
        <v>22.066199999999998</v>
      </c>
      <c r="F274" s="68">
        <f>D274+E274</f>
        <v>342.18755999999996</v>
      </c>
      <c r="G274" s="68">
        <v>0</v>
      </c>
      <c r="H274" s="68">
        <f t="shared" si="60"/>
        <v>496.17196199999995</v>
      </c>
      <c r="I274" s="36"/>
      <c r="L274" s="111"/>
      <c r="M274" s="111"/>
      <c r="N274" s="36"/>
      <c r="T274" s="21"/>
    </row>
    <row r="275" spans="1:20" s="37" customFormat="1" ht="15.75" customHeight="1" x14ac:dyDescent="0.35">
      <c r="A275" s="68">
        <f t="shared" ref="A275:A282" si="63">A274+1</f>
        <v>5</v>
      </c>
      <c r="B275" s="68" t="s">
        <v>209</v>
      </c>
      <c r="C275" s="68" t="s">
        <v>175</v>
      </c>
      <c r="D275" s="68">
        <f t="shared" si="61"/>
        <v>320.12135999999998</v>
      </c>
      <c r="E275" s="68">
        <f t="shared" si="62"/>
        <v>22.066199999999998</v>
      </c>
      <c r="F275" s="68">
        <f t="shared" ref="F275:F282" si="64">D275+E275</f>
        <v>342.18755999999996</v>
      </c>
      <c r="G275" s="68">
        <v>0</v>
      </c>
      <c r="H275" s="68">
        <f t="shared" si="60"/>
        <v>496.17196199999995</v>
      </c>
      <c r="I275" s="36"/>
      <c r="L275" s="111"/>
      <c r="M275" s="111"/>
      <c r="N275" s="36"/>
      <c r="T275" s="21"/>
    </row>
    <row r="276" spans="1:20" s="37" customFormat="1" ht="15.75" customHeight="1" x14ac:dyDescent="0.35">
      <c r="A276" s="68">
        <f t="shared" si="63"/>
        <v>6</v>
      </c>
      <c r="B276" s="68" t="s">
        <v>209</v>
      </c>
      <c r="C276" s="68" t="s">
        <v>175</v>
      </c>
      <c r="D276" s="68">
        <f t="shared" si="61"/>
        <v>320.12135999999998</v>
      </c>
      <c r="E276" s="68">
        <f t="shared" si="62"/>
        <v>22.066199999999998</v>
      </c>
      <c r="F276" s="68">
        <f t="shared" si="64"/>
        <v>342.18755999999996</v>
      </c>
      <c r="G276" s="68">
        <v>0</v>
      </c>
      <c r="H276" s="68">
        <f t="shared" si="60"/>
        <v>496.17196199999995</v>
      </c>
      <c r="I276" s="36"/>
      <c r="L276" s="111"/>
      <c r="M276" s="111"/>
      <c r="N276" s="36"/>
      <c r="T276" s="21"/>
    </row>
    <row r="277" spans="1:20" s="37" customFormat="1" ht="15.75" customHeight="1" x14ac:dyDescent="0.35">
      <c r="A277" s="68">
        <f t="shared" si="63"/>
        <v>7</v>
      </c>
      <c r="B277" s="68" t="s">
        <v>209</v>
      </c>
      <c r="C277" s="68" t="s">
        <v>175</v>
      </c>
      <c r="D277" s="68">
        <f t="shared" si="61"/>
        <v>320.12135999999998</v>
      </c>
      <c r="E277" s="68">
        <f t="shared" si="62"/>
        <v>22.066199999999998</v>
      </c>
      <c r="F277" s="68">
        <f t="shared" si="64"/>
        <v>342.18755999999996</v>
      </c>
      <c r="G277" s="68">
        <v>0</v>
      </c>
      <c r="H277" s="68">
        <f t="shared" si="60"/>
        <v>496.17196199999995</v>
      </c>
      <c r="I277" s="36"/>
      <c r="L277" s="111"/>
      <c r="M277" s="111"/>
      <c r="N277" s="36"/>
      <c r="T277" s="21"/>
    </row>
    <row r="278" spans="1:20" s="37" customFormat="1" ht="15.75" customHeight="1" x14ac:dyDescent="0.35">
      <c r="A278" s="68">
        <f t="shared" si="63"/>
        <v>8</v>
      </c>
      <c r="B278" s="68" t="s">
        <v>209</v>
      </c>
      <c r="C278" s="68" t="s">
        <v>175</v>
      </c>
      <c r="D278" s="68">
        <f t="shared" si="61"/>
        <v>320.12135999999998</v>
      </c>
      <c r="E278" s="68">
        <f t="shared" si="62"/>
        <v>22.066199999999998</v>
      </c>
      <c r="F278" s="68">
        <f t="shared" si="64"/>
        <v>342.18755999999996</v>
      </c>
      <c r="G278" s="68">
        <v>0</v>
      </c>
      <c r="H278" s="68">
        <f t="shared" si="60"/>
        <v>496.17196199999995</v>
      </c>
      <c r="I278" s="36"/>
      <c r="L278" s="111"/>
      <c r="M278" s="111"/>
      <c r="N278" s="36"/>
      <c r="T278" s="21"/>
    </row>
    <row r="279" spans="1:20" s="37" customFormat="1" ht="15.75" customHeight="1" x14ac:dyDescent="0.35">
      <c r="A279" s="68">
        <f t="shared" si="63"/>
        <v>9</v>
      </c>
      <c r="B279" s="68" t="s">
        <v>209</v>
      </c>
      <c r="C279" s="68" t="s">
        <v>175</v>
      </c>
      <c r="D279" s="68">
        <f t="shared" si="61"/>
        <v>320.12135999999998</v>
      </c>
      <c r="E279" s="68">
        <f t="shared" si="62"/>
        <v>22.066199999999998</v>
      </c>
      <c r="F279" s="68">
        <f t="shared" si="64"/>
        <v>342.18755999999996</v>
      </c>
      <c r="G279" s="68">
        <v>0</v>
      </c>
      <c r="H279" s="68">
        <f t="shared" si="60"/>
        <v>496.17196199999995</v>
      </c>
      <c r="I279" s="36"/>
      <c r="L279" s="111"/>
      <c r="M279" s="111"/>
      <c r="N279" s="36"/>
      <c r="T279" s="21"/>
    </row>
    <row r="280" spans="1:20" s="37" customFormat="1" ht="15.75" customHeight="1" x14ac:dyDescent="0.35">
      <c r="A280" s="68">
        <f t="shared" si="63"/>
        <v>10</v>
      </c>
      <c r="B280" s="68" t="s">
        <v>211</v>
      </c>
      <c r="C280" s="68" t="s">
        <v>175</v>
      </c>
      <c r="D280" s="68">
        <f>(34.75)*(10.764)</f>
        <v>374.04899999999998</v>
      </c>
      <c r="E280" s="68">
        <f>(1*2.14)*(10.764)</f>
        <v>23.034960000000002</v>
      </c>
      <c r="F280" s="68">
        <f t="shared" si="64"/>
        <v>397.08395999999999</v>
      </c>
      <c r="G280" s="68">
        <v>0</v>
      </c>
      <c r="H280" s="68">
        <f t="shared" si="60"/>
        <v>575.77174200000002</v>
      </c>
      <c r="I280" s="36"/>
      <c r="L280" s="111"/>
      <c r="M280" s="111"/>
      <c r="N280" s="36"/>
      <c r="T280" s="21"/>
    </row>
    <row r="281" spans="1:20" s="37" customFormat="1" ht="15.75" customHeight="1" x14ac:dyDescent="0.35">
      <c r="A281" s="68">
        <f t="shared" si="63"/>
        <v>11</v>
      </c>
      <c r="B281" s="68" t="s">
        <v>210</v>
      </c>
      <c r="C281" s="68" t="s">
        <v>175</v>
      </c>
      <c r="D281" s="55">
        <f t="shared" ref="D281:D282" si="65">(29.85)*(10.764)</f>
        <v>321.30540000000002</v>
      </c>
      <c r="E281" s="55">
        <f t="shared" ref="E281:E282" si="66">(1*2.05)*(10.764)</f>
        <v>22.066199999999998</v>
      </c>
      <c r="F281" s="68">
        <f t="shared" si="64"/>
        <v>343.3716</v>
      </c>
      <c r="G281" s="68">
        <v>0</v>
      </c>
      <c r="H281" s="68">
        <f t="shared" si="60"/>
        <v>497.88882000000001</v>
      </c>
      <c r="I281" s="36"/>
      <c r="L281" s="111"/>
      <c r="M281" s="111"/>
      <c r="N281" s="36"/>
      <c r="T281" s="21"/>
    </row>
    <row r="282" spans="1:20" s="37" customFormat="1" ht="15.75" customHeight="1" x14ac:dyDescent="0.35">
      <c r="A282" s="60">
        <f t="shared" si="63"/>
        <v>12</v>
      </c>
      <c r="B282" s="60" t="s">
        <v>210</v>
      </c>
      <c r="C282" s="42" t="s">
        <v>175</v>
      </c>
      <c r="D282" s="55">
        <f t="shared" si="65"/>
        <v>321.30540000000002</v>
      </c>
      <c r="E282" s="55">
        <f t="shared" si="66"/>
        <v>22.066199999999998</v>
      </c>
      <c r="F282" s="42">
        <f t="shared" si="64"/>
        <v>343.3716</v>
      </c>
      <c r="G282" s="42">
        <v>0</v>
      </c>
      <c r="H282" s="42">
        <f t="shared" si="60"/>
        <v>497.88882000000001</v>
      </c>
      <c r="I282" s="36"/>
      <c r="L282" s="111"/>
      <c r="M282" s="111"/>
      <c r="N282" s="36"/>
      <c r="T282" s="21"/>
    </row>
    <row r="283" spans="1:20" s="37" customFormat="1" ht="15.75" customHeight="1" x14ac:dyDescent="0.35">
      <c r="A283" s="149" t="s">
        <v>204</v>
      </c>
      <c r="B283" s="149"/>
      <c r="C283" s="149"/>
      <c r="D283" s="149"/>
      <c r="E283" s="149"/>
      <c r="F283" s="149"/>
      <c r="G283" s="149"/>
      <c r="H283" s="149"/>
      <c r="J283" s="36"/>
    </row>
    <row r="284" spans="1:20" s="37" customFormat="1" ht="15.75" customHeight="1" x14ac:dyDescent="0.35">
      <c r="A284" s="60">
        <v>1</v>
      </c>
      <c r="B284" s="60" t="s">
        <v>209</v>
      </c>
      <c r="C284" s="42" t="s">
        <v>175</v>
      </c>
      <c r="D284" s="42">
        <f>(29.74)*(10.764)</f>
        <v>320.12135999999998</v>
      </c>
      <c r="E284" s="42">
        <f>(1*2.05+1.5*2.75)*(10.764)</f>
        <v>66.467699999999994</v>
      </c>
      <c r="F284" s="42">
        <f>D284+E284</f>
        <v>386.58905999999996</v>
      </c>
      <c r="G284" s="42">
        <v>0</v>
      </c>
      <c r="H284" s="42">
        <f t="shared" ref="H284:H295" si="67">F284*(($H$156)+1)+(IF(G284&lt;101,G284,IF(G284&lt;201,G284/2,IF(G284&lt;=301,G284/3,G284/4))))</f>
        <v>560.55413699999997</v>
      </c>
      <c r="I284" s="36"/>
      <c r="L284" s="111"/>
      <c r="M284" s="111"/>
      <c r="N284" s="36"/>
    </row>
    <row r="285" spans="1:20" s="37" customFormat="1" ht="15.75" customHeight="1" x14ac:dyDescent="0.35">
      <c r="A285" s="60">
        <f>A284+1</f>
        <v>2</v>
      </c>
      <c r="B285" s="60" t="s">
        <v>209</v>
      </c>
      <c r="C285" s="42" t="s">
        <v>175</v>
      </c>
      <c r="D285" s="42">
        <f t="shared" ref="D285:D292" si="68">(29.74)*(10.764)</f>
        <v>320.12135999999998</v>
      </c>
      <c r="E285" s="42">
        <f t="shared" ref="E285:E295" si="69">(1*2.05+1.5*2.75)*(10.764)</f>
        <v>66.467699999999994</v>
      </c>
      <c r="F285" s="42">
        <f>D285+E285</f>
        <v>386.58905999999996</v>
      </c>
      <c r="G285" s="42">
        <v>0</v>
      </c>
      <c r="H285" s="42">
        <f t="shared" si="67"/>
        <v>560.55413699999997</v>
      </c>
      <c r="I285" s="36"/>
      <c r="L285" s="111"/>
      <c r="M285" s="111"/>
      <c r="N285" s="36"/>
    </row>
    <row r="286" spans="1:20" s="37" customFormat="1" ht="15.75" customHeight="1" x14ac:dyDescent="0.35">
      <c r="A286" s="60">
        <f>A285+1</f>
        <v>3</v>
      </c>
      <c r="B286" s="60" t="s">
        <v>209</v>
      </c>
      <c r="C286" s="42" t="s">
        <v>175</v>
      </c>
      <c r="D286" s="42">
        <f t="shared" si="68"/>
        <v>320.12135999999998</v>
      </c>
      <c r="E286" s="42">
        <f t="shared" si="69"/>
        <v>66.467699999999994</v>
      </c>
      <c r="F286" s="42">
        <f>D286+E286</f>
        <v>386.58905999999996</v>
      </c>
      <c r="G286" s="42">
        <v>0</v>
      </c>
      <c r="H286" s="42">
        <f t="shared" si="67"/>
        <v>560.55413699999997</v>
      </c>
      <c r="I286" s="36"/>
      <c r="L286" s="111"/>
      <c r="M286" s="111"/>
      <c r="N286" s="36"/>
    </row>
    <row r="287" spans="1:20" s="37" customFormat="1" ht="15.75" customHeight="1" x14ac:dyDescent="0.35">
      <c r="A287" s="60">
        <f>A286+1</f>
        <v>4</v>
      </c>
      <c r="B287" s="60" t="s">
        <v>209</v>
      </c>
      <c r="C287" s="42" t="s">
        <v>175</v>
      </c>
      <c r="D287" s="42">
        <f t="shared" si="68"/>
        <v>320.12135999999998</v>
      </c>
      <c r="E287" s="42">
        <f t="shared" si="69"/>
        <v>66.467699999999994</v>
      </c>
      <c r="F287" s="42">
        <f>D287+E287</f>
        <v>386.58905999999996</v>
      </c>
      <c r="G287" s="42">
        <v>0</v>
      </c>
      <c r="H287" s="42">
        <f t="shared" si="67"/>
        <v>560.55413699999997</v>
      </c>
      <c r="I287" s="36"/>
      <c r="L287" s="111"/>
      <c r="M287" s="111"/>
      <c r="N287" s="36"/>
      <c r="T287" s="21"/>
    </row>
    <row r="288" spans="1:20" s="37" customFormat="1" ht="15.75" customHeight="1" x14ac:dyDescent="0.35">
      <c r="A288" s="60">
        <f t="shared" ref="A288:A295" si="70">A287+1</f>
        <v>5</v>
      </c>
      <c r="B288" s="60" t="s">
        <v>209</v>
      </c>
      <c r="C288" s="42" t="s">
        <v>175</v>
      </c>
      <c r="D288" s="42">
        <f t="shared" si="68"/>
        <v>320.12135999999998</v>
      </c>
      <c r="E288" s="42">
        <f t="shared" si="69"/>
        <v>66.467699999999994</v>
      </c>
      <c r="F288" s="42">
        <f t="shared" ref="F288:F294" si="71">D288+E288</f>
        <v>386.58905999999996</v>
      </c>
      <c r="G288" s="42">
        <v>0</v>
      </c>
      <c r="H288" s="42">
        <f t="shared" si="67"/>
        <v>560.55413699999997</v>
      </c>
      <c r="I288" s="36"/>
      <c r="L288" s="111"/>
      <c r="M288" s="111"/>
      <c r="N288" s="36"/>
      <c r="T288" s="21"/>
    </row>
    <row r="289" spans="1:20" s="37" customFormat="1" ht="15.75" customHeight="1" x14ac:dyDescent="0.35">
      <c r="A289" s="60">
        <f t="shared" si="70"/>
        <v>6</v>
      </c>
      <c r="B289" s="60" t="s">
        <v>209</v>
      </c>
      <c r="C289" s="42" t="s">
        <v>175</v>
      </c>
      <c r="D289" s="42">
        <f t="shared" si="68"/>
        <v>320.12135999999998</v>
      </c>
      <c r="E289" s="42">
        <f t="shared" si="69"/>
        <v>66.467699999999994</v>
      </c>
      <c r="F289" s="42">
        <f t="shared" si="71"/>
        <v>386.58905999999996</v>
      </c>
      <c r="G289" s="42">
        <v>0</v>
      </c>
      <c r="H289" s="42">
        <f t="shared" si="67"/>
        <v>560.55413699999997</v>
      </c>
      <c r="I289" s="36"/>
      <c r="L289" s="111"/>
      <c r="M289" s="111"/>
      <c r="N289" s="36"/>
      <c r="T289" s="21"/>
    </row>
    <row r="290" spans="1:20" s="37" customFormat="1" ht="15.75" customHeight="1" x14ac:dyDescent="0.35">
      <c r="A290" s="60">
        <f t="shared" si="70"/>
        <v>7</v>
      </c>
      <c r="B290" s="60" t="s">
        <v>209</v>
      </c>
      <c r="C290" s="42" t="s">
        <v>175</v>
      </c>
      <c r="D290" s="42">
        <f t="shared" si="68"/>
        <v>320.12135999999998</v>
      </c>
      <c r="E290" s="42">
        <f t="shared" si="69"/>
        <v>66.467699999999994</v>
      </c>
      <c r="F290" s="42">
        <f t="shared" si="71"/>
        <v>386.58905999999996</v>
      </c>
      <c r="G290" s="42">
        <v>0</v>
      </c>
      <c r="H290" s="42">
        <f t="shared" si="67"/>
        <v>560.55413699999997</v>
      </c>
      <c r="I290" s="36"/>
      <c r="L290" s="111"/>
      <c r="M290" s="111"/>
      <c r="N290" s="36"/>
      <c r="T290" s="21"/>
    </row>
    <row r="291" spans="1:20" s="37" customFormat="1" ht="15.75" customHeight="1" x14ac:dyDescent="0.35">
      <c r="A291" s="60">
        <f t="shared" si="70"/>
        <v>8</v>
      </c>
      <c r="B291" s="60" t="s">
        <v>209</v>
      </c>
      <c r="C291" s="42" t="s">
        <v>175</v>
      </c>
      <c r="D291" s="42">
        <f t="shared" si="68"/>
        <v>320.12135999999998</v>
      </c>
      <c r="E291" s="42">
        <f t="shared" si="69"/>
        <v>66.467699999999994</v>
      </c>
      <c r="F291" s="42">
        <f t="shared" si="71"/>
        <v>386.58905999999996</v>
      </c>
      <c r="G291" s="42">
        <v>0</v>
      </c>
      <c r="H291" s="42">
        <f t="shared" si="67"/>
        <v>560.55413699999997</v>
      </c>
      <c r="I291" s="36"/>
      <c r="L291" s="111"/>
      <c r="M291" s="111"/>
      <c r="N291" s="36"/>
      <c r="T291" s="21"/>
    </row>
    <row r="292" spans="1:20" s="37" customFormat="1" ht="15.75" customHeight="1" x14ac:dyDescent="0.35">
      <c r="A292" s="60">
        <f t="shared" si="70"/>
        <v>9</v>
      </c>
      <c r="B292" s="60" t="s">
        <v>209</v>
      </c>
      <c r="C292" s="42" t="s">
        <v>175</v>
      </c>
      <c r="D292" s="42">
        <f t="shared" si="68"/>
        <v>320.12135999999998</v>
      </c>
      <c r="E292" s="42">
        <f t="shared" si="69"/>
        <v>66.467699999999994</v>
      </c>
      <c r="F292" s="42">
        <f t="shared" si="71"/>
        <v>386.58905999999996</v>
      </c>
      <c r="G292" s="42">
        <v>0</v>
      </c>
      <c r="H292" s="42">
        <f t="shared" si="67"/>
        <v>560.55413699999997</v>
      </c>
      <c r="I292" s="36"/>
      <c r="L292" s="111"/>
      <c r="M292" s="111"/>
      <c r="N292" s="36"/>
      <c r="T292" s="21"/>
    </row>
    <row r="293" spans="1:20" s="37" customFormat="1" ht="15.75" customHeight="1" x14ac:dyDescent="0.35">
      <c r="A293" s="60">
        <f t="shared" si="70"/>
        <v>10</v>
      </c>
      <c r="B293" s="60" t="s">
        <v>211</v>
      </c>
      <c r="C293" s="42" t="s">
        <v>175</v>
      </c>
      <c r="D293" s="42">
        <f>(34.75)*(10.764)</f>
        <v>374.04899999999998</v>
      </c>
      <c r="E293" s="42">
        <f>(1*2.14+1.21*2.9)*(10.764)</f>
        <v>60.805835999999999</v>
      </c>
      <c r="F293" s="42">
        <f t="shared" si="71"/>
        <v>434.85483599999998</v>
      </c>
      <c r="G293" s="42">
        <v>0</v>
      </c>
      <c r="H293" s="42">
        <f t="shared" si="67"/>
        <v>630.53951219999999</v>
      </c>
      <c r="I293" s="36"/>
      <c r="L293" s="111"/>
      <c r="M293" s="111"/>
      <c r="N293" s="36"/>
      <c r="T293" s="21"/>
    </row>
    <row r="294" spans="1:20" s="37" customFormat="1" ht="15.75" customHeight="1" x14ac:dyDescent="0.35">
      <c r="A294" s="60">
        <f t="shared" si="70"/>
        <v>11</v>
      </c>
      <c r="B294" s="60" t="s">
        <v>210</v>
      </c>
      <c r="C294" s="42" t="s">
        <v>175</v>
      </c>
      <c r="D294" s="55">
        <f t="shared" ref="D294:D295" si="72">(29.85)*(10.764)</f>
        <v>321.30540000000002</v>
      </c>
      <c r="E294" s="55">
        <f t="shared" si="69"/>
        <v>66.467699999999994</v>
      </c>
      <c r="F294" s="42">
        <f t="shared" si="71"/>
        <v>387.7731</v>
      </c>
      <c r="G294" s="42">
        <v>0</v>
      </c>
      <c r="H294" s="42">
        <f t="shared" si="67"/>
        <v>562.27099499999997</v>
      </c>
      <c r="I294" s="36"/>
      <c r="L294" s="111"/>
      <c r="M294" s="111"/>
      <c r="N294" s="36"/>
      <c r="T294" s="21"/>
    </row>
    <row r="295" spans="1:20" s="37" customFormat="1" ht="15.75" customHeight="1" x14ac:dyDescent="0.35">
      <c r="A295" s="60">
        <f t="shared" si="70"/>
        <v>12</v>
      </c>
      <c r="B295" s="60" t="s">
        <v>210</v>
      </c>
      <c r="C295" s="42" t="s">
        <v>175</v>
      </c>
      <c r="D295" s="55">
        <f t="shared" si="72"/>
        <v>321.30540000000002</v>
      </c>
      <c r="E295" s="55">
        <f t="shared" si="69"/>
        <v>66.467699999999994</v>
      </c>
      <c r="F295" s="42">
        <f t="shared" ref="F295" si="73">D295+E295</f>
        <v>387.7731</v>
      </c>
      <c r="G295" s="42">
        <v>0</v>
      </c>
      <c r="H295" s="42">
        <f t="shared" si="67"/>
        <v>562.27099499999997</v>
      </c>
      <c r="I295" s="36"/>
      <c r="L295" s="111"/>
      <c r="M295" s="111"/>
      <c r="N295" s="36"/>
      <c r="T295" s="21"/>
    </row>
    <row r="296" spans="1:20" s="37" customFormat="1" ht="15.75" customHeight="1" x14ac:dyDescent="0.35">
      <c r="A296" s="112" t="s">
        <v>179</v>
      </c>
      <c r="B296" s="112"/>
      <c r="C296" s="112"/>
      <c r="D296" s="112"/>
      <c r="E296" s="112"/>
      <c r="F296" s="112"/>
      <c r="G296" s="112"/>
      <c r="H296" s="112"/>
      <c r="J296" s="36"/>
    </row>
    <row r="297" spans="1:20" s="37" customFormat="1" ht="15.75" customHeight="1" x14ac:dyDescent="0.35">
      <c r="A297" s="61">
        <v>1</v>
      </c>
      <c r="B297" s="61" t="s">
        <v>209</v>
      </c>
      <c r="C297" s="61" t="s">
        <v>175</v>
      </c>
      <c r="D297" s="61">
        <f>(29.74)*(10.764)</f>
        <v>320.12135999999998</v>
      </c>
      <c r="E297" s="61">
        <f>(1*2.05)*(10.764)</f>
        <v>22.066199999999998</v>
      </c>
      <c r="F297" s="61">
        <f>D297+E297</f>
        <v>342.18755999999996</v>
      </c>
      <c r="G297" s="61">
        <v>0</v>
      </c>
      <c r="H297" s="61">
        <f t="shared" ref="H297:H305" si="74">F297*(($H$156)+1)+(IF(G297&lt;101,G297,IF(G297&lt;201,G297/2,IF(G297&lt;=301,G297/3,G297/4))))</f>
        <v>496.17196199999995</v>
      </c>
      <c r="I297" s="36"/>
      <c r="L297" s="111"/>
      <c r="M297" s="111"/>
      <c r="N297" s="36"/>
    </row>
    <row r="298" spans="1:20" s="37" customFormat="1" ht="15.75" customHeight="1" x14ac:dyDescent="0.35">
      <c r="A298" s="61">
        <f>A297+1</f>
        <v>2</v>
      </c>
      <c r="B298" s="61" t="s">
        <v>209</v>
      </c>
      <c r="C298" s="61" t="s">
        <v>175</v>
      </c>
      <c r="D298" s="61">
        <f t="shared" ref="D298:D305" si="75">(29.74)*(10.764)</f>
        <v>320.12135999999998</v>
      </c>
      <c r="E298" s="61">
        <f t="shared" ref="E298:E305" si="76">(1*2.05)*(10.764)</f>
        <v>22.066199999999998</v>
      </c>
      <c r="F298" s="61">
        <f>D298+E298</f>
        <v>342.18755999999996</v>
      </c>
      <c r="G298" s="61">
        <v>0</v>
      </c>
      <c r="H298" s="61">
        <f t="shared" si="74"/>
        <v>496.17196199999995</v>
      </c>
      <c r="I298" s="36"/>
      <c r="L298" s="111"/>
      <c r="M298" s="111"/>
      <c r="N298" s="36"/>
    </row>
    <row r="299" spans="1:20" s="37" customFormat="1" ht="15.75" customHeight="1" x14ac:dyDescent="0.35">
      <c r="A299" s="61">
        <f>A298+1</f>
        <v>3</v>
      </c>
      <c r="B299" s="61" t="s">
        <v>209</v>
      </c>
      <c r="C299" s="61" t="s">
        <v>175</v>
      </c>
      <c r="D299" s="61">
        <f t="shared" si="75"/>
        <v>320.12135999999998</v>
      </c>
      <c r="E299" s="61">
        <f t="shared" si="76"/>
        <v>22.066199999999998</v>
      </c>
      <c r="F299" s="61">
        <f>D299+E299</f>
        <v>342.18755999999996</v>
      </c>
      <c r="G299" s="61">
        <v>0</v>
      </c>
      <c r="H299" s="61">
        <f t="shared" si="74"/>
        <v>496.17196199999995</v>
      </c>
      <c r="I299" s="36"/>
      <c r="L299" s="111"/>
      <c r="M299" s="111"/>
      <c r="N299" s="36"/>
    </row>
    <row r="300" spans="1:20" s="37" customFormat="1" ht="15.75" customHeight="1" x14ac:dyDescent="0.35">
      <c r="A300" s="61">
        <f>A299+1</f>
        <v>4</v>
      </c>
      <c r="B300" s="61" t="s">
        <v>209</v>
      </c>
      <c r="C300" s="61" t="s">
        <v>175</v>
      </c>
      <c r="D300" s="61">
        <f t="shared" si="75"/>
        <v>320.12135999999998</v>
      </c>
      <c r="E300" s="61">
        <f t="shared" si="76"/>
        <v>22.066199999999998</v>
      </c>
      <c r="F300" s="61">
        <f>D300+E300</f>
        <v>342.18755999999996</v>
      </c>
      <c r="G300" s="61">
        <v>0</v>
      </c>
      <c r="H300" s="61">
        <f t="shared" si="74"/>
        <v>496.17196199999995</v>
      </c>
      <c r="I300" s="36"/>
      <c r="L300" s="111"/>
      <c r="M300" s="111"/>
      <c r="N300" s="36"/>
      <c r="T300" s="21"/>
    </row>
    <row r="301" spans="1:20" s="37" customFormat="1" ht="15.75" customHeight="1" x14ac:dyDescent="0.35">
      <c r="A301" s="61">
        <f t="shared" ref="A301:A308" si="77">A300+1</f>
        <v>5</v>
      </c>
      <c r="B301" s="61" t="s">
        <v>209</v>
      </c>
      <c r="C301" s="61" t="s">
        <v>175</v>
      </c>
      <c r="D301" s="61">
        <f t="shared" si="75"/>
        <v>320.12135999999998</v>
      </c>
      <c r="E301" s="61">
        <f t="shared" si="76"/>
        <v>22.066199999999998</v>
      </c>
      <c r="F301" s="61">
        <f t="shared" ref="F301:F308" si="78">D301+E301</f>
        <v>342.18755999999996</v>
      </c>
      <c r="G301" s="61">
        <v>0</v>
      </c>
      <c r="H301" s="61">
        <f t="shared" si="74"/>
        <v>496.17196199999995</v>
      </c>
      <c r="I301" s="36"/>
      <c r="L301" s="111"/>
      <c r="M301" s="111"/>
      <c r="N301" s="36"/>
      <c r="T301" s="21"/>
    </row>
    <row r="302" spans="1:20" s="37" customFormat="1" ht="15.75" customHeight="1" x14ac:dyDescent="0.35">
      <c r="A302" s="61">
        <f t="shared" si="77"/>
        <v>6</v>
      </c>
      <c r="B302" s="61" t="s">
        <v>209</v>
      </c>
      <c r="C302" s="61" t="s">
        <v>175</v>
      </c>
      <c r="D302" s="61">
        <f t="shared" si="75"/>
        <v>320.12135999999998</v>
      </c>
      <c r="E302" s="61">
        <f t="shared" si="76"/>
        <v>22.066199999999998</v>
      </c>
      <c r="F302" s="61">
        <f t="shared" si="78"/>
        <v>342.18755999999996</v>
      </c>
      <c r="G302" s="61">
        <v>0</v>
      </c>
      <c r="H302" s="61">
        <f t="shared" si="74"/>
        <v>496.17196199999995</v>
      </c>
      <c r="I302" s="36"/>
      <c r="L302" s="111"/>
      <c r="M302" s="111"/>
      <c r="N302" s="36"/>
      <c r="T302" s="21"/>
    </row>
    <row r="303" spans="1:20" s="37" customFormat="1" ht="15.75" customHeight="1" x14ac:dyDescent="0.35">
      <c r="A303" s="61">
        <f t="shared" si="77"/>
        <v>7</v>
      </c>
      <c r="B303" s="61" t="s">
        <v>209</v>
      </c>
      <c r="C303" s="61" t="s">
        <v>175</v>
      </c>
      <c r="D303" s="61">
        <f t="shared" si="75"/>
        <v>320.12135999999998</v>
      </c>
      <c r="E303" s="61">
        <f t="shared" si="76"/>
        <v>22.066199999999998</v>
      </c>
      <c r="F303" s="61">
        <f t="shared" si="78"/>
        <v>342.18755999999996</v>
      </c>
      <c r="G303" s="61">
        <v>0</v>
      </c>
      <c r="H303" s="61">
        <f t="shared" si="74"/>
        <v>496.17196199999995</v>
      </c>
      <c r="I303" s="36"/>
      <c r="L303" s="111"/>
      <c r="M303" s="111"/>
      <c r="N303" s="36"/>
      <c r="T303" s="21"/>
    </row>
    <row r="304" spans="1:20" s="37" customFormat="1" ht="15.75" customHeight="1" x14ac:dyDescent="0.35">
      <c r="A304" s="61">
        <f t="shared" si="77"/>
        <v>8</v>
      </c>
      <c r="B304" s="61" t="s">
        <v>209</v>
      </c>
      <c r="C304" s="61" t="s">
        <v>175</v>
      </c>
      <c r="D304" s="61">
        <f t="shared" si="75"/>
        <v>320.12135999999998</v>
      </c>
      <c r="E304" s="61">
        <f t="shared" si="76"/>
        <v>22.066199999999998</v>
      </c>
      <c r="F304" s="61">
        <f t="shared" si="78"/>
        <v>342.18755999999996</v>
      </c>
      <c r="G304" s="61">
        <v>0</v>
      </c>
      <c r="H304" s="61">
        <f t="shared" si="74"/>
        <v>496.17196199999995</v>
      </c>
      <c r="I304" s="36"/>
      <c r="L304" s="111"/>
      <c r="M304" s="111"/>
      <c r="N304" s="36"/>
      <c r="T304" s="21"/>
    </row>
    <row r="305" spans="1:20" s="37" customFormat="1" ht="15.75" customHeight="1" x14ac:dyDescent="0.35">
      <c r="A305" s="61">
        <f t="shared" si="77"/>
        <v>9</v>
      </c>
      <c r="B305" s="61" t="s">
        <v>209</v>
      </c>
      <c r="C305" s="61" t="s">
        <v>175</v>
      </c>
      <c r="D305" s="61">
        <f t="shared" si="75"/>
        <v>320.12135999999998</v>
      </c>
      <c r="E305" s="61">
        <f t="shared" si="76"/>
        <v>22.066199999999998</v>
      </c>
      <c r="F305" s="61">
        <f t="shared" si="78"/>
        <v>342.18755999999996</v>
      </c>
      <c r="G305" s="61">
        <v>0</v>
      </c>
      <c r="H305" s="61">
        <f t="shared" si="74"/>
        <v>496.17196199999995</v>
      </c>
      <c r="I305" s="36"/>
      <c r="L305" s="111"/>
      <c r="M305" s="111"/>
      <c r="N305" s="36"/>
      <c r="T305" s="21"/>
    </row>
    <row r="306" spans="1:20" s="37" customFormat="1" ht="15.75" customHeight="1" x14ac:dyDescent="0.35">
      <c r="A306" s="61">
        <f t="shared" si="77"/>
        <v>10</v>
      </c>
      <c r="B306" s="61" t="s">
        <v>212</v>
      </c>
      <c r="C306" s="113" t="s">
        <v>180</v>
      </c>
      <c r="D306" s="113"/>
      <c r="E306" s="113"/>
      <c r="F306" s="113"/>
      <c r="G306" s="113"/>
      <c r="H306" s="113"/>
      <c r="I306" s="36"/>
      <c r="L306" s="111"/>
      <c r="M306" s="111"/>
      <c r="N306" s="36"/>
      <c r="T306" s="21"/>
    </row>
    <row r="307" spans="1:20" s="37" customFormat="1" ht="15.75" customHeight="1" x14ac:dyDescent="0.35">
      <c r="A307" s="61">
        <f t="shared" si="77"/>
        <v>11</v>
      </c>
      <c r="B307" s="61" t="s">
        <v>210</v>
      </c>
      <c r="C307" s="61" t="s">
        <v>175</v>
      </c>
      <c r="D307" s="55">
        <f t="shared" ref="D307:D308" si="79">(29.85)*(10.764)</f>
        <v>321.30540000000002</v>
      </c>
      <c r="E307" s="55">
        <f t="shared" ref="E307:E308" si="80">(1*2.05)*(10.764)</f>
        <v>22.066199999999998</v>
      </c>
      <c r="F307" s="61">
        <f t="shared" si="78"/>
        <v>343.3716</v>
      </c>
      <c r="G307" s="61">
        <v>0</v>
      </c>
      <c r="H307" s="61">
        <f t="shared" ref="H307:H308" si="81">F307*(($H$156)+1)+(IF(G307&lt;101,G307,IF(G307&lt;201,G307/2,IF(G307&lt;=301,G307/3,G307/4))))</f>
        <v>497.88882000000001</v>
      </c>
      <c r="I307" s="36"/>
      <c r="L307" s="111"/>
      <c r="M307" s="111"/>
      <c r="N307" s="36"/>
      <c r="T307" s="21"/>
    </row>
    <row r="308" spans="1:20" s="37" customFormat="1" ht="15.75" customHeight="1" x14ac:dyDescent="0.35">
      <c r="A308" s="60">
        <f t="shared" si="77"/>
        <v>12</v>
      </c>
      <c r="B308" s="60" t="s">
        <v>210</v>
      </c>
      <c r="C308" s="42" t="s">
        <v>175</v>
      </c>
      <c r="D308" s="55">
        <f t="shared" si="79"/>
        <v>321.30540000000002</v>
      </c>
      <c r="E308" s="55">
        <f t="shared" si="80"/>
        <v>22.066199999999998</v>
      </c>
      <c r="F308" s="42">
        <f t="shared" si="78"/>
        <v>343.3716</v>
      </c>
      <c r="G308" s="42">
        <v>0</v>
      </c>
      <c r="H308" s="42">
        <f t="shared" si="81"/>
        <v>497.88882000000001</v>
      </c>
      <c r="I308" s="36"/>
      <c r="L308" s="111"/>
      <c r="M308" s="111"/>
      <c r="N308" s="36"/>
      <c r="T308" s="21"/>
    </row>
    <row r="309" spans="1:20" s="37" customFormat="1" ht="15.75" customHeight="1" x14ac:dyDescent="0.35">
      <c r="A309" s="112" t="s">
        <v>200</v>
      </c>
      <c r="B309" s="112"/>
      <c r="C309" s="112"/>
      <c r="D309" s="112"/>
      <c r="E309" s="112"/>
      <c r="F309" s="112"/>
      <c r="G309" s="112"/>
      <c r="H309" s="112"/>
      <c r="J309" s="36"/>
    </row>
    <row r="310" spans="1:20" s="37" customFormat="1" ht="15.75" customHeight="1" x14ac:dyDescent="0.35">
      <c r="A310" s="68">
        <v>1</v>
      </c>
      <c r="B310" s="68" t="s">
        <v>209</v>
      </c>
      <c r="C310" s="68" t="s">
        <v>175</v>
      </c>
      <c r="D310" s="68">
        <f>(29.74)*(10.764)</f>
        <v>320.12135999999998</v>
      </c>
      <c r="E310" s="68">
        <f>(1*2.05+1.5*2.75)*(10.764)</f>
        <v>66.467699999999994</v>
      </c>
      <c r="F310" s="68">
        <f>D310+E310</f>
        <v>386.58905999999996</v>
      </c>
      <c r="G310" s="68">
        <v>0</v>
      </c>
      <c r="H310" s="68">
        <f t="shared" ref="H310:H318" si="82">F310*(($H$156)+1)+(IF(G310&lt;101,G310,IF(G310&lt;201,G310/2,IF(G310&lt;=301,G310/3,G310/4))))</f>
        <v>560.55413699999997</v>
      </c>
      <c r="I310" s="36"/>
      <c r="L310" s="111"/>
      <c r="M310" s="111"/>
      <c r="N310" s="36"/>
    </row>
    <row r="311" spans="1:20" s="37" customFormat="1" ht="15.75" customHeight="1" x14ac:dyDescent="0.35">
      <c r="A311" s="68">
        <f>A310+1</f>
        <v>2</v>
      </c>
      <c r="B311" s="68" t="s">
        <v>209</v>
      </c>
      <c r="C311" s="68" t="s">
        <v>175</v>
      </c>
      <c r="D311" s="68">
        <f t="shared" ref="D311:D318" si="83">(29.74)*(10.764)</f>
        <v>320.12135999999998</v>
      </c>
      <c r="E311" s="68">
        <f t="shared" ref="E311:E318" si="84">(1*2.05+1.5*2.75)*(10.764)</f>
        <v>66.467699999999994</v>
      </c>
      <c r="F311" s="68">
        <f>D311+E311</f>
        <v>386.58905999999996</v>
      </c>
      <c r="G311" s="68">
        <v>0</v>
      </c>
      <c r="H311" s="68">
        <f t="shared" si="82"/>
        <v>560.55413699999997</v>
      </c>
      <c r="I311" s="36"/>
      <c r="L311" s="111"/>
      <c r="M311" s="111"/>
      <c r="N311" s="36"/>
    </row>
    <row r="312" spans="1:20" s="37" customFormat="1" ht="15.75" customHeight="1" x14ac:dyDescent="0.35">
      <c r="A312" s="68">
        <f>A311+1</f>
        <v>3</v>
      </c>
      <c r="B312" s="68" t="s">
        <v>209</v>
      </c>
      <c r="C312" s="68" t="s">
        <v>175</v>
      </c>
      <c r="D312" s="68">
        <f t="shared" si="83"/>
        <v>320.12135999999998</v>
      </c>
      <c r="E312" s="68">
        <f t="shared" si="84"/>
        <v>66.467699999999994</v>
      </c>
      <c r="F312" s="68">
        <f>D312+E312</f>
        <v>386.58905999999996</v>
      </c>
      <c r="G312" s="68">
        <v>0</v>
      </c>
      <c r="H312" s="68">
        <f t="shared" si="82"/>
        <v>560.55413699999997</v>
      </c>
      <c r="I312" s="36"/>
      <c r="L312" s="111"/>
      <c r="M312" s="111"/>
      <c r="N312" s="36"/>
    </row>
    <row r="313" spans="1:20" s="37" customFormat="1" ht="15.75" customHeight="1" x14ac:dyDescent="0.35">
      <c r="A313" s="68">
        <f>A312+1</f>
        <v>4</v>
      </c>
      <c r="B313" s="68" t="s">
        <v>209</v>
      </c>
      <c r="C313" s="68" t="s">
        <v>175</v>
      </c>
      <c r="D313" s="68">
        <f t="shared" si="83"/>
        <v>320.12135999999998</v>
      </c>
      <c r="E313" s="68">
        <f t="shared" si="84"/>
        <v>66.467699999999994</v>
      </c>
      <c r="F313" s="68">
        <f>D313+E313</f>
        <v>386.58905999999996</v>
      </c>
      <c r="G313" s="68">
        <v>0</v>
      </c>
      <c r="H313" s="68">
        <f t="shared" si="82"/>
        <v>560.55413699999997</v>
      </c>
      <c r="I313" s="36"/>
      <c r="L313" s="111"/>
      <c r="M313" s="111"/>
      <c r="N313" s="36"/>
      <c r="T313" s="21"/>
    </row>
    <row r="314" spans="1:20" s="37" customFormat="1" ht="15.75" customHeight="1" x14ac:dyDescent="0.35">
      <c r="A314" s="68">
        <f t="shared" ref="A314:A321" si="85">A313+1</f>
        <v>5</v>
      </c>
      <c r="B314" s="68" t="s">
        <v>209</v>
      </c>
      <c r="C314" s="68" t="s">
        <v>175</v>
      </c>
      <c r="D314" s="68">
        <f t="shared" si="83"/>
        <v>320.12135999999998</v>
      </c>
      <c r="E314" s="68">
        <f t="shared" si="84"/>
        <v>66.467699999999994</v>
      </c>
      <c r="F314" s="68">
        <f t="shared" ref="F314:F318" si="86">D314+E314</f>
        <v>386.58905999999996</v>
      </c>
      <c r="G314" s="68">
        <v>0</v>
      </c>
      <c r="H314" s="68">
        <f t="shared" si="82"/>
        <v>560.55413699999997</v>
      </c>
      <c r="I314" s="36"/>
      <c r="L314" s="111"/>
      <c r="M314" s="111"/>
      <c r="N314" s="36"/>
      <c r="T314" s="21"/>
    </row>
    <row r="315" spans="1:20" s="37" customFormat="1" ht="15.75" customHeight="1" x14ac:dyDescent="0.35">
      <c r="A315" s="68">
        <f t="shared" si="85"/>
        <v>6</v>
      </c>
      <c r="B315" s="68" t="s">
        <v>209</v>
      </c>
      <c r="C315" s="68" t="s">
        <v>175</v>
      </c>
      <c r="D315" s="68">
        <f t="shared" si="83"/>
        <v>320.12135999999998</v>
      </c>
      <c r="E315" s="68">
        <f t="shared" si="84"/>
        <v>66.467699999999994</v>
      </c>
      <c r="F315" s="68">
        <f t="shared" si="86"/>
        <v>386.58905999999996</v>
      </c>
      <c r="G315" s="68">
        <v>0</v>
      </c>
      <c r="H315" s="68">
        <f t="shared" si="82"/>
        <v>560.55413699999997</v>
      </c>
      <c r="I315" s="36"/>
      <c r="L315" s="111"/>
      <c r="M315" s="111"/>
      <c r="N315" s="36"/>
      <c r="T315" s="21"/>
    </row>
    <row r="316" spans="1:20" s="37" customFormat="1" ht="15.75" customHeight="1" x14ac:dyDescent="0.35">
      <c r="A316" s="68">
        <f t="shared" si="85"/>
        <v>7</v>
      </c>
      <c r="B316" s="68" t="s">
        <v>209</v>
      </c>
      <c r="C316" s="68" t="s">
        <v>175</v>
      </c>
      <c r="D316" s="68">
        <f t="shared" si="83"/>
        <v>320.12135999999998</v>
      </c>
      <c r="E316" s="68">
        <f t="shared" si="84"/>
        <v>66.467699999999994</v>
      </c>
      <c r="F316" s="68">
        <f t="shared" si="86"/>
        <v>386.58905999999996</v>
      </c>
      <c r="G316" s="68">
        <v>0</v>
      </c>
      <c r="H316" s="68">
        <f t="shared" si="82"/>
        <v>560.55413699999997</v>
      </c>
      <c r="I316" s="36"/>
      <c r="L316" s="111"/>
      <c r="M316" s="111"/>
      <c r="N316" s="36"/>
      <c r="T316" s="21"/>
    </row>
    <row r="317" spans="1:20" s="37" customFormat="1" ht="15.75" customHeight="1" x14ac:dyDescent="0.35">
      <c r="A317" s="68">
        <f t="shared" si="85"/>
        <v>8</v>
      </c>
      <c r="B317" s="68" t="s">
        <v>209</v>
      </c>
      <c r="C317" s="68" t="s">
        <v>175</v>
      </c>
      <c r="D317" s="68">
        <f t="shared" si="83"/>
        <v>320.12135999999998</v>
      </c>
      <c r="E317" s="68">
        <f t="shared" si="84"/>
        <v>66.467699999999994</v>
      </c>
      <c r="F317" s="68">
        <f t="shared" si="86"/>
        <v>386.58905999999996</v>
      </c>
      <c r="G317" s="68">
        <v>0</v>
      </c>
      <c r="H317" s="68">
        <f t="shared" si="82"/>
        <v>560.55413699999997</v>
      </c>
      <c r="I317" s="36"/>
      <c r="L317" s="111"/>
      <c r="M317" s="111"/>
      <c r="N317" s="36"/>
      <c r="T317" s="21"/>
    </row>
    <row r="318" spans="1:20" s="37" customFormat="1" ht="15.75" customHeight="1" x14ac:dyDescent="0.35">
      <c r="A318" s="68">
        <f t="shared" si="85"/>
        <v>9</v>
      </c>
      <c r="B318" s="68" t="s">
        <v>209</v>
      </c>
      <c r="C318" s="68" t="s">
        <v>175</v>
      </c>
      <c r="D318" s="68">
        <f t="shared" si="83"/>
        <v>320.12135999999998</v>
      </c>
      <c r="E318" s="68">
        <f t="shared" si="84"/>
        <v>66.467699999999994</v>
      </c>
      <c r="F318" s="68">
        <f t="shared" si="86"/>
        <v>386.58905999999996</v>
      </c>
      <c r="G318" s="68">
        <v>0</v>
      </c>
      <c r="H318" s="68">
        <f t="shared" si="82"/>
        <v>560.55413699999997</v>
      </c>
      <c r="I318" s="36"/>
      <c r="L318" s="111"/>
      <c r="M318" s="111"/>
      <c r="N318" s="36"/>
      <c r="T318" s="21"/>
    </row>
    <row r="319" spans="1:20" s="37" customFormat="1" ht="15.75" customHeight="1" x14ac:dyDescent="0.35">
      <c r="A319" s="68">
        <f t="shared" si="85"/>
        <v>10</v>
      </c>
      <c r="B319" s="68" t="s">
        <v>212</v>
      </c>
      <c r="C319" s="113" t="s">
        <v>180</v>
      </c>
      <c r="D319" s="113"/>
      <c r="E319" s="113"/>
      <c r="F319" s="113"/>
      <c r="G319" s="113"/>
      <c r="H319" s="113"/>
      <c r="I319" s="36"/>
      <c r="L319" s="111"/>
      <c r="M319" s="111"/>
      <c r="N319" s="36"/>
      <c r="T319" s="21"/>
    </row>
    <row r="320" spans="1:20" s="37" customFormat="1" ht="15.75" customHeight="1" x14ac:dyDescent="0.35">
      <c r="A320" s="68">
        <f t="shared" si="85"/>
        <v>11</v>
      </c>
      <c r="B320" s="68" t="s">
        <v>210</v>
      </c>
      <c r="C320" s="68" t="s">
        <v>175</v>
      </c>
      <c r="D320" s="55">
        <f t="shared" ref="D320:D321" si="87">(29.85)*(10.764)</f>
        <v>321.30540000000002</v>
      </c>
      <c r="E320" s="55">
        <f t="shared" ref="E320:E321" si="88">(1*2.05+1.5*2.75)*(10.764)</f>
        <v>66.467699999999994</v>
      </c>
      <c r="F320" s="68">
        <f t="shared" ref="F320:F321" si="89">D320+E320</f>
        <v>387.7731</v>
      </c>
      <c r="G320" s="68">
        <v>0</v>
      </c>
      <c r="H320" s="68">
        <f t="shared" ref="H320:H321" si="90">F320*(($H$156)+1)+(IF(G320&lt;101,G320,IF(G320&lt;201,G320/2,IF(G320&lt;=301,G320/3,G320/4))))</f>
        <v>562.27099499999997</v>
      </c>
      <c r="I320" s="36"/>
      <c r="L320" s="111"/>
      <c r="M320" s="111"/>
      <c r="N320" s="36"/>
      <c r="T320" s="21"/>
    </row>
    <row r="321" spans="1:20" s="37" customFormat="1" ht="15.75" customHeight="1" x14ac:dyDescent="0.35">
      <c r="A321" s="68">
        <f t="shared" si="85"/>
        <v>12</v>
      </c>
      <c r="B321" s="68" t="s">
        <v>210</v>
      </c>
      <c r="C321" s="68" t="s">
        <v>175</v>
      </c>
      <c r="D321" s="55">
        <f t="shared" si="87"/>
        <v>321.30540000000002</v>
      </c>
      <c r="E321" s="55">
        <f t="shared" si="88"/>
        <v>66.467699999999994</v>
      </c>
      <c r="F321" s="68">
        <f t="shared" si="89"/>
        <v>387.7731</v>
      </c>
      <c r="G321" s="68">
        <v>0</v>
      </c>
      <c r="H321" s="68">
        <f t="shared" si="90"/>
        <v>562.27099499999997</v>
      </c>
      <c r="I321" s="36"/>
      <c r="L321" s="111"/>
      <c r="M321" s="111"/>
      <c r="N321" s="36"/>
      <c r="T321" s="21"/>
    </row>
    <row r="322" spans="1:20" s="37" customFormat="1" x14ac:dyDescent="0.35">
      <c r="A322" s="112" t="s">
        <v>176</v>
      </c>
      <c r="B322" s="112"/>
      <c r="C322" s="112"/>
      <c r="D322" s="112"/>
      <c r="E322" s="112"/>
      <c r="F322" s="112"/>
      <c r="G322" s="112"/>
      <c r="H322" s="112"/>
      <c r="I322" s="36"/>
      <c r="L322" s="111"/>
      <c r="M322" s="111"/>
    </row>
    <row r="323" spans="1:20" s="37" customFormat="1" x14ac:dyDescent="0.35">
      <c r="A323" s="112" t="s">
        <v>197</v>
      </c>
      <c r="B323" s="112"/>
      <c r="C323" s="112"/>
      <c r="D323" s="112"/>
      <c r="E323" s="112"/>
      <c r="F323" s="112"/>
      <c r="G323" s="112"/>
      <c r="H323" s="112"/>
      <c r="I323" s="36"/>
      <c r="L323" s="111"/>
      <c r="M323" s="111"/>
      <c r="N323"/>
    </row>
    <row r="324" spans="1:20" s="37" customFormat="1" x14ac:dyDescent="0.35">
      <c r="A324" s="112" t="s">
        <v>171</v>
      </c>
      <c r="B324" s="112"/>
      <c r="C324" s="112"/>
      <c r="D324" s="112"/>
      <c r="E324" s="112"/>
      <c r="F324" s="112"/>
      <c r="G324" s="112"/>
      <c r="H324" s="112"/>
      <c r="I324" s="36"/>
      <c r="L324" s="111"/>
      <c r="M324" s="111"/>
    </row>
    <row r="325" spans="1:20" s="37" customFormat="1" x14ac:dyDescent="0.35">
      <c r="A325" s="112" t="s">
        <v>198</v>
      </c>
      <c r="B325" s="112"/>
      <c r="C325" s="112"/>
      <c r="D325" s="112"/>
      <c r="E325" s="112"/>
      <c r="F325" s="112"/>
      <c r="G325" s="112"/>
      <c r="H325" s="112"/>
      <c r="I325" s="36"/>
      <c r="L325" s="111"/>
      <c r="M325" s="111"/>
    </row>
    <row r="326" spans="1:20" s="37" customFormat="1" x14ac:dyDescent="0.35">
      <c r="A326" s="112" t="s">
        <v>173</v>
      </c>
      <c r="B326" s="112"/>
      <c r="C326" s="112"/>
      <c r="D326" s="112"/>
      <c r="E326" s="112"/>
      <c r="F326" s="112"/>
      <c r="G326" s="112"/>
      <c r="H326" s="112"/>
      <c r="I326" s="36"/>
      <c r="L326" s="111"/>
      <c r="M326" s="111"/>
    </row>
    <row r="327" spans="1:20" s="37" customFormat="1" x14ac:dyDescent="0.35">
      <c r="A327" s="60">
        <v>1</v>
      </c>
      <c r="B327" s="60" t="s">
        <v>209</v>
      </c>
      <c r="C327" s="42" t="s">
        <v>175</v>
      </c>
      <c r="D327" s="55">
        <f>(29.74)*(10.764)</f>
        <v>320.12135999999998</v>
      </c>
      <c r="E327" s="55">
        <f>(1*2.05)*(10.764)</f>
        <v>22.066199999999998</v>
      </c>
      <c r="F327" s="42">
        <f>D327+E327</f>
        <v>342.18755999999996</v>
      </c>
      <c r="G327" s="42">
        <v>0</v>
      </c>
      <c r="H327" s="42">
        <f t="shared" ref="H327:H329" si="91">F327*(($H$156)+1)+(IF(G327&lt;101,G327,IF(G327&lt;201,G327/2,IF(G327&lt;=301,G327/3,G327/4))))</f>
        <v>496.17196199999995</v>
      </c>
      <c r="I327" s="36">
        <f>2.75*3.35+2.05*2.59+2.75*2.9+1.28*1.8+1.2*1.8+1.32*0.55+0.7*0.55</f>
        <v>28.072000000000003</v>
      </c>
      <c r="N327" s="36"/>
    </row>
    <row r="328" spans="1:20" s="37" customFormat="1" x14ac:dyDescent="0.35">
      <c r="A328" s="60">
        <f>A327+1</f>
        <v>2</v>
      </c>
      <c r="B328" s="60" t="s">
        <v>209</v>
      </c>
      <c r="C328" s="42" t="s">
        <v>175</v>
      </c>
      <c r="D328" s="55">
        <f t="shared" ref="D328:D333" si="92">(29.74)*(10.764)</f>
        <v>320.12135999999998</v>
      </c>
      <c r="E328" s="55">
        <f t="shared" ref="E328:E338" si="93">(1*2.05)*(10.764)</f>
        <v>22.066199999999998</v>
      </c>
      <c r="F328" s="42">
        <f>D328+E328</f>
        <v>342.18755999999996</v>
      </c>
      <c r="G328" s="42">
        <v>0</v>
      </c>
      <c r="H328" s="42">
        <f t="shared" si="91"/>
        <v>496.17196199999995</v>
      </c>
      <c r="I328" s="36"/>
      <c r="N328" s="36"/>
    </row>
    <row r="329" spans="1:20" s="37" customFormat="1" x14ac:dyDescent="0.35">
      <c r="A329" s="60">
        <f>A328+1</f>
        <v>3</v>
      </c>
      <c r="B329" s="60" t="s">
        <v>209</v>
      </c>
      <c r="C329" s="42" t="s">
        <v>175</v>
      </c>
      <c r="D329" s="55">
        <f t="shared" si="92"/>
        <v>320.12135999999998</v>
      </c>
      <c r="E329" s="55">
        <f t="shared" si="93"/>
        <v>22.066199999999998</v>
      </c>
      <c r="F329" s="42">
        <f>D329+E329</f>
        <v>342.18755999999996</v>
      </c>
      <c r="G329" s="42">
        <v>0</v>
      </c>
      <c r="H329" s="42">
        <f t="shared" si="91"/>
        <v>496.17196199999995</v>
      </c>
      <c r="I329" s="36"/>
      <c r="N329" s="36"/>
    </row>
    <row r="330" spans="1:20" s="37" customFormat="1" x14ac:dyDescent="0.35">
      <c r="A330" s="60">
        <f>A329+1</f>
        <v>4</v>
      </c>
      <c r="B330" s="60" t="s">
        <v>212</v>
      </c>
      <c r="C330" s="130" t="s">
        <v>202</v>
      </c>
      <c r="D330" s="131"/>
      <c r="E330" s="131"/>
      <c r="F330" s="131"/>
      <c r="G330" s="131"/>
      <c r="H330" s="132"/>
      <c r="I330" s="36"/>
      <c r="N330" s="36"/>
    </row>
    <row r="331" spans="1:20" s="37" customFormat="1" x14ac:dyDescent="0.35">
      <c r="A331" s="60">
        <f t="shared" ref="A331:A338" si="94">A330+1</f>
        <v>5</v>
      </c>
      <c r="B331" s="60" t="s">
        <v>209</v>
      </c>
      <c r="C331" s="42" t="s">
        <v>175</v>
      </c>
      <c r="D331" s="55">
        <f t="shared" si="92"/>
        <v>320.12135999999998</v>
      </c>
      <c r="E331" s="55">
        <f t="shared" si="93"/>
        <v>22.066199999999998</v>
      </c>
      <c r="F331" s="42">
        <f>D331+E331</f>
        <v>342.18755999999996</v>
      </c>
      <c r="G331" s="42">
        <v>0</v>
      </c>
      <c r="H331" s="42">
        <f t="shared" ref="H331:H338" si="95">F331*(($H$156)+1)+(IF(G331&lt;101,G331,IF(G331&lt;201,G331/2,IF(G331&lt;=301,G331/3,G331/4))))</f>
        <v>496.17196199999995</v>
      </c>
      <c r="I331" s="36"/>
      <c r="N331" s="36"/>
    </row>
    <row r="332" spans="1:20" s="37" customFormat="1" x14ac:dyDescent="0.35">
      <c r="A332" s="60">
        <f t="shared" si="94"/>
        <v>6</v>
      </c>
      <c r="B332" s="60" t="s">
        <v>209</v>
      </c>
      <c r="C332" s="42" t="s">
        <v>175</v>
      </c>
      <c r="D332" s="55">
        <f t="shared" si="92"/>
        <v>320.12135999999998</v>
      </c>
      <c r="E332" s="55">
        <f t="shared" si="93"/>
        <v>22.066199999999998</v>
      </c>
      <c r="F332" s="42">
        <f t="shared" ref="F332:F338" si="96">D332+E332</f>
        <v>342.18755999999996</v>
      </c>
      <c r="G332" s="42">
        <v>0</v>
      </c>
      <c r="H332" s="42">
        <f t="shared" si="95"/>
        <v>496.17196199999995</v>
      </c>
      <c r="I332" s="36"/>
      <c r="N332" s="36"/>
    </row>
    <row r="333" spans="1:20" s="37" customFormat="1" x14ac:dyDescent="0.35">
      <c r="A333" s="60">
        <f t="shared" si="94"/>
        <v>7</v>
      </c>
      <c r="B333" s="60" t="s">
        <v>209</v>
      </c>
      <c r="C333" s="42" t="s">
        <v>175</v>
      </c>
      <c r="D333" s="55">
        <f t="shared" si="92"/>
        <v>320.12135999999998</v>
      </c>
      <c r="E333" s="55">
        <f t="shared" si="93"/>
        <v>22.066199999999998</v>
      </c>
      <c r="F333" s="42">
        <f t="shared" si="96"/>
        <v>342.18755999999996</v>
      </c>
      <c r="G333" s="42">
        <v>0</v>
      </c>
      <c r="H333" s="42">
        <f t="shared" si="95"/>
        <v>496.17196199999995</v>
      </c>
      <c r="I333" s="36"/>
      <c r="N333" s="36"/>
    </row>
    <row r="334" spans="1:20" s="37" customFormat="1" x14ac:dyDescent="0.35">
      <c r="A334" s="60">
        <f t="shared" si="94"/>
        <v>8</v>
      </c>
      <c r="B334" s="60" t="s">
        <v>211</v>
      </c>
      <c r="C334" s="42" t="s">
        <v>175</v>
      </c>
      <c r="D334" s="55">
        <f>(34.75)*(10.764)</f>
        <v>374.04899999999998</v>
      </c>
      <c r="E334" s="55">
        <f>(1*2.14)*(10.764)</f>
        <v>23.034960000000002</v>
      </c>
      <c r="F334" s="42">
        <f t="shared" si="96"/>
        <v>397.08395999999999</v>
      </c>
      <c r="G334" s="42">
        <v>0</v>
      </c>
      <c r="H334" s="42">
        <f t="shared" si="95"/>
        <v>575.77174200000002</v>
      </c>
      <c r="I334" s="36">
        <f>4.25*2.9+3.05*2.14+3.05*2.75+1.38*1.28+2.29*1.22+0.52*0.71+1.38*0.6</f>
        <v>32.996900000000004</v>
      </c>
      <c r="N334" s="36"/>
    </row>
    <row r="335" spans="1:20" s="37" customFormat="1" x14ac:dyDescent="0.35">
      <c r="A335" s="60">
        <f t="shared" si="94"/>
        <v>9</v>
      </c>
      <c r="B335" s="60" t="s">
        <v>209</v>
      </c>
      <c r="C335" s="42" t="s">
        <v>175</v>
      </c>
      <c r="D335" s="55">
        <f t="shared" ref="D335:D338" si="97">(29.74)*(10.764)</f>
        <v>320.12135999999998</v>
      </c>
      <c r="E335" s="55">
        <f t="shared" si="93"/>
        <v>22.066199999999998</v>
      </c>
      <c r="F335" s="42">
        <f t="shared" si="96"/>
        <v>342.18755999999996</v>
      </c>
      <c r="G335" s="42">
        <v>0</v>
      </c>
      <c r="H335" s="42">
        <f t="shared" si="95"/>
        <v>496.17196199999995</v>
      </c>
      <c r="N335" s="36"/>
    </row>
    <row r="336" spans="1:20" s="37" customFormat="1" x14ac:dyDescent="0.35">
      <c r="A336" s="60">
        <f t="shared" si="94"/>
        <v>10</v>
      </c>
      <c r="B336" s="60" t="s">
        <v>209</v>
      </c>
      <c r="C336" s="42" t="s">
        <v>175</v>
      </c>
      <c r="D336" s="55">
        <f t="shared" si="97"/>
        <v>320.12135999999998</v>
      </c>
      <c r="E336" s="55">
        <f t="shared" si="93"/>
        <v>22.066199999999998</v>
      </c>
      <c r="F336" s="42">
        <f t="shared" si="96"/>
        <v>342.18755999999996</v>
      </c>
      <c r="G336" s="42">
        <v>0</v>
      </c>
      <c r="H336" s="42">
        <f t="shared" si="95"/>
        <v>496.17196199999995</v>
      </c>
      <c r="I336" s="36"/>
      <c r="N336" s="36"/>
    </row>
    <row r="337" spans="1:14" s="37" customFormat="1" x14ac:dyDescent="0.35">
      <c r="A337" s="60">
        <f t="shared" si="94"/>
        <v>11</v>
      </c>
      <c r="B337" s="60" t="s">
        <v>209</v>
      </c>
      <c r="C337" s="42" t="s">
        <v>175</v>
      </c>
      <c r="D337" s="55">
        <f t="shared" si="97"/>
        <v>320.12135999999998</v>
      </c>
      <c r="E337" s="55">
        <f t="shared" si="93"/>
        <v>22.066199999999998</v>
      </c>
      <c r="F337" s="42">
        <f t="shared" si="96"/>
        <v>342.18755999999996</v>
      </c>
      <c r="G337" s="42">
        <v>0</v>
      </c>
      <c r="H337" s="42">
        <f t="shared" si="95"/>
        <v>496.17196199999995</v>
      </c>
      <c r="I337" s="36"/>
      <c r="N337" s="36"/>
    </row>
    <row r="338" spans="1:14" s="37" customFormat="1" x14ac:dyDescent="0.35">
      <c r="A338" s="60">
        <f t="shared" si="94"/>
        <v>12</v>
      </c>
      <c r="B338" s="60" t="s">
        <v>209</v>
      </c>
      <c r="C338" s="42" t="s">
        <v>175</v>
      </c>
      <c r="D338" s="55">
        <f t="shared" si="97"/>
        <v>320.12135999999998</v>
      </c>
      <c r="E338" s="55">
        <f t="shared" si="93"/>
        <v>22.066199999999998</v>
      </c>
      <c r="F338" s="42">
        <f t="shared" si="96"/>
        <v>342.18755999999996</v>
      </c>
      <c r="G338" s="42">
        <v>0</v>
      </c>
      <c r="H338" s="42">
        <f t="shared" si="95"/>
        <v>496.17196199999995</v>
      </c>
      <c r="I338" s="36"/>
      <c r="N338" s="36"/>
    </row>
    <row r="339" spans="1:14" s="37" customFormat="1" ht="15.75" customHeight="1" x14ac:dyDescent="0.35">
      <c r="A339" s="133" t="s">
        <v>203</v>
      </c>
      <c r="B339" s="134"/>
      <c r="C339" s="134"/>
      <c r="D339" s="134"/>
      <c r="E339" s="134"/>
      <c r="F339" s="134"/>
      <c r="G339" s="134"/>
      <c r="H339" s="135"/>
      <c r="I339" s="36"/>
      <c r="L339" s="111"/>
      <c r="M339" s="111"/>
    </row>
    <row r="340" spans="1:14" s="37" customFormat="1" x14ac:dyDescent="0.35">
      <c r="A340" s="60">
        <v>1</v>
      </c>
      <c r="B340" s="60" t="s">
        <v>209</v>
      </c>
      <c r="C340" s="42" t="s">
        <v>175</v>
      </c>
      <c r="D340" s="55">
        <f>(29.74)*(10.764)</f>
        <v>320.12135999999998</v>
      </c>
      <c r="E340" s="55">
        <f>(1*2.05)*(10.764)</f>
        <v>22.066199999999998</v>
      </c>
      <c r="F340" s="42">
        <f>D340+E340</f>
        <v>342.18755999999996</v>
      </c>
      <c r="G340" s="42">
        <v>0</v>
      </c>
      <c r="H340" s="42">
        <f t="shared" ref="H340:H351" si="98">F340*(($H$156)+1)+(IF(G340&lt;101,G340,IF(G340&lt;201,G340/2,IF(G340&lt;=301,G340/3,G340/4))))</f>
        <v>496.17196199999995</v>
      </c>
      <c r="I340" s="36"/>
      <c r="N340" s="36"/>
    </row>
    <row r="341" spans="1:14" s="37" customFormat="1" x14ac:dyDescent="0.35">
      <c r="A341" s="60">
        <f>A340+1</f>
        <v>2</v>
      </c>
      <c r="B341" s="60" t="s">
        <v>209</v>
      </c>
      <c r="C341" s="42" t="s">
        <v>175</v>
      </c>
      <c r="D341" s="55">
        <f t="shared" ref="D341:D346" si="99">(29.74)*(10.764)</f>
        <v>320.12135999999998</v>
      </c>
      <c r="E341" s="55">
        <f t="shared" ref="E341:E351" si="100">(1*2.05)*(10.764)</f>
        <v>22.066199999999998</v>
      </c>
      <c r="F341" s="42">
        <f>D341+E341</f>
        <v>342.18755999999996</v>
      </c>
      <c r="G341" s="42">
        <v>0</v>
      </c>
      <c r="H341" s="42">
        <f t="shared" si="98"/>
        <v>496.17196199999995</v>
      </c>
      <c r="I341" s="36"/>
      <c r="N341" s="36"/>
    </row>
    <row r="342" spans="1:14" s="37" customFormat="1" x14ac:dyDescent="0.35">
      <c r="A342" s="60">
        <f>A341+1</f>
        <v>3</v>
      </c>
      <c r="B342" s="60" t="s">
        <v>209</v>
      </c>
      <c r="C342" s="42" t="s">
        <v>175</v>
      </c>
      <c r="D342" s="55">
        <f t="shared" si="99"/>
        <v>320.12135999999998</v>
      </c>
      <c r="E342" s="55">
        <f t="shared" si="100"/>
        <v>22.066199999999998</v>
      </c>
      <c r="F342" s="42">
        <f>D342+E342</f>
        <v>342.18755999999996</v>
      </c>
      <c r="G342" s="42">
        <v>0</v>
      </c>
      <c r="H342" s="42">
        <f t="shared" si="98"/>
        <v>496.17196199999995</v>
      </c>
      <c r="I342" s="36"/>
      <c r="N342" s="36"/>
    </row>
    <row r="343" spans="1:14" s="37" customFormat="1" x14ac:dyDescent="0.35">
      <c r="A343" s="60">
        <f>A342+1</f>
        <v>4</v>
      </c>
      <c r="B343" s="60" t="s">
        <v>209</v>
      </c>
      <c r="C343" s="42" t="s">
        <v>175</v>
      </c>
      <c r="D343" s="55">
        <f t="shared" si="99"/>
        <v>320.12135999999998</v>
      </c>
      <c r="E343" s="55">
        <f t="shared" si="100"/>
        <v>22.066199999999998</v>
      </c>
      <c r="F343" s="42">
        <f>D343+E343</f>
        <v>342.18755999999996</v>
      </c>
      <c r="G343" s="42">
        <v>0</v>
      </c>
      <c r="H343" s="42">
        <f t="shared" si="98"/>
        <v>496.17196199999995</v>
      </c>
      <c r="I343" s="36"/>
      <c r="N343" s="36"/>
    </row>
    <row r="344" spans="1:14" s="37" customFormat="1" x14ac:dyDescent="0.35">
      <c r="A344" s="60">
        <f t="shared" ref="A344:A351" si="101">A343+1</f>
        <v>5</v>
      </c>
      <c r="B344" s="60" t="s">
        <v>209</v>
      </c>
      <c r="C344" s="42" t="s">
        <v>175</v>
      </c>
      <c r="D344" s="55">
        <f t="shared" si="99"/>
        <v>320.12135999999998</v>
      </c>
      <c r="E344" s="55">
        <f t="shared" si="100"/>
        <v>22.066199999999998</v>
      </c>
      <c r="F344" s="42">
        <f>D344+E344</f>
        <v>342.18755999999996</v>
      </c>
      <c r="G344" s="42">
        <v>0</v>
      </c>
      <c r="H344" s="42">
        <f t="shared" si="98"/>
        <v>496.17196199999995</v>
      </c>
      <c r="I344" s="36"/>
      <c r="N344" s="36"/>
    </row>
    <row r="345" spans="1:14" s="37" customFormat="1" x14ac:dyDescent="0.35">
      <c r="A345" s="60">
        <f t="shared" si="101"/>
        <v>6</v>
      </c>
      <c r="B345" s="60" t="s">
        <v>209</v>
      </c>
      <c r="C345" s="42" t="s">
        <v>175</v>
      </c>
      <c r="D345" s="55">
        <f t="shared" si="99"/>
        <v>320.12135999999998</v>
      </c>
      <c r="E345" s="55">
        <f t="shared" si="100"/>
        <v>22.066199999999998</v>
      </c>
      <c r="F345" s="42">
        <f t="shared" ref="F345:F351" si="102">D345+E345</f>
        <v>342.18755999999996</v>
      </c>
      <c r="G345" s="42">
        <v>0</v>
      </c>
      <c r="H345" s="42">
        <f t="shared" si="98"/>
        <v>496.17196199999995</v>
      </c>
      <c r="I345" s="36"/>
      <c r="N345" s="36"/>
    </row>
    <row r="346" spans="1:14" s="37" customFormat="1" x14ac:dyDescent="0.35">
      <c r="A346" s="60">
        <f t="shared" si="101"/>
        <v>7</v>
      </c>
      <c r="B346" s="60" t="s">
        <v>209</v>
      </c>
      <c r="C346" s="42" t="s">
        <v>175</v>
      </c>
      <c r="D346" s="55">
        <f t="shared" si="99"/>
        <v>320.12135999999998</v>
      </c>
      <c r="E346" s="55">
        <f t="shared" si="100"/>
        <v>22.066199999999998</v>
      </c>
      <c r="F346" s="42">
        <f t="shared" si="102"/>
        <v>342.18755999999996</v>
      </c>
      <c r="G346" s="42">
        <v>0</v>
      </c>
      <c r="H346" s="42">
        <f t="shared" si="98"/>
        <v>496.17196199999995</v>
      </c>
      <c r="I346" s="36"/>
      <c r="N346" s="36"/>
    </row>
    <row r="347" spans="1:14" s="37" customFormat="1" x14ac:dyDescent="0.35">
      <c r="A347" s="60">
        <f t="shared" si="101"/>
        <v>8</v>
      </c>
      <c r="B347" s="60" t="s">
        <v>211</v>
      </c>
      <c r="C347" s="42" t="s">
        <v>175</v>
      </c>
      <c r="D347" s="55">
        <f>(34.75)*(10.764)</f>
        <v>374.04899999999998</v>
      </c>
      <c r="E347" s="55">
        <f>(1*2.14)*(10.764)</f>
        <v>23.034960000000002</v>
      </c>
      <c r="F347" s="42">
        <f t="shared" si="102"/>
        <v>397.08395999999999</v>
      </c>
      <c r="G347" s="42">
        <v>0</v>
      </c>
      <c r="H347" s="42">
        <f t="shared" si="98"/>
        <v>575.77174200000002</v>
      </c>
      <c r="I347" s="36"/>
      <c r="N347" s="36"/>
    </row>
    <row r="348" spans="1:14" s="37" customFormat="1" x14ac:dyDescent="0.35">
      <c r="A348" s="60">
        <f t="shared" si="101"/>
        <v>9</v>
      </c>
      <c r="B348" s="60" t="s">
        <v>209</v>
      </c>
      <c r="C348" s="42" t="s">
        <v>175</v>
      </c>
      <c r="D348" s="55">
        <f t="shared" ref="D348:D351" si="103">(29.74)*(10.764)</f>
        <v>320.12135999999998</v>
      </c>
      <c r="E348" s="55">
        <f t="shared" si="100"/>
        <v>22.066199999999998</v>
      </c>
      <c r="F348" s="42">
        <f t="shared" si="102"/>
        <v>342.18755999999996</v>
      </c>
      <c r="G348" s="42">
        <v>0</v>
      </c>
      <c r="H348" s="42">
        <f t="shared" si="98"/>
        <v>496.17196199999995</v>
      </c>
      <c r="I348" s="36"/>
      <c r="N348" s="36"/>
    </row>
    <row r="349" spans="1:14" s="37" customFormat="1" x14ac:dyDescent="0.35">
      <c r="A349" s="60">
        <f t="shared" si="101"/>
        <v>10</v>
      </c>
      <c r="B349" s="60" t="s">
        <v>209</v>
      </c>
      <c r="C349" s="42" t="s">
        <v>175</v>
      </c>
      <c r="D349" s="55">
        <f t="shared" si="103"/>
        <v>320.12135999999998</v>
      </c>
      <c r="E349" s="55">
        <f t="shared" si="100"/>
        <v>22.066199999999998</v>
      </c>
      <c r="F349" s="42">
        <f t="shared" si="102"/>
        <v>342.18755999999996</v>
      </c>
      <c r="G349" s="42">
        <v>0</v>
      </c>
      <c r="H349" s="42">
        <f t="shared" si="98"/>
        <v>496.17196199999995</v>
      </c>
      <c r="I349" s="36"/>
      <c r="N349" s="36"/>
    </row>
    <row r="350" spans="1:14" s="37" customFormat="1" x14ac:dyDescent="0.35">
      <c r="A350" s="60">
        <f t="shared" si="101"/>
        <v>11</v>
      </c>
      <c r="B350" s="60" t="s">
        <v>209</v>
      </c>
      <c r="C350" s="42" t="s">
        <v>175</v>
      </c>
      <c r="D350" s="55">
        <f t="shared" si="103"/>
        <v>320.12135999999998</v>
      </c>
      <c r="E350" s="55">
        <f t="shared" si="100"/>
        <v>22.066199999999998</v>
      </c>
      <c r="F350" s="42">
        <f t="shared" si="102"/>
        <v>342.18755999999996</v>
      </c>
      <c r="G350" s="42">
        <v>0</v>
      </c>
      <c r="H350" s="42">
        <f t="shared" si="98"/>
        <v>496.17196199999995</v>
      </c>
      <c r="I350" s="36"/>
      <c r="N350" s="36"/>
    </row>
    <row r="351" spans="1:14" s="37" customFormat="1" x14ac:dyDescent="0.35">
      <c r="A351" s="60">
        <f t="shared" si="101"/>
        <v>12</v>
      </c>
      <c r="B351" s="60" t="s">
        <v>209</v>
      </c>
      <c r="C351" s="42" t="s">
        <v>175</v>
      </c>
      <c r="D351" s="55">
        <f t="shared" si="103"/>
        <v>320.12135999999998</v>
      </c>
      <c r="E351" s="55">
        <f t="shared" si="100"/>
        <v>22.066199999999998</v>
      </c>
      <c r="F351" s="42">
        <f t="shared" si="102"/>
        <v>342.18755999999996</v>
      </c>
      <c r="G351" s="42">
        <v>0</v>
      </c>
      <c r="H351" s="42">
        <f t="shared" si="98"/>
        <v>496.17196199999995</v>
      </c>
      <c r="I351" s="36"/>
      <c r="N351" s="36"/>
    </row>
    <row r="352" spans="1:14" s="37" customFormat="1" ht="15.75" customHeight="1" x14ac:dyDescent="0.35">
      <c r="A352" s="149" t="s">
        <v>204</v>
      </c>
      <c r="B352" s="149"/>
      <c r="C352" s="149"/>
      <c r="D352" s="149"/>
      <c r="E352" s="149"/>
      <c r="F352" s="149"/>
      <c r="G352" s="149"/>
      <c r="H352" s="149"/>
      <c r="I352" s="36"/>
      <c r="L352" s="111"/>
      <c r="M352" s="111"/>
    </row>
    <row r="353" spans="1:14" s="37" customFormat="1" x14ac:dyDescent="0.35">
      <c r="A353" s="68">
        <v>1</v>
      </c>
      <c r="B353" s="68" t="s">
        <v>209</v>
      </c>
      <c r="C353" s="68" t="s">
        <v>175</v>
      </c>
      <c r="D353" s="55">
        <f>(29.74)*(10.764)</f>
        <v>320.12135999999998</v>
      </c>
      <c r="E353" s="55">
        <f>(1*2.05+1.5*2.75)*(10.764)</f>
        <v>66.467699999999994</v>
      </c>
      <c r="F353" s="68">
        <f>D353+E353</f>
        <v>386.58905999999996</v>
      </c>
      <c r="G353" s="68">
        <v>0</v>
      </c>
      <c r="H353" s="68">
        <f t="shared" ref="H353:H364" si="104">F353*(($H$156)+1)+(IF(G353&lt;101,G353,IF(G353&lt;201,G353/2,IF(G353&lt;=301,G353/3,G353/4))))</f>
        <v>560.55413699999997</v>
      </c>
      <c r="I353" s="36"/>
      <c r="N353" s="36"/>
    </row>
    <row r="354" spans="1:14" s="37" customFormat="1" x14ac:dyDescent="0.35">
      <c r="A354" s="68">
        <f>A353+1</f>
        <v>2</v>
      </c>
      <c r="B354" s="68" t="s">
        <v>209</v>
      </c>
      <c r="C354" s="68" t="s">
        <v>175</v>
      </c>
      <c r="D354" s="55">
        <f t="shared" ref="D354:D359" si="105">(29.74)*(10.764)</f>
        <v>320.12135999999998</v>
      </c>
      <c r="E354" s="55">
        <f t="shared" ref="E354:E364" si="106">(1*2.05+1.5*2.75)*(10.764)</f>
        <v>66.467699999999994</v>
      </c>
      <c r="F354" s="68">
        <f>D354+E354</f>
        <v>386.58905999999996</v>
      </c>
      <c r="G354" s="68">
        <v>0</v>
      </c>
      <c r="H354" s="68">
        <f t="shared" si="104"/>
        <v>560.55413699999997</v>
      </c>
      <c r="I354" s="36"/>
      <c r="N354" s="36"/>
    </row>
    <row r="355" spans="1:14" s="37" customFormat="1" x14ac:dyDescent="0.35">
      <c r="A355" s="68">
        <f>A354+1</f>
        <v>3</v>
      </c>
      <c r="B355" s="68" t="s">
        <v>209</v>
      </c>
      <c r="C355" s="68" t="s">
        <v>175</v>
      </c>
      <c r="D355" s="55">
        <f t="shared" si="105"/>
        <v>320.12135999999998</v>
      </c>
      <c r="E355" s="55">
        <f t="shared" si="106"/>
        <v>66.467699999999994</v>
      </c>
      <c r="F355" s="68">
        <f>D355+E355</f>
        <v>386.58905999999996</v>
      </c>
      <c r="G355" s="68">
        <v>0</v>
      </c>
      <c r="H355" s="68">
        <f t="shared" si="104"/>
        <v>560.55413699999997</v>
      </c>
      <c r="I355" s="36"/>
      <c r="N355" s="36"/>
    </row>
    <row r="356" spans="1:14" s="37" customFormat="1" x14ac:dyDescent="0.35">
      <c r="A356" s="68">
        <f>A355+1</f>
        <v>4</v>
      </c>
      <c r="B356" s="68" t="s">
        <v>209</v>
      </c>
      <c r="C356" s="68" t="s">
        <v>175</v>
      </c>
      <c r="D356" s="55">
        <f t="shared" si="105"/>
        <v>320.12135999999998</v>
      </c>
      <c r="E356" s="55">
        <f t="shared" si="106"/>
        <v>66.467699999999994</v>
      </c>
      <c r="F356" s="68">
        <f>D356+E356</f>
        <v>386.58905999999996</v>
      </c>
      <c r="G356" s="68">
        <v>0</v>
      </c>
      <c r="H356" s="68">
        <f t="shared" si="104"/>
        <v>560.55413699999997</v>
      </c>
      <c r="I356" s="36"/>
      <c r="N356" s="36"/>
    </row>
    <row r="357" spans="1:14" s="37" customFormat="1" x14ac:dyDescent="0.35">
      <c r="A357" s="68">
        <f t="shared" ref="A357:A364" si="107">A356+1</f>
        <v>5</v>
      </c>
      <c r="B357" s="68" t="s">
        <v>209</v>
      </c>
      <c r="C357" s="68" t="s">
        <v>175</v>
      </c>
      <c r="D357" s="55">
        <f t="shared" si="105"/>
        <v>320.12135999999998</v>
      </c>
      <c r="E357" s="55">
        <f t="shared" si="106"/>
        <v>66.467699999999994</v>
      </c>
      <c r="F357" s="68">
        <f>D357+E357</f>
        <v>386.58905999999996</v>
      </c>
      <c r="G357" s="68">
        <v>0</v>
      </c>
      <c r="H357" s="68">
        <f t="shared" si="104"/>
        <v>560.55413699999997</v>
      </c>
      <c r="I357" s="36"/>
      <c r="N357" s="36"/>
    </row>
    <row r="358" spans="1:14" s="37" customFormat="1" x14ac:dyDescent="0.35">
      <c r="A358" s="68">
        <f t="shared" si="107"/>
        <v>6</v>
      </c>
      <c r="B358" s="68" t="s">
        <v>209</v>
      </c>
      <c r="C358" s="68" t="s">
        <v>175</v>
      </c>
      <c r="D358" s="55">
        <f t="shared" si="105"/>
        <v>320.12135999999998</v>
      </c>
      <c r="E358" s="55">
        <f t="shared" si="106"/>
        <v>66.467699999999994</v>
      </c>
      <c r="F358" s="68">
        <f t="shared" ref="F358:F364" si="108">D358+E358</f>
        <v>386.58905999999996</v>
      </c>
      <c r="G358" s="68">
        <v>0</v>
      </c>
      <c r="H358" s="68">
        <f t="shared" si="104"/>
        <v>560.55413699999997</v>
      </c>
      <c r="I358" s="36"/>
      <c r="N358" s="36"/>
    </row>
    <row r="359" spans="1:14" s="37" customFormat="1" x14ac:dyDescent="0.35">
      <c r="A359" s="68">
        <f t="shared" si="107"/>
        <v>7</v>
      </c>
      <c r="B359" s="68" t="s">
        <v>209</v>
      </c>
      <c r="C359" s="68" t="s">
        <v>175</v>
      </c>
      <c r="D359" s="55">
        <f t="shared" si="105"/>
        <v>320.12135999999998</v>
      </c>
      <c r="E359" s="55">
        <f t="shared" si="106"/>
        <v>66.467699999999994</v>
      </c>
      <c r="F359" s="68">
        <f t="shared" si="108"/>
        <v>386.58905999999996</v>
      </c>
      <c r="G359" s="68">
        <v>0</v>
      </c>
      <c r="H359" s="68">
        <f t="shared" si="104"/>
        <v>560.55413699999997</v>
      </c>
      <c r="I359" s="36"/>
      <c r="N359" s="36"/>
    </row>
    <row r="360" spans="1:14" s="37" customFormat="1" x14ac:dyDescent="0.35">
      <c r="A360" s="68">
        <f t="shared" si="107"/>
        <v>8</v>
      </c>
      <c r="B360" s="68" t="s">
        <v>211</v>
      </c>
      <c r="C360" s="68" t="s">
        <v>175</v>
      </c>
      <c r="D360" s="55">
        <f>(34.75)*(10.764)</f>
        <v>374.04899999999998</v>
      </c>
      <c r="E360" s="55">
        <f>(1*2.14+1.21*2.9)*(10.764)</f>
        <v>60.805835999999999</v>
      </c>
      <c r="F360" s="68">
        <f t="shared" si="108"/>
        <v>434.85483599999998</v>
      </c>
      <c r="G360" s="68">
        <v>0</v>
      </c>
      <c r="H360" s="68">
        <f t="shared" si="104"/>
        <v>630.53951219999999</v>
      </c>
      <c r="I360" s="36"/>
      <c r="N360" s="36"/>
    </row>
    <row r="361" spans="1:14" s="37" customFormat="1" x14ac:dyDescent="0.35">
      <c r="A361" s="68">
        <f t="shared" si="107"/>
        <v>9</v>
      </c>
      <c r="B361" s="68" t="s">
        <v>209</v>
      </c>
      <c r="C361" s="68" t="s">
        <v>175</v>
      </c>
      <c r="D361" s="55">
        <f t="shared" ref="D361:D364" si="109">(29.74)*(10.764)</f>
        <v>320.12135999999998</v>
      </c>
      <c r="E361" s="55">
        <f t="shared" si="106"/>
        <v>66.467699999999994</v>
      </c>
      <c r="F361" s="68">
        <f t="shared" si="108"/>
        <v>386.58905999999996</v>
      </c>
      <c r="G361" s="68">
        <v>0</v>
      </c>
      <c r="H361" s="68">
        <f t="shared" si="104"/>
        <v>560.55413699999997</v>
      </c>
      <c r="I361" s="36"/>
      <c r="N361" s="36"/>
    </row>
    <row r="362" spans="1:14" s="37" customFormat="1" x14ac:dyDescent="0.35">
      <c r="A362" s="68">
        <f t="shared" si="107"/>
        <v>10</v>
      </c>
      <c r="B362" s="68" t="s">
        <v>209</v>
      </c>
      <c r="C362" s="68" t="s">
        <v>175</v>
      </c>
      <c r="D362" s="55">
        <f t="shared" si="109"/>
        <v>320.12135999999998</v>
      </c>
      <c r="E362" s="55">
        <f t="shared" si="106"/>
        <v>66.467699999999994</v>
      </c>
      <c r="F362" s="68">
        <f t="shared" si="108"/>
        <v>386.58905999999996</v>
      </c>
      <c r="G362" s="68">
        <v>0</v>
      </c>
      <c r="H362" s="68">
        <f t="shared" si="104"/>
        <v>560.55413699999997</v>
      </c>
      <c r="I362" s="36"/>
      <c r="N362" s="36"/>
    </row>
    <row r="363" spans="1:14" s="37" customFormat="1" x14ac:dyDescent="0.35">
      <c r="A363" s="68">
        <f t="shared" si="107"/>
        <v>11</v>
      </c>
      <c r="B363" s="68" t="s">
        <v>209</v>
      </c>
      <c r="C363" s="68" t="s">
        <v>175</v>
      </c>
      <c r="D363" s="55">
        <f t="shared" si="109"/>
        <v>320.12135999999998</v>
      </c>
      <c r="E363" s="55">
        <f t="shared" si="106"/>
        <v>66.467699999999994</v>
      </c>
      <c r="F363" s="68">
        <f t="shared" si="108"/>
        <v>386.58905999999996</v>
      </c>
      <c r="G363" s="68">
        <v>0</v>
      </c>
      <c r="H363" s="68">
        <f t="shared" si="104"/>
        <v>560.55413699999997</v>
      </c>
      <c r="I363" s="36"/>
      <c r="N363" s="36"/>
    </row>
    <row r="364" spans="1:14" s="37" customFormat="1" x14ac:dyDescent="0.35">
      <c r="A364" s="68">
        <f t="shared" si="107"/>
        <v>12</v>
      </c>
      <c r="B364" s="68" t="s">
        <v>209</v>
      </c>
      <c r="C364" s="68" t="s">
        <v>175</v>
      </c>
      <c r="D364" s="55">
        <f t="shared" si="109"/>
        <v>320.12135999999998</v>
      </c>
      <c r="E364" s="55">
        <f t="shared" si="106"/>
        <v>66.467699999999994</v>
      </c>
      <c r="F364" s="68">
        <f t="shared" si="108"/>
        <v>386.58905999999996</v>
      </c>
      <c r="G364" s="68">
        <v>0</v>
      </c>
      <c r="H364" s="68">
        <f t="shared" si="104"/>
        <v>560.55413699999997</v>
      </c>
      <c r="I364" s="36"/>
      <c r="N364" s="36"/>
    </row>
    <row r="365" spans="1:14" s="37" customFormat="1" x14ac:dyDescent="0.35">
      <c r="A365" s="112" t="s">
        <v>179</v>
      </c>
      <c r="B365" s="112"/>
      <c r="C365" s="112"/>
      <c r="D365" s="112"/>
      <c r="E365" s="112"/>
      <c r="F365" s="112"/>
      <c r="G365" s="112"/>
      <c r="H365" s="112"/>
      <c r="I365" s="36"/>
      <c r="L365" s="111"/>
      <c r="M365" s="111"/>
    </row>
    <row r="366" spans="1:14" s="37" customFormat="1" x14ac:dyDescent="0.35">
      <c r="A366" s="60">
        <v>1</v>
      </c>
      <c r="B366" s="60" t="s">
        <v>209</v>
      </c>
      <c r="C366" s="42" t="s">
        <v>175</v>
      </c>
      <c r="D366" s="55">
        <f>(29.74)*(10.764)</f>
        <v>320.12135999999998</v>
      </c>
      <c r="E366" s="55">
        <f>(1*2.05)*(10.764)</f>
        <v>22.066199999999998</v>
      </c>
      <c r="F366" s="42">
        <f>D366+E366</f>
        <v>342.18755999999996</v>
      </c>
      <c r="G366" s="42">
        <v>0</v>
      </c>
      <c r="H366" s="42">
        <f t="shared" ref="H366:H372" si="110">F366*(($H$156)+1)+(IF(G366&lt;101,G366,IF(G366&lt;201,G366/2,IF(G366&lt;=301,G366/3,G366/4))))</f>
        <v>496.17196199999995</v>
      </c>
      <c r="I366" s="36"/>
      <c r="N366" s="36"/>
    </row>
    <row r="367" spans="1:14" s="37" customFormat="1" x14ac:dyDescent="0.35">
      <c r="A367" s="60">
        <f>A366+1</f>
        <v>2</v>
      </c>
      <c r="B367" s="60" t="s">
        <v>209</v>
      </c>
      <c r="C367" s="42" t="s">
        <v>175</v>
      </c>
      <c r="D367" s="55">
        <f t="shared" ref="D367:D372" si="111">(29.74)*(10.764)</f>
        <v>320.12135999999998</v>
      </c>
      <c r="E367" s="55">
        <f t="shared" ref="E367:E372" si="112">(1*2.05)*(10.764)</f>
        <v>22.066199999999998</v>
      </c>
      <c r="F367" s="42">
        <f>D367+E367</f>
        <v>342.18755999999996</v>
      </c>
      <c r="G367" s="42">
        <v>0</v>
      </c>
      <c r="H367" s="42">
        <f t="shared" si="110"/>
        <v>496.17196199999995</v>
      </c>
      <c r="I367" s="36"/>
      <c r="N367" s="36"/>
    </row>
    <row r="368" spans="1:14" s="37" customFormat="1" x14ac:dyDescent="0.35">
      <c r="A368" s="60">
        <f>A367+1</f>
        <v>3</v>
      </c>
      <c r="B368" s="60" t="s">
        <v>209</v>
      </c>
      <c r="C368" s="42" t="s">
        <v>175</v>
      </c>
      <c r="D368" s="55">
        <f t="shared" si="111"/>
        <v>320.12135999999998</v>
      </c>
      <c r="E368" s="55">
        <f t="shared" si="112"/>
        <v>22.066199999999998</v>
      </c>
      <c r="F368" s="42">
        <f>D368+E368</f>
        <v>342.18755999999996</v>
      </c>
      <c r="G368" s="42">
        <v>0</v>
      </c>
      <c r="H368" s="42">
        <f t="shared" si="110"/>
        <v>496.17196199999995</v>
      </c>
      <c r="I368" s="36"/>
      <c r="N368" s="36"/>
    </row>
    <row r="369" spans="1:14" s="37" customFormat="1" x14ac:dyDescent="0.35">
      <c r="A369" s="60">
        <f>A368+1</f>
        <v>4</v>
      </c>
      <c r="B369" s="60" t="s">
        <v>209</v>
      </c>
      <c r="C369" s="42" t="s">
        <v>175</v>
      </c>
      <c r="D369" s="55">
        <f t="shared" si="111"/>
        <v>320.12135999999998</v>
      </c>
      <c r="E369" s="55">
        <f t="shared" si="112"/>
        <v>22.066199999999998</v>
      </c>
      <c r="F369" s="42">
        <f>D369+E369</f>
        <v>342.18755999999996</v>
      </c>
      <c r="G369" s="42">
        <v>0</v>
      </c>
      <c r="H369" s="42">
        <f t="shared" si="110"/>
        <v>496.17196199999995</v>
      </c>
      <c r="I369" s="36"/>
      <c r="N369" s="36"/>
    </row>
    <row r="370" spans="1:14" s="37" customFormat="1" x14ac:dyDescent="0.35">
      <c r="A370" s="60">
        <f t="shared" ref="A370:A377" si="113">A369+1</f>
        <v>5</v>
      </c>
      <c r="B370" s="60" t="s">
        <v>209</v>
      </c>
      <c r="C370" s="42" t="s">
        <v>175</v>
      </c>
      <c r="D370" s="55">
        <f t="shared" si="111"/>
        <v>320.12135999999998</v>
      </c>
      <c r="E370" s="55">
        <f t="shared" si="112"/>
        <v>22.066199999999998</v>
      </c>
      <c r="F370" s="42">
        <f>D370+E370</f>
        <v>342.18755999999996</v>
      </c>
      <c r="G370" s="42">
        <v>0</v>
      </c>
      <c r="H370" s="42">
        <f t="shared" si="110"/>
        <v>496.17196199999995</v>
      </c>
      <c r="I370" s="36"/>
      <c r="N370" s="36"/>
    </row>
    <row r="371" spans="1:14" s="37" customFormat="1" x14ac:dyDescent="0.35">
      <c r="A371" s="60">
        <f t="shared" si="113"/>
        <v>6</v>
      </c>
      <c r="B371" s="60" t="s">
        <v>209</v>
      </c>
      <c r="C371" s="42" t="s">
        <v>175</v>
      </c>
      <c r="D371" s="55">
        <f t="shared" si="111"/>
        <v>320.12135999999998</v>
      </c>
      <c r="E371" s="55">
        <f t="shared" si="112"/>
        <v>22.066199999999998</v>
      </c>
      <c r="F371" s="42">
        <f t="shared" ref="F371:F377" si="114">D371+E371</f>
        <v>342.18755999999996</v>
      </c>
      <c r="G371" s="42">
        <v>0</v>
      </c>
      <c r="H371" s="42">
        <f t="shared" si="110"/>
        <v>496.17196199999995</v>
      </c>
      <c r="I371" s="36"/>
      <c r="N371" s="36"/>
    </row>
    <row r="372" spans="1:14" s="37" customFormat="1" x14ac:dyDescent="0.35">
      <c r="A372" s="60">
        <f t="shared" si="113"/>
        <v>7</v>
      </c>
      <c r="B372" s="60" t="s">
        <v>209</v>
      </c>
      <c r="C372" s="42" t="s">
        <v>175</v>
      </c>
      <c r="D372" s="55">
        <f t="shared" si="111"/>
        <v>320.12135999999998</v>
      </c>
      <c r="E372" s="55">
        <f t="shared" si="112"/>
        <v>22.066199999999998</v>
      </c>
      <c r="F372" s="42">
        <f t="shared" si="114"/>
        <v>342.18755999999996</v>
      </c>
      <c r="G372" s="42">
        <v>0</v>
      </c>
      <c r="H372" s="42">
        <f t="shared" si="110"/>
        <v>496.17196199999995</v>
      </c>
      <c r="I372" s="36"/>
      <c r="N372" s="36"/>
    </row>
    <row r="373" spans="1:14" s="37" customFormat="1" x14ac:dyDescent="0.35">
      <c r="A373" s="60">
        <f t="shared" si="113"/>
        <v>8</v>
      </c>
      <c r="B373" s="60" t="s">
        <v>212</v>
      </c>
      <c r="C373" s="130" t="s">
        <v>180</v>
      </c>
      <c r="D373" s="131"/>
      <c r="E373" s="131"/>
      <c r="F373" s="131"/>
      <c r="G373" s="131"/>
      <c r="H373" s="132"/>
      <c r="I373" s="36"/>
      <c r="N373" s="36"/>
    </row>
    <row r="374" spans="1:14" s="37" customFormat="1" x14ac:dyDescent="0.35">
      <c r="A374" s="60">
        <f t="shared" si="113"/>
        <v>9</v>
      </c>
      <c r="B374" s="60" t="s">
        <v>209</v>
      </c>
      <c r="C374" s="42" t="s">
        <v>175</v>
      </c>
      <c r="D374" s="55">
        <f t="shared" ref="D374:D377" si="115">(29.74)*(10.764)</f>
        <v>320.12135999999998</v>
      </c>
      <c r="E374" s="55">
        <f t="shared" ref="E374:E377" si="116">(1*2.05)*(10.764)</f>
        <v>22.066199999999998</v>
      </c>
      <c r="F374" s="42">
        <f t="shared" si="114"/>
        <v>342.18755999999996</v>
      </c>
      <c r="G374" s="42">
        <v>0</v>
      </c>
      <c r="H374" s="42">
        <f t="shared" ref="H374:H377" si="117">F374*(($H$156)+1)+(IF(G374&lt;101,G374,IF(G374&lt;201,G374/2,IF(G374&lt;=301,G374/3,G374/4))))</f>
        <v>496.17196199999995</v>
      </c>
      <c r="I374" s="36"/>
      <c r="N374" s="36"/>
    </row>
    <row r="375" spans="1:14" s="37" customFormat="1" x14ac:dyDescent="0.35">
      <c r="A375" s="60">
        <f t="shared" si="113"/>
        <v>10</v>
      </c>
      <c r="B375" s="60" t="s">
        <v>209</v>
      </c>
      <c r="C375" s="42" t="s">
        <v>175</v>
      </c>
      <c r="D375" s="55">
        <f t="shared" si="115"/>
        <v>320.12135999999998</v>
      </c>
      <c r="E375" s="55">
        <f t="shared" si="116"/>
        <v>22.066199999999998</v>
      </c>
      <c r="F375" s="42">
        <f t="shared" si="114"/>
        <v>342.18755999999996</v>
      </c>
      <c r="G375" s="42">
        <v>0</v>
      </c>
      <c r="H375" s="42">
        <f t="shared" si="117"/>
        <v>496.17196199999995</v>
      </c>
      <c r="I375" s="36"/>
      <c r="N375" s="36"/>
    </row>
    <row r="376" spans="1:14" s="37" customFormat="1" x14ac:dyDescent="0.35">
      <c r="A376" s="60">
        <f t="shared" si="113"/>
        <v>11</v>
      </c>
      <c r="B376" s="60" t="s">
        <v>209</v>
      </c>
      <c r="C376" s="42" t="s">
        <v>175</v>
      </c>
      <c r="D376" s="55">
        <f t="shared" si="115"/>
        <v>320.12135999999998</v>
      </c>
      <c r="E376" s="55">
        <f t="shared" si="116"/>
        <v>22.066199999999998</v>
      </c>
      <c r="F376" s="42">
        <f t="shared" si="114"/>
        <v>342.18755999999996</v>
      </c>
      <c r="G376" s="42">
        <v>0</v>
      </c>
      <c r="H376" s="42">
        <f t="shared" si="117"/>
        <v>496.17196199999995</v>
      </c>
      <c r="I376" s="36"/>
      <c r="N376" s="36"/>
    </row>
    <row r="377" spans="1:14" s="37" customFormat="1" x14ac:dyDescent="0.35">
      <c r="A377" s="60">
        <f t="shared" si="113"/>
        <v>12</v>
      </c>
      <c r="B377" s="60" t="s">
        <v>209</v>
      </c>
      <c r="C377" s="42" t="s">
        <v>175</v>
      </c>
      <c r="D377" s="55">
        <f t="shared" si="115"/>
        <v>320.12135999999998</v>
      </c>
      <c r="E377" s="55">
        <f t="shared" si="116"/>
        <v>22.066199999999998</v>
      </c>
      <c r="F377" s="42">
        <f t="shared" si="114"/>
        <v>342.18755999999996</v>
      </c>
      <c r="G377" s="42">
        <v>0</v>
      </c>
      <c r="H377" s="42">
        <f t="shared" si="117"/>
        <v>496.17196199999995</v>
      </c>
      <c r="I377" s="36"/>
      <c r="N377" s="36"/>
    </row>
    <row r="378" spans="1:14" s="37" customFormat="1" x14ac:dyDescent="0.35">
      <c r="A378" s="112" t="s">
        <v>200</v>
      </c>
      <c r="B378" s="112"/>
      <c r="C378" s="112"/>
      <c r="D378" s="112"/>
      <c r="E378" s="112"/>
      <c r="F378" s="112"/>
      <c r="G378" s="112"/>
      <c r="H378" s="112"/>
      <c r="I378" s="36"/>
      <c r="L378" s="111"/>
      <c r="M378" s="111"/>
    </row>
    <row r="379" spans="1:14" s="37" customFormat="1" x14ac:dyDescent="0.35">
      <c r="A379" s="60">
        <v>1</v>
      </c>
      <c r="B379" s="60" t="s">
        <v>209</v>
      </c>
      <c r="C379" s="42" t="s">
        <v>175</v>
      </c>
      <c r="D379" s="55">
        <f>(29.74)*(10.764)</f>
        <v>320.12135999999998</v>
      </c>
      <c r="E379" s="55">
        <f>(1*2.05+1.5*2.75)*(10.764)</f>
        <v>66.467699999999994</v>
      </c>
      <c r="F379" s="42">
        <f>D379+E379</f>
        <v>386.58905999999996</v>
      </c>
      <c r="G379" s="42">
        <v>0</v>
      </c>
      <c r="H379" s="42">
        <f t="shared" ref="H379:H385" si="118">F379*(($H$156)+1)+(IF(G379&lt;101,G379,IF(G379&lt;201,G379/2,IF(G379&lt;=301,G379/3,G379/4))))</f>
        <v>560.55413699999997</v>
      </c>
      <c r="I379" s="36"/>
      <c r="N379" s="36"/>
    </row>
    <row r="380" spans="1:14" s="37" customFormat="1" x14ac:dyDescent="0.35">
      <c r="A380" s="60">
        <f>A379+1</f>
        <v>2</v>
      </c>
      <c r="B380" s="60" t="s">
        <v>209</v>
      </c>
      <c r="C380" s="42" t="s">
        <v>175</v>
      </c>
      <c r="D380" s="55">
        <f t="shared" ref="D380:D385" si="119">(29.74)*(10.764)</f>
        <v>320.12135999999998</v>
      </c>
      <c r="E380" s="55">
        <f t="shared" ref="E380:E385" si="120">(1*2.05+1.5*2.75)*(10.764)</f>
        <v>66.467699999999994</v>
      </c>
      <c r="F380" s="42">
        <f>D380+E380</f>
        <v>386.58905999999996</v>
      </c>
      <c r="G380" s="42">
        <v>0</v>
      </c>
      <c r="H380" s="42">
        <f t="shared" si="118"/>
        <v>560.55413699999997</v>
      </c>
      <c r="I380" s="36"/>
      <c r="N380" s="36"/>
    </row>
    <row r="381" spans="1:14" s="37" customFormat="1" x14ac:dyDescent="0.35">
      <c r="A381" s="60">
        <f>A380+1</f>
        <v>3</v>
      </c>
      <c r="B381" s="60" t="s">
        <v>209</v>
      </c>
      <c r="C381" s="42" t="s">
        <v>175</v>
      </c>
      <c r="D381" s="55">
        <f t="shared" si="119"/>
        <v>320.12135999999998</v>
      </c>
      <c r="E381" s="55">
        <f t="shared" si="120"/>
        <v>66.467699999999994</v>
      </c>
      <c r="F381" s="42">
        <f>D381+E381</f>
        <v>386.58905999999996</v>
      </c>
      <c r="G381" s="42">
        <v>0</v>
      </c>
      <c r="H381" s="42">
        <f t="shared" si="118"/>
        <v>560.55413699999997</v>
      </c>
      <c r="I381" s="36"/>
      <c r="N381" s="36"/>
    </row>
    <row r="382" spans="1:14" s="37" customFormat="1" x14ac:dyDescent="0.35">
      <c r="A382" s="60">
        <f>A381+1</f>
        <v>4</v>
      </c>
      <c r="B382" s="60" t="s">
        <v>209</v>
      </c>
      <c r="C382" s="42" t="s">
        <v>175</v>
      </c>
      <c r="D382" s="55">
        <f t="shared" si="119"/>
        <v>320.12135999999998</v>
      </c>
      <c r="E382" s="55">
        <f t="shared" si="120"/>
        <v>66.467699999999994</v>
      </c>
      <c r="F382" s="42">
        <f>D382+E382</f>
        <v>386.58905999999996</v>
      </c>
      <c r="G382" s="42">
        <v>0</v>
      </c>
      <c r="H382" s="42">
        <f t="shared" si="118"/>
        <v>560.55413699999997</v>
      </c>
      <c r="I382" s="36"/>
      <c r="N382" s="36"/>
    </row>
    <row r="383" spans="1:14" s="37" customFormat="1" x14ac:dyDescent="0.35">
      <c r="A383" s="60">
        <f t="shared" ref="A383:A390" si="121">A382+1</f>
        <v>5</v>
      </c>
      <c r="B383" s="60" t="s">
        <v>209</v>
      </c>
      <c r="C383" s="42" t="s">
        <v>175</v>
      </c>
      <c r="D383" s="55">
        <f t="shared" si="119"/>
        <v>320.12135999999998</v>
      </c>
      <c r="E383" s="55">
        <f t="shared" si="120"/>
        <v>66.467699999999994</v>
      </c>
      <c r="F383" s="42">
        <f>D383+E383</f>
        <v>386.58905999999996</v>
      </c>
      <c r="G383" s="42">
        <v>0</v>
      </c>
      <c r="H383" s="42">
        <f t="shared" si="118"/>
        <v>560.55413699999997</v>
      </c>
      <c r="I383" s="36"/>
      <c r="N383" s="36"/>
    </row>
    <row r="384" spans="1:14" s="37" customFormat="1" x14ac:dyDescent="0.35">
      <c r="A384" s="60">
        <f t="shared" si="121"/>
        <v>6</v>
      </c>
      <c r="B384" s="60" t="s">
        <v>209</v>
      </c>
      <c r="C384" s="42" t="s">
        <v>175</v>
      </c>
      <c r="D384" s="55">
        <f t="shared" si="119"/>
        <v>320.12135999999998</v>
      </c>
      <c r="E384" s="55">
        <f t="shared" si="120"/>
        <v>66.467699999999994</v>
      </c>
      <c r="F384" s="42">
        <f t="shared" ref="F384:F390" si="122">D384+E384</f>
        <v>386.58905999999996</v>
      </c>
      <c r="G384" s="42">
        <v>0</v>
      </c>
      <c r="H384" s="42">
        <f t="shared" si="118"/>
        <v>560.55413699999997</v>
      </c>
      <c r="I384" s="36"/>
      <c r="N384" s="36"/>
    </row>
    <row r="385" spans="1:14" s="37" customFormat="1" x14ac:dyDescent="0.35">
      <c r="A385" s="60">
        <f t="shared" si="121"/>
        <v>7</v>
      </c>
      <c r="B385" s="60" t="s">
        <v>209</v>
      </c>
      <c r="C385" s="42" t="s">
        <v>175</v>
      </c>
      <c r="D385" s="55">
        <f t="shared" si="119"/>
        <v>320.12135999999998</v>
      </c>
      <c r="E385" s="55">
        <f t="shared" si="120"/>
        <v>66.467699999999994</v>
      </c>
      <c r="F385" s="42">
        <f t="shared" si="122"/>
        <v>386.58905999999996</v>
      </c>
      <c r="G385" s="42">
        <v>0</v>
      </c>
      <c r="H385" s="42">
        <f t="shared" si="118"/>
        <v>560.55413699999997</v>
      </c>
      <c r="I385" s="36"/>
      <c r="N385" s="36"/>
    </row>
    <row r="386" spans="1:14" s="37" customFormat="1" x14ac:dyDescent="0.35">
      <c r="A386" s="60">
        <f t="shared" si="121"/>
        <v>8</v>
      </c>
      <c r="B386" s="60" t="s">
        <v>212</v>
      </c>
      <c r="C386" s="130" t="s">
        <v>180</v>
      </c>
      <c r="D386" s="131"/>
      <c r="E386" s="131"/>
      <c r="F386" s="131"/>
      <c r="G386" s="131"/>
      <c r="H386" s="132"/>
      <c r="I386" s="36"/>
      <c r="N386" s="36"/>
    </row>
    <row r="387" spans="1:14" s="37" customFormat="1" x14ac:dyDescent="0.35">
      <c r="A387" s="60">
        <f t="shared" si="121"/>
        <v>9</v>
      </c>
      <c r="B387" s="60" t="s">
        <v>209</v>
      </c>
      <c r="C387" s="42" t="s">
        <v>175</v>
      </c>
      <c r="D387" s="55">
        <f t="shared" ref="D387:D390" si="123">(29.74)*(10.764)</f>
        <v>320.12135999999998</v>
      </c>
      <c r="E387" s="55">
        <f t="shared" ref="E387:E390" si="124">(1*2.05+1.5*2.75)*(10.764)</f>
        <v>66.467699999999994</v>
      </c>
      <c r="F387" s="42">
        <f t="shared" si="122"/>
        <v>386.58905999999996</v>
      </c>
      <c r="G387" s="42">
        <v>0</v>
      </c>
      <c r="H387" s="42">
        <f t="shared" ref="H387:H390" si="125">F387*(($H$156)+1)+(IF(G387&lt;101,G387,IF(G387&lt;201,G387/2,IF(G387&lt;=301,G387/3,G387/4))))</f>
        <v>560.55413699999997</v>
      </c>
      <c r="I387" s="36"/>
      <c r="N387" s="36"/>
    </row>
    <row r="388" spans="1:14" s="37" customFormat="1" x14ac:dyDescent="0.35">
      <c r="A388" s="60">
        <f t="shared" si="121"/>
        <v>10</v>
      </c>
      <c r="B388" s="60" t="s">
        <v>209</v>
      </c>
      <c r="C388" s="42" t="s">
        <v>175</v>
      </c>
      <c r="D388" s="55">
        <f t="shared" si="123"/>
        <v>320.12135999999998</v>
      </c>
      <c r="E388" s="55">
        <f t="shared" si="124"/>
        <v>66.467699999999994</v>
      </c>
      <c r="F388" s="42">
        <f t="shared" si="122"/>
        <v>386.58905999999996</v>
      </c>
      <c r="G388" s="42">
        <v>0</v>
      </c>
      <c r="H388" s="42">
        <f t="shared" si="125"/>
        <v>560.55413699999997</v>
      </c>
      <c r="I388" s="36"/>
      <c r="N388" s="36"/>
    </row>
    <row r="389" spans="1:14" s="37" customFormat="1" x14ac:dyDescent="0.35">
      <c r="A389" s="60">
        <f t="shared" si="121"/>
        <v>11</v>
      </c>
      <c r="B389" s="60" t="s">
        <v>209</v>
      </c>
      <c r="C389" s="42" t="s">
        <v>175</v>
      </c>
      <c r="D389" s="55">
        <f t="shared" si="123"/>
        <v>320.12135999999998</v>
      </c>
      <c r="E389" s="55">
        <f t="shared" si="124"/>
        <v>66.467699999999994</v>
      </c>
      <c r="F389" s="42">
        <f t="shared" si="122"/>
        <v>386.58905999999996</v>
      </c>
      <c r="G389" s="42">
        <v>0</v>
      </c>
      <c r="H389" s="42">
        <f t="shared" si="125"/>
        <v>560.55413699999997</v>
      </c>
      <c r="I389" s="36"/>
      <c r="N389" s="36"/>
    </row>
    <row r="390" spans="1:14" s="37" customFormat="1" x14ac:dyDescent="0.35">
      <c r="A390" s="60">
        <f t="shared" si="121"/>
        <v>12</v>
      </c>
      <c r="B390" s="60" t="s">
        <v>209</v>
      </c>
      <c r="C390" s="42" t="s">
        <v>175</v>
      </c>
      <c r="D390" s="55">
        <f t="shared" si="123"/>
        <v>320.12135999999998</v>
      </c>
      <c r="E390" s="55">
        <f t="shared" si="124"/>
        <v>66.467699999999994</v>
      </c>
      <c r="F390" s="42">
        <f t="shared" si="122"/>
        <v>386.58905999999996</v>
      </c>
      <c r="G390" s="42">
        <v>0</v>
      </c>
      <c r="H390" s="42">
        <f t="shared" si="125"/>
        <v>560.55413699999997</v>
      </c>
      <c r="I390" s="36"/>
      <c r="N390" s="36"/>
    </row>
    <row r="391" spans="1:14" ht="47.25" hidden="1" customHeight="1" x14ac:dyDescent="0.35">
      <c r="A391" s="140" t="s">
        <v>113</v>
      </c>
      <c r="B391" s="140" t="s">
        <v>114</v>
      </c>
      <c r="C391" s="140" t="s">
        <v>57</v>
      </c>
      <c r="D391" s="140" t="s">
        <v>58</v>
      </c>
      <c r="E391" s="142" t="s">
        <v>59</v>
      </c>
      <c r="F391" s="43" t="s">
        <v>142</v>
      </c>
      <c r="G391" s="144" t="s">
        <v>60</v>
      </c>
      <c r="H391" s="145"/>
      <c r="I391" s="36"/>
    </row>
    <row r="392" spans="1:14" s="37" customFormat="1" hidden="1" x14ac:dyDescent="0.35">
      <c r="A392" s="141"/>
      <c r="B392" s="141"/>
      <c r="C392" s="141"/>
      <c r="D392" s="141"/>
      <c r="E392" s="143"/>
      <c r="F392" s="13">
        <v>0.45</v>
      </c>
      <c r="G392" s="146"/>
      <c r="H392" s="147"/>
      <c r="I392" s="36"/>
    </row>
    <row r="393" spans="1:14" s="37" customFormat="1" hidden="1" x14ac:dyDescent="0.35">
      <c r="A393" s="112" t="s">
        <v>169</v>
      </c>
      <c r="B393" s="112"/>
      <c r="C393" s="112"/>
      <c r="D393" s="112"/>
      <c r="E393" s="112"/>
      <c r="F393" s="112"/>
      <c r="G393" s="112"/>
      <c r="H393" s="112"/>
      <c r="I393" s="36"/>
      <c r="L393" s="111"/>
      <c r="M393" s="111"/>
    </row>
    <row r="394" spans="1:14" s="37" customFormat="1" hidden="1" x14ac:dyDescent="0.35">
      <c r="A394" s="112" t="s">
        <v>174</v>
      </c>
      <c r="B394" s="112"/>
      <c r="C394" s="112"/>
      <c r="D394" s="112"/>
      <c r="E394" s="112"/>
      <c r="F394" s="112"/>
      <c r="G394" s="112"/>
      <c r="H394" s="112"/>
      <c r="I394" s="36"/>
      <c r="L394" s="111"/>
      <c r="M394" s="111"/>
    </row>
    <row r="395" spans="1:14" s="37" customFormat="1" hidden="1" x14ac:dyDescent="0.35">
      <c r="A395" s="112" t="s">
        <v>196</v>
      </c>
      <c r="B395" s="112"/>
      <c r="C395" s="112"/>
      <c r="D395" s="112"/>
      <c r="E395" s="112"/>
      <c r="F395" s="112"/>
      <c r="G395" s="112"/>
      <c r="H395" s="112"/>
      <c r="I395" s="36"/>
      <c r="L395" s="111"/>
      <c r="M395" s="111"/>
    </row>
    <row r="396" spans="1:14" s="37" customFormat="1" hidden="1" x14ac:dyDescent="0.35">
      <c r="A396" s="112" t="s">
        <v>171</v>
      </c>
      <c r="B396" s="112"/>
      <c r="C396" s="112"/>
      <c r="D396" s="112"/>
      <c r="E396" s="112"/>
      <c r="F396" s="112"/>
      <c r="G396" s="112"/>
      <c r="H396" s="112"/>
      <c r="I396" s="36"/>
      <c r="L396" s="111"/>
      <c r="M396" s="111"/>
    </row>
    <row r="397" spans="1:14" s="37" customFormat="1" hidden="1" x14ac:dyDescent="0.35">
      <c r="A397" s="112" t="s">
        <v>172</v>
      </c>
      <c r="B397" s="112"/>
      <c r="C397" s="112"/>
      <c r="D397" s="112"/>
      <c r="E397" s="112"/>
      <c r="F397" s="112"/>
      <c r="G397" s="112"/>
      <c r="H397" s="112"/>
      <c r="I397" s="36"/>
      <c r="L397" s="111"/>
      <c r="M397" s="111"/>
    </row>
    <row r="398" spans="1:14" s="37" customFormat="1" hidden="1" x14ac:dyDescent="0.35">
      <c r="A398" s="112" t="s">
        <v>173</v>
      </c>
      <c r="B398" s="112"/>
      <c r="C398" s="112"/>
      <c r="D398" s="112"/>
      <c r="E398" s="112"/>
      <c r="F398" s="112"/>
      <c r="G398" s="112"/>
      <c r="H398" s="112"/>
      <c r="I398" s="36"/>
      <c r="L398" s="111"/>
      <c r="M398" s="111"/>
    </row>
    <row r="399" spans="1:14" s="37" customFormat="1" ht="15.75" hidden="1" customHeight="1" x14ac:dyDescent="0.35">
      <c r="A399" s="113">
        <v>1</v>
      </c>
      <c r="B399" s="113"/>
      <c r="C399" s="42" t="s">
        <v>175</v>
      </c>
      <c r="D399" s="55">
        <f>(29.74+1*2.05)*(10.764)</f>
        <v>342.18755999999996</v>
      </c>
      <c r="E399" s="42">
        <v>0</v>
      </c>
      <c r="F399" s="42">
        <f t="shared" ref="F399" si="126">D399*(($F$392)+1)+(IF(E399&lt;101,E399,IF(E399&lt;201,E399/2,IF(E399&lt;=301,E399/3,E399/4))))</f>
        <v>496.17196199999995</v>
      </c>
      <c r="G399" s="114" t="str">
        <f>A398</f>
        <v>3rd Floor For Residential</v>
      </c>
      <c r="H399" s="116"/>
      <c r="I399" s="36">
        <f>2.75*3.35+2.05*2.59+2.75*2.9+1.1*1.8+1.1*1.8+1.55*0.55+0.8*0.55</f>
        <v>27.749500000000001</v>
      </c>
      <c r="J399" s="37">
        <f>F399/D399</f>
        <v>1.45</v>
      </c>
      <c r="K399" s="37">
        <f>506/D399</f>
        <v>1.478721201904593</v>
      </c>
      <c r="L399" s="37">
        <f>4000*F399</f>
        <v>1984687.8479999998</v>
      </c>
      <c r="N399" s="36"/>
    </row>
    <row r="400" spans="1:14" s="37" customFormat="1" ht="15.75" hidden="1" customHeight="1" x14ac:dyDescent="0.35">
      <c r="A400" s="113">
        <f>A399+1</f>
        <v>2</v>
      </c>
      <c r="B400" s="113"/>
      <c r="C400" s="42" t="s">
        <v>175</v>
      </c>
      <c r="D400" s="55">
        <f t="shared" ref="D400:D407" si="127">(29.74+1*2.05)*(10.764)</f>
        <v>342.18755999999996</v>
      </c>
      <c r="E400" s="42">
        <v>0</v>
      </c>
      <c r="F400" s="42">
        <f t="shared" ref="F400:F409" si="128">D400*(($F$392)+1)+(IF(E400&lt;101,E400,IF(E400&lt;201,E400/2,IF(E400&lt;=301,E400/3,E400/4))))</f>
        <v>496.17196199999995</v>
      </c>
      <c r="G400" s="120"/>
      <c r="H400" s="122"/>
      <c r="I400" s="36"/>
      <c r="J400" s="37">
        <f>F400/D400</f>
        <v>1.45</v>
      </c>
      <c r="N400" s="36"/>
    </row>
    <row r="401" spans="1:14" s="37" customFormat="1" ht="15.75" hidden="1" customHeight="1" x14ac:dyDescent="0.35">
      <c r="A401" s="113">
        <f>A400+1</f>
        <v>3</v>
      </c>
      <c r="B401" s="113"/>
      <c r="C401" s="42" t="s">
        <v>175</v>
      </c>
      <c r="D401" s="55">
        <f t="shared" si="127"/>
        <v>342.18755999999996</v>
      </c>
      <c r="E401" s="42">
        <v>0</v>
      </c>
      <c r="F401" s="42">
        <f t="shared" si="128"/>
        <v>496.17196199999995</v>
      </c>
      <c r="G401" s="120"/>
      <c r="H401" s="170"/>
      <c r="I401" s="36"/>
      <c r="J401" s="37">
        <f>F401/D401</f>
        <v>1.45</v>
      </c>
      <c r="K401"/>
      <c r="N401" s="36"/>
    </row>
    <row r="402" spans="1:14" s="37" customFormat="1" ht="15.75" hidden="1" customHeight="1" x14ac:dyDescent="0.35">
      <c r="A402" s="113">
        <f>A401+1</f>
        <v>4</v>
      </c>
      <c r="B402" s="113"/>
      <c r="C402" s="42" t="s">
        <v>175</v>
      </c>
      <c r="D402" s="55">
        <f t="shared" si="127"/>
        <v>342.18755999999996</v>
      </c>
      <c r="E402" s="42">
        <v>0</v>
      </c>
      <c r="F402" s="42">
        <f t="shared" si="128"/>
        <v>496.17196199999995</v>
      </c>
      <c r="G402" s="120"/>
      <c r="H402" s="122"/>
      <c r="I402" s="36"/>
      <c r="J402" s="37">
        <f t="shared" ref="J402:J409" si="129">F402/D402</f>
        <v>1.45</v>
      </c>
      <c r="N402" s="36"/>
    </row>
    <row r="403" spans="1:14" s="37" customFormat="1" ht="15.75" hidden="1" customHeight="1" x14ac:dyDescent="0.35">
      <c r="A403" s="113">
        <f>A402+1</f>
        <v>5</v>
      </c>
      <c r="B403" s="113"/>
      <c r="C403" s="42" t="s">
        <v>175</v>
      </c>
      <c r="D403" s="55">
        <f t="shared" si="127"/>
        <v>342.18755999999996</v>
      </c>
      <c r="E403" s="42">
        <v>0</v>
      </c>
      <c r="F403" s="42">
        <f t="shared" si="128"/>
        <v>496.17196199999995</v>
      </c>
      <c r="G403" s="120"/>
      <c r="H403" s="122"/>
      <c r="I403" s="36"/>
      <c r="J403" s="37">
        <f t="shared" si="129"/>
        <v>1.45</v>
      </c>
      <c r="N403" s="36"/>
    </row>
    <row r="404" spans="1:14" s="37" customFormat="1" hidden="1" x14ac:dyDescent="0.35">
      <c r="A404" s="113">
        <f t="shared" ref="A404:A410" si="130">A403+1</f>
        <v>6</v>
      </c>
      <c r="B404" s="113"/>
      <c r="C404" s="42" t="s">
        <v>175</v>
      </c>
      <c r="D404" s="55">
        <f t="shared" si="127"/>
        <v>342.18755999999996</v>
      </c>
      <c r="E404" s="42">
        <v>0</v>
      </c>
      <c r="F404" s="42">
        <f t="shared" si="128"/>
        <v>496.17196199999995</v>
      </c>
      <c r="G404" s="120"/>
      <c r="H404" s="122"/>
      <c r="I404" s="36"/>
      <c r="J404" s="37">
        <f t="shared" si="129"/>
        <v>1.45</v>
      </c>
      <c r="N404" s="36"/>
    </row>
    <row r="405" spans="1:14" s="37" customFormat="1" hidden="1" x14ac:dyDescent="0.35">
      <c r="A405" s="113">
        <f t="shared" si="130"/>
        <v>7</v>
      </c>
      <c r="B405" s="113"/>
      <c r="C405" s="42" t="s">
        <v>175</v>
      </c>
      <c r="D405" s="55">
        <f t="shared" si="127"/>
        <v>342.18755999999996</v>
      </c>
      <c r="E405" s="42">
        <v>0</v>
      </c>
      <c r="F405" s="42">
        <f t="shared" si="128"/>
        <v>496.17196199999995</v>
      </c>
      <c r="G405" s="120"/>
      <c r="H405" s="122"/>
      <c r="I405" s="36"/>
      <c r="J405" s="37">
        <f t="shared" si="129"/>
        <v>1.45</v>
      </c>
      <c r="N405" s="36"/>
    </row>
    <row r="406" spans="1:14" s="37" customFormat="1" hidden="1" x14ac:dyDescent="0.35">
      <c r="A406" s="113">
        <f t="shared" si="130"/>
        <v>8</v>
      </c>
      <c r="B406" s="113"/>
      <c r="C406" s="42" t="s">
        <v>175</v>
      </c>
      <c r="D406" s="55">
        <f t="shared" si="127"/>
        <v>342.18755999999996</v>
      </c>
      <c r="E406" s="42">
        <v>0</v>
      </c>
      <c r="F406" s="42">
        <f t="shared" si="128"/>
        <v>496.17196199999995</v>
      </c>
      <c r="G406" s="120"/>
      <c r="H406" s="122"/>
      <c r="I406" s="36"/>
      <c r="J406" s="37">
        <f t="shared" si="129"/>
        <v>1.45</v>
      </c>
      <c r="N406" s="36"/>
    </row>
    <row r="407" spans="1:14" s="37" customFormat="1" hidden="1" x14ac:dyDescent="0.35">
      <c r="A407" s="113">
        <f t="shared" si="130"/>
        <v>9</v>
      </c>
      <c r="B407" s="113"/>
      <c r="C407" s="42" t="s">
        <v>175</v>
      </c>
      <c r="D407" s="55">
        <f t="shared" si="127"/>
        <v>342.18755999999996</v>
      </c>
      <c r="E407" s="42">
        <v>0</v>
      </c>
      <c r="F407" s="42">
        <f t="shared" si="128"/>
        <v>496.17196199999995</v>
      </c>
      <c r="G407" s="120"/>
      <c r="H407" s="122"/>
      <c r="I407" s="36"/>
      <c r="J407" s="37">
        <f t="shared" si="129"/>
        <v>1.45</v>
      </c>
      <c r="N407" s="36"/>
    </row>
    <row r="408" spans="1:14" s="37" customFormat="1" hidden="1" x14ac:dyDescent="0.35">
      <c r="A408" s="113">
        <f t="shared" si="130"/>
        <v>10</v>
      </c>
      <c r="B408" s="113"/>
      <c r="C408" s="58" t="s">
        <v>175</v>
      </c>
      <c r="D408" s="55">
        <f>(34.75+1*2.14)*(10.764)</f>
        <v>397.08395999999999</v>
      </c>
      <c r="E408" s="42">
        <v>0</v>
      </c>
      <c r="F408" s="42">
        <f t="shared" si="128"/>
        <v>575.77174200000002</v>
      </c>
      <c r="G408" s="120"/>
      <c r="H408" s="122"/>
      <c r="I408" s="36">
        <f>4.25*2.9+3.05*2.14+3.05*2.75+2.29*1.22+1.8*1.1+0.8*0.6+1.55*0.6</f>
        <v>33.423299999999998</v>
      </c>
      <c r="J408" s="37">
        <f t="shared" si="129"/>
        <v>1.4500000000000002</v>
      </c>
      <c r="L408" s="37">
        <f>665/D408</f>
        <v>1.6747087945833925</v>
      </c>
      <c r="N408" s="36"/>
    </row>
    <row r="409" spans="1:14" s="37" customFormat="1" hidden="1" x14ac:dyDescent="0.35">
      <c r="A409" s="113">
        <f t="shared" si="130"/>
        <v>11</v>
      </c>
      <c r="B409" s="113"/>
      <c r="C409" s="42" t="s">
        <v>175</v>
      </c>
      <c r="D409" s="55">
        <f>(29.85+1*2.05)*(10.764)</f>
        <v>343.3716</v>
      </c>
      <c r="E409" s="42">
        <v>0</v>
      </c>
      <c r="F409" s="42">
        <f t="shared" si="128"/>
        <v>497.88882000000001</v>
      </c>
      <c r="G409" s="120"/>
      <c r="H409" s="122"/>
      <c r="I409" s="36"/>
      <c r="J409" s="37">
        <f t="shared" si="129"/>
        <v>1.45</v>
      </c>
      <c r="N409" s="36"/>
    </row>
    <row r="410" spans="1:14" s="37" customFormat="1" hidden="1" x14ac:dyDescent="0.35">
      <c r="A410" s="113">
        <f t="shared" si="130"/>
        <v>12</v>
      </c>
      <c r="B410" s="113"/>
      <c r="C410" s="171" t="s">
        <v>177</v>
      </c>
      <c r="D410" s="172"/>
      <c r="E410" s="172"/>
      <c r="F410" s="173"/>
      <c r="G410" s="117"/>
      <c r="H410" s="119"/>
      <c r="I410" s="36"/>
      <c r="N410" s="36"/>
    </row>
    <row r="411" spans="1:14" s="37" customFormat="1" hidden="1" x14ac:dyDescent="0.35">
      <c r="A411" s="133" t="s">
        <v>199</v>
      </c>
      <c r="B411" s="134"/>
      <c r="C411" s="134"/>
      <c r="D411" s="134"/>
      <c r="E411" s="134"/>
      <c r="F411" s="134"/>
      <c r="G411" s="134"/>
      <c r="H411" s="135"/>
      <c r="I411" s="36"/>
    </row>
    <row r="412" spans="1:14" s="37" customFormat="1" ht="15.75" hidden="1" customHeight="1" x14ac:dyDescent="0.35">
      <c r="A412" s="130">
        <v>1</v>
      </c>
      <c r="B412" s="132"/>
      <c r="C412" s="42" t="s">
        <v>175</v>
      </c>
      <c r="D412" s="55">
        <f>(29.74+1*2.05)*(10.764)</f>
        <v>342.18755999999996</v>
      </c>
      <c r="E412" s="42">
        <v>0</v>
      </c>
      <c r="F412" s="42">
        <f t="shared" ref="F412:F423" si="131">D412*(($F$392)+1)+(IF(E412&lt;101,E412,IF(E412&lt;201,E412/2,IF(E412&lt;=301,E412/3,E412/4))))</f>
        <v>496.17196199999995</v>
      </c>
      <c r="G412" s="114" t="str">
        <f>A411</f>
        <v>4th to 6th, 8th to 11th, 13th &amp; 14th Floor</v>
      </c>
      <c r="H412" s="116"/>
      <c r="I412" s="36"/>
      <c r="K412" s="37">
        <f>4200*F412</f>
        <v>2083922.2403999998</v>
      </c>
    </row>
    <row r="413" spans="1:14" s="37" customFormat="1" ht="15.75" hidden="1" customHeight="1" x14ac:dyDescent="0.35">
      <c r="A413" s="130">
        <v>2</v>
      </c>
      <c r="B413" s="132"/>
      <c r="C413" s="42" t="s">
        <v>175</v>
      </c>
      <c r="D413" s="55">
        <f t="shared" ref="D413:D420" si="132">(29.74+1*2.05)*(10.764)</f>
        <v>342.18755999999996</v>
      </c>
      <c r="E413" s="42">
        <v>0</v>
      </c>
      <c r="F413" s="42">
        <f t="shared" si="131"/>
        <v>496.17196199999995</v>
      </c>
      <c r="G413" s="120"/>
      <c r="H413" s="122"/>
      <c r="I413" s="36"/>
      <c r="K413" s="37">
        <f t="shared" ref="K413:K423" si="133">4000*F413</f>
        <v>1984687.8479999998</v>
      </c>
    </row>
    <row r="414" spans="1:14" s="37" customFormat="1" ht="15.75" hidden="1" customHeight="1" x14ac:dyDescent="0.35">
      <c r="A414" s="130">
        <v>3</v>
      </c>
      <c r="B414" s="132"/>
      <c r="C414" s="42" t="s">
        <v>175</v>
      </c>
      <c r="D414" s="55">
        <f t="shared" si="132"/>
        <v>342.18755999999996</v>
      </c>
      <c r="E414" s="42">
        <v>0</v>
      </c>
      <c r="F414" s="42">
        <f t="shared" si="131"/>
        <v>496.17196199999995</v>
      </c>
      <c r="G414" s="120"/>
      <c r="H414" s="122"/>
      <c r="I414" s="36"/>
      <c r="K414" s="37">
        <f t="shared" si="133"/>
        <v>1984687.8479999998</v>
      </c>
    </row>
    <row r="415" spans="1:14" s="37" customFormat="1" ht="15.75" hidden="1" customHeight="1" x14ac:dyDescent="0.35">
      <c r="A415" s="130">
        <v>4</v>
      </c>
      <c r="B415" s="132"/>
      <c r="C415" s="42" t="s">
        <v>175</v>
      </c>
      <c r="D415" s="55">
        <f t="shared" si="132"/>
        <v>342.18755999999996</v>
      </c>
      <c r="E415" s="42">
        <v>0</v>
      </c>
      <c r="F415" s="42">
        <f t="shared" si="131"/>
        <v>496.17196199999995</v>
      </c>
      <c r="G415" s="120"/>
      <c r="H415" s="122"/>
      <c r="I415" s="36"/>
      <c r="K415" s="37">
        <f t="shared" si="133"/>
        <v>1984687.8479999998</v>
      </c>
    </row>
    <row r="416" spans="1:14" s="37" customFormat="1" ht="15.75" hidden="1" customHeight="1" x14ac:dyDescent="0.35">
      <c r="A416" s="130">
        <v>5</v>
      </c>
      <c r="B416" s="132"/>
      <c r="C416" s="42" t="s">
        <v>175</v>
      </c>
      <c r="D416" s="55">
        <f t="shared" si="132"/>
        <v>342.18755999999996</v>
      </c>
      <c r="E416" s="42">
        <v>0</v>
      </c>
      <c r="F416" s="42">
        <f t="shared" si="131"/>
        <v>496.17196199999995</v>
      </c>
      <c r="G416" s="120"/>
      <c r="H416" s="122"/>
      <c r="I416" s="36"/>
      <c r="K416" s="37">
        <f t="shared" si="133"/>
        <v>1984687.8479999998</v>
      </c>
    </row>
    <row r="417" spans="1:11" s="37" customFormat="1" ht="15.75" hidden="1" customHeight="1" x14ac:dyDescent="0.35">
      <c r="A417" s="130">
        <v>6</v>
      </c>
      <c r="B417" s="132"/>
      <c r="C417" s="42" t="s">
        <v>175</v>
      </c>
      <c r="D417" s="55">
        <f t="shared" si="132"/>
        <v>342.18755999999996</v>
      </c>
      <c r="E417" s="42">
        <v>0</v>
      </c>
      <c r="F417" s="42">
        <f t="shared" si="131"/>
        <v>496.17196199999995</v>
      </c>
      <c r="G417" s="120"/>
      <c r="H417" s="122"/>
      <c r="I417" s="36"/>
      <c r="K417" s="37">
        <f t="shared" si="133"/>
        <v>1984687.8479999998</v>
      </c>
    </row>
    <row r="418" spans="1:11" s="37" customFormat="1" ht="15.75" hidden="1" customHeight="1" x14ac:dyDescent="0.35">
      <c r="A418" s="130">
        <v>7</v>
      </c>
      <c r="B418" s="132"/>
      <c r="C418" s="42" t="s">
        <v>175</v>
      </c>
      <c r="D418" s="55">
        <f t="shared" si="132"/>
        <v>342.18755999999996</v>
      </c>
      <c r="E418" s="42">
        <v>0</v>
      </c>
      <c r="F418" s="42">
        <f t="shared" si="131"/>
        <v>496.17196199999995</v>
      </c>
      <c r="G418" s="120"/>
      <c r="H418" s="122"/>
      <c r="I418" s="36"/>
      <c r="K418" s="37">
        <f t="shared" si="133"/>
        <v>1984687.8479999998</v>
      </c>
    </row>
    <row r="419" spans="1:11" s="37" customFormat="1" ht="15.75" hidden="1" customHeight="1" x14ac:dyDescent="0.35">
      <c r="A419" s="130">
        <v>8</v>
      </c>
      <c r="B419" s="132"/>
      <c r="C419" s="42" t="s">
        <v>175</v>
      </c>
      <c r="D419" s="55">
        <f t="shared" si="132"/>
        <v>342.18755999999996</v>
      </c>
      <c r="E419" s="42">
        <v>0</v>
      </c>
      <c r="F419" s="42">
        <f t="shared" si="131"/>
        <v>496.17196199999995</v>
      </c>
      <c r="G419" s="120"/>
      <c r="H419" s="122"/>
      <c r="I419" s="36"/>
      <c r="K419" s="37">
        <f t="shared" si="133"/>
        <v>1984687.8479999998</v>
      </c>
    </row>
    <row r="420" spans="1:11" s="37" customFormat="1" ht="15.75" hidden="1" customHeight="1" x14ac:dyDescent="0.35">
      <c r="A420" s="130">
        <v>9</v>
      </c>
      <c r="B420" s="132"/>
      <c r="C420" s="42" t="s">
        <v>175</v>
      </c>
      <c r="D420" s="55">
        <f t="shared" si="132"/>
        <v>342.18755999999996</v>
      </c>
      <c r="E420" s="42">
        <v>0</v>
      </c>
      <c r="F420" s="42">
        <f t="shared" si="131"/>
        <v>496.17196199999995</v>
      </c>
      <c r="G420" s="120"/>
      <c r="H420" s="122"/>
      <c r="I420" s="36"/>
      <c r="K420" s="37">
        <f t="shared" si="133"/>
        <v>1984687.8479999998</v>
      </c>
    </row>
    <row r="421" spans="1:11" s="37" customFormat="1" ht="15.75" hidden="1" customHeight="1" x14ac:dyDescent="0.35">
      <c r="A421" s="130">
        <v>10</v>
      </c>
      <c r="B421" s="132"/>
      <c r="C421" s="42" t="s">
        <v>175</v>
      </c>
      <c r="D421" s="55">
        <f>(34.75+1*2.14)*(10.764)</f>
        <v>397.08395999999999</v>
      </c>
      <c r="E421" s="42">
        <v>0</v>
      </c>
      <c r="F421" s="42">
        <f t="shared" si="131"/>
        <v>575.77174200000002</v>
      </c>
      <c r="G421" s="120"/>
      <c r="H421" s="122"/>
      <c r="I421" s="36"/>
      <c r="K421" s="37">
        <f>4200*F421</f>
        <v>2418241.3163999999</v>
      </c>
    </row>
    <row r="422" spans="1:11" s="37" customFormat="1" ht="15.75" hidden="1" customHeight="1" x14ac:dyDescent="0.35">
      <c r="A422" s="130">
        <v>11</v>
      </c>
      <c r="B422" s="132"/>
      <c r="C422" s="42" t="s">
        <v>175</v>
      </c>
      <c r="D422" s="55">
        <f>(29.85+1*2.05)*(10.764)</f>
        <v>343.3716</v>
      </c>
      <c r="E422" s="42">
        <v>0</v>
      </c>
      <c r="F422" s="42">
        <f t="shared" si="131"/>
        <v>497.88882000000001</v>
      </c>
      <c r="G422" s="120"/>
      <c r="H422" s="122"/>
      <c r="I422" s="36"/>
      <c r="K422" s="37">
        <f t="shared" si="133"/>
        <v>1991555.28</v>
      </c>
    </row>
    <row r="423" spans="1:11" s="37" customFormat="1" ht="15.75" hidden="1" customHeight="1" x14ac:dyDescent="0.35">
      <c r="A423" s="130">
        <v>12</v>
      </c>
      <c r="B423" s="132"/>
      <c r="C423" s="42" t="s">
        <v>175</v>
      </c>
      <c r="D423" s="55">
        <f>(29.85+1*2.05)*(10.764)</f>
        <v>343.3716</v>
      </c>
      <c r="E423" s="42">
        <v>0</v>
      </c>
      <c r="F423" s="42">
        <f t="shared" si="131"/>
        <v>497.88882000000001</v>
      </c>
      <c r="G423" s="117"/>
      <c r="H423" s="119"/>
      <c r="I423" s="36"/>
      <c r="K423" s="37">
        <f t="shared" si="133"/>
        <v>1991555.28</v>
      </c>
    </row>
    <row r="424" spans="1:11" s="37" customFormat="1" hidden="1" x14ac:dyDescent="0.35">
      <c r="A424" s="133" t="s">
        <v>179</v>
      </c>
      <c r="B424" s="134"/>
      <c r="C424" s="134"/>
      <c r="D424" s="134"/>
      <c r="E424" s="134"/>
      <c r="F424" s="134"/>
      <c r="G424" s="134"/>
      <c r="H424" s="135"/>
      <c r="I424" s="36"/>
    </row>
    <row r="425" spans="1:11" s="37" customFormat="1" ht="15.75" hidden="1" customHeight="1" x14ac:dyDescent="0.35">
      <c r="A425" s="130">
        <v>1</v>
      </c>
      <c r="B425" s="132"/>
      <c r="C425" s="42" t="s">
        <v>175</v>
      </c>
      <c r="D425" s="55">
        <f t="shared" ref="D425:D433" si="134">(29.74+1*2.05)*(10.764)</f>
        <v>342.18755999999996</v>
      </c>
      <c r="E425" s="42">
        <v>0</v>
      </c>
      <c r="F425" s="42">
        <f t="shared" ref="F425:F433" si="135">D425*(($F$392)+1)+(IF(E425&lt;101,E425,IF(E425&lt;201,E425/2,IF(E425&lt;=301,E425/3,E425/4))))</f>
        <v>496.17196199999995</v>
      </c>
      <c r="G425" s="114" t="str">
        <f>A424</f>
        <v>7th Floor (Part Refuge Area)</v>
      </c>
      <c r="H425" s="116"/>
      <c r="I425" s="36"/>
    </row>
    <row r="426" spans="1:11" s="37" customFormat="1" ht="15.75" hidden="1" customHeight="1" x14ac:dyDescent="0.35">
      <c r="A426" s="130">
        <v>2</v>
      </c>
      <c r="B426" s="132"/>
      <c r="C426" s="42" t="s">
        <v>175</v>
      </c>
      <c r="D426" s="55">
        <f t="shared" si="134"/>
        <v>342.18755999999996</v>
      </c>
      <c r="E426" s="42">
        <v>0</v>
      </c>
      <c r="F426" s="42">
        <f t="shared" si="135"/>
        <v>496.17196199999995</v>
      </c>
      <c r="G426" s="120"/>
      <c r="H426" s="122"/>
      <c r="I426" s="36"/>
    </row>
    <row r="427" spans="1:11" s="37" customFormat="1" ht="15.75" hidden="1" customHeight="1" x14ac:dyDescent="0.35">
      <c r="A427" s="130">
        <v>3</v>
      </c>
      <c r="B427" s="132"/>
      <c r="C427" s="42" t="s">
        <v>175</v>
      </c>
      <c r="D427" s="55">
        <f t="shared" si="134"/>
        <v>342.18755999999996</v>
      </c>
      <c r="E427" s="42">
        <v>0</v>
      </c>
      <c r="F427" s="42">
        <f t="shared" si="135"/>
        <v>496.17196199999995</v>
      </c>
      <c r="G427" s="120"/>
      <c r="H427" s="122"/>
      <c r="I427" s="36"/>
    </row>
    <row r="428" spans="1:11" s="37" customFormat="1" ht="15.75" hidden="1" customHeight="1" x14ac:dyDescent="0.35">
      <c r="A428" s="130">
        <v>4</v>
      </c>
      <c r="B428" s="132"/>
      <c r="C428" s="42" t="s">
        <v>175</v>
      </c>
      <c r="D428" s="55">
        <f t="shared" si="134"/>
        <v>342.18755999999996</v>
      </c>
      <c r="E428" s="42">
        <v>0</v>
      </c>
      <c r="F428" s="42">
        <f t="shared" si="135"/>
        <v>496.17196199999995</v>
      </c>
      <c r="G428" s="120"/>
      <c r="H428" s="122"/>
      <c r="I428" s="36"/>
    </row>
    <row r="429" spans="1:11" s="37" customFormat="1" ht="15.75" hidden="1" customHeight="1" x14ac:dyDescent="0.35">
      <c r="A429" s="130">
        <v>5</v>
      </c>
      <c r="B429" s="132"/>
      <c r="C429" s="42" t="s">
        <v>175</v>
      </c>
      <c r="D429" s="55">
        <f t="shared" si="134"/>
        <v>342.18755999999996</v>
      </c>
      <c r="E429" s="42">
        <v>0</v>
      </c>
      <c r="F429" s="42">
        <f t="shared" si="135"/>
        <v>496.17196199999995</v>
      </c>
      <c r="G429" s="120"/>
      <c r="H429" s="122"/>
      <c r="I429" s="36"/>
    </row>
    <row r="430" spans="1:11" s="37" customFormat="1" ht="15.75" hidden="1" customHeight="1" x14ac:dyDescent="0.35">
      <c r="A430" s="130">
        <v>6</v>
      </c>
      <c r="B430" s="132"/>
      <c r="C430" s="42" t="s">
        <v>175</v>
      </c>
      <c r="D430" s="55">
        <f t="shared" si="134"/>
        <v>342.18755999999996</v>
      </c>
      <c r="E430" s="42">
        <v>0</v>
      </c>
      <c r="F430" s="42">
        <f t="shared" si="135"/>
        <v>496.17196199999995</v>
      </c>
      <c r="G430" s="120"/>
      <c r="H430" s="122"/>
      <c r="I430" s="36"/>
    </row>
    <row r="431" spans="1:11" s="37" customFormat="1" ht="15.75" hidden="1" customHeight="1" x14ac:dyDescent="0.35">
      <c r="A431" s="130">
        <v>7</v>
      </c>
      <c r="B431" s="132"/>
      <c r="C431" s="42" t="s">
        <v>175</v>
      </c>
      <c r="D431" s="55">
        <f t="shared" si="134"/>
        <v>342.18755999999996</v>
      </c>
      <c r="E431" s="42">
        <v>0</v>
      </c>
      <c r="F431" s="42">
        <f t="shared" si="135"/>
        <v>496.17196199999995</v>
      </c>
      <c r="G431" s="120"/>
      <c r="H431" s="122"/>
      <c r="I431" s="36"/>
    </row>
    <row r="432" spans="1:11" s="37" customFormat="1" ht="15.75" hidden="1" customHeight="1" x14ac:dyDescent="0.35">
      <c r="A432" s="130">
        <v>8</v>
      </c>
      <c r="B432" s="132"/>
      <c r="C432" s="42" t="s">
        <v>175</v>
      </c>
      <c r="D432" s="55">
        <f t="shared" si="134"/>
        <v>342.18755999999996</v>
      </c>
      <c r="E432" s="42">
        <v>0</v>
      </c>
      <c r="F432" s="42">
        <f t="shared" si="135"/>
        <v>496.17196199999995</v>
      </c>
      <c r="G432" s="120"/>
      <c r="H432" s="122"/>
      <c r="I432" s="36"/>
    </row>
    <row r="433" spans="1:13" s="37" customFormat="1" ht="15.75" hidden="1" customHeight="1" x14ac:dyDescent="0.35">
      <c r="A433" s="130">
        <v>9</v>
      </c>
      <c r="B433" s="132"/>
      <c r="C433" s="42" t="s">
        <v>175</v>
      </c>
      <c r="D433" s="55">
        <f t="shared" si="134"/>
        <v>342.18755999999996</v>
      </c>
      <c r="E433" s="42">
        <v>0</v>
      </c>
      <c r="F433" s="42">
        <f t="shared" si="135"/>
        <v>496.17196199999995</v>
      </c>
      <c r="G433" s="120"/>
      <c r="H433" s="122"/>
      <c r="I433" s="36"/>
    </row>
    <row r="434" spans="1:13" s="37" customFormat="1" ht="15.75" hidden="1" customHeight="1" x14ac:dyDescent="0.35">
      <c r="A434" s="130">
        <v>10</v>
      </c>
      <c r="B434" s="132"/>
      <c r="C434" s="130" t="s">
        <v>180</v>
      </c>
      <c r="D434" s="131"/>
      <c r="E434" s="131"/>
      <c r="F434" s="132"/>
      <c r="G434" s="120"/>
      <c r="H434" s="122"/>
      <c r="I434" s="36"/>
    </row>
    <row r="435" spans="1:13" s="37" customFormat="1" ht="15.75" hidden="1" customHeight="1" x14ac:dyDescent="0.35">
      <c r="A435" s="130">
        <v>11</v>
      </c>
      <c r="B435" s="132"/>
      <c r="C435" s="42" t="s">
        <v>175</v>
      </c>
      <c r="D435" s="55">
        <f t="shared" ref="D435:D436" si="136">(34.75+1*2.14)*(10.764)</f>
        <v>397.08395999999999</v>
      </c>
      <c r="E435" s="42">
        <v>0</v>
      </c>
      <c r="F435" s="42">
        <f>D435*(($F$392)+1)+(IF(E435&lt;101,E435,IF(E435&lt;201,E435/2,IF(E435&lt;=301,E435/3,E435/4))))</f>
        <v>575.77174200000002</v>
      </c>
      <c r="G435" s="120"/>
      <c r="H435" s="122"/>
      <c r="I435" s="36"/>
    </row>
    <row r="436" spans="1:13" s="37" customFormat="1" ht="15.75" hidden="1" customHeight="1" x14ac:dyDescent="0.35">
      <c r="A436" s="130">
        <v>12</v>
      </c>
      <c r="B436" s="132"/>
      <c r="C436" s="42" t="s">
        <v>175</v>
      </c>
      <c r="D436" s="55">
        <f t="shared" si="136"/>
        <v>397.08395999999999</v>
      </c>
      <c r="E436" s="42">
        <v>0</v>
      </c>
      <c r="F436" s="42">
        <f>D436*(($F$392)+1)+(IF(E436&lt;101,E436,IF(E436&lt;201,E436/2,IF(E436&lt;=301,E436/3,E436/4))))</f>
        <v>575.77174200000002</v>
      </c>
      <c r="G436" s="117"/>
      <c r="H436" s="119"/>
      <c r="I436" s="36"/>
    </row>
    <row r="437" spans="1:13" s="37" customFormat="1" hidden="1" x14ac:dyDescent="0.35">
      <c r="A437" s="133" t="s">
        <v>200</v>
      </c>
      <c r="B437" s="134"/>
      <c r="C437" s="134"/>
      <c r="D437" s="134"/>
      <c r="E437" s="134"/>
      <c r="F437" s="134"/>
      <c r="G437" s="134"/>
      <c r="H437" s="135"/>
      <c r="I437" s="36"/>
    </row>
    <row r="438" spans="1:13" s="37" customFormat="1" ht="15.75" hidden="1" customHeight="1" x14ac:dyDescent="0.35">
      <c r="A438" s="130">
        <v>1</v>
      </c>
      <c r="B438" s="132"/>
      <c r="C438" s="42" t="s">
        <v>175</v>
      </c>
      <c r="D438" s="55">
        <f t="shared" ref="D438:D446" si="137">(29.74+1*2.05)*(10.764)</f>
        <v>342.18755999999996</v>
      </c>
      <c r="E438" s="42">
        <v>0</v>
      </c>
      <c r="F438" s="42">
        <f t="shared" ref="F438:F446" si="138">D438*(($F$392)+1)+(IF(E438&lt;101,E438,IF(E438&lt;201,E438/2,IF(E438&lt;=301,E438/3,E438/4))))</f>
        <v>496.17196199999995</v>
      </c>
      <c r="G438" s="114" t="str">
        <f>A437</f>
        <v>12th Floor (Part Refuge Area)</v>
      </c>
      <c r="H438" s="116"/>
      <c r="I438" s="36">
        <v>584</v>
      </c>
      <c r="J438" s="37">
        <f>I438/D438</f>
        <v>1.7066663674155778</v>
      </c>
    </row>
    <row r="439" spans="1:13" s="37" customFormat="1" ht="15.75" hidden="1" customHeight="1" x14ac:dyDescent="0.35">
      <c r="A439" s="130">
        <v>2</v>
      </c>
      <c r="B439" s="132"/>
      <c r="C439" s="42" t="s">
        <v>175</v>
      </c>
      <c r="D439" s="55">
        <f t="shared" si="137"/>
        <v>342.18755999999996</v>
      </c>
      <c r="E439" s="42">
        <v>0</v>
      </c>
      <c r="F439" s="42">
        <f t="shared" si="138"/>
        <v>496.17196199999995</v>
      </c>
      <c r="G439" s="120"/>
      <c r="H439" s="122"/>
      <c r="I439" s="36">
        <v>584</v>
      </c>
      <c r="J439" s="37">
        <f t="shared" ref="J439:J449" si="139">I439/D439</f>
        <v>1.7066663674155778</v>
      </c>
      <c r="L439" s="37">
        <f>584/D438</f>
        <v>1.7066663674155778</v>
      </c>
    </row>
    <row r="440" spans="1:13" s="37" customFormat="1" ht="15.75" hidden="1" customHeight="1" x14ac:dyDescent="0.35">
      <c r="A440" s="130">
        <v>3</v>
      </c>
      <c r="B440" s="132"/>
      <c r="C440" s="42" t="s">
        <v>175</v>
      </c>
      <c r="D440" s="55">
        <f t="shared" si="137"/>
        <v>342.18755999999996</v>
      </c>
      <c r="E440" s="42">
        <v>0</v>
      </c>
      <c r="F440" s="42">
        <f t="shared" si="138"/>
        <v>496.17196199999995</v>
      </c>
      <c r="G440" s="120"/>
      <c r="H440" s="122"/>
      <c r="I440" s="36">
        <v>584</v>
      </c>
      <c r="J440" s="37">
        <f t="shared" si="139"/>
        <v>1.7066663674155778</v>
      </c>
    </row>
    <row r="441" spans="1:13" s="37" customFormat="1" ht="15.75" hidden="1" customHeight="1" x14ac:dyDescent="0.35">
      <c r="A441" s="130">
        <v>4</v>
      </c>
      <c r="B441" s="132"/>
      <c r="C441" s="42" t="s">
        <v>175</v>
      </c>
      <c r="D441" s="55">
        <f t="shared" si="137"/>
        <v>342.18755999999996</v>
      </c>
      <c r="E441" s="42">
        <v>0</v>
      </c>
      <c r="F441" s="42">
        <f t="shared" si="138"/>
        <v>496.17196199999995</v>
      </c>
      <c r="G441" s="120"/>
      <c r="H441" s="122"/>
      <c r="I441" s="36">
        <v>584</v>
      </c>
      <c r="J441" s="37">
        <f t="shared" si="139"/>
        <v>1.7066663674155778</v>
      </c>
    </row>
    <row r="442" spans="1:13" s="37" customFormat="1" ht="15.75" hidden="1" customHeight="1" x14ac:dyDescent="0.35">
      <c r="A442" s="130">
        <v>5</v>
      </c>
      <c r="B442" s="132"/>
      <c r="C442" s="42" t="s">
        <v>175</v>
      </c>
      <c r="D442" s="55">
        <f t="shared" si="137"/>
        <v>342.18755999999996</v>
      </c>
      <c r="E442" s="42">
        <v>0</v>
      </c>
      <c r="F442" s="42">
        <f t="shared" si="138"/>
        <v>496.17196199999995</v>
      </c>
      <c r="G442" s="120"/>
      <c r="H442" s="122"/>
      <c r="I442" s="36">
        <v>584</v>
      </c>
      <c r="J442" s="37">
        <f t="shared" si="139"/>
        <v>1.7066663674155778</v>
      </c>
    </row>
    <row r="443" spans="1:13" s="37" customFormat="1" ht="15.75" hidden="1" customHeight="1" x14ac:dyDescent="0.35">
      <c r="A443" s="130">
        <v>6</v>
      </c>
      <c r="B443" s="132"/>
      <c r="C443" s="42" t="s">
        <v>175</v>
      </c>
      <c r="D443" s="55">
        <f t="shared" si="137"/>
        <v>342.18755999999996</v>
      </c>
      <c r="E443" s="42">
        <v>0</v>
      </c>
      <c r="F443" s="42">
        <f t="shared" si="138"/>
        <v>496.17196199999995</v>
      </c>
      <c r="G443" s="120"/>
      <c r="H443" s="122"/>
      <c r="I443" s="36">
        <v>584</v>
      </c>
      <c r="J443" s="37">
        <f t="shared" si="139"/>
        <v>1.7066663674155778</v>
      </c>
    </row>
    <row r="444" spans="1:13" s="37" customFormat="1" ht="15.75" hidden="1" customHeight="1" x14ac:dyDescent="0.35">
      <c r="A444" s="130">
        <v>7</v>
      </c>
      <c r="B444" s="132"/>
      <c r="C444" s="42" t="s">
        <v>175</v>
      </c>
      <c r="D444" s="55">
        <f t="shared" si="137"/>
        <v>342.18755999999996</v>
      </c>
      <c r="E444" s="42">
        <v>0</v>
      </c>
      <c r="F444" s="42">
        <f t="shared" si="138"/>
        <v>496.17196199999995</v>
      </c>
      <c r="G444" s="120"/>
      <c r="H444" s="122"/>
      <c r="I444" s="36">
        <v>584</v>
      </c>
      <c r="J444" s="37">
        <f t="shared" si="139"/>
        <v>1.7066663674155778</v>
      </c>
    </row>
    <row r="445" spans="1:13" s="37" customFormat="1" ht="15.75" hidden="1" customHeight="1" x14ac:dyDescent="0.35">
      <c r="A445" s="130">
        <v>8</v>
      </c>
      <c r="B445" s="132"/>
      <c r="C445" s="42" t="s">
        <v>175</v>
      </c>
      <c r="D445" s="55">
        <f t="shared" si="137"/>
        <v>342.18755999999996</v>
      </c>
      <c r="E445" s="42">
        <v>0</v>
      </c>
      <c r="F445" s="42">
        <f t="shared" si="138"/>
        <v>496.17196199999995</v>
      </c>
      <c r="G445" s="120"/>
      <c r="H445" s="122"/>
      <c r="I445" s="36">
        <v>665</v>
      </c>
      <c r="J445" s="37">
        <f t="shared" si="139"/>
        <v>1.9433786546769849</v>
      </c>
    </row>
    <row r="446" spans="1:13" s="37" customFormat="1" ht="15.75" hidden="1" customHeight="1" x14ac:dyDescent="0.35">
      <c r="A446" s="130">
        <v>9</v>
      </c>
      <c r="B446" s="132"/>
      <c r="C446" s="42" t="s">
        <v>175</v>
      </c>
      <c r="D446" s="55">
        <f t="shared" si="137"/>
        <v>342.18755999999996</v>
      </c>
      <c r="E446" s="42">
        <v>0</v>
      </c>
      <c r="F446" s="42">
        <f t="shared" si="138"/>
        <v>496.17196199999995</v>
      </c>
      <c r="G446" s="120"/>
      <c r="H446" s="122"/>
      <c r="I446" s="36">
        <v>584</v>
      </c>
      <c r="J446" s="37">
        <f t="shared" si="139"/>
        <v>1.7066663674155778</v>
      </c>
      <c r="M446" s="37">
        <f>22610000/F446</f>
        <v>45568.878799322403</v>
      </c>
    </row>
    <row r="447" spans="1:13" s="37" customFormat="1" ht="15.75" hidden="1" customHeight="1" x14ac:dyDescent="0.35">
      <c r="A447" s="130">
        <v>10</v>
      </c>
      <c r="B447" s="132"/>
      <c r="C447" s="130" t="s">
        <v>180</v>
      </c>
      <c r="D447" s="131"/>
      <c r="E447" s="131"/>
      <c r="F447" s="132"/>
      <c r="G447" s="120"/>
      <c r="H447" s="122"/>
      <c r="I447" s="56" t="e">
        <f>665/D447</f>
        <v>#DIV/0!</v>
      </c>
      <c r="J447" s="37" t="e">
        <f t="shared" si="139"/>
        <v>#DIV/0!</v>
      </c>
      <c r="M447" s="37" t="e">
        <f>2650000/F447</f>
        <v>#DIV/0!</v>
      </c>
    </row>
    <row r="448" spans="1:13" s="37" customFormat="1" ht="15.75" hidden="1" customHeight="1" x14ac:dyDescent="0.35">
      <c r="A448" s="130">
        <v>11</v>
      </c>
      <c r="B448" s="132"/>
      <c r="C448" s="42" t="s">
        <v>175</v>
      </c>
      <c r="D448" s="55">
        <f t="shared" ref="D448:D449" si="140">(34.75+1*2.14)*(10.764)</f>
        <v>397.08395999999999</v>
      </c>
      <c r="E448" s="42">
        <v>0</v>
      </c>
      <c r="F448" s="42">
        <f>D448*(($F$392)+1)+(IF(E448&lt;101,E448,IF(E448&lt;201,E448/2,IF(E448&lt;=301,E448/3,E448/4))))</f>
        <v>575.77174200000002</v>
      </c>
      <c r="G448" s="120"/>
      <c r="H448" s="122"/>
      <c r="I448" s="36">
        <v>584</v>
      </c>
      <c r="J448" s="37">
        <f t="shared" si="139"/>
        <v>1.4707217083258664</v>
      </c>
    </row>
    <row r="449" spans="1:14" s="37" customFormat="1" ht="15.75" hidden="1" customHeight="1" x14ac:dyDescent="0.35">
      <c r="A449" s="130">
        <v>12</v>
      </c>
      <c r="B449" s="132"/>
      <c r="C449" s="42" t="s">
        <v>175</v>
      </c>
      <c r="D449" s="55">
        <f t="shared" si="140"/>
        <v>397.08395999999999</v>
      </c>
      <c r="E449" s="42">
        <v>0</v>
      </c>
      <c r="F449" s="42">
        <f>D449*(($F$392)+1)+(IF(E449&lt;101,E449,IF(E449&lt;201,E449/2,IF(E449&lt;=301,E449/3,E449/4))))</f>
        <v>575.77174200000002</v>
      </c>
      <c r="G449" s="117"/>
      <c r="H449" s="119"/>
      <c r="I449" s="36">
        <v>584</v>
      </c>
      <c r="J449" s="37">
        <f t="shared" si="139"/>
        <v>1.4707217083258664</v>
      </c>
    </row>
    <row r="450" spans="1:14" s="37" customFormat="1" hidden="1" x14ac:dyDescent="0.35">
      <c r="A450" s="112" t="s">
        <v>176</v>
      </c>
      <c r="B450" s="112"/>
      <c r="C450" s="112"/>
      <c r="D450" s="112"/>
      <c r="E450" s="112"/>
      <c r="F450" s="112"/>
      <c r="G450" s="112"/>
      <c r="H450" s="112"/>
      <c r="I450" s="36"/>
      <c r="L450" s="111"/>
      <c r="M450" s="111"/>
    </row>
    <row r="451" spans="1:14" s="37" customFormat="1" hidden="1" x14ac:dyDescent="0.35">
      <c r="A451" s="112" t="s">
        <v>197</v>
      </c>
      <c r="B451" s="112"/>
      <c r="C451" s="112"/>
      <c r="D451" s="112"/>
      <c r="E451" s="112"/>
      <c r="F451" s="112"/>
      <c r="G451" s="112"/>
      <c r="H451" s="112"/>
      <c r="I451" s="36"/>
      <c r="L451" s="111"/>
      <c r="M451" s="111"/>
      <c r="N451"/>
    </row>
    <row r="452" spans="1:14" s="37" customFormat="1" hidden="1" x14ac:dyDescent="0.35">
      <c r="A452" s="112" t="s">
        <v>171</v>
      </c>
      <c r="B452" s="112"/>
      <c r="C452" s="112"/>
      <c r="D452" s="112"/>
      <c r="E452" s="112"/>
      <c r="F452" s="112"/>
      <c r="G452" s="112"/>
      <c r="H452" s="112"/>
      <c r="I452" s="36"/>
      <c r="L452" s="111"/>
      <c r="M452" s="111"/>
    </row>
    <row r="453" spans="1:14" s="37" customFormat="1" hidden="1" x14ac:dyDescent="0.35">
      <c r="A453" s="112" t="s">
        <v>198</v>
      </c>
      <c r="B453" s="112"/>
      <c r="C453" s="112"/>
      <c r="D453" s="112"/>
      <c r="E453" s="112"/>
      <c r="F453" s="112"/>
      <c r="G453" s="112"/>
      <c r="H453" s="112"/>
      <c r="I453" s="36"/>
      <c r="L453" s="111"/>
      <c r="M453" s="111"/>
    </row>
    <row r="454" spans="1:14" s="37" customFormat="1" hidden="1" x14ac:dyDescent="0.35">
      <c r="A454" s="112" t="s">
        <v>173</v>
      </c>
      <c r="B454" s="112"/>
      <c r="C454" s="112"/>
      <c r="D454" s="112"/>
      <c r="E454" s="112"/>
      <c r="F454" s="112"/>
      <c r="G454" s="112"/>
      <c r="H454" s="112"/>
      <c r="I454" s="36"/>
      <c r="L454" s="111"/>
      <c r="M454" s="111"/>
    </row>
    <row r="455" spans="1:14" s="37" customFormat="1" ht="15.75" hidden="1" customHeight="1" x14ac:dyDescent="0.35">
      <c r="A455" s="113">
        <v>1</v>
      </c>
      <c r="B455" s="113"/>
      <c r="C455" s="42" t="s">
        <v>175</v>
      </c>
      <c r="D455" s="55">
        <f>(29.74+1*2.05)*(10.764)</f>
        <v>342.18755999999996</v>
      </c>
      <c r="E455" s="42">
        <v>0</v>
      </c>
      <c r="F455" s="42">
        <f>D455*(($F$392)+1)+(IF(E455&lt;101,E455,IF(E455&lt;201,E455/2,IF(E455&lt;=301,E455/3,E455/4))))</f>
        <v>496.17196199999995</v>
      </c>
      <c r="G455" s="114" t="str">
        <f>A454</f>
        <v>3rd Floor For Residential</v>
      </c>
      <c r="H455" s="116"/>
      <c r="I455" s="36">
        <f>2.75*3.35+2.05*2.59+2.75*2.9+1.1*1.8+1.1*1.8+1.55*0.55+0.8*0.55</f>
        <v>27.749500000000001</v>
      </c>
      <c r="N455" s="36"/>
    </row>
    <row r="456" spans="1:14" s="37" customFormat="1" ht="15.75" hidden="1" customHeight="1" x14ac:dyDescent="0.35">
      <c r="A456" s="113">
        <f>A455+1</f>
        <v>2</v>
      </c>
      <c r="B456" s="113"/>
      <c r="C456" s="42" t="s">
        <v>175</v>
      </c>
      <c r="D456" s="55">
        <f t="shared" ref="D456:D457" si="141">(29.74+1*2.05)*(10.764)</f>
        <v>342.18755999999996</v>
      </c>
      <c r="E456" s="42">
        <v>0</v>
      </c>
      <c r="F456" s="42">
        <f>D456*(($F$392)+1)+(IF(E456&lt;101,E456,IF(E456&lt;201,E456/2,IF(E456&lt;=301,E456/3,E456/4))))</f>
        <v>496.17196199999995</v>
      </c>
      <c r="G456" s="120"/>
      <c r="H456" s="122"/>
      <c r="I456" s="36"/>
      <c r="N456" s="36"/>
    </row>
    <row r="457" spans="1:14" s="37" customFormat="1" ht="15.75" hidden="1" customHeight="1" x14ac:dyDescent="0.35">
      <c r="A457" s="113">
        <f>A456+1</f>
        <v>3</v>
      </c>
      <c r="B457" s="113"/>
      <c r="C457" s="42" t="s">
        <v>175</v>
      </c>
      <c r="D457" s="55">
        <f t="shared" si="141"/>
        <v>342.18755999999996</v>
      </c>
      <c r="E457" s="42">
        <v>0</v>
      </c>
      <c r="F457" s="42">
        <f>D457*(($F$392)+1)+(IF(E457&lt;101,E457,IF(E457&lt;201,E457/2,IF(E457&lt;=301,E457/3,E457/4))))</f>
        <v>496.17196199999995</v>
      </c>
      <c r="G457" s="120"/>
      <c r="H457" s="122"/>
      <c r="I457" s="36"/>
      <c r="N457" s="36"/>
    </row>
    <row r="458" spans="1:14" s="37" customFormat="1" ht="15.75" hidden="1" customHeight="1" x14ac:dyDescent="0.35">
      <c r="A458" s="113">
        <f>A457+1</f>
        <v>4</v>
      </c>
      <c r="B458" s="113"/>
      <c r="C458" s="171" t="s">
        <v>177</v>
      </c>
      <c r="D458" s="172"/>
      <c r="E458" s="172"/>
      <c r="F458" s="173"/>
      <c r="G458" s="120"/>
      <c r="H458" s="122"/>
      <c r="I458" s="36"/>
      <c r="N458" s="36"/>
    </row>
    <row r="459" spans="1:14" s="37" customFormat="1" ht="15.75" hidden="1" customHeight="1" x14ac:dyDescent="0.35">
      <c r="A459" s="113">
        <f>A458+1</f>
        <v>5</v>
      </c>
      <c r="B459" s="113"/>
      <c r="C459" s="42" t="s">
        <v>175</v>
      </c>
      <c r="D459" s="55">
        <f t="shared" ref="D459:D461" si="142">(29.74+1*2.05)*(10.764)</f>
        <v>342.18755999999996</v>
      </c>
      <c r="E459" s="42">
        <v>0</v>
      </c>
      <c r="F459" s="42">
        <f t="shared" ref="F459:F466" si="143">D459*(($F$392)+1)+(IF(E459&lt;101,E459,IF(E459&lt;201,E459/2,IF(E459&lt;=301,E459/3,E459/4))))</f>
        <v>496.17196199999995</v>
      </c>
      <c r="G459" s="120"/>
      <c r="H459" s="122"/>
      <c r="I459" s="36"/>
      <c r="N459" s="36"/>
    </row>
    <row r="460" spans="1:14" s="37" customFormat="1" hidden="1" x14ac:dyDescent="0.35">
      <c r="A460" s="113">
        <f t="shared" ref="A460:A466" si="144">A459+1</f>
        <v>6</v>
      </c>
      <c r="B460" s="113"/>
      <c r="C460" s="42" t="s">
        <v>175</v>
      </c>
      <c r="D460" s="55">
        <f t="shared" si="142"/>
        <v>342.18755999999996</v>
      </c>
      <c r="E460" s="42">
        <v>0</v>
      </c>
      <c r="F460" s="42">
        <f t="shared" si="143"/>
        <v>496.17196199999995</v>
      </c>
      <c r="G460" s="120"/>
      <c r="H460" s="122"/>
      <c r="I460" s="36"/>
      <c r="N460" s="36"/>
    </row>
    <row r="461" spans="1:14" s="37" customFormat="1" hidden="1" x14ac:dyDescent="0.35">
      <c r="A461" s="113">
        <f t="shared" si="144"/>
        <v>7</v>
      </c>
      <c r="B461" s="113"/>
      <c r="C461" s="42" t="s">
        <v>175</v>
      </c>
      <c r="D461" s="55">
        <f t="shared" si="142"/>
        <v>342.18755999999996</v>
      </c>
      <c r="E461" s="42">
        <v>0</v>
      </c>
      <c r="F461" s="42">
        <f t="shared" si="143"/>
        <v>496.17196199999995</v>
      </c>
      <c r="G461" s="120"/>
      <c r="H461" s="122"/>
      <c r="I461" s="36"/>
      <c r="N461" s="36"/>
    </row>
    <row r="462" spans="1:14" s="37" customFormat="1" hidden="1" x14ac:dyDescent="0.35">
      <c r="A462" s="113">
        <f t="shared" si="144"/>
        <v>8</v>
      </c>
      <c r="B462" s="113"/>
      <c r="C462" s="42" t="s">
        <v>175</v>
      </c>
      <c r="D462" s="55">
        <f>(34.75+1*2.14)*(10.764)</f>
        <v>397.08395999999999</v>
      </c>
      <c r="E462" s="42">
        <v>0</v>
      </c>
      <c r="F462" s="42">
        <f t="shared" si="143"/>
        <v>575.77174200000002</v>
      </c>
      <c r="G462" s="120"/>
      <c r="H462" s="122"/>
      <c r="I462" s="36"/>
      <c r="N462" s="36"/>
    </row>
    <row r="463" spans="1:14" s="37" customFormat="1" hidden="1" x14ac:dyDescent="0.35">
      <c r="A463" s="113">
        <f t="shared" si="144"/>
        <v>9</v>
      </c>
      <c r="B463" s="113"/>
      <c r="C463" s="42" t="s">
        <v>175</v>
      </c>
      <c r="D463" s="55">
        <f t="shared" ref="D463:D468" si="145">(29.74+1*2.05)*(10.764)</f>
        <v>342.18755999999996</v>
      </c>
      <c r="E463" s="42">
        <v>0</v>
      </c>
      <c r="F463" s="42">
        <f t="shared" si="143"/>
        <v>496.17196199999995</v>
      </c>
      <c r="G463" s="120"/>
      <c r="H463" s="122"/>
      <c r="I463" s="36"/>
      <c r="N463" s="36"/>
    </row>
    <row r="464" spans="1:14" s="37" customFormat="1" hidden="1" x14ac:dyDescent="0.35">
      <c r="A464" s="113">
        <f t="shared" si="144"/>
        <v>10</v>
      </c>
      <c r="B464" s="113"/>
      <c r="C464" s="42" t="s">
        <v>175</v>
      </c>
      <c r="D464" s="55">
        <f t="shared" si="145"/>
        <v>342.18755999999996</v>
      </c>
      <c r="E464" s="42">
        <v>0</v>
      </c>
      <c r="F464" s="42">
        <f t="shared" si="143"/>
        <v>496.17196199999995</v>
      </c>
      <c r="G464" s="120"/>
      <c r="H464" s="122"/>
      <c r="I464" s="36"/>
      <c r="N464" s="36"/>
    </row>
    <row r="465" spans="1:14" s="37" customFormat="1" hidden="1" x14ac:dyDescent="0.35">
      <c r="A465" s="113">
        <f t="shared" si="144"/>
        <v>11</v>
      </c>
      <c r="B465" s="113"/>
      <c r="C465" s="42" t="s">
        <v>175</v>
      </c>
      <c r="D465" s="55">
        <f t="shared" si="145"/>
        <v>342.18755999999996</v>
      </c>
      <c r="E465" s="42">
        <v>0</v>
      </c>
      <c r="F465" s="42">
        <f t="shared" si="143"/>
        <v>496.17196199999995</v>
      </c>
      <c r="G465" s="120"/>
      <c r="H465" s="122"/>
      <c r="I465" s="36"/>
      <c r="N465" s="36"/>
    </row>
    <row r="466" spans="1:14" s="37" customFormat="1" hidden="1" x14ac:dyDescent="0.35">
      <c r="A466" s="113">
        <f t="shared" si="144"/>
        <v>12</v>
      </c>
      <c r="B466" s="113"/>
      <c r="C466" s="42" t="s">
        <v>175</v>
      </c>
      <c r="D466" s="55">
        <f t="shared" si="145"/>
        <v>342.18755999999996</v>
      </c>
      <c r="E466" s="42">
        <v>0</v>
      </c>
      <c r="F466" s="42">
        <f t="shared" si="143"/>
        <v>496.17196199999995</v>
      </c>
      <c r="G466" s="117"/>
      <c r="H466" s="119"/>
      <c r="I466" s="36"/>
      <c r="N466" s="36"/>
    </row>
    <row r="467" spans="1:14" s="37" customFormat="1" hidden="1" x14ac:dyDescent="0.35">
      <c r="A467" s="133" t="s">
        <v>199</v>
      </c>
      <c r="B467" s="134"/>
      <c r="C467" s="134"/>
      <c r="D467" s="134"/>
      <c r="E467" s="134"/>
      <c r="F467" s="134"/>
      <c r="G467" s="134"/>
      <c r="H467" s="135"/>
      <c r="I467" s="36"/>
    </row>
    <row r="468" spans="1:14" s="37" customFormat="1" ht="15.75" hidden="1" customHeight="1" x14ac:dyDescent="0.35">
      <c r="A468" s="130">
        <v>1</v>
      </c>
      <c r="B468" s="132"/>
      <c r="C468" s="42" t="s">
        <v>175</v>
      </c>
      <c r="D468" s="55">
        <f t="shared" si="145"/>
        <v>342.18755999999996</v>
      </c>
      <c r="E468" s="42">
        <v>0</v>
      </c>
      <c r="F468" s="42">
        <f t="shared" ref="F468:F479" si="146">D468*(($F$392)+1)+(IF(E468&lt;101,E468,IF(E468&lt;201,E468/2,IF(E468&lt;=301,E468/3,E468/4))))</f>
        <v>496.17196199999995</v>
      </c>
      <c r="G468" s="114" t="str">
        <f>A467</f>
        <v>4th to 6th, 8th to 11th, 13th &amp; 14th Floor</v>
      </c>
      <c r="H468" s="116"/>
      <c r="I468" s="56">
        <f>F468/D468</f>
        <v>1.45</v>
      </c>
    </row>
    <row r="469" spans="1:14" s="37" customFormat="1" ht="15.75" hidden="1" customHeight="1" x14ac:dyDescent="0.35">
      <c r="A469" s="130">
        <v>2</v>
      </c>
      <c r="B469" s="132"/>
      <c r="C469" s="42" t="s">
        <v>175</v>
      </c>
      <c r="D469" s="55">
        <f t="shared" ref="D469:D474" si="147">(29.74+1*2.05)*(10.764)</f>
        <v>342.18755999999996</v>
      </c>
      <c r="E469" s="42">
        <v>0</v>
      </c>
      <c r="F469" s="42">
        <f t="shared" si="146"/>
        <v>496.17196199999995</v>
      </c>
      <c r="G469" s="120"/>
      <c r="H469" s="122"/>
      <c r="I469" s="56">
        <f t="shared" ref="I469:I479" si="148">F469/D469</f>
        <v>1.45</v>
      </c>
    </row>
    <row r="470" spans="1:14" s="37" customFormat="1" ht="15.75" hidden="1" customHeight="1" x14ac:dyDescent="0.35">
      <c r="A470" s="130">
        <v>3</v>
      </c>
      <c r="B470" s="132"/>
      <c r="C470" s="42" t="s">
        <v>175</v>
      </c>
      <c r="D470" s="55">
        <f t="shared" si="147"/>
        <v>342.18755999999996</v>
      </c>
      <c r="E470" s="42">
        <v>0</v>
      </c>
      <c r="F470" s="42">
        <f t="shared" si="146"/>
        <v>496.17196199999995</v>
      </c>
      <c r="G470" s="120"/>
      <c r="H470" s="122"/>
      <c r="I470" s="56">
        <f t="shared" si="148"/>
        <v>1.45</v>
      </c>
    </row>
    <row r="471" spans="1:14" s="37" customFormat="1" ht="15.75" hidden="1" customHeight="1" x14ac:dyDescent="0.35">
      <c r="A471" s="130">
        <v>4</v>
      </c>
      <c r="B471" s="132"/>
      <c r="C471" s="42" t="s">
        <v>175</v>
      </c>
      <c r="D471" s="55">
        <f t="shared" si="147"/>
        <v>342.18755999999996</v>
      </c>
      <c r="E471" s="42">
        <v>0</v>
      </c>
      <c r="F471" s="42">
        <f t="shared" si="146"/>
        <v>496.17196199999995</v>
      </c>
      <c r="G471" s="120"/>
      <c r="H471" s="122"/>
      <c r="I471" s="56">
        <f t="shared" si="148"/>
        <v>1.45</v>
      </c>
    </row>
    <row r="472" spans="1:14" s="37" customFormat="1" ht="15.75" hidden="1" customHeight="1" x14ac:dyDescent="0.35">
      <c r="A472" s="130">
        <v>5</v>
      </c>
      <c r="B472" s="132"/>
      <c r="C472" s="42" t="s">
        <v>175</v>
      </c>
      <c r="D472" s="55">
        <f t="shared" si="147"/>
        <v>342.18755999999996</v>
      </c>
      <c r="E472" s="42">
        <v>0</v>
      </c>
      <c r="F472" s="42">
        <f t="shared" si="146"/>
        <v>496.17196199999995</v>
      </c>
      <c r="G472" s="120"/>
      <c r="H472" s="122"/>
      <c r="I472" s="56">
        <f t="shared" si="148"/>
        <v>1.45</v>
      </c>
    </row>
    <row r="473" spans="1:14" s="37" customFormat="1" ht="15.75" hidden="1" customHeight="1" x14ac:dyDescent="0.35">
      <c r="A473" s="130">
        <v>6</v>
      </c>
      <c r="B473" s="132"/>
      <c r="C473" s="42" t="s">
        <v>175</v>
      </c>
      <c r="D473" s="55">
        <f t="shared" si="147"/>
        <v>342.18755999999996</v>
      </c>
      <c r="E473" s="42">
        <v>0</v>
      </c>
      <c r="F473" s="42">
        <f t="shared" si="146"/>
        <v>496.17196199999995</v>
      </c>
      <c r="G473" s="120"/>
      <c r="H473" s="122"/>
      <c r="I473" s="56">
        <f t="shared" si="148"/>
        <v>1.45</v>
      </c>
    </row>
    <row r="474" spans="1:14" s="37" customFormat="1" ht="15.75" hidden="1" customHeight="1" x14ac:dyDescent="0.35">
      <c r="A474" s="130">
        <v>7</v>
      </c>
      <c r="B474" s="132"/>
      <c r="C474" s="42" t="s">
        <v>175</v>
      </c>
      <c r="D474" s="55">
        <f t="shared" si="147"/>
        <v>342.18755999999996</v>
      </c>
      <c r="E474" s="42">
        <v>0</v>
      </c>
      <c r="F474" s="42">
        <f t="shared" si="146"/>
        <v>496.17196199999995</v>
      </c>
      <c r="G474" s="120"/>
      <c r="H474" s="122"/>
      <c r="I474" s="56">
        <f t="shared" si="148"/>
        <v>1.45</v>
      </c>
    </row>
    <row r="475" spans="1:14" s="37" customFormat="1" ht="15.75" hidden="1" customHeight="1" x14ac:dyDescent="0.35">
      <c r="A475" s="130">
        <v>8</v>
      </c>
      <c r="B475" s="132"/>
      <c r="C475" s="42" t="s">
        <v>175</v>
      </c>
      <c r="D475" s="55">
        <f>(34.75+1*2.14)*(10.764)</f>
        <v>397.08395999999999</v>
      </c>
      <c r="E475" s="42">
        <v>0</v>
      </c>
      <c r="F475" s="42">
        <f t="shared" si="146"/>
        <v>575.77174200000002</v>
      </c>
      <c r="G475" s="120"/>
      <c r="H475" s="122"/>
      <c r="I475" s="56">
        <f t="shared" si="148"/>
        <v>1.4500000000000002</v>
      </c>
    </row>
    <row r="476" spans="1:14" s="37" customFormat="1" ht="15.75" hidden="1" customHeight="1" x14ac:dyDescent="0.35">
      <c r="A476" s="130">
        <v>9</v>
      </c>
      <c r="B476" s="132"/>
      <c r="C476" s="42" t="s">
        <v>175</v>
      </c>
      <c r="D476" s="55">
        <f t="shared" ref="D476:D505" si="149">(29.74+1*2.05)*(10.764)</f>
        <v>342.18755999999996</v>
      </c>
      <c r="E476" s="42">
        <v>0</v>
      </c>
      <c r="F476" s="42">
        <f t="shared" si="146"/>
        <v>496.17196199999995</v>
      </c>
      <c r="G476" s="120"/>
      <c r="H476" s="122"/>
      <c r="I476" s="56">
        <f t="shared" si="148"/>
        <v>1.45</v>
      </c>
      <c r="K476" s="37" t="s">
        <v>178</v>
      </c>
    </row>
    <row r="477" spans="1:14" s="37" customFormat="1" ht="15.75" hidden="1" customHeight="1" x14ac:dyDescent="0.35">
      <c r="A477" s="130">
        <v>10</v>
      </c>
      <c r="B477" s="132"/>
      <c r="C477" s="42" t="s">
        <v>175</v>
      </c>
      <c r="D477" s="55">
        <f t="shared" si="149"/>
        <v>342.18755999999996</v>
      </c>
      <c r="E477" s="42">
        <v>0</v>
      </c>
      <c r="F477" s="42">
        <f t="shared" si="146"/>
        <v>496.17196199999995</v>
      </c>
      <c r="G477" s="120"/>
      <c r="H477" s="122"/>
      <c r="I477" s="56">
        <f t="shared" si="148"/>
        <v>1.45</v>
      </c>
    </row>
    <row r="478" spans="1:14" s="37" customFormat="1" ht="15.75" hidden="1" customHeight="1" x14ac:dyDescent="0.35">
      <c r="A478" s="130">
        <v>11</v>
      </c>
      <c r="B478" s="132"/>
      <c r="C478" s="42" t="s">
        <v>175</v>
      </c>
      <c r="D478" s="55">
        <f t="shared" si="149"/>
        <v>342.18755999999996</v>
      </c>
      <c r="E478" s="42">
        <v>0</v>
      </c>
      <c r="F478" s="42">
        <f t="shared" si="146"/>
        <v>496.17196199999995</v>
      </c>
      <c r="G478" s="120"/>
      <c r="H478" s="122"/>
      <c r="I478" s="56">
        <f t="shared" si="148"/>
        <v>1.45</v>
      </c>
    </row>
    <row r="479" spans="1:14" s="37" customFormat="1" ht="15.75" hidden="1" customHeight="1" x14ac:dyDescent="0.35">
      <c r="A479" s="130">
        <v>12</v>
      </c>
      <c r="B479" s="132"/>
      <c r="C479" s="42" t="s">
        <v>175</v>
      </c>
      <c r="D479" s="55">
        <f t="shared" si="149"/>
        <v>342.18755999999996</v>
      </c>
      <c r="E479" s="42">
        <v>0</v>
      </c>
      <c r="F479" s="42">
        <f t="shared" si="146"/>
        <v>496.17196199999995</v>
      </c>
      <c r="G479" s="117"/>
      <c r="H479" s="119"/>
      <c r="I479" s="56">
        <f t="shared" si="148"/>
        <v>1.45</v>
      </c>
    </row>
    <row r="480" spans="1:14" s="37" customFormat="1" hidden="1" x14ac:dyDescent="0.35">
      <c r="A480" s="133" t="s">
        <v>179</v>
      </c>
      <c r="B480" s="134"/>
      <c r="C480" s="134"/>
      <c r="D480" s="134"/>
      <c r="E480" s="134"/>
      <c r="F480" s="134"/>
      <c r="G480" s="134"/>
      <c r="H480" s="135"/>
      <c r="I480" s="36"/>
    </row>
    <row r="481" spans="1:9" s="37" customFormat="1" ht="15.75" hidden="1" customHeight="1" x14ac:dyDescent="0.35">
      <c r="A481" s="130">
        <v>1</v>
      </c>
      <c r="B481" s="132"/>
      <c r="C481" s="42" t="s">
        <v>175</v>
      </c>
      <c r="D481" s="55">
        <f t="shared" si="149"/>
        <v>342.18755999999996</v>
      </c>
      <c r="E481" s="42">
        <v>0</v>
      </c>
      <c r="F481" s="42">
        <f t="shared" ref="F481:F487" si="150">D481*(($F$392)+1)+(IF(E481&lt;101,E481,IF(E481&lt;201,E481/2,IF(E481&lt;=301,E481/3,E481/4))))</f>
        <v>496.17196199999995</v>
      </c>
      <c r="G481" s="114" t="str">
        <f>A480</f>
        <v>7th Floor (Part Refuge Area)</v>
      </c>
      <c r="H481" s="116"/>
      <c r="I481" s="36"/>
    </row>
    <row r="482" spans="1:9" s="37" customFormat="1" ht="15.75" hidden="1" customHeight="1" x14ac:dyDescent="0.35">
      <c r="A482" s="130">
        <v>2</v>
      </c>
      <c r="B482" s="132"/>
      <c r="C482" s="42" t="s">
        <v>175</v>
      </c>
      <c r="D482" s="55">
        <f t="shared" si="149"/>
        <v>342.18755999999996</v>
      </c>
      <c r="E482" s="42">
        <v>0</v>
      </c>
      <c r="F482" s="42">
        <f t="shared" si="150"/>
        <v>496.17196199999995</v>
      </c>
      <c r="G482" s="120"/>
      <c r="H482" s="122"/>
      <c r="I482" s="36"/>
    </row>
    <row r="483" spans="1:9" s="37" customFormat="1" ht="15.75" hidden="1" customHeight="1" x14ac:dyDescent="0.35">
      <c r="A483" s="130">
        <v>3</v>
      </c>
      <c r="B483" s="132"/>
      <c r="C483" s="42" t="s">
        <v>175</v>
      </c>
      <c r="D483" s="55">
        <f t="shared" si="149"/>
        <v>342.18755999999996</v>
      </c>
      <c r="E483" s="42">
        <v>0</v>
      </c>
      <c r="F483" s="42">
        <f t="shared" si="150"/>
        <v>496.17196199999995</v>
      </c>
      <c r="G483" s="120"/>
      <c r="H483" s="122"/>
      <c r="I483" s="36"/>
    </row>
    <row r="484" spans="1:9" s="37" customFormat="1" ht="15.75" hidden="1" customHeight="1" x14ac:dyDescent="0.35">
      <c r="A484" s="130">
        <v>4</v>
      </c>
      <c r="B484" s="132"/>
      <c r="C484" s="42" t="s">
        <v>175</v>
      </c>
      <c r="D484" s="55">
        <f t="shared" si="149"/>
        <v>342.18755999999996</v>
      </c>
      <c r="E484" s="42">
        <v>0</v>
      </c>
      <c r="F484" s="42">
        <f t="shared" si="150"/>
        <v>496.17196199999995</v>
      </c>
      <c r="G484" s="120"/>
      <c r="H484" s="122"/>
      <c r="I484" s="36"/>
    </row>
    <row r="485" spans="1:9" s="37" customFormat="1" ht="15.75" hidden="1" customHeight="1" x14ac:dyDescent="0.35">
      <c r="A485" s="130">
        <v>5</v>
      </c>
      <c r="B485" s="132"/>
      <c r="C485" s="42" t="s">
        <v>175</v>
      </c>
      <c r="D485" s="55">
        <f t="shared" si="149"/>
        <v>342.18755999999996</v>
      </c>
      <c r="E485" s="42">
        <v>0</v>
      </c>
      <c r="F485" s="42">
        <f t="shared" si="150"/>
        <v>496.17196199999995</v>
      </c>
      <c r="G485" s="120"/>
      <c r="H485" s="122"/>
      <c r="I485" s="36"/>
    </row>
    <row r="486" spans="1:9" s="37" customFormat="1" ht="15.75" hidden="1" customHeight="1" x14ac:dyDescent="0.35">
      <c r="A486" s="130">
        <v>6</v>
      </c>
      <c r="B486" s="132"/>
      <c r="C486" s="42" t="s">
        <v>175</v>
      </c>
      <c r="D486" s="55">
        <f t="shared" si="149"/>
        <v>342.18755999999996</v>
      </c>
      <c r="E486" s="42">
        <v>0</v>
      </c>
      <c r="F486" s="42">
        <f t="shared" si="150"/>
        <v>496.17196199999995</v>
      </c>
      <c r="G486" s="120"/>
      <c r="H486" s="122"/>
      <c r="I486" s="36"/>
    </row>
    <row r="487" spans="1:9" s="37" customFormat="1" ht="15.75" hidden="1" customHeight="1" x14ac:dyDescent="0.35">
      <c r="A487" s="130">
        <v>7</v>
      </c>
      <c r="B487" s="132"/>
      <c r="C487" s="42" t="s">
        <v>175</v>
      </c>
      <c r="D487" s="55">
        <f t="shared" si="149"/>
        <v>342.18755999999996</v>
      </c>
      <c r="E487" s="42">
        <v>0</v>
      </c>
      <c r="F487" s="42">
        <f t="shared" si="150"/>
        <v>496.17196199999995</v>
      </c>
      <c r="G487" s="120"/>
      <c r="H487" s="122"/>
      <c r="I487" s="36"/>
    </row>
    <row r="488" spans="1:9" s="37" customFormat="1" ht="15.75" hidden="1" customHeight="1" x14ac:dyDescent="0.35">
      <c r="A488" s="130">
        <v>8</v>
      </c>
      <c r="B488" s="132"/>
      <c r="C488" s="130" t="s">
        <v>180</v>
      </c>
      <c r="D488" s="131"/>
      <c r="E488" s="131"/>
      <c r="F488" s="132"/>
      <c r="G488" s="120"/>
      <c r="H488" s="122"/>
      <c r="I488" s="36"/>
    </row>
    <row r="489" spans="1:9" s="37" customFormat="1" ht="15.75" hidden="1" customHeight="1" x14ac:dyDescent="0.35">
      <c r="A489" s="130">
        <v>9</v>
      </c>
      <c r="B489" s="132"/>
      <c r="C489" s="42" t="s">
        <v>175</v>
      </c>
      <c r="D489" s="55">
        <f t="shared" si="149"/>
        <v>342.18755999999996</v>
      </c>
      <c r="E489" s="42">
        <v>0</v>
      </c>
      <c r="F489" s="42">
        <f>D489*(($F$392)+1)+(IF(E489&lt;101,E489,IF(E489&lt;201,E489/2,IF(E489&lt;=301,E489/3,E489/4))))</f>
        <v>496.17196199999995</v>
      </c>
      <c r="G489" s="120"/>
      <c r="H489" s="122"/>
      <c r="I489" s="36"/>
    </row>
    <row r="490" spans="1:9" s="37" customFormat="1" ht="15.75" hidden="1" customHeight="1" x14ac:dyDescent="0.35">
      <c r="A490" s="130">
        <v>10</v>
      </c>
      <c r="B490" s="132"/>
      <c r="C490" s="42" t="s">
        <v>175</v>
      </c>
      <c r="D490" s="55">
        <f t="shared" si="149"/>
        <v>342.18755999999996</v>
      </c>
      <c r="E490" s="42">
        <v>0</v>
      </c>
      <c r="F490" s="42">
        <f>D490*(($F$392)+1)+(IF(E490&lt;101,E490,IF(E490&lt;201,E490/2,IF(E490&lt;=301,E490/3,E490/4))))</f>
        <v>496.17196199999995</v>
      </c>
      <c r="G490" s="120"/>
      <c r="H490" s="122"/>
      <c r="I490" s="36"/>
    </row>
    <row r="491" spans="1:9" s="37" customFormat="1" ht="15.75" hidden="1" customHeight="1" x14ac:dyDescent="0.35">
      <c r="A491" s="130">
        <v>11</v>
      </c>
      <c r="B491" s="132"/>
      <c r="C491" s="42" t="s">
        <v>175</v>
      </c>
      <c r="D491" s="55">
        <f t="shared" si="149"/>
        <v>342.18755999999996</v>
      </c>
      <c r="E491" s="42">
        <v>0</v>
      </c>
      <c r="F491" s="42">
        <f>D491*(($F$392)+1)+(IF(E491&lt;101,E491,IF(E491&lt;201,E491/2,IF(E491&lt;=301,E491/3,E491/4))))</f>
        <v>496.17196199999995</v>
      </c>
      <c r="G491" s="120"/>
      <c r="H491" s="122"/>
      <c r="I491" s="36"/>
    </row>
    <row r="492" spans="1:9" s="37" customFormat="1" ht="15.75" hidden="1" customHeight="1" x14ac:dyDescent="0.35">
      <c r="A492" s="130">
        <v>12</v>
      </c>
      <c r="B492" s="132"/>
      <c r="C492" s="42" t="s">
        <v>175</v>
      </c>
      <c r="D492" s="55">
        <f t="shared" si="149"/>
        <v>342.18755999999996</v>
      </c>
      <c r="E492" s="42">
        <v>0</v>
      </c>
      <c r="F492" s="42">
        <f>D492*(($F$392)+1)+(IF(E492&lt;101,E492,IF(E492&lt;201,E492/2,IF(E492&lt;=301,E492/3,E492/4))))</f>
        <v>496.17196199999995</v>
      </c>
      <c r="G492" s="117"/>
      <c r="H492" s="119"/>
      <c r="I492" s="36"/>
    </row>
    <row r="493" spans="1:9" s="37" customFormat="1" hidden="1" x14ac:dyDescent="0.35">
      <c r="A493" s="133" t="s">
        <v>200</v>
      </c>
      <c r="B493" s="134"/>
      <c r="C493" s="134"/>
      <c r="D493" s="134"/>
      <c r="E493" s="134"/>
      <c r="F493" s="134"/>
      <c r="G493" s="134"/>
      <c r="H493" s="135"/>
      <c r="I493" s="36"/>
    </row>
    <row r="494" spans="1:9" s="37" customFormat="1" ht="15.75" hidden="1" customHeight="1" x14ac:dyDescent="0.35">
      <c r="A494" s="130">
        <v>1</v>
      </c>
      <c r="B494" s="132"/>
      <c r="C494" s="42" t="s">
        <v>175</v>
      </c>
      <c r="D494" s="55">
        <f t="shared" si="149"/>
        <v>342.18755999999996</v>
      </c>
      <c r="E494" s="42">
        <v>0</v>
      </c>
      <c r="F494" s="42">
        <f t="shared" ref="F494:F500" si="151">D494*(($F$392)+1)+(IF(E494&lt;101,E494,IF(E494&lt;201,E494/2,IF(E494&lt;=301,E494/3,E494/4))))</f>
        <v>496.17196199999995</v>
      </c>
      <c r="G494" s="114" t="str">
        <f>A493</f>
        <v>12th Floor (Part Refuge Area)</v>
      </c>
      <c r="H494" s="116"/>
      <c r="I494" s="36"/>
    </row>
    <row r="495" spans="1:9" s="37" customFormat="1" ht="15.75" hidden="1" customHeight="1" x14ac:dyDescent="0.35">
      <c r="A495" s="130">
        <v>2</v>
      </c>
      <c r="B495" s="132"/>
      <c r="C495" s="42" t="s">
        <v>175</v>
      </c>
      <c r="D495" s="55">
        <f t="shared" si="149"/>
        <v>342.18755999999996</v>
      </c>
      <c r="E495" s="42">
        <v>0</v>
      </c>
      <c r="F495" s="42">
        <f t="shared" si="151"/>
        <v>496.17196199999995</v>
      </c>
      <c r="G495" s="120"/>
      <c r="H495" s="122"/>
      <c r="I495" s="36"/>
    </row>
    <row r="496" spans="1:9" s="37" customFormat="1" ht="15.75" hidden="1" customHeight="1" x14ac:dyDescent="0.35">
      <c r="A496" s="130">
        <v>3</v>
      </c>
      <c r="B496" s="132"/>
      <c r="C496" s="42" t="s">
        <v>175</v>
      </c>
      <c r="D496" s="55">
        <f t="shared" si="149"/>
        <v>342.18755999999996</v>
      </c>
      <c r="E496" s="42">
        <v>0</v>
      </c>
      <c r="F496" s="42">
        <f t="shared" si="151"/>
        <v>496.17196199999995</v>
      </c>
      <c r="G496" s="120"/>
      <c r="H496" s="122"/>
      <c r="I496" s="36"/>
    </row>
    <row r="497" spans="1:9" s="37" customFormat="1" ht="15.75" hidden="1" customHeight="1" x14ac:dyDescent="0.35">
      <c r="A497" s="130">
        <v>4</v>
      </c>
      <c r="B497" s="132"/>
      <c r="C497" s="42" t="s">
        <v>175</v>
      </c>
      <c r="D497" s="55">
        <f t="shared" si="149"/>
        <v>342.18755999999996</v>
      </c>
      <c r="E497" s="42">
        <v>0</v>
      </c>
      <c r="F497" s="42">
        <f t="shared" si="151"/>
        <v>496.17196199999995</v>
      </c>
      <c r="G497" s="120"/>
      <c r="H497" s="122"/>
      <c r="I497" s="36"/>
    </row>
    <row r="498" spans="1:9" s="37" customFormat="1" ht="15.75" hidden="1" customHeight="1" x14ac:dyDescent="0.35">
      <c r="A498" s="130">
        <v>5</v>
      </c>
      <c r="B498" s="132"/>
      <c r="C498" s="42" t="s">
        <v>175</v>
      </c>
      <c r="D498" s="55">
        <f t="shared" si="149"/>
        <v>342.18755999999996</v>
      </c>
      <c r="E498" s="42">
        <v>0</v>
      </c>
      <c r="F498" s="42">
        <f t="shared" si="151"/>
        <v>496.17196199999995</v>
      </c>
      <c r="G498" s="120"/>
      <c r="H498" s="122"/>
      <c r="I498" s="36"/>
    </row>
    <row r="499" spans="1:9" s="37" customFormat="1" ht="15.75" hidden="1" customHeight="1" x14ac:dyDescent="0.35">
      <c r="A499" s="130">
        <v>6</v>
      </c>
      <c r="B499" s="132"/>
      <c r="C499" s="42" t="s">
        <v>175</v>
      </c>
      <c r="D499" s="55">
        <f t="shared" si="149"/>
        <v>342.18755999999996</v>
      </c>
      <c r="E499" s="42">
        <v>0</v>
      </c>
      <c r="F499" s="42">
        <f t="shared" si="151"/>
        <v>496.17196199999995</v>
      </c>
      <c r="G499" s="120"/>
      <c r="H499" s="122"/>
      <c r="I499" s="36"/>
    </row>
    <row r="500" spans="1:9" s="37" customFormat="1" ht="15.75" hidden="1" customHeight="1" x14ac:dyDescent="0.35">
      <c r="A500" s="130">
        <v>7</v>
      </c>
      <c r="B500" s="132"/>
      <c r="C500" s="42" t="s">
        <v>175</v>
      </c>
      <c r="D500" s="55">
        <f t="shared" si="149"/>
        <v>342.18755999999996</v>
      </c>
      <c r="E500" s="42">
        <v>0</v>
      </c>
      <c r="F500" s="42">
        <f t="shared" si="151"/>
        <v>496.17196199999995</v>
      </c>
      <c r="G500" s="120"/>
      <c r="H500" s="122"/>
      <c r="I500" s="36"/>
    </row>
    <row r="501" spans="1:9" s="37" customFormat="1" ht="15.75" hidden="1" customHeight="1" x14ac:dyDescent="0.35">
      <c r="A501" s="130">
        <v>8</v>
      </c>
      <c r="B501" s="132"/>
      <c r="C501" s="130" t="s">
        <v>180</v>
      </c>
      <c r="D501" s="131"/>
      <c r="E501" s="131"/>
      <c r="F501" s="132"/>
      <c r="G501" s="120"/>
      <c r="H501" s="122"/>
      <c r="I501" s="36"/>
    </row>
    <row r="502" spans="1:9" s="37" customFormat="1" ht="15.75" hidden="1" customHeight="1" x14ac:dyDescent="0.35">
      <c r="A502" s="130">
        <v>9</v>
      </c>
      <c r="B502" s="132"/>
      <c r="C502" s="42" t="s">
        <v>175</v>
      </c>
      <c r="D502" s="55">
        <f t="shared" si="149"/>
        <v>342.18755999999996</v>
      </c>
      <c r="E502" s="42">
        <v>0</v>
      </c>
      <c r="F502" s="42">
        <f>D502*(($F$392)+1)+(IF(E502&lt;101,E502,IF(E502&lt;201,E502/2,IF(E502&lt;=301,E502/3,E502/4))))</f>
        <v>496.17196199999995</v>
      </c>
      <c r="G502" s="120"/>
      <c r="H502" s="122"/>
      <c r="I502" s="36"/>
    </row>
    <row r="503" spans="1:9" s="37" customFormat="1" ht="15.75" hidden="1" customHeight="1" x14ac:dyDescent="0.35">
      <c r="A503" s="130">
        <v>10</v>
      </c>
      <c r="B503" s="132"/>
      <c r="C503" s="42" t="s">
        <v>175</v>
      </c>
      <c r="D503" s="55">
        <f t="shared" si="149"/>
        <v>342.18755999999996</v>
      </c>
      <c r="E503" s="42">
        <v>0</v>
      </c>
      <c r="F503" s="42">
        <f>D503*(($F$392)+1)+(IF(E503&lt;101,E503,IF(E503&lt;201,E503/2,IF(E503&lt;=301,E503/3,E503/4))))</f>
        <v>496.17196199999995</v>
      </c>
      <c r="G503" s="120"/>
      <c r="H503" s="122"/>
      <c r="I503" s="36"/>
    </row>
    <row r="504" spans="1:9" s="37" customFormat="1" ht="15.75" hidden="1" customHeight="1" x14ac:dyDescent="0.35">
      <c r="A504" s="130">
        <v>11</v>
      </c>
      <c r="B504" s="132"/>
      <c r="C504" s="42" t="s">
        <v>175</v>
      </c>
      <c r="D504" s="55">
        <f t="shared" si="149"/>
        <v>342.18755999999996</v>
      </c>
      <c r="E504" s="42">
        <v>0</v>
      </c>
      <c r="F504" s="42">
        <f>D504*(($F$392)+1)+(IF(E504&lt;101,E504,IF(E504&lt;201,E504/2,IF(E504&lt;=301,E504/3,E504/4))))</f>
        <v>496.17196199999995</v>
      </c>
      <c r="G504" s="120"/>
      <c r="H504" s="122"/>
      <c r="I504" s="36"/>
    </row>
    <row r="505" spans="1:9" s="37" customFormat="1" ht="15.75" hidden="1" customHeight="1" x14ac:dyDescent="0.35">
      <c r="A505" s="130">
        <v>12</v>
      </c>
      <c r="B505" s="132"/>
      <c r="C505" s="42" t="s">
        <v>175</v>
      </c>
      <c r="D505" s="55">
        <f t="shared" si="149"/>
        <v>342.18755999999996</v>
      </c>
      <c r="E505" s="42">
        <v>0</v>
      </c>
      <c r="F505" s="42">
        <f>D505*(($F$392)+1)+(IF(E505&lt;101,E505,IF(E505&lt;201,E505/2,IF(E505&lt;=301,E505/3,E505/4))))</f>
        <v>496.17196199999995</v>
      </c>
      <c r="G505" s="117"/>
      <c r="H505" s="119"/>
      <c r="I505" s="36"/>
    </row>
    <row r="506" spans="1:9" s="35" customFormat="1" x14ac:dyDescent="0.35">
      <c r="A506" s="223" t="s">
        <v>68</v>
      </c>
      <c r="B506" s="223"/>
      <c r="C506" s="223"/>
      <c r="D506" s="223"/>
      <c r="E506" s="223"/>
      <c r="F506" s="223"/>
      <c r="G506" s="223"/>
      <c r="H506" s="223"/>
    </row>
    <row r="507" spans="1:9" s="35" customFormat="1" x14ac:dyDescent="0.35">
      <c r="A507" s="47">
        <v>1</v>
      </c>
      <c r="B507" s="123" t="s">
        <v>253</v>
      </c>
      <c r="C507" s="124"/>
      <c r="D507" s="124"/>
      <c r="E507" s="124"/>
      <c r="F507" s="124"/>
      <c r="G507" s="124"/>
      <c r="H507" s="125"/>
    </row>
    <row r="508" spans="1:9" s="35" customFormat="1" x14ac:dyDescent="0.35">
      <c r="A508" s="47">
        <f>A507+1</f>
        <v>2</v>
      </c>
      <c r="B508" s="123" t="str">
        <f>(IF(F391="Saleable area Loading :","We have considered Saleable area of Flats as per our Calculation.","We considered Saleable area of Flat as per Builder area Sheet."))</f>
        <v>We have considered Saleable area of Flats as per our Calculation.</v>
      </c>
      <c r="C508" s="124"/>
      <c r="D508" s="124"/>
      <c r="E508" s="124"/>
      <c r="F508" s="124"/>
      <c r="G508" s="124"/>
      <c r="H508" s="125"/>
    </row>
    <row r="509" spans="1:9" s="35" customFormat="1" hidden="1" x14ac:dyDescent="0.35">
      <c r="A509" s="73">
        <f t="shared" ref="A509:A520" si="152">A508+1</f>
        <v>3</v>
      </c>
      <c r="B509" s="123" t="e">
        <f>(IF(#REF!="Saleable area Loading :","We have considered Saleable area of Commercial as per our Calculation.","We considered Saleable area of Commercial as per Builder area Sheet."))</f>
        <v>#REF!</v>
      </c>
      <c r="C509" s="124"/>
      <c r="D509" s="124"/>
      <c r="E509" s="124"/>
      <c r="F509" s="124"/>
      <c r="G509" s="124"/>
      <c r="H509" s="125"/>
    </row>
    <row r="510" spans="1:9" s="35" customFormat="1" x14ac:dyDescent="0.35">
      <c r="A510" s="73">
        <v>3</v>
      </c>
      <c r="B510" s="176" t="s">
        <v>116</v>
      </c>
      <c r="C510" s="177"/>
      <c r="D510" s="177"/>
      <c r="E510" s="177"/>
      <c r="F510" s="177"/>
      <c r="G510" s="177"/>
      <c r="H510" s="178"/>
    </row>
    <row r="511" spans="1:9" s="35" customFormat="1" x14ac:dyDescent="0.35">
      <c r="A511" s="73">
        <f t="shared" si="152"/>
        <v>4</v>
      </c>
      <c r="B511" s="123" t="s">
        <v>206</v>
      </c>
      <c r="C511" s="124"/>
      <c r="D511" s="124"/>
      <c r="E511" s="124"/>
      <c r="F511" s="124"/>
      <c r="G511" s="124"/>
      <c r="H511" s="125"/>
    </row>
    <row r="512" spans="1:9" s="35" customFormat="1" x14ac:dyDescent="0.35">
      <c r="A512" s="73">
        <f t="shared" si="152"/>
        <v>5</v>
      </c>
      <c r="B512" s="176" t="s">
        <v>145</v>
      </c>
      <c r="C512" s="177"/>
      <c r="D512" s="177"/>
      <c r="E512" s="177"/>
      <c r="F512" s="177"/>
      <c r="G512" s="177"/>
      <c r="H512" s="178"/>
    </row>
    <row r="513" spans="1:12" s="35" customFormat="1" x14ac:dyDescent="0.35">
      <c r="A513" s="73">
        <f t="shared" si="152"/>
        <v>6</v>
      </c>
      <c r="B513" s="176" t="s">
        <v>117</v>
      </c>
      <c r="C513" s="177"/>
      <c r="D513" s="177"/>
      <c r="E513" s="177"/>
      <c r="F513" s="177"/>
      <c r="G513" s="177"/>
      <c r="H513" s="178"/>
    </row>
    <row r="514" spans="1:12" s="35" customFormat="1" ht="34.5" customHeight="1" x14ac:dyDescent="0.35">
      <c r="A514" s="73">
        <f t="shared" si="152"/>
        <v>7</v>
      </c>
      <c r="B514" s="127" t="s">
        <v>146</v>
      </c>
      <c r="C514" s="127"/>
      <c r="D514" s="127"/>
      <c r="E514" s="127"/>
      <c r="F514" s="127"/>
      <c r="G514" s="127"/>
      <c r="H514" s="127"/>
    </row>
    <row r="515" spans="1:12" s="35" customFormat="1" x14ac:dyDescent="0.35">
      <c r="A515" s="73">
        <f t="shared" si="152"/>
        <v>8</v>
      </c>
      <c r="B515" s="127" t="s">
        <v>118</v>
      </c>
      <c r="C515" s="127"/>
      <c r="D515" s="127"/>
      <c r="E515" s="127"/>
      <c r="F515" s="127"/>
      <c r="G515" s="127"/>
      <c r="H515" s="127"/>
    </row>
    <row r="516" spans="1:12" s="35" customFormat="1" x14ac:dyDescent="0.35">
      <c r="A516" s="73">
        <f t="shared" si="152"/>
        <v>9</v>
      </c>
      <c r="B516" s="127" t="s">
        <v>213</v>
      </c>
      <c r="C516" s="127"/>
      <c r="D516" s="127"/>
      <c r="E516" s="127"/>
      <c r="F516" s="127"/>
      <c r="G516" s="127"/>
      <c r="H516" s="127"/>
    </row>
    <row r="517" spans="1:12" s="35" customFormat="1" ht="47.25" hidden="1" customHeight="1" x14ac:dyDescent="0.35">
      <c r="A517" s="73">
        <f t="shared" si="152"/>
        <v>10</v>
      </c>
      <c r="B517" s="127" t="s">
        <v>215</v>
      </c>
      <c r="C517" s="127"/>
      <c r="D517" s="127"/>
      <c r="E517" s="127"/>
      <c r="F517" s="127"/>
      <c r="G517" s="127"/>
      <c r="H517" s="127"/>
      <c r="I517" s="128" t="s">
        <v>214</v>
      </c>
      <c r="J517" s="129"/>
      <c r="K517" s="129"/>
      <c r="L517" s="129"/>
    </row>
    <row r="518" spans="1:12" s="35" customFormat="1" ht="31" customHeight="1" x14ac:dyDescent="0.35">
      <c r="A518" s="73">
        <v>10</v>
      </c>
      <c r="B518" s="127" t="s">
        <v>219</v>
      </c>
      <c r="C518" s="127"/>
      <c r="D518" s="127"/>
      <c r="E518" s="127"/>
      <c r="F518" s="127"/>
      <c r="G518" s="127"/>
      <c r="H518" s="127"/>
    </row>
    <row r="519" spans="1:12" s="35" customFormat="1" ht="31" customHeight="1" x14ac:dyDescent="0.35">
      <c r="A519" s="73">
        <f t="shared" si="152"/>
        <v>11</v>
      </c>
      <c r="B519" s="127" t="s">
        <v>249</v>
      </c>
      <c r="C519" s="127"/>
      <c r="D519" s="127"/>
      <c r="E519" s="127"/>
      <c r="F519" s="127"/>
      <c r="G519" s="127"/>
      <c r="H519" s="127"/>
    </row>
    <row r="520" spans="1:12" s="35" customFormat="1" ht="45.5" customHeight="1" x14ac:dyDescent="0.35">
      <c r="A520" s="73">
        <f t="shared" si="152"/>
        <v>12</v>
      </c>
      <c r="B520" s="127" t="s">
        <v>285</v>
      </c>
      <c r="C520" s="127"/>
      <c r="D520" s="127"/>
      <c r="E520" s="127"/>
      <c r="F520" s="127"/>
      <c r="G520" s="127"/>
      <c r="H520" s="127"/>
    </row>
    <row r="521" spans="1:12" x14ac:dyDescent="0.35">
      <c r="A521" s="165" t="s">
        <v>61</v>
      </c>
      <c r="B521" s="165"/>
      <c r="C521" s="165"/>
      <c r="D521" s="165"/>
      <c r="E521" s="165"/>
      <c r="F521" s="165"/>
      <c r="G521" s="165"/>
      <c r="H521" s="165"/>
    </row>
    <row r="522" spans="1:12" x14ac:dyDescent="0.35">
      <c r="A522" s="155" t="s">
        <v>62</v>
      </c>
      <c r="B522" s="155"/>
      <c r="C522" s="155"/>
      <c r="D522" s="155"/>
      <c r="E522" s="155"/>
      <c r="F522" s="155"/>
      <c r="G522" s="155"/>
      <c r="H522" s="155"/>
    </row>
    <row r="523" spans="1:12" ht="15.75" customHeight="1" x14ac:dyDescent="0.35">
      <c r="A523" s="179" t="s">
        <v>63</v>
      </c>
      <c r="B523" s="179"/>
      <c r="C523" s="179"/>
      <c r="D523" s="179"/>
      <c r="E523" s="179"/>
      <c r="F523" s="179"/>
      <c r="G523" s="179"/>
      <c r="H523" s="179"/>
    </row>
    <row r="524" spans="1:12" x14ac:dyDescent="0.35">
      <c r="A524" s="155" t="s">
        <v>64</v>
      </c>
      <c r="B524" s="155"/>
      <c r="C524" s="155"/>
      <c r="D524" s="155"/>
      <c r="E524" s="155"/>
      <c r="F524" s="155"/>
      <c r="G524" s="155"/>
      <c r="H524" s="155"/>
    </row>
    <row r="525" spans="1:12" x14ac:dyDescent="0.35">
      <c r="A525" s="155" t="s">
        <v>65</v>
      </c>
      <c r="B525" s="155"/>
      <c r="C525" s="155"/>
      <c r="D525" s="155"/>
      <c r="E525" s="155"/>
      <c r="F525" s="155"/>
      <c r="G525" s="155"/>
      <c r="H525" s="155"/>
    </row>
    <row r="526" spans="1:12" x14ac:dyDescent="0.35">
      <c r="A526" s="155" t="s">
        <v>119</v>
      </c>
      <c r="B526" s="155"/>
      <c r="C526" s="155"/>
      <c r="D526" s="155"/>
      <c r="E526" s="155"/>
      <c r="F526" s="155"/>
      <c r="G526" s="155"/>
      <c r="H526" s="155"/>
    </row>
    <row r="527" spans="1:12" x14ac:dyDescent="0.35">
      <c r="A527" s="157" t="s">
        <v>120</v>
      </c>
      <c r="B527" s="157"/>
      <c r="C527" s="157"/>
      <c r="D527" s="157"/>
      <c r="E527" s="157"/>
      <c r="F527" s="157"/>
      <c r="G527" s="157"/>
      <c r="H527" s="157"/>
    </row>
    <row r="528" spans="1:12" x14ac:dyDescent="0.35">
      <c r="A528" s="175" t="s">
        <v>76</v>
      </c>
      <c r="B528" s="175"/>
      <c r="C528" s="175" t="s">
        <v>221</v>
      </c>
      <c r="D528" s="175"/>
      <c r="E528" s="175" t="s">
        <v>100</v>
      </c>
      <c r="F528" s="175"/>
      <c r="G528" s="175" t="s">
        <v>248</v>
      </c>
      <c r="H528" s="175"/>
    </row>
    <row r="529" spans="1:8" x14ac:dyDescent="0.35">
      <c r="A529" s="174" t="s">
        <v>78</v>
      </c>
      <c r="B529" s="174"/>
      <c r="C529" s="174"/>
      <c r="D529" s="174"/>
      <c r="E529" s="174"/>
      <c r="F529" s="174"/>
      <c r="G529" s="174"/>
      <c r="H529" s="174"/>
    </row>
    <row r="530" spans="1:8" x14ac:dyDescent="0.35">
      <c r="A530" s="174"/>
      <c r="B530" s="174"/>
      <c r="C530" s="174"/>
      <c r="D530" s="174"/>
      <c r="E530" s="174"/>
      <c r="F530" s="174"/>
      <c r="G530" s="174"/>
      <c r="H530" s="174"/>
    </row>
    <row r="531" spans="1:8" x14ac:dyDescent="0.35">
      <c r="A531" s="174"/>
      <c r="B531" s="174"/>
      <c r="C531" s="174"/>
      <c r="D531" s="174"/>
      <c r="E531" s="174"/>
      <c r="F531" s="174"/>
      <c r="G531" s="174"/>
      <c r="H531" s="174"/>
    </row>
    <row r="532" spans="1:8" x14ac:dyDescent="0.35">
      <c r="A532" s="174"/>
      <c r="B532" s="174"/>
      <c r="C532" s="174"/>
      <c r="D532" s="174"/>
      <c r="E532" s="174"/>
      <c r="F532" s="174"/>
      <c r="G532" s="174"/>
      <c r="H532" s="174"/>
    </row>
    <row r="533" spans="1:8" x14ac:dyDescent="0.35">
      <c r="A533" s="38" t="s">
        <v>66</v>
      </c>
      <c r="B533" s="39"/>
      <c r="C533" s="39"/>
      <c r="D533" s="38" t="str">
        <f>E8</f>
        <v>Subhash Residency Wing A to D</v>
      </c>
      <c r="F533" s="39"/>
      <c r="G533" s="39"/>
      <c r="H533" s="39"/>
    </row>
    <row r="534" spans="1:8" x14ac:dyDescent="0.35">
      <c r="A534" s="39"/>
      <c r="B534" s="39"/>
      <c r="C534" s="39"/>
      <c r="D534" s="39"/>
      <c r="E534" s="39"/>
      <c r="F534" s="39"/>
      <c r="G534" s="39"/>
      <c r="H534" s="39"/>
    </row>
    <row r="535" spans="1:8" x14ac:dyDescent="0.35">
      <c r="A535" s="39"/>
      <c r="B535" s="39"/>
      <c r="C535" s="39"/>
      <c r="D535" s="39"/>
      <c r="E535" s="39"/>
      <c r="F535" s="39"/>
      <c r="G535" s="39"/>
      <c r="H535" s="39"/>
    </row>
    <row r="536" spans="1:8" ht="15" customHeight="1" x14ac:dyDescent="0.35"/>
    <row r="575" spans="1:1" x14ac:dyDescent="0.35">
      <c r="A575" s="41" t="s">
        <v>156</v>
      </c>
    </row>
    <row r="578" spans="1:1" x14ac:dyDescent="0.35">
      <c r="A578" s="41"/>
    </row>
    <row r="617" spans="1:1" hidden="1" x14ac:dyDescent="0.35"/>
    <row r="618" spans="1:1" x14ac:dyDescent="0.35">
      <c r="A618" s="41" t="s">
        <v>286</v>
      </c>
    </row>
    <row r="653" spans="1:1" x14ac:dyDescent="0.35">
      <c r="A653" s="41" t="s">
        <v>67</v>
      </c>
    </row>
  </sheetData>
  <mergeCells count="688">
    <mergeCell ref="B520:H520"/>
    <mergeCell ref="A151:B151"/>
    <mergeCell ref="L151:M151"/>
    <mergeCell ref="A152:B152"/>
    <mergeCell ref="L152:M152"/>
    <mergeCell ref="A153:B153"/>
    <mergeCell ref="L153:M153"/>
    <mergeCell ref="B518:H518"/>
    <mergeCell ref="L146:M146"/>
    <mergeCell ref="A147:B147"/>
    <mergeCell ref="L147:M147"/>
    <mergeCell ref="A148:B148"/>
    <mergeCell ref="L148:M148"/>
    <mergeCell ref="A149:B149"/>
    <mergeCell ref="L149:M149"/>
    <mergeCell ref="A150:B150"/>
    <mergeCell ref="L150:M150"/>
    <mergeCell ref="A467:H467"/>
    <mergeCell ref="A468:B468"/>
    <mergeCell ref="G468:H479"/>
    <mergeCell ref="A477:B477"/>
    <mergeCell ref="G425:H436"/>
    <mergeCell ref="B511:H511"/>
    <mergeCell ref="A506:H506"/>
    <mergeCell ref="A469:B469"/>
    <mergeCell ref="L134:M134"/>
    <mergeCell ref="A135:B135"/>
    <mergeCell ref="L135:M135"/>
    <mergeCell ref="A136:B136"/>
    <mergeCell ref="L136:M136"/>
    <mergeCell ref="A137:B137"/>
    <mergeCell ref="L137:M137"/>
    <mergeCell ref="A154:H154"/>
    <mergeCell ref="A132:H132"/>
    <mergeCell ref="A138:B138"/>
    <mergeCell ref="L138:M138"/>
    <mergeCell ref="A139:B139"/>
    <mergeCell ref="L139:M139"/>
    <mergeCell ref="A140:B140"/>
    <mergeCell ref="L140:M140"/>
    <mergeCell ref="A141:B141"/>
    <mergeCell ref="L141:M141"/>
    <mergeCell ref="A142:B142"/>
    <mergeCell ref="L142:M142"/>
    <mergeCell ref="A143:H143"/>
    <mergeCell ref="A144:H144"/>
    <mergeCell ref="A145:B145"/>
    <mergeCell ref="L145:M145"/>
    <mergeCell ref="A146:B146"/>
    <mergeCell ref="A129:A130"/>
    <mergeCell ref="B129:B130"/>
    <mergeCell ref="C129:C130"/>
    <mergeCell ref="D129:D130"/>
    <mergeCell ref="E129:E130"/>
    <mergeCell ref="F129:F130"/>
    <mergeCell ref="G129:G130"/>
    <mergeCell ref="A133:H133"/>
    <mergeCell ref="A134:B134"/>
    <mergeCell ref="A131:H131"/>
    <mergeCell ref="C95:H95"/>
    <mergeCell ref="A97:B97"/>
    <mergeCell ref="C97:H97"/>
    <mergeCell ref="A98:B98"/>
    <mergeCell ref="E98:F98"/>
    <mergeCell ref="G98:H98"/>
    <mergeCell ref="A99:B99"/>
    <mergeCell ref="E99:F108"/>
    <mergeCell ref="G99:H108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93:B93"/>
    <mergeCell ref="A94:B94"/>
    <mergeCell ref="D65:H65"/>
    <mergeCell ref="A85:B85"/>
    <mergeCell ref="A365:H365"/>
    <mergeCell ref="E121:F121"/>
    <mergeCell ref="A90:B90"/>
    <mergeCell ref="F110:H110"/>
    <mergeCell ref="A110:E110"/>
    <mergeCell ref="F109:H109"/>
    <mergeCell ref="A155:A156"/>
    <mergeCell ref="B155:B156"/>
    <mergeCell ref="C155:C156"/>
    <mergeCell ref="D155:D156"/>
    <mergeCell ref="E155:E156"/>
    <mergeCell ref="F155:F156"/>
    <mergeCell ref="G155:G156"/>
    <mergeCell ref="A113:E113"/>
    <mergeCell ref="F113:H113"/>
    <mergeCell ref="A114:E114"/>
    <mergeCell ref="F114:H114"/>
    <mergeCell ref="A111:E111"/>
    <mergeCell ref="A120:H120"/>
    <mergeCell ref="A95:B95"/>
    <mergeCell ref="A470:B470"/>
    <mergeCell ref="B391:B392"/>
    <mergeCell ref="A452:H452"/>
    <mergeCell ref="A40:D40"/>
    <mergeCell ref="E40:H40"/>
    <mergeCell ref="A56:C56"/>
    <mergeCell ref="G49:H49"/>
    <mergeCell ref="A50:B51"/>
    <mergeCell ref="A91:B91"/>
    <mergeCell ref="A84:B84"/>
    <mergeCell ref="A87:B87"/>
    <mergeCell ref="A83:B83"/>
    <mergeCell ref="A81:B81"/>
    <mergeCell ref="C81:H81"/>
    <mergeCell ref="A89:B89"/>
    <mergeCell ref="A62:C62"/>
    <mergeCell ref="D62:H62"/>
    <mergeCell ref="A63:C63"/>
    <mergeCell ref="D63:H63"/>
    <mergeCell ref="A55:C55"/>
    <mergeCell ref="E85:F94"/>
    <mergeCell ref="A428:B428"/>
    <mergeCell ref="A434:B434"/>
    <mergeCell ref="C458:F458"/>
    <mergeCell ref="A36:H36"/>
    <mergeCell ref="A35:B35"/>
    <mergeCell ref="C35:E35"/>
    <mergeCell ref="F32:H32"/>
    <mergeCell ref="F33:H33"/>
    <mergeCell ref="A39:H39"/>
    <mergeCell ref="A60:C60"/>
    <mergeCell ref="A61:C61"/>
    <mergeCell ref="D60:H60"/>
    <mergeCell ref="D61:H61"/>
    <mergeCell ref="A42:D42"/>
    <mergeCell ref="E42:H42"/>
    <mergeCell ref="E43:H43"/>
    <mergeCell ref="E44:H44"/>
    <mergeCell ref="E45:H45"/>
    <mergeCell ref="A43:D43"/>
    <mergeCell ref="F35:H35"/>
    <mergeCell ref="A37:B37"/>
    <mergeCell ref="D56:H56"/>
    <mergeCell ref="A38:B38"/>
    <mergeCell ref="C38:H38"/>
    <mergeCell ref="A47:B47"/>
    <mergeCell ref="C47:H47"/>
    <mergeCell ref="D55:H55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462:B462"/>
    <mergeCell ref="A463:B463"/>
    <mergeCell ref="A464:B464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B513:H513"/>
    <mergeCell ref="B509:H509"/>
    <mergeCell ref="A526:H526"/>
    <mergeCell ref="A523:H523"/>
    <mergeCell ref="B510:H5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476:B476"/>
    <mergeCell ref="A449:B449"/>
    <mergeCell ref="A429:B429"/>
    <mergeCell ref="A430:B430"/>
    <mergeCell ref="A431:B431"/>
    <mergeCell ref="A432:B432"/>
    <mergeCell ref="A529:H532"/>
    <mergeCell ref="A528:B528"/>
    <mergeCell ref="E528:F528"/>
    <mergeCell ref="C528:D528"/>
    <mergeCell ref="G528:H528"/>
    <mergeCell ref="A454:H454"/>
    <mergeCell ref="A524:H524"/>
    <mergeCell ref="A459:B459"/>
    <mergeCell ref="A527:H527"/>
    <mergeCell ref="A525:H525"/>
    <mergeCell ref="A456:B456"/>
    <mergeCell ref="A457:B457"/>
    <mergeCell ref="A455:B455"/>
    <mergeCell ref="B514:H514"/>
    <mergeCell ref="B512:H512"/>
    <mergeCell ref="A465:B465"/>
    <mergeCell ref="A521:H521"/>
    <mergeCell ref="A522:H522"/>
    <mergeCell ref="B515:H515"/>
    <mergeCell ref="A436:B436"/>
    <mergeCell ref="A406:B406"/>
    <mergeCell ref="A407:B407"/>
    <mergeCell ref="A408:B408"/>
    <mergeCell ref="A409:B409"/>
    <mergeCell ref="A433:B433"/>
    <mergeCell ref="A410:B410"/>
    <mergeCell ref="A411:H411"/>
    <mergeCell ref="A412:B412"/>
    <mergeCell ref="A435:B435"/>
    <mergeCell ref="A397:H397"/>
    <mergeCell ref="A416:B416"/>
    <mergeCell ref="A422:B422"/>
    <mergeCell ref="A423:B423"/>
    <mergeCell ref="G412:H423"/>
    <mergeCell ref="A413:B413"/>
    <mergeCell ref="A414:B414"/>
    <mergeCell ref="A415:B415"/>
    <mergeCell ref="A427:B427"/>
    <mergeCell ref="A398:H398"/>
    <mergeCell ref="A399:B399"/>
    <mergeCell ref="A400:B400"/>
    <mergeCell ref="A401:B401"/>
    <mergeCell ref="G399:H410"/>
    <mergeCell ref="C410:F410"/>
    <mergeCell ref="A426:B426"/>
    <mergeCell ref="A402:B402"/>
    <mergeCell ref="A403:B403"/>
    <mergeCell ref="A404:B404"/>
    <mergeCell ref="A405:B405"/>
    <mergeCell ref="A480:H480"/>
    <mergeCell ref="A481:B481"/>
    <mergeCell ref="G481:H492"/>
    <mergeCell ref="A482:B482"/>
    <mergeCell ref="A483:B483"/>
    <mergeCell ref="A484:B484"/>
    <mergeCell ref="A485:B485"/>
    <mergeCell ref="A486:B486"/>
    <mergeCell ref="A487:B487"/>
    <mergeCell ref="A488:B488"/>
    <mergeCell ref="A489:B489"/>
    <mergeCell ref="A490:B490"/>
    <mergeCell ref="A491:B491"/>
    <mergeCell ref="A492:B492"/>
    <mergeCell ref="A16:B16"/>
    <mergeCell ref="C16:H16"/>
    <mergeCell ref="E41:H41"/>
    <mergeCell ref="A41:D41"/>
    <mergeCell ref="A48:B48"/>
    <mergeCell ref="C48:E48"/>
    <mergeCell ref="G48:H48"/>
    <mergeCell ref="G50:H50"/>
    <mergeCell ref="D54:H54"/>
    <mergeCell ref="C50:E50"/>
    <mergeCell ref="C49:E49"/>
    <mergeCell ref="A52:B52"/>
    <mergeCell ref="C52:E52"/>
    <mergeCell ref="A49:B49"/>
    <mergeCell ref="A53:H53"/>
    <mergeCell ref="A54:C54"/>
    <mergeCell ref="G52:H52"/>
    <mergeCell ref="A44:D44"/>
    <mergeCell ref="A45:D45"/>
    <mergeCell ref="A46:H46"/>
    <mergeCell ref="A21:D22"/>
    <mergeCell ref="E21:H22"/>
    <mergeCell ref="A23:D23"/>
    <mergeCell ref="E23:H23"/>
    <mergeCell ref="C51:H51"/>
    <mergeCell ref="A393:H393"/>
    <mergeCell ref="L393:M393"/>
    <mergeCell ref="A451:H451"/>
    <mergeCell ref="L451:M451"/>
    <mergeCell ref="D58:H58"/>
    <mergeCell ref="A112:E112"/>
    <mergeCell ref="C391:C392"/>
    <mergeCell ref="C126:D126"/>
    <mergeCell ref="F112:H112"/>
    <mergeCell ref="A64:C64"/>
    <mergeCell ref="D64:H64"/>
    <mergeCell ref="A65:C65"/>
    <mergeCell ref="A66:C66"/>
    <mergeCell ref="D66:H66"/>
    <mergeCell ref="C124:D124"/>
    <mergeCell ref="E124:F124"/>
    <mergeCell ref="G124:H124"/>
    <mergeCell ref="F111:H111"/>
    <mergeCell ref="A417:B417"/>
    <mergeCell ref="A395:H395"/>
    <mergeCell ref="A424:H424"/>
    <mergeCell ref="A425:B425"/>
    <mergeCell ref="L395:M395"/>
    <mergeCell ref="G84:H84"/>
    <mergeCell ref="A109:E109"/>
    <mergeCell ref="A126:B126"/>
    <mergeCell ref="A121:B121"/>
    <mergeCell ref="D391:D392"/>
    <mergeCell ref="E391:E392"/>
    <mergeCell ref="G391:H392"/>
    <mergeCell ref="A257:H257"/>
    <mergeCell ref="A391:A392"/>
    <mergeCell ref="G121:H121"/>
    <mergeCell ref="A124:B124"/>
    <mergeCell ref="G126:H126"/>
    <mergeCell ref="A125:B125"/>
    <mergeCell ref="C125:D125"/>
    <mergeCell ref="E125:F125"/>
    <mergeCell ref="G125:H125"/>
    <mergeCell ref="C121:D121"/>
    <mergeCell ref="E126:F126"/>
    <mergeCell ref="A352:H352"/>
    <mergeCell ref="C269:H269"/>
    <mergeCell ref="A283:H283"/>
    <mergeCell ref="A127:H127"/>
    <mergeCell ref="A128:H128"/>
    <mergeCell ref="G85:H94"/>
    <mergeCell ref="A92:B92"/>
    <mergeCell ref="L397:M397"/>
    <mergeCell ref="L452:M452"/>
    <mergeCell ref="A453:H453"/>
    <mergeCell ref="L453:M453"/>
    <mergeCell ref="A450:H450"/>
    <mergeCell ref="L450:M450"/>
    <mergeCell ref="A437:H437"/>
    <mergeCell ref="A438:B438"/>
    <mergeCell ref="G438:H449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394:H394"/>
    <mergeCell ref="L258:M258"/>
    <mergeCell ref="L394:M394"/>
    <mergeCell ref="L259:M259"/>
    <mergeCell ref="C37:H37"/>
    <mergeCell ref="D59:H59"/>
    <mergeCell ref="A493:H493"/>
    <mergeCell ref="A494:B494"/>
    <mergeCell ref="G494:H505"/>
    <mergeCell ref="A495:B495"/>
    <mergeCell ref="A496:B496"/>
    <mergeCell ref="A497:B497"/>
    <mergeCell ref="A498:B498"/>
    <mergeCell ref="A499:B499"/>
    <mergeCell ref="A500:B500"/>
    <mergeCell ref="A501:B501"/>
    <mergeCell ref="A502:B502"/>
    <mergeCell ref="A503:B503"/>
    <mergeCell ref="A504:B504"/>
    <mergeCell ref="A505:B505"/>
    <mergeCell ref="C501:F501"/>
    <mergeCell ref="C488:F488"/>
    <mergeCell ref="C447:F447"/>
    <mergeCell ref="C434:F434"/>
    <mergeCell ref="C83:H83"/>
    <mergeCell ref="A86:B86"/>
    <mergeCell ref="A88:B88"/>
    <mergeCell ref="E84:F84"/>
    <mergeCell ref="L260:M260"/>
    <mergeCell ref="L261:M261"/>
    <mergeCell ref="L267:M267"/>
    <mergeCell ref="L262:M262"/>
    <mergeCell ref="L263:M263"/>
    <mergeCell ref="L264:M264"/>
    <mergeCell ref="L265:M265"/>
    <mergeCell ref="L266:M266"/>
    <mergeCell ref="L280:M280"/>
    <mergeCell ref="L279:M279"/>
    <mergeCell ref="L268:M268"/>
    <mergeCell ref="L269:M269"/>
    <mergeCell ref="A252:H252"/>
    <mergeCell ref="L252:M252"/>
    <mergeCell ref="A253:H253"/>
    <mergeCell ref="L253:M253"/>
    <mergeCell ref="A254:H254"/>
    <mergeCell ref="L254:M254"/>
    <mergeCell ref="A255:H255"/>
    <mergeCell ref="L255:M255"/>
    <mergeCell ref="A256:H256"/>
    <mergeCell ref="L256:M256"/>
    <mergeCell ref="L365:M365"/>
    <mergeCell ref="A378:H378"/>
    <mergeCell ref="L378:M378"/>
    <mergeCell ref="L352:M352"/>
    <mergeCell ref="L311:M311"/>
    <mergeCell ref="L312:M312"/>
    <mergeCell ref="L320:M320"/>
    <mergeCell ref="L321:M321"/>
    <mergeCell ref="L313:M313"/>
    <mergeCell ref="L314:M314"/>
    <mergeCell ref="L315:M315"/>
    <mergeCell ref="L316:M316"/>
    <mergeCell ref="L317:M317"/>
    <mergeCell ref="A326:H326"/>
    <mergeCell ref="L326:M326"/>
    <mergeCell ref="A325:H325"/>
    <mergeCell ref="L325:M325"/>
    <mergeCell ref="L301:M301"/>
    <mergeCell ref="L308:M308"/>
    <mergeCell ref="C306:H306"/>
    <mergeCell ref="A309:H309"/>
    <mergeCell ref="A270:H270"/>
    <mergeCell ref="L271:M271"/>
    <mergeCell ref="L272:M272"/>
    <mergeCell ref="L273:M273"/>
    <mergeCell ref="L274:M274"/>
    <mergeCell ref="L275:M275"/>
    <mergeCell ref="L276:M276"/>
    <mergeCell ref="L277:M277"/>
    <mergeCell ref="L278:M278"/>
    <mergeCell ref="L295:M295"/>
    <mergeCell ref="L302:M302"/>
    <mergeCell ref="L303:M303"/>
    <mergeCell ref="L281:M281"/>
    <mergeCell ref="L282:M282"/>
    <mergeCell ref="L291:M291"/>
    <mergeCell ref="L290:M290"/>
    <mergeCell ref="L284:M284"/>
    <mergeCell ref="L285:M285"/>
    <mergeCell ref="L286:M286"/>
    <mergeCell ref="L287:M287"/>
    <mergeCell ref="L292:M292"/>
    <mergeCell ref="L293:M293"/>
    <mergeCell ref="L294:M294"/>
    <mergeCell ref="L288:M288"/>
    <mergeCell ref="L289:M289"/>
    <mergeCell ref="A461:B461"/>
    <mergeCell ref="L318:M318"/>
    <mergeCell ref="C319:H319"/>
    <mergeCell ref="L319:M319"/>
    <mergeCell ref="L305:M305"/>
    <mergeCell ref="A296:H296"/>
    <mergeCell ref="L297:M297"/>
    <mergeCell ref="L298:M298"/>
    <mergeCell ref="L299:M299"/>
    <mergeCell ref="L300:M300"/>
    <mergeCell ref="A339:H339"/>
    <mergeCell ref="L339:M339"/>
    <mergeCell ref="C330:H330"/>
    <mergeCell ref="A322:H322"/>
    <mergeCell ref="L322:M322"/>
    <mergeCell ref="A323:H323"/>
    <mergeCell ref="L323:M323"/>
    <mergeCell ref="A324:H324"/>
    <mergeCell ref="L324:M324"/>
    <mergeCell ref="A396:H396"/>
    <mergeCell ref="L396:M396"/>
    <mergeCell ref="A458:B458"/>
    <mergeCell ref="I10:L10"/>
    <mergeCell ref="B519:H519"/>
    <mergeCell ref="B517:H517"/>
    <mergeCell ref="I517:L517"/>
    <mergeCell ref="B516:H516"/>
    <mergeCell ref="C373:H373"/>
    <mergeCell ref="C386:H386"/>
    <mergeCell ref="A418:B418"/>
    <mergeCell ref="A419:B419"/>
    <mergeCell ref="A420:B420"/>
    <mergeCell ref="A421:B421"/>
    <mergeCell ref="A478:B478"/>
    <mergeCell ref="A479:B479"/>
    <mergeCell ref="L454:M454"/>
    <mergeCell ref="L398:M398"/>
    <mergeCell ref="A471:B471"/>
    <mergeCell ref="A472:B472"/>
    <mergeCell ref="A473:B473"/>
    <mergeCell ref="A474:B474"/>
    <mergeCell ref="A475:B475"/>
    <mergeCell ref="B507:H507"/>
    <mergeCell ref="B508:H508"/>
    <mergeCell ref="L306:M306"/>
    <mergeCell ref="L307:M307"/>
    <mergeCell ref="A466:B466"/>
    <mergeCell ref="G455:H466"/>
    <mergeCell ref="A157:H157"/>
    <mergeCell ref="L157:M157"/>
    <mergeCell ref="A158:H158"/>
    <mergeCell ref="L158:M158"/>
    <mergeCell ref="A159:H159"/>
    <mergeCell ref="L159:M159"/>
    <mergeCell ref="A160:H160"/>
    <mergeCell ref="L160:M160"/>
    <mergeCell ref="L161:M161"/>
    <mergeCell ref="L162:M162"/>
    <mergeCell ref="L163:M163"/>
    <mergeCell ref="L164:M164"/>
    <mergeCell ref="L165:M165"/>
    <mergeCell ref="L208:M208"/>
    <mergeCell ref="L209:M209"/>
    <mergeCell ref="L210:M210"/>
    <mergeCell ref="L211:M211"/>
    <mergeCell ref="L212:M212"/>
    <mergeCell ref="A205:H205"/>
    <mergeCell ref="L304:M304"/>
    <mergeCell ref="L310:M310"/>
    <mergeCell ref="A460:B460"/>
    <mergeCell ref="A166:H166"/>
    <mergeCell ref="L166:M166"/>
    <mergeCell ref="L167:M167"/>
    <mergeCell ref="L168:M168"/>
    <mergeCell ref="L169:M169"/>
    <mergeCell ref="L170:M170"/>
    <mergeCell ref="L171:M171"/>
    <mergeCell ref="L177:M177"/>
    <mergeCell ref="L180:M180"/>
    <mergeCell ref="L216:M216"/>
    <mergeCell ref="L217:M217"/>
    <mergeCell ref="L218:M218"/>
    <mergeCell ref="A172:H172"/>
    <mergeCell ref="L172:M172"/>
    <mergeCell ref="L178:M178"/>
    <mergeCell ref="L173:M173"/>
    <mergeCell ref="L174:M174"/>
    <mergeCell ref="L175:M175"/>
    <mergeCell ref="L176:M176"/>
    <mergeCell ref="L205:M205"/>
    <mergeCell ref="A206:H206"/>
    <mergeCell ref="L249:M249"/>
    <mergeCell ref="L238:M238"/>
    <mergeCell ref="L239:M239"/>
    <mergeCell ref="L240:M240"/>
    <mergeCell ref="L236:M236"/>
    <mergeCell ref="L206:M206"/>
    <mergeCell ref="A207:H207"/>
    <mergeCell ref="L207:M207"/>
    <mergeCell ref="L181:M181"/>
    <mergeCell ref="L182:M182"/>
    <mergeCell ref="L229:M229"/>
    <mergeCell ref="A183:H183"/>
    <mergeCell ref="L183:M183"/>
    <mergeCell ref="L194:M194"/>
    <mergeCell ref="L195:M195"/>
    <mergeCell ref="L196:M196"/>
    <mergeCell ref="L197:M197"/>
    <mergeCell ref="L198:M198"/>
    <mergeCell ref="L199:M199"/>
    <mergeCell ref="L202:M202"/>
    <mergeCell ref="L203:M203"/>
    <mergeCell ref="A219:H219"/>
    <mergeCell ref="L219:M219"/>
    <mergeCell ref="L220:M220"/>
    <mergeCell ref="L184:M184"/>
    <mergeCell ref="L185:M185"/>
    <mergeCell ref="C186:G186"/>
    <mergeCell ref="L186:M186"/>
    <mergeCell ref="L187:M187"/>
    <mergeCell ref="L188:M188"/>
    <mergeCell ref="L189:M189"/>
    <mergeCell ref="L191:M191"/>
    <mergeCell ref="L192:M192"/>
    <mergeCell ref="L193:M193"/>
    <mergeCell ref="A230:H230"/>
    <mergeCell ref="L230:M230"/>
    <mergeCell ref="L231:M231"/>
    <mergeCell ref="L232:M232"/>
    <mergeCell ref="C233:G233"/>
    <mergeCell ref="L233:M233"/>
    <mergeCell ref="L234:M234"/>
    <mergeCell ref="L235:M235"/>
    <mergeCell ref="L228:M228"/>
    <mergeCell ref="L227:M227"/>
    <mergeCell ref="A213:H213"/>
    <mergeCell ref="L213:M213"/>
    <mergeCell ref="L214:M214"/>
    <mergeCell ref="L215:M215"/>
    <mergeCell ref="L221:M221"/>
    <mergeCell ref="L222:M222"/>
    <mergeCell ref="L223:M223"/>
    <mergeCell ref="L224:M224"/>
    <mergeCell ref="L225:M225"/>
    <mergeCell ref="L250:M250"/>
    <mergeCell ref="L251:M251"/>
    <mergeCell ref="A194:H194"/>
    <mergeCell ref="L200:M200"/>
    <mergeCell ref="L204:M204"/>
    <mergeCell ref="C197:G202"/>
    <mergeCell ref="C242:G243"/>
    <mergeCell ref="C248:G251"/>
    <mergeCell ref="A122:B122"/>
    <mergeCell ref="C122:D122"/>
    <mergeCell ref="E122:F122"/>
    <mergeCell ref="G122:H122"/>
    <mergeCell ref="A123:B123"/>
    <mergeCell ref="C123:D123"/>
    <mergeCell ref="E123:F123"/>
    <mergeCell ref="G123:H123"/>
    <mergeCell ref="A241:H241"/>
    <mergeCell ref="L241:M241"/>
    <mergeCell ref="L242:M242"/>
    <mergeCell ref="L243:M243"/>
    <mergeCell ref="L244:M244"/>
    <mergeCell ref="L245:M245"/>
    <mergeCell ref="L246:M246"/>
    <mergeCell ref="L247:M247"/>
    <mergeCell ref="A118:B118"/>
    <mergeCell ref="C118:D118"/>
    <mergeCell ref="E118:F118"/>
    <mergeCell ref="G118:H118"/>
    <mergeCell ref="A119:B119"/>
    <mergeCell ref="C119:D119"/>
    <mergeCell ref="E119:F119"/>
    <mergeCell ref="G119:H119"/>
    <mergeCell ref="A115:H115"/>
    <mergeCell ref="A116:B116"/>
    <mergeCell ref="C116:D116"/>
    <mergeCell ref="E116:F116"/>
    <mergeCell ref="G116:H116"/>
    <mergeCell ref="A117:B117"/>
    <mergeCell ref="C117:D117"/>
    <mergeCell ref="E117:F117"/>
    <mergeCell ref="G117:H117"/>
    <mergeCell ref="D57:H57"/>
    <mergeCell ref="A57:C59"/>
    <mergeCell ref="A67:B67"/>
    <mergeCell ref="C67:H67"/>
    <mergeCell ref="A69:B69"/>
    <mergeCell ref="C69:H69"/>
    <mergeCell ref="A70:B70"/>
    <mergeCell ref="E70:F70"/>
    <mergeCell ref="G70:H70"/>
    <mergeCell ref="A71:B71"/>
    <mergeCell ref="E71:F80"/>
    <mergeCell ref="G71:H80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</mergeCells>
  <dataValidations count="7">
    <dataValidation type="list" allowBlank="1" showInputMessage="1" showErrorMessage="1" sqref="D129:D130 D155:D156">
      <formula1>"Carpet area,RERA Carpet area"</formula1>
    </dataValidation>
    <dataValidation type="list" allowBlank="1" showInputMessage="1" showErrorMessage="1" sqref="H155 H129">
      <formula1>"Saleable area Loading :,Builder Saleable Area"</formula1>
    </dataValidation>
    <dataValidation type="list" allowBlank="1" showInputMessage="1" showErrorMessage="1" sqref="H130 H156">
      <formula1>".45,.50,.55,.60"</formula1>
    </dataValidation>
    <dataValidation type="list" allowBlank="1" showInputMessage="1" showErrorMessage="1" sqref="E155:E156">
      <formula1>"Service Slab + Balcony Area,Chajja Area,Cornice Area,AP Area,WS Area"</formula1>
    </dataValidation>
    <dataValidation type="list" allowBlank="1" showInputMessage="1" showErrorMessage="1" sqref="B155:B156">
      <formula1>"Flat No. (Sale Plan),Sale / Rehab,Sale / Mhada,Flat Type"</formula1>
    </dataValidation>
    <dataValidation type="list" allowBlank="1" showInputMessage="1" showErrorMessage="1" sqref="B129:B130">
      <formula1>"Shop No. (Sale Plan),Sale / Rehab,Sale / Mhada"</formula1>
    </dataValidation>
    <dataValidation type="list" allowBlank="1" showInputMessage="1" showErrorMessage="1" sqref="E129:E130">
      <formula1>"Attached Loft area,Attached Otla area,Attached Mezzanine area"</formula1>
    </dataValidation>
  </dataValidation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532" max="16383" man="1"/>
    <brk id="574" max="16383" man="1"/>
    <brk id="617" max="16383" man="1"/>
    <brk id="652" max="16383" man="1"/>
  </rowBreaks>
  <colBreaks count="1" manualBreakCount="1">
    <brk id="1" max="532" man="1"/>
  </col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6" zoomScale="85" zoomScaleNormal="85" workbookViewId="0">
      <selection activeCell="H19" sqref="H19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24" t="s">
        <v>101</v>
      </c>
      <c r="C3" s="224"/>
      <c r="D3" s="224"/>
      <c r="E3" s="224"/>
      <c r="F3" s="224"/>
      <c r="G3" s="224"/>
      <c r="H3" s="224"/>
    </row>
    <row r="4" spans="1:9" x14ac:dyDescent="0.35">
      <c r="A4" s="2"/>
      <c r="B4" s="3" t="s">
        <v>102</v>
      </c>
      <c r="C4" s="3" t="s">
        <v>103</v>
      </c>
      <c r="D4" s="3" t="s">
        <v>69</v>
      </c>
      <c r="E4" s="3" t="s">
        <v>104</v>
      </c>
      <c r="F4" s="3" t="s">
        <v>110</v>
      </c>
      <c r="G4" s="3" t="s">
        <v>111</v>
      </c>
      <c r="H4" s="3" t="s">
        <v>105</v>
      </c>
    </row>
    <row r="5" spans="1:9" ht="15" customHeight="1" x14ac:dyDescent="0.35">
      <c r="A5" s="2"/>
      <c r="B5" s="5" t="s">
        <v>106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108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109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2025-09-10T04:55:02Z</cp:lastPrinted>
  <dcterms:created xsi:type="dcterms:W3CDTF">2019-07-16T09:29:46Z</dcterms:created>
  <dcterms:modified xsi:type="dcterms:W3CDTF">2025-09-22T13:34:51Z</dcterms:modified>
</cp:coreProperties>
</file>