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Sept 2025\19-09-2025\"/>
    </mc:Choice>
  </mc:AlternateContent>
  <bookViews>
    <workbookView xWindow="0" yWindow="0" windowWidth="19200" windowHeight="6640"/>
  </bookViews>
  <sheets>
    <sheet name="Sheet1" sheetId="1" r:id="rId1"/>
    <sheet name="A%" sheetId="14" r:id="rId2"/>
    <sheet name="B%" sheetId="15" r:id="rId3"/>
    <sheet name="Wing A" sheetId="11" r:id="rId4"/>
    <sheet name="Wing B" sheetId="12" r:id="rId5"/>
    <sheet name="Wing C" sheetId="13" r:id="rId6"/>
  </sheets>
  <definedNames>
    <definedName name="_xlnm.Print_Area" localSheetId="0">Sheet1!$A$1:$J$470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4" i="1" l="1"/>
  <c r="D374" i="1"/>
  <c r="F373" i="1"/>
  <c r="D373" i="1"/>
  <c r="L371" i="1"/>
  <c r="L370" i="1"/>
  <c r="F367" i="1"/>
  <c r="G367" i="1" s="1"/>
  <c r="D367" i="1"/>
  <c r="F366" i="1"/>
  <c r="D366" i="1"/>
  <c r="F365" i="1"/>
  <c r="D365" i="1"/>
  <c r="G365" i="1" s="1"/>
  <c r="F364" i="1"/>
  <c r="D364" i="1"/>
  <c r="F360" i="1"/>
  <c r="D360" i="1"/>
  <c r="F359" i="1"/>
  <c r="D359" i="1"/>
  <c r="F358" i="1"/>
  <c r="D358" i="1"/>
  <c r="F357" i="1"/>
  <c r="D357" i="1"/>
  <c r="L355" i="1"/>
  <c r="F353" i="1"/>
  <c r="D353" i="1"/>
  <c r="F352" i="1"/>
  <c r="D352" i="1"/>
  <c r="F351" i="1"/>
  <c r="D351" i="1"/>
  <c r="G351" i="1" s="1"/>
  <c r="F350" i="1"/>
  <c r="D350" i="1"/>
  <c r="F346" i="1"/>
  <c r="D346" i="1"/>
  <c r="F345" i="1"/>
  <c r="D345" i="1"/>
  <c r="F344" i="1"/>
  <c r="D344" i="1"/>
  <c r="G344" i="1" s="1"/>
  <c r="L343" i="1" s="1"/>
  <c r="F343" i="1"/>
  <c r="D343" i="1"/>
  <c r="F339" i="1"/>
  <c r="D339" i="1"/>
  <c r="F338" i="1"/>
  <c r="D338" i="1"/>
  <c r="G338" i="1" s="1"/>
  <c r="L336" i="1"/>
  <c r="F336" i="1"/>
  <c r="D336" i="1"/>
  <c r="G336" i="1" s="1"/>
  <c r="F335" i="1"/>
  <c r="D335" i="1"/>
  <c r="G335" i="1" s="1"/>
  <c r="I335" i="1" s="1"/>
  <c r="F334" i="1"/>
  <c r="D334" i="1"/>
  <c r="F332" i="1"/>
  <c r="D332" i="1"/>
  <c r="G332" i="1" s="1"/>
  <c r="F331" i="1"/>
  <c r="D331" i="1"/>
  <c r="L329" i="1"/>
  <c r="F329" i="1"/>
  <c r="D329" i="1"/>
  <c r="F328" i="1"/>
  <c r="D328" i="1"/>
  <c r="G327" i="1"/>
  <c r="I327" i="1" s="1"/>
  <c r="F327" i="1"/>
  <c r="D327" i="1"/>
  <c r="F325" i="1"/>
  <c r="D325" i="1"/>
  <c r="F324" i="1"/>
  <c r="D324" i="1"/>
  <c r="G324" i="1" s="1"/>
  <c r="F323" i="1"/>
  <c r="D323" i="1"/>
  <c r="F322" i="1"/>
  <c r="D322" i="1"/>
  <c r="F321" i="1"/>
  <c r="G321" i="1" s="1"/>
  <c r="L320" i="1" s="1"/>
  <c r="D321" i="1"/>
  <c r="F320" i="1"/>
  <c r="D320" i="1"/>
  <c r="G320" i="1" s="1"/>
  <c r="I320" i="1" s="1"/>
  <c r="F318" i="1"/>
  <c r="D318" i="1"/>
  <c r="F317" i="1"/>
  <c r="D317" i="1"/>
  <c r="G317" i="1" s="1"/>
  <c r="F316" i="1"/>
  <c r="G316" i="1" s="1"/>
  <c r="L315" i="1" s="1"/>
  <c r="D316" i="1"/>
  <c r="F315" i="1"/>
  <c r="D315" i="1"/>
  <c r="G315" i="1" s="1"/>
  <c r="L314" i="1" s="1"/>
  <c r="F314" i="1"/>
  <c r="D314" i="1"/>
  <c r="F313" i="1"/>
  <c r="D313" i="1"/>
  <c r="F311" i="1"/>
  <c r="D311" i="1"/>
  <c r="F310" i="1"/>
  <c r="D310" i="1"/>
  <c r="F309" i="1"/>
  <c r="D309" i="1"/>
  <c r="G309" i="1" s="1"/>
  <c r="L308" i="1" s="1"/>
  <c r="F308" i="1"/>
  <c r="D308" i="1"/>
  <c r="G308" i="1" s="1"/>
  <c r="F307" i="1"/>
  <c r="D307" i="1"/>
  <c r="G307" i="1" s="1"/>
  <c r="F306" i="1"/>
  <c r="D306" i="1"/>
  <c r="F218" i="1"/>
  <c r="F217" i="1"/>
  <c r="D218" i="1"/>
  <c r="D217" i="1"/>
  <c r="F227" i="1"/>
  <c r="D227" i="1"/>
  <c r="G227" i="1" s="1"/>
  <c r="F226" i="1"/>
  <c r="G226" i="1" s="1"/>
  <c r="I226" i="1" s="1"/>
  <c r="D226" i="1"/>
  <c r="F223" i="1"/>
  <c r="D223" i="1"/>
  <c r="F222" i="1"/>
  <c r="D222" i="1"/>
  <c r="G222" i="1" s="1"/>
  <c r="I222" i="1" s="1"/>
  <c r="F220" i="1"/>
  <c r="D220" i="1"/>
  <c r="F219" i="1"/>
  <c r="D219" i="1"/>
  <c r="F216" i="1"/>
  <c r="D216" i="1"/>
  <c r="F215" i="1"/>
  <c r="D215" i="1"/>
  <c r="G215" i="1" s="1"/>
  <c r="I215" i="1" s="1"/>
  <c r="F213" i="1"/>
  <c r="D213" i="1"/>
  <c r="G213" i="1" s="1"/>
  <c r="F212" i="1"/>
  <c r="D212" i="1"/>
  <c r="G212" i="1" s="1"/>
  <c r="L211" i="1" s="1"/>
  <c r="F211" i="1"/>
  <c r="D211" i="1"/>
  <c r="F210" i="1"/>
  <c r="D210" i="1"/>
  <c r="F209" i="1"/>
  <c r="D209" i="1"/>
  <c r="F208" i="1"/>
  <c r="D208" i="1"/>
  <c r="F206" i="1"/>
  <c r="D206" i="1"/>
  <c r="F205" i="1"/>
  <c r="D205" i="1"/>
  <c r="G205" i="1" s="1"/>
  <c r="L204" i="1" s="1"/>
  <c r="F204" i="1"/>
  <c r="D204" i="1"/>
  <c r="F203" i="1"/>
  <c r="D203" i="1"/>
  <c r="F202" i="1"/>
  <c r="D202" i="1"/>
  <c r="G202" i="1" s="1"/>
  <c r="I202" i="1" s="1"/>
  <c r="F201" i="1"/>
  <c r="D201" i="1"/>
  <c r="G201" i="1" s="1"/>
  <c r="I201" i="1" s="1"/>
  <c r="F199" i="1"/>
  <c r="D199" i="1"/>
  <c r="F198" i="1"/>
  <c r="D198" i="1"/>
  <c r="F197" i="1"/>
  <c r="D197" i="1"/>
  <c r="G197" i="1" s="1"/>
  <c r="L196" i="1" s="1"/>
  <c r="F196" i="1"/>
  <c r="D196" i="1"/>
  <c r="G196" i="1" s="1"/>
  <c r="F195" i="1"/>
  <c r="D195" i="1"/>
  <c r="F194" i="1"/>
  <c r="D194" i="1"/>
  <c r="F189" i="1"/>
  <c r="D189" i="1"/>
  <c r="F182" i="1"/>
  <c r="D182" i="1"/>
  <c r="F192" i="1"/>
  <c r="D192" i="1"/>
  <c r="F191" i="1"/>
  <c r="D191" i="1"/>
  <c r="L189" i="1"/>
  <c r="G189" i="1"/>
  <c r="F188" i="1"/>
  <c r="D188" i="1"/>
  <c r="F187" i="1"/>
  <c r="D187" i="1"/>
  <c r="G187" i="1" s="1"/>
  <c r="I187" i="1" s="1"/>
  <c r="F185" i="1"/>
  <c r="D185" i="1"/>
  <c r="F184" i="1"/>
  <c r="D184" i="1"/>
  <c r="L182" i="1"/>
  <c r="G182" i="1"/>
  <c r="F181" i="1"/>
  <c r="D181" i="1"/>
  <c r="F180" i="1"/>
  <c r="D180" i="1"/>
  <c r="F178" i="1"/>
  <c r="F177" i="1"/>
  <c r="F176" i="1"/>
  <c r="F175" i="1"/>
  <c r="F174" i="1"/>
  <c r="F173" i="1"/>
  <c r="D176" i="1"/>
  <c r="D175" i="1"/>
  <c r="D174" i="1"/>
  <c r="D173" i="1"/>
  <c r="D178" i="1"/>
  <c r="D177" i="1"/>
  <c r="G177" i="1" s="1"/>
  <c r="F171" i="1"/>
  <c r="F170" i="1"/>
  <c r="G170" i="1" s="1"/>
  <c r="F169" i="1"/>
  <c r="F168" i="1"/>
  <c r="F167" i="1"/>
  <c r="F166" i="1"/>
  <c r="D171" i="1"/>
  <c r="G171" i="1" s="1"/>
  <c r="I171" i="1" s="1"/>
  <c r="D170" i="1"/>
  <c r="D169" i="1"/>
  <c r="D168" i="1"/>
  <c r="G168" i="1" s="1"/>
  <c r="D167" i="1"/>
  <c r="D166" i="1"/>
  <c r="H304" i="1"/>
  <c r="F304" i="1"/>
  <c r="D304" i="1"/>
  <c r="G304" i="1" s="1"/>
  <c r="I304" i="1" s="1"/>
  <c r="H303" i="1"/>
  <c r="F303" i="1"/>
  <c r="D303" i="1"/>
  <c r="H301" i="1"/>
  <c r="F301" i="1"/>
  <c r="D301" i="1"/>
  <c r="H300" i="1"/>
  <c r="F300" i="1"/>
  <c r="D300" i="1"/>
  <c r="H299" i="1"/>
  <c r="F299" i="1"/>
  <c r="D299" i="1"/>
  <c r="H297" i="1"/>
  <c r="F297" i="1"/>
  <c r="D297" i="1"/>
  <c r="H296" i="1"/>
  <c r="F296" i="1"/>
  <c r="D296" i="1"/>
  <c r="G296" i="1" s="1"/>
  <c r="H295" i="1"/>
  <c r="F295" i="1"/>
  <c r="D295" i="1"/>
  <c r="G295" i="1" s="1"/>
  <c r="H294" i="1"/>
  <c r="F294" i="1"/>
  <c r="D294" i="1"/>
  <c r="G294" i="1" s="1"/>
  <c r="I294" i="1" s="1"/>
  <c r="H293" i="1"/>
  <c r="F293" i="1"/>
  <c r="D293" i="1"/>
  <c r="H292" i="1"/>
  <c r="F292" i="1"/>
  <c r="D292" i="1"/>
  <c r="H290" i="1"/>
  <c r="F290" i="1"/>
  <c r="D290" i="1"/>
  <c r="H289" i="1"/>
  <c r="F289" i="1"/>
  <c r="D289" i="1"/>
  <c r="H288" i="1"/>
  <c r="F288" i="1"/>
  <c r="D288" i="1"/>
  <c r="H287" i="1"/>
  <c r="F287" i="1"/>
  <c r="D287" i="1"/>
  <c r="G287" i="1" s="1"/>
  <c r="I287" i="1" s="1"/>
  <c r="H286" i="1"/>
  <c r="F286" i="1"/>
  <c r="D286" i="1"/>
  <c r="H285" i="1"/>
  <c r="F285" i="1"/>
  <c r="D285" i="1"/>
  <c r="H283" i="1"/>
  <c r="G283" i="1"/>
  <c r="I283" i="1" s="1"/>
  <c r="F283" i="1"/>
  <c r="D283" i="1"/>
  <c r="H282" i="1"/>
  <c r="F282" i="1"/>
  <c r="D282" i="1"/>
  <c r="H280" i="1"/>
  <c r="F280" i="1"/>
  <c r="D280" i="1"/>
  <c r="G280" i="1" s="1"/>
  <c r="H279" i="1"/>
  <c r="F279" i="1"/>
  <c r="D279" i="1"/>
  <c r="G279" i="1" s="1"/>
  <c r="H278" i="1"/>
  <c r="F278" i="1"/>
  <c r="D278" i="1"/>
  <c r="H276" i="1"/>
  <c r="F276" i="1"/>
  <c r="D276" i="1"/>
  <c r="H275" i="1"/>
  <c r="F275" i="1"/>
  <c r="D275" i="1"/>
  <c r="G275" i="1" s="1"/>
  <c r="I275" i="1" s="1"/>
  <c r="H274" i="1"/>
  <c r="F274" i="1"/>
  <c r="D274" i="1"/>
  <c r="G274" i="1" s="1"/>
  <c r="H273" i="1"/>
  <c r="F273" i="1"/>
  <c r="D273" i="1"/>
  <c r="G273" i="1" s="1"/>
  <c r="H272" i="1"/>
  <c r="F272" i="1"/>
  <c r="D272" i="1"/>
  <c r="G272" i="1" s="1"/>
  <c r="I272" i="1" s="1"/>
  <c r="H271" i="1"/>
  <c r="F271" i="1"/>
  <c r="D271" i="1"/>
  <c r="D155" i="1"/>
  <c r="D154" i="1"/>
  <c r="G154" i="1" s="1"/>
  <c r="H153" i="1"/>
  <c r="H154" i="1"/>
  <c r="H155" i="1"/>
  <c r="H156" i="1"/>
  <c r="H157" i="1"/>
  <c r="H152" i="1"/>
  <c r="D153" i="1"/>
  <c r="D152" i="1"/>
  <c r="G152" i="1" s="1"/>
  <c r="F157" i="1"/>
  <c r="D157" i="1"/>
  <c r="F156" i="1"/>
  <c r="D156" i="1"/>
  <c r="F155" i="1"/>
  <c r="G155" i="1" s="1"/>
  <c r="F154" i="1"/>
  <c r="F153" i="1"/>
  <c r="F152" i="1"/>
  <c r="G261" i="1"/>
  <c r="I261" i="1" s="1"/>
  <c r="G260" i="1"/>
  <c r="I260" i="1" s="1"/>
  <c r="G249" i="1"/>
  <c r="I249" i="1" s="1"/>
  <c r="G248" i="1"/>
  <c r="I248" i="1" s="1"/>
  <c r="F269" i="1"/>
  <c r="D269" i="1"/>
  <c r="G269" i="1" s="1"/>
  <c r="I269" i="1" s="1"/>
  <c r="F268" i="1"/>
  <c r="D268" i="1"/>
  <c r="F267" i="1"/>
  <c r="D267" i="1"/>
  <c r="F266" i="1"/>
  <c r="D266" i="1"/>
  <c r="F265" i="1"/>
  <c r="D265" i="1"/>
  <c r="G265" i="1" s="1"/>
  <c r="I265" i="1" s="1"/>
  <c r="F264" i="1"/>
  <c r="D264" i="1"/>
  <c r="H164" i="1"/>
  <c r="F164" i="1"/>
  <c r="D164" i="1"/>
  <c r="H163" i="1"/>
  <c r="F163" i="1"/>
  <c r="D163" i="1"/>
  <c r="G163" i="1" s="1"/>
  <c r="F160" i="1"/>
  <c r="F161" i="1"/>
  <c r="H161" i="1"/>
  <c r="D161" i="1"/>
  <c r="H160" i="1"/>
  <c r="D160" i="1"/>
  <c r="H159" i="1"/>
  <c r="F159" i="1"/>
  <c r="D159" i="1"/>
  <c r="H150" i="1"/>
  <c r="F150" i="1"/>
  <c r="G150" i="1" s="1"/>
  <c r="D150" i="1"/>
  <c r="H149" i="1"/>
  <c r="F149" i="1"/>
  <c r="D149" i="1"/>
  <c r="G149" i="1" s="1"/>
  <c r="I149" i="1" s="1"/>
  <c r="H148" i="1"/>
  <c r="F148" i="1"/>
  <c r="D148" i="1"/>
  <c r="G148" i="1" s="1"/>
  <c r="I148" i="1" s="1"/>
  <c r="H147" i="1"/>
  <c r="F147" i="1"/>
  <c r="D147" i="1"/>
  <c r="H146" i="1"/>
  <c r="F146" i="1"/>
  <c r="D146" i="1"/>
  <c r="H145" i="1"/>
  <c r="F145" i="1"/>
  <c r="D145" i="1"/>
  <c r="C112" i="1" s="1"/>
  <c r="F140" i="1"/>
  <c r="G140" i="1" s="1"/>
  <c r="I140" i="1" s="1"/>
  <c r="D140" i="1"/>
  <c r="H143" i="1"/>
  <c r="F143" i="1"/>
  <c r="D143" i="1"/>
  <c r="H142" i="1"/>
  <c r="F142" i="1"/>
  <c r="D142" i="1"/>
  <c r="H140" i="1"/>
  <c r="H139" i="1"/>
  <c r="F139" i="1"/>
  <c r="D139" i="1"/>
  <c r="G139" i="1" s="1"/>
  <c r="I139" i="1" s="1"/>
  <c r="H138" i="1"/>
  <c r="F138" i="1"/>
  <c r="D138" i="1"/>
  <c r="H136" i="1"/>
  <c r="H135" i="1"/>
  <c r="H134" i="1"/>
  <c r="H133" i="1"/>
  <c r="H132" i="1"/>
  <c r="H131" i="1"/>
  <c r="F136" i="1"/>
  <c r="F135" i="1"/>
  <c r="D136" i="1"/>
  <c r="D135" i="1"/>
  <c r="D134" i="1"/>
  <c r="D133" i="1"/>
  <c r="D132" i="1"/>
  <c r="G132" i="1" s="1"/>
  <c r="I132" i="1" s="1"/>
  <c r="D131" i="1"/>
  <c r="F134" i="1"/>
  <c r="F133" i="1"/>
  <c r="F132" i="1"/>
  <c r="F131" i="1"/>
  <c r="G131" i="1" s="1"/>
  <c r="I131" i="1" s="1"/>
  <c r="D129" i="1"/>
  <c r="D128" i="1"/>
  <c r="O128" i="1"/>
  <c r="Q128" i="1" s="1"/>
  <c r="D127" i="1"/>
  <c r="D126" i="1"/>
  <c r="G126" i="1" s="1"/>
  <c r="I126" i="1" s="1"/>
  <c r="O126" i="1"/>
  <c r="Q126" i="1" s="1"/>
  <c r="F127" i="1"/>
  <c r="F126" i="1"/>
  <c r="F125" i="1"/>
  <c r="F128" i="1"/>
  <c r="F129" i="1"/>
  <c r="F124" i="1"/>
  <c r="P124" i="1"/>
  <c r="D125" i="1"/>
  <c r="D124" i="1"/>
  <c r="G124" i="1" s="1"/>
  <c r="D261" i="1"/>
  <c r="D260" i="1"/>
  <c r="D259" i="1"/>
  <c r="G259" i="1" s="1"/>
  <c r="I259" i="1" s="1"/>
  <c r="D258" i="1"/>
  <c r="G258" i="1" s="1"/>
  <c r="I258" i="1" s="1"/>
  <c r="D257" i="1"/>
  <c r="G257" i="1" s="1"/>
  <c r="I257" i="1" s="1"/>
  <c r="D256" i="1"/>
  <c r="G256" i="1" s="1"/>
  <c r="I256" i="1" s="1"/>
  <c r="D255" i="1"/>
  <c r="G255" i="1" s="1"/>
  <c r="I255" i="1" s="1"/>
  <c r="D254" i="1"/>
  <c r="G254" i="1" s="1"/>
  <c r="I254" i="1" s="1"/>
  <c r="D253" i="1"/>
  <c r="G253" i="1" s="1"/>
  <c r="I253" i="1" s="1"/>
  <c r="D252" i="1"/>
  <c r="G252" i="1" s="1"/>
  <c r="I252" i="1" s="1"/>
  <c r="D250" i="1"/>
  <c r="G250" i="1" s="1"/>
  <c r="I250" i="1" s="1"/>
  <c r="D249" i="1"/>
  <c r="D248" i="1"/>
  <c r="D247" i="1"/>
  <c r="G247" i="1" s="1"/>
  <c r="I247" i="1" s="1"/>
  <c r="D246" i="1"/>
  <c r="G246" i="1" s="1"/>
  <c r="I246" i="1" s="1"/>
  <c r="D245" i="1"/>
  <c r="G245" i="1" s="1"/>
  <c r="I245" i="1" s="1"/>
  <c r="D244" i="1"/>
  <c r="G244" i="1" s="1"/>
  <c r="I244" i="1" s="1"/>
  <c r="D243" i="1"/>
  <c r="G243" i="1" s="1"/>
  <c r="I243" i="1" s="1"/>
  <c r="D242" i="1"/>
  <c r="G242" i="1" s="1"/>
  <c r="I242" i="1" s="1"/>
  <c r="D241" i="1"/>
  <c r="G241" i="1" s="1"/>
  <c r="P127" i="1"/>
  <c r="P126" i="1"/>
  <c r="P125" i="1"/>
  <c r="P128" i="1"/>
  <c r="P129" i="1"/>
  <c r="O129" i="1"/>
  <c r="Q129" i="1" s="1"/>
  <c r="O127" i="1"/>
  <c r="O125" i="1"/>
  <c r="Q125" i="1" s="1"/>
  <c r="O124" i="1"/>
  <c r="Q124" i="1" s="1"/>
  <c r="I241" i="1" l="1"/>
  <c r="G107" i="1" s="1"/>
  <c r="D107" i="1"/>
  <c r="I317" i="1"/>
  <c r="L316" i="1"/>
  <c r="G138" i="1"/>
  <c r="I138" i="1" s="1"/>
  <c r="I150" i="1"/>
  <c r="G267" i="1"/>
  <c r="I267" i="1" s="1"/>
  <c r="G271" i="1"/>
  <c r="G303" i="1"/>
  <c r="G191" i="1"/>
  <c r="I191" i="1" s="1"/>
  <c r="G203" i="1"/>
  <c r="G216" i="1"/>
  <c r="G325" i="1"/>
  <c r="G339" i="1"/>
  <c r="I339" i="1" s="1"/>
  <c r="G359" i="1"/>
  <c r="I296" i="1"/>
  <c r="G146" i="1"/>
  <c r="G159" i="1"/>
  <c r="I159" i="1" s="1"/>
  <c r="G264" i="1"/>
  <c r="G268" i="1"/>
  <c r="I268" i="1" s="1"/>
  <c r="G156" i="1"/>
  <c r="I156" i="1" s="1"/>
  <c r="G300" i="1"/>
  <c r="G169" i="1"/>
  <c r="I169" i="1" s="1"/>
  <c r="G195" i="1"/>
  <c r="L194" i="1" s="1"/>
  <c r="G204" i="1"/>
  <c r="G306" i="1"/>
  <c r="I306" i="1" s="1"/>
  <c r="G331" i="1"/>
  <c r="G343" i="1"/>
  <c r="Q127" i="1"/>
  <c r="G350" i="1"/>
  <c r="L349" i="1" s="1"/>
  <c r="G133" i="1"/>
  <c r="I133" i="1" s="1"/>
  <c r="G125" i="1"/>
  <c r="G129" i="1"/>
  <c r="I129" i="1" s="1"/>
  <c r="G134" i="1"/>
  <c r="I134" i="1" s="1"/>
  <c r="G157" i="1"/>
  <c r="I157" i="1" s="1"/>
  <c r="G292" i="1"/>
  <c r="I292" i="1" s="1"/>
  <c r="G301" i="1"/>
  <c r="I301" i="1" s="1"/>
  <c r="G173" i="1"/>
  <c r="I173" i="1" s="1"/>
  <c r="G184" i="1"/>
  <c r="G210" i="1"/>
  <c r="L209" i="1" s="1"/>
  <c r="G311" i="1"/>
  <c r="G135" i="1"/>
  <c r="I135" i="1" s="1"/>
  <c r="I152" i="1"/>
  <c r="I154" i="1"/>
  <c r="I273" i="1"/>
  <c r="G217" i="1"/>
  <c r="L216" i="1" s="1"/>
  <c r="G161" i="1"/>
  <c r="I161" i="1" s="1"/>
  <c r="G286" i="1"/>
  <c r="I286" i="1" s="1"/>
  <c r="G166" i="1"/>
  <c r="I166" i="1" s="1"/>
  <c r="G175" i="1"/>
  <c r="I175" i="1" s="1"/>
  <c r="G180" i="1"/>
  <c r="I180" i="1" s="1"/>
  <c r="G185" i="1"/>
  <c r="G206" i="1"/>
  <c r="G329" i="1"/>
  <c r="I329" i="1" s="1"/>
  <c r="G334" i="1"/>
  <c r="I334" i="1" s="1"/>
  <c r="G345" i="1"/>
  <c r="I345" i="1" s="1"/>
  <c r="G352" i="1"/>
  <c r="I163" i="1"/>
  <c r="I280" i="1"/>
  <c r="G299" i="1"/>
  <c r="I299" i="1" s="1"/>
  <c r="G323" i="1"/>
  <c r="G290" i="1"/>
  <c r="I290" i="1" s="1"/>
  <c r="G176" i="1"/>
  <c r="L175" i="1" s="1"/>
  <c r="G208" i="1"/>
  <c r="I208" i="1" s="1"/>
  <c r="G223" i="1"/>
  <c r="L222" i="1" s="1"/>
  <c r="G313" i="1"/>
  <c r="I313" i="1" s="1"/>
  <c r="G346" i="1"/>
  <c r="G357" i="1"/>
  <c r="I357" i="1" s="1"/>
  <c r="G366" i="1"/>
  <c r="I366" i="1" s="1"/>
  <c r="I295" i="1"/>
  <c r="G128" i="1"/>
  <c r="I128" i="1" s="1"/>
  <c r="I300" i="1"/>
  <c r="G145" i="1"/>
  <c r="G160" i="1"/>
  <c r="I160" i="1" s="1"/>
  <c r="G164" i="1"/>
  <c r="I164" i="1" s="1"/>
  <c r="G276" i="1"/>
  <c r="I276" i="1" s="1"/>
  <c r="G282" i="1"/>
  <c r="I282" i="1" s="1"/>
  <c r="G174" i="1"/>
  <c r="L173" i="1" s="1"/>
  <c r="G209" i="1"/>
  <c r="L208" i="1" s="1"/>
  <c r="G314" i="1"/>
  <c r="L313" i="1" s="1"/>
  <c r="G318" i="1"/>
  <c r="I318" i="1" s="1"/>
  <c r="G358" i="1"/>
  <c r="L357" i="1" s="1"/>
  <c r="G192" i="1"/>
  <c r="I146" i="1"/>
  <c r="G278" i="1"/>
  <c r="I278" i="1" s="1"/>
  <c r="G142" i="1"/>
  <c r="I142" i="1" s="1"/>
  <c r="G288" i="1"/>
  <c r="I288" i="1" s="1"/>
  <c r="G198" i="1"/>
  <c r="I198" i="1" s="1"/>
  <c r="G211" i="1"/>
  <c r="G219" i="1"/>
  <c r="I219" i="1" s="1"/>
  <c r="G360" i="1"/>
  <c r="G373" i="1"/>
  <c r="I373" i="1" s="1"/>
  <c r="I274" i="1"/>
  <c r="I303" i="1"/>
  <c r="G127" i="1"/>
  <c r="I127" i="1" s="1"/>
  <c r="G147" i="1"/>
  <c r="I147" i="1" s="1"/>
  <c r="G293" i="1"/>
  <c r="I293" i="1" s="1"/>
  <c r="G297" i="1"/>
  <c r="I297" i="1" s="1"/>
  <c r="G188" i="1"/>
  <c r="G199" i="1"/>
  <c r="L198" i="1" s="1"/>
  <c r="G220" i="1"/>
  <c r="G218" i="1"/>
  <c r="L217" i="1" s="1"/>
  <c r="G310" i="1"/>
  <c r="G328" i="1"/>
  <c r="L327" i="1" s="1"/>
  <c r="G364" i="1"/>
  <c r="I364" i="1" s="1"/>
  <c r="G374" i="1"/>
  <c r="I374" i="1" s="1"/>
  <c r="G143" i="1"/>
  <c r="I143" i="1" s="1"/>
  <c r="G266" i="1"/>
  <c r="I266" i="1" s="1"/>
  <c r="I279" i="1"/>
  <c r="G285" i="1"/>
  <c r="I285" i="1" s="1"/>
  <c r="G289" i="1"/>
  <c r="I289" i="1" s="1"/>
  <c r="G181" i="1"/>
  <c r="L180" i="1" s="1"/>
  <c r="G194" i="1"/>
  <c r="I194" i="1" s="1"/>
  <c r="G322" i="1"/>
  <c r="L321" i="1" s="1"/>
  <c r="G353" i="1"/>
  <c r="I353" i="1" s="1"/>
  <c r="L348" i="1"/>
  <c r="L366" i="1"/>
  <c r="I367" i="1"/>
  <c r="I343" i="1"/>
  <c r="L342" i="1"/>
  <c r="L362" i="1"/>
  <c r="L369" i="1"/>
  <c r="L341" i="1"/>
  <c r="I352" i="1"/>
  <c r="L351" i="1"/>
  <c r="I365" i="1"/>
  <c r="L364" i="1"/>
  <c r="L372" i="1"/>
  <c r="I351" i="1"/>
  <c r="L350" i="1"/>
  <c r="I346" i="1"/>
  <c r="L345" i="1"/>
  <c r="I359" i="1"/>
  <c r="L358" i="1"/>
  <c r="L352" i="1"/>
  <c r="I360" i="1"/>
  <c r="L359" i="1"/>
  <c r="I344" i="1"/>
  <c r="I328" i="1"/>
  <c r="I322" i="1"/>
  <c r="L335" i="1"/>
  <c r="I336" i="1"/>
  <c r="I323" i="1"/>
  <c r="L322" i="1"/>
  <c r="I331" i="1"/>
  <c r="L330" i="1"/>
  <c r="L323" i="1"/>
  <c r="I324" i="1"/>
  <c r="I325" i="1"/>
  <c r="L324" i="1"/>
  <c r="I332" i="1"/>
  <c r="L331" i="1"/>
  <c r="L338" i="1"/>
  <c r="I338" i="1"/>
  <c r="L337" i="1"/>
  <c r="I321" i="1"/>
  <c r="L334" i="1"/>
  <c r="I314" i="1"/>
  <c r="I315" i="1"/>
  <c r="I316" i="1"/>
  <c r="L306" i="1"/>
  <c r="I307" i="1"/>
  <c r="I308" i="1"/>
  <c r="L307" i="1"/>
  <c r="I310" i="1"/>
  <c r="L309" i="1"/>
  <c r="I311" i="1"/>
  <c r="L310" i="1"/>
  <c r="I309" i="1"/>
  <c r="I223" i="1"/>
  <c r="L223" i="1"/>
  <c r="L224" i="1"/>
  <c r="I227" i="1"/>
  <c r="L226" i="1"/>
  <c r="L225" i="1"/>
  <c r="L215" i="1"/>
  <c r="I216" i="1"/>
  <c r="I217" i="1"/>
  <c r="I209" i="1"/>
  <c r="I211" i="1"/>
  <c r="L210" i="1"/>
  <c r="I213" i="1"/>
  <c r="L212" i="1"/>
  <c r="I220" i="1"/>
  <c r="L219" i="1"/>
  <c r="I218" i="1"/>
  <c r="I212" i="1"/>
  <c r="L202" i="1"/>
  <c r="I203" i="1"/>
  <c r="I204" i="1"/>
  <c r="L203" i="1"/>
  <c r="I206" i="1"/>
  <c r="L205" i="1"/>
  <c r="I205" i="1"/>
  <c r="L201" i="1"/>
  <c r="L195" i="1"/>
  <c r="I196" i="1"/>
  <c r="I199" i="1"/>
  <c r="I197" i="1"/>
  <c r="L187" i="1"/>
  <c r="I188" i="1"/>
  <c r="I189" i="1"/>
  <c r="L188" i="1"/>
  <c r="I192" i="1"/>
  <c r="L191" i="1"/>
  <c r="I182" i="1"/>
  <c r="L181" i="1"/>
  <c r="I184" i="1"/>
  <c r="L183" i="1"/>
  <c r="I185" i="1"/>
  <c r="L184" i="1"/>
  <c r="G178" i="1"/>
  <c r="I178" i="1" s="1"/>
  <c r="L174" i="1"/>
  <c r="I177" i="1"/>
  <c r="L176" i="1"/>
  <c r="I174" i="1"/>
  <c r="I176" i="1"/>
  <c r="G167" i="1"/>
  <c r="I167" i="1" s="1"/>
  <c r="I170" i="1"/>
  <c r="L169" i="1"/>
  <c r="I168" i="1"/>
  <c r="L167" i="1"/>
  <c r="L168" i="1"/>
  <c r="L170" i="1"/>
  <c r="I155" i="1"/>
  <c r="G153" i="1"/>
  <c r="I153" i="1" s="1"/>
  <c r="G136" i="1"/>
  <c r="I136" i="1" s="1"/>
  <c r="F3" i="1"/>
  <c r="D111" i="1" l="1"/>
  <c r="I271" i="1"/>
  <c r="G114" i="1" s="1"/>
  <c r="C114" i="1"/>
  <c r="D114" i="1"/>
  <c r="I350" i="1"/>
  <c r="I195" i="1"/>
  <c r="L218" i="1"/>
  <c r="I210" i="1"/>
  <c r="L344" i="1"/>
  <c r="L328" i="1"/>
  <c r="C111" i="1"/>
  <c r="L356" i="1"/>
  <c r="I264" i="1"/>
  <c r="C113" i="1"/>
  <c r="D113" i="1"/>
  <c r="L190" i="1"/>
  <c r="I145" i="1"/>
  <c r="G112" i="1" s="1"/>
  <c r="D112" i="1"/>
  <c r="I358" i="1"/>
  <c r="L363" i="1"/>
  <c r="L373" i="1"/>
  <c r="L365" i="1"/>
  <c r="I181" i="1"/>
  <c r="L197" i="1"/>
  <c r="L317" i="1"/>
  <c r="L177" i="1"/>
  <c r="L166" i="1"/>
  <c r="L107" i="1"/>
  <c r="G113" i="1" l="1"/>
  <c r="L300" i="1"/>
  <c r="L304" i="1"/>
  <c r="L302" i="1"/>
  <c r="L301" i="1"/>
  <c r="L299" i="1"/>
  <c r="L163" i="1"/>
  <c r="L161" i="1"/>
  <c r="L290" i="1"/>
  <c r="L288" i="1"/>
  <c r="L142" i="1"/>
  <c r="L138" i="1"/>
  <c r="L143" i="1"/>
  <c r="L140" i="1"/>
  <c r="L283" i="1"/>
  <c r="L282" i="1"/>
  <c r="L280" i="1"/>
  <c r="L297" i="1"/>
  <c r="L293" i="1" l="1"/>
  <c r="L159" i="1"/>
  <c r="L291" i="1"/>
  <c r="L160" i="1"/>
  <c r="L286" i="1"/>
  <c r="L279" i="1"/>
  <c r="L295" i="1"/>
  <c r="L296" i="1"/>
  <c r="L285" i="1"/>
  <c r="L289" i="1"/>
  <c r="L298" i="1"/>
  <c r="L303" i="1"/>
  <c r="L292" i="1"/>
  <c r="L287" i="1"/>
  <c r="L162" i="1"/>
  <c r="L278" i="1"/>
  <c r="L141" i="1"/>
  <c r="L281" i="1"/>
  <c r="L294" i="1"/>
  <c r="L284" i="1"/>
  <c r="L139" i="1"/>
  <c r="L150" i="1"/>
  <c r="M124" i="1"/>
  <c r="L260" i="1"/>
  <c r="L259" i="1"/>
  <c r="L257" i="1"/>
  <c r="L256" i="1"/>
  <c r="L255" i="1"/>
  <c r="L254" i="1"/>
  <c r="L253" i="1"/>
  <c r="L252" i="1"/>
  <c r="L251" i="1"/>
  <c r="L258" i="1"/>
  <c r="D239" i="1"/>
  <c r="G239" i="1" s="1"/>
  <c r="I239" i="1" s="1"/>
  <c r="D238" i="1"/>
  <c r="G238" i="1" s="1"/>
  <c r="I238" i="1" s="1"/>
  <c r="D237" i="1"/>
  <c r="G237" i="1" s="1"/>
  <c r="I237" i="1" s="1"/>
  <c r="D236" i="1"/>
  <c r="G236" i="1" s="1"/>
  <c r="I236" i="1" s="1"/>
  <c r="D235" i="1"/>
  <c r="G235" i="1" s="1"/>
  <c r="I235" i="1" s="1"/>
  <c r="D234" i="1"/>
  <c r="G234" i="1" s="1"/>
  <c r="I234" i="1" s="1"/>
  <c r="D233" i="1"/>
  <c r="G233" i="1" s="1"/>
  <c r="I233" i="1" s="1"/>
  <c r="D232" i="1"/>
  <c r="G232" i="1" s="1"/>
  <c r="I232" i="1" s="1"/>
  <c r="D231" i="1"/>
  <c r="G231" i="1" s="1"/>
  <c r="I231" i="1" s="1"/>
  <c r="D230" i="1"/>
  <c r="G230" i="1" s="1"/>
  <c r="M230" i="1"/>
  <c r="H45" i="1"/>
  <c r="I230" i="1" l="1"/>
  <c r="G106" i="1" s="1"/>
  <c r="D106" i="1"/>
  <c r="C106" i="1"/>
  <c r="C107" i="1"/>
  <c r="L277" i="1"/>
  <c r="L145" i="1"/>
  <c r="L146" i="1"/>
  <c r="L147" i="1"/>
  <c r="L148" i="1"/>
  <c r="L149" i="1"/>
  <c r="L269" i="1"/>
  <c r="L276" i="1"/>
  <c r="L136" i="1"/>
  <c r="L129" i="1"/>
  <c r="C115" i="1" l="1"/>
  <c r="D115" i="1"/>
  <c r="C108" i="1"/>
  <c r="D108" i="1"/>
  <c r="L80" i="1"/>
  <c r="L79" i="1"/>
  <c r="L78" i="1"/>
  <c r="L77" i="1"/>
  <c r="L66" i="1"/>
  <c r="L65" i="1"/>
  <c r="L64" i="1"/>
  <c r="L63" i="1"/>
  <c r="I56" i="1"/>
  <c r="I70" i="1"/>
  <c r="M108" i="1" l="1"/>
  <c r="L73" i="1"/>
  <c r="D82" i="1"/>
  <c r="D80" i="1"/>
  <c r="D78" i="1"/>
  <c r="D76" i="1"/>
  <c r="L74" i="1"/>
  <c r="C73" i="1" s="1"/>
  <c r="L72" i="1"/>
  <c r="L75" i="1"/>
  <c r="L76" i="1" s="1"/>
  <c r="L81" i="1" s="1"/>
  <c r="L82" i="1" s="1"/>
  <c r="C74" i="1" s="1"/>
  <c r="D81" i="1"/>
  <c r="D79" i="1"/>
  <c r="D77" i="1"/>
  <c r="D75" i="1"/>
  <c r="D61" i="1"/>
  <c r="L59" i="1"/>
  <c r="D65" i="1"/>
  <c r="D68" i="1"/>
  <c r="D66" i="1"/>
  <c r="D64" i="1"/>
  <c r="D62" i="1"/>
  <c r="L60" i="1"/>
  <c r="C59" i="1" s="1"/>
  <c r="L58" i="1"/>
  <c r="L61" i="1"/>
  <c r="L62" i="1" s="1"/>
  <c r="L67" i="1" s="1"/>
  <c r="L68" i="1" s="1"/>
  <c r="C60" i="1" s="1"/>
  <c r="D67" i="1"/>
  <c r="D63" i="1"/>
  <c r="D388" i="1"/>
  <c r="B16" i="15"/>
  <c r="E10" i="15" s="1"/>
  <c r="B14" i="15"/>
  <c r="N7" i="15" s="1"/>
  <c r="H18" i="15" s="1"/>
  <c r="B12" i="15"/>
  <c r="M7" i="15" s="1"/>
  <c r="H17" i="15" s="1"/>
  <c r="B10" i="15"/>
  <c r="L7" i="15" s="1"/>
  <c r="H16" i="15" s="1"/>
  <c r="B8" i="15"/>
  <c r="E6" i="15" s="1"/>
  <c r="L6" i="15"/>
  <c r="G16" i="15" s="1"/>
  <c r="I6" i="15"/>
  <c r="G13" i="15" s="1"/>
  <c r="B6" i="15"/>
  <c r="E5" i="15" s="1"/>
  <c r="E4" i="15"/>
  <c r="B16" i="14"/>
  <c r="E10" i="14" s="1"/>
  <c r="B14" i="14"/>
  <c r="E9" i="14" s="1"/>
  <c r="B12" i="14"/>
  <c r="M6" i="14" s="1"/>
  <c r="G17" i="14" s="1"/>
  <c r="B10" i="14"/>
  <c r="E7" i="14" s="1"/>
  <c r="B8" i="14"/>
  <c r="K6" i="14" s="1"/>
  <c r="G15" i="14" s="1"/>
  <c r="I6" i="14"/>
  <c r="I7" i="14" s="1"/>
  <c r="H13" i="14" s="1"/>
  <c r="B6" i="14"/>
  <c r="J7" i="14" s="1"/>
  <c r="H14" i="14" s="1"/>
  <c r="E4" i="14"/>
  <c r="L156" i="1"/>
  <c r="L155" i="1"/>
  <c r="L154" i="1"/>
  <c r="L153" i="1"/>
  <c r="L152" i="1"/>
  <c r="L275" i="1"/>
  <c r="L274" i="1"/>
  <c r="L273" i="1"/>
  <c r="L272" i="1"/>
  <c r="L271" i="1"/>
  <c r="L270" i="1"/>
  <c r="L135" i="1"/>
  <c r="L134" i="1"/>
  <c r="L133" i="1"/>
  <c r="L132" i="1"/>
  <c r="L131" i="1"/>
  <c r="L268" i="1"/>
  <c r="L267" i="1"/>
  <c r="L266" i="1"/>
  <c r="L265" i="1"/>
  <c r="L264" i="1"/>
  <c r="L127" i="1"/>
  <c r="L126" i="1"/>
  <c r="L125" i="1"/>
  <c r="I124" i="1"/>
  <c r="L249" i="1"/>
  <c r="L248" i="1"/>
  <c r="L247" i="1"/>
  <c r="L246" i="1"/>
  <c r="L245" i="1"/>
  <c r="L244" i="1"/>
  <c r="L243" i="1"/>
  <c r="L242" i="1"/>
  <c r="L235" i="1"/>
  <c r="L234" i="1"/>
  <c r="L233" i="1"/>
  <c r="L232" i="1"/>
  <c r="L231" i="1"/>
  <c r="L230" i="1"/>
  <c r="C45" i="1"/>
  <c r="G103"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K6" i="15"/>
  <c r="G15" i="15" s="1"/>
  <c r="O6" i="15"/>
  <c r="G19" i="15" s="1"/>
  <c r="O7" i="15"/>
  <c r="H19" i="15" s="1"/>
  <c r="E6" i="14"/>
  <c r="G13" i="14"/>
  <c r="J6" i="15"/>
  <c r="G14" i="15" s="1"/>
  <c r="J7" i="15"/>
  <c r="H14" i="15" s="1"/>
  <c r="N6" i="14"/>
  <c r="G18" i="14" s="1"/>
  <c r="I7" i="15"/>
  <c r="H13" i="15" s="1"/>
  <c r="E8" i="14"/>
  <c r="M7" i="14" l="1"/>
  <c r="H17" i="14" s="1"/>
  <c r="L124" i="1"/>
  <c r="I125" i="1"/>
  <c r="G111" i="1" s="1"/>
  <c r="G35" i="13"/>
  <c r="F35" i="13" s="1"/>
  <c r="K7" i="14"/>
  <c r="H15" i="14" s="1"/>
  <c r="K7" i="15"/>
  <c r="H15" i="15" s="1"/>
  <c r="M35" i="12"/>
  <c r="L35" i="12" s="1"/>
  <c r="F34" i="11"/>
  <c r="E34" i="11" s="1"/>
  <c r="J34" i="11"/>
  <c r="I34" i="11" s="1"/>
  <c r="N7" i="14"/>
  <c r="H18" i="14" s="1"/>
  <c r="M6" i="15"/>
  <c r="G17" i="15" s="1"/>
  <c r="F35" i="12"/>
  <c r="E35" i="12" s="1"/>
  <c r="N35" i="13"/>
  <c r="M35" i="13" s="1"/>
  <c r="K35" i="13"/>
  <c r="J35" i="13" s="1"/>
  <c r="M34" i="11"/>
  <c r="L34" i="11" s="1"/>
  <c r="J35" i="12"/>
  <c r="I35" i="12" s="1"/>
  <c r="H20" i="15"/>
  <c r="N6" i="15"/>
  <c r="G18" i="15" s="1"/>
  <c r="O6" i="14"/>
  <c r="G19" i="14" s="1"/>
  <c r="L7" i="14"/>
  <c r="H16" i="14" s="1"/>
  <c r="E7" i="15"/>
  <c r="E8" i="15"/>
  <c r="L6" i="14"/>
  <c r="G16" i="14" s="1"/>
  <c r="J6" i="14"/>
  <c r="G14" i="14" s="1"/>
  <c r="E5" i="14"/>
  <c r="O7" i="14"/>
  <c r="H19" i="14" s="1"/>
  <c r="E9" i="15"/>
  <c r="L123" i="1"/>
  <c r="L128" i="1"/>
  <c r="M129" i="1"/>
  <c r="L240" i="1"/>
  <c r="L241" i="1"/>
  <c r="L164" i="1"/>
  <c r="F73" i="1"/>
  <c r="D74" i="1"/>
  <c r="H73" i="1"/>
  <c r="D73" i="1"/>
  <c r="F59" i="1"/>
  <c r="D60" i="1"/>
  <c r="H59" i="1"/>
  <c r="D59" i="1"/>
  <c r="G108" i="1" l="1"/>
  <c r="H20" i="14"/>
  <c r="G20" i="15"/>
  <c r="G20" i="14"/>
  <c r="G115" i="1"/>
  <c r="K55" i="1"/>
  <c r="C57" i="1" s="1"/>
  <c r="K69" i="1"/>
  <c r="C71" i="1" s="1"/>
</calcChain>
</file>

<file path=xl/sharedStrings.xml><?xml version="1.0" encoding="utf-8"?>
<sst xmlns="http://schemas.openxmlformats.org/spreadsheetml/2006/main" count="924" uniqueCount="272">
  <si>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</si>
  <si>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</si>
  <si>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</si>
  <si>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</si>
  <si>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</si>
  <si>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</si>
  <si>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</si>
  <si>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</si>
  <si>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</si>
  <si>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</si>
  <si>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</si>
  <si>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</si>
  <si>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</si>
  <si>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</si>
  <si>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</si>
  <si>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</si>
  <si>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</si>
  <si>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</si>
  <si>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</si>
  <si>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</si>
  <si>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</si>
  <si>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</si>
  <si>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</si>
  <si>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</si>
  <si>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</si>
  <si>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</si>
  <si>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</si>
  <si>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</si>
  <si>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</si>
  <si>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</si>
  <si>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</si>
  <si>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</si>
  <si>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</si>
  <si>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</si>
  <si>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</si>
  <si>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</si>
  <si>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</si>
  <si>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</si>
  <si>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</si>
  <si>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</si>
  <si>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</si>
  <si>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</si>
  <si>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</si>
  <si>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</si>
  <si>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</si>
  <si>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</si>
  <si>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</si>
  <si>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</si>
  <si>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</si>
  <si>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</si>
  <si>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</si>
  <si>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</si>
  <si>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</si>
  <si>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Material laying at Site: :Bricks, Cement &amp; Steel etc.</t>
  </si>
  <si>
    <t xml:space="preserve">4)  The saleable area is as per Our Calculation.  </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</si>
  <si>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</si>
  <si>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</si>
  <si>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</si>
  <si>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</si>
  <si>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</si>
  <si>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</si>
  <si>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</si>
  <si>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</si>
  <si>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</si>
  <si>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</si>
  <si>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</si>
  <si>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</si>
  <si>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</si>
  <si>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</si>
  <si>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</si>
  <si>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</si>
  <si>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</si>
  <si>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</si>
  <si>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</si>
  <si>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</si>
  <si>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</si>
  <si>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</si>
  <si>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</si>
  <si>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</si>
  <si>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</si>
  <si>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</si>
  <si>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</si>
  <si>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</si>
  <si>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</si>
  <si>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</si>
  <si>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</si>
  <si>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</si>
  <si>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</si>
  <si>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</si>
  <si>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</si>
  <si>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</si>
  <si>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</si>
  <si>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</si>
  <si>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</si>
  <si>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</si>
  <si>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</si>
  <si>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</si>
  <si>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</si>
  <si>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</si>
  <si>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</si>
  <si>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Recommended rate of the flat Per Sq. Ft. ( on Saleble area)</t>
  </si>
  <si>
    <t>Contect Details ( Name &amp; Contect No.)</t>
  </si>
  <si>
    <t>Name / no of the Building</t>
  </si>
  <si>
    <t>Accessibility to the Project from the City:
(Proximity to civic amenities like school, hospital, market, etc.)</t>
  </si>
  <si>
    <t>Does property have Electricity / Water / Drainage Connection</t>
  </si>
  <si>
    <t>PLC charges</t>
  </si>
  <si>
    <t>Club Charges</t>
  </si>
  <si>
    <t>Distressed valuation of the Property</t>
  </si>
  <si>
    <t>Building details Floor Wise</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</si>
  <si>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</si>
  <si>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</si>
  <si>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</si>
  <si>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</si>
  <si>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</si>
  <si>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</si>
  <si>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</si>
  <si>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</si>
  <si>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</si>
  <si>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</si>
  <si>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</si>
  <si>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</si>
  <si>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</si>
  <si>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</si>
  <si>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</si>
  <si>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</si>
  <si>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</si>
  <si>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</si>
  <si>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</si>
  <si>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</si>
  <si>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</si>
  <si>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Shop</t>
  </si>
  <si>
    <t xml:space="preserve">Approved usage of the Property: Commercial / Residential
(Restrictive Covenants in regard to Land Use, if any)                                                                                                                                                </t>
  </si>
  <si>
    <t>02 Wings</t>
  </si>
  <si>
    <t>Office</t>
  </si>
  <si>
    <t>4th Floor</t>
  </si>
  <si>
    <t>1BHK</t>
  </si>
  <si>
    <t>2BHK</t>
  </si>
  <si>
    <t>Refuge Area</t>
  </si>
  <si>
    <t>6th Floor</t>
  </si>
  <si>
    <t xml:space="preserve">Development charges </t>
  </si>
  <si>
    <t>Axis Kalina</t>
  </si>
  <si>
    <t>M/s.Shantiratna Group</t>
  </si>
  <si>
    <t>The Cennet</t>
  </si>
  <si>
    <t>9769109888 &amp; Jigna (9967846675)</t>
  </si>
  <si>
    <t>Approved Layout/ Approved Building Plan/ CC</t>
  </si>
  <si>
    <t>Dombivali East</t>
  </si>
  <si>
    <t>Thane</t>
  </si>
  <si>
    <t>Kalyan Shil Road</t>
  </si>
  <si>
    <t>Opp.Xperia Mall</t>
  </si>
  <si>
    <t>Type of Structure : RCC</t>
  </si>
  <si>
    <t>Middle Class</t>
  </si>
  <si>
    <t>Developing</t>
  </si>
  <si>
    <t>all available at  1.5 to 2.5 km.</t>
  </si>
  <si>
    <t>Nilje Stn</t>
  </si>
  <si>
    <t>Palava School</t>
  </si>
  <si>
    <t>Shil Road</t>
  </si>
  <si>
    <t>Highway</t>
  </si>
  <si>
    <t xml:space="preserve">Approved no of units </t>
  </si>
  <si>
    <t>PHOTOGRAPHS OF PROPERTY :</t>
  </si>
  <si>
    <t>GOOGLE MAP :</t>
  </si>
  <si>
    <t>Recommended rate of the Shop Per Sq. Ft. ( on Saleble area)</t>
  </si>
  <si>
    <t>A Wing</t>
  </si>
  <si>
    <t>B Wing</t>
  </si>
  <si>
    <t>3rd Floor For Recreational</t>
  </si>
  <si>
    <t>Ground Floor For Parking</t>
  </si>
  <si>
    <t>1st &amp; 2nd Floor For Podium Parking</t>
  </si>
  <si>
    <t>Ground Floor For Parking &amp; Commercial</t>
  </si>
  <si>
    <t>Proposed no of Floors</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</si>
  <si>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</si>
  <si>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</si>
  <si>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</si>
  <si>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</si>
  <si>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</si>
  <si>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</si>
  <si>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</si>
  <si>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</si>
  <si>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</si>
  <si>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</si>
  <si>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</si>
  <si>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</si>
  <si>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</si>
  <si>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</si>
  <si>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</si>
  <si>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</si>
  <si>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</si>
  <si>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</si>
  <si>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</si>
  <si>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</si>
  <si>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</si>
  <si>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</si>
  <si>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</si>
  <si>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</si>
  <si>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</si>
  <si>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</si>
  <si>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</si>
  <si>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</si>
  <si>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</si>
  <si>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</si>
  <si>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</si>
  <si>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</si>
  <si>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</si>
  <si>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A Wing = Gr.+ 1st to 28th Floor</t>
  </si>
  <si>
    <t xml:space="preserve">A &amp; B Wing = Gr.+ 1st to 28th Floor
</t>
  </si>
  <si>
    <t>B Wing = Gr.+ 1st to 28th Floor</t>
  </si>
  <si>
    <t>RERA No.</t>
  </si>
  <si>
    <t>P51700015636</t>
  </si>
  <si>
    <t>1st Floor For Podium Parking &amp; Commercial</t>
  </si>
  <si>
    <t>2nd Floor For Podium Parking &amp; Commercial</t>
  </si>
  <si>
    <t>10th Floor</t>
  </si>
  <si>
    <t>Mhada</t>
  </si>
  <si>
    <t>Sale</t>
  </si>
  <si>
    <t xml:space="preserve"> 5th, 7th, 9th, 11th &amp; 13th Floor</t>
  </si>
  <si>
    <t>8th Floor (Part Refuge Area)</t>
  </si>
  <si>
    <t>3BHK</t>
  </si>
  <si>
    <t>-</t>
  </si>
  <si>
    <t>12th Floor (Part Refuge Area)</t>
  </si>
  <si>
    <t>Sale Commercial Area Details :</t>
  </si>
  <si>
    <t>Building &amp; Wing</t>
  </si>
  <si>
    <t>No. of Units</t>
  </si>
  <si>
    <t>Total Carpet Area</t>
  </si>
  <si>
    <t>Total Saleable Area</t>
  </si>
  <si>
    <t>Sale Residential Area Details :</t>
  </si>
  <si>
    <t>Sale Shops</t>
  </si>
  <si>
    <t>Sale Office</t>
  </si>
  <si>
    <t>Recommended rate of the Office Per Sq. Ft. ( on Saleble area)</t>
  </si>
  <si>
    <t>Any Other amenities (Ad.Main - 2years)</t>
  </si>
  <si>
    <t>Projected life: 60 Years After Completion</t>
  </si>
  <si>
    <t>Location Link</t>
  </si>
  <si>
    <t>https://goo.gl/maps/CWdF4Xx7DWsoXCQr8?coh=178572&amp;entry=tt</t>
  </si>
  <si>
    <t xml:space="preserve">Office No. 1031, Wing J, Akshar Business Park, Plot No. 03 Sector 25, Near APMC Market, 
Vashi, Navi Mumbai, Maharashtra 400703 TEL: 022-46090378/79/8
E mail : vsjcapf@gmail.com. Web site : www.vsjadon.com
</t>
  </si>
  <si>
    <t>Site Person - Contact Details ( Name &amp; Contact No.)</t>
  </si>
  <si>
    <t>19.1647063,73.0744045</t>
  </si>
  <si>
    <t>S No.</t>
  </si>
  <si>
    <t>100 Hissa No. 5A, 5A/1, 5C,6A, S No. 145, Hissa No. /1A/1B, 147/4C, 4D, 4H</t>
  </si>
  <si>
    <t>The Cennet, S No. 100 Hissa No. 5A, 5A/1, 5C,6A, S No. 145, Hissa No. /1A/1B, 147/4C, 4D, 4H, Nilje, Kalyan Shil Road, Opp.Xperia Mall, Dombivali East, Thane.</t>
  </si>
  <si>
    <t>1.7 Km from Nilje Railway Station</t>
  </si>
  <si>
    <t>Wing A &amp; B</t>
  </si>
  <si>
    <t>Commencement of Construction No. 
Valid Up to:</t>
  </si>
  <si>
    <t>KDMC/TPD/BP/27 Village/2017-18/24/11                                                                               A &amp; B Wing  = Gr.(parking &amp; Shop) + 1st to 2nd P parking &amp; Comm. + 3rd + 4th to 28th Floor (Res)</t>
  </si>
  <si>
    <t>KDMC/TPD/BP/27 Village/2017-18/24/11</t>
  </si>
  <si>
    <t>Floor rise rate  Per Sq. Ft. (from 4th floor)</t>
  </si>
  <si>
    <t xml:space="preserve">Balcony </t>
  </si>
  <si>
    <t>Gross Carpet Area</t>
  </si>
  <si>
    <t xml:space="preserve">Saleable Area
Loading : 
45% </t>
  </si>
  <si>
    <t xml:space="preserve">Sale /Mhada </t>
  </si>
  <si>
    <t>Flat No.</t>
  </si>
  <si>
    <t>MHADA</t>
  </si>
  <si>
    <t>14th, 16th, 20th &amp; 22nd Floor</t>
  </si>
  <si>
    <t>15th, 17th, 19th &amp; 21st Floor</t>
  </si>
  <si>
    <t>18th Floor (Part Refuge Area)</t>
  </si>
  <si>
    <t>23rd Floor (Part Refuge Area)</t>
  </si>
  <si>
    <t>24th Floor</t>
  </si>
  <si>
    <t>25th Floor</t>
  </si>
  <si>
    <t>26th Floor</t>
  </si>
  <si>
    <t>27th Floor</t>
  </si>
  <si>
    <t>28th Floor</t>
  </si>
  <si>
    <t>Duplex with Flat No. 2703</t>
  </si>
  <si>
    <t>Duplex with Flat No. 2704</t>
  </si>
  <si>
    <t>14th Floor</t>
  </si>
  <si>
    <t>16th, 20th &amp; 22nd Floor</t>
  </si>
  <si>
    <t>24th Floor (Part Terrace Area)</t>
  </si>
  <si>
    <t>Terrace Area</t>
  </si>
  <si>
    <t>Terrace Area @ 24th Floor</t>
  </si>
  <si>
    <t>4BHK
Duplex Flat with upper Floor</t>
  </si>
  <si>
    <t>Sale Flat - 255
Mhada Flat - 23
Shop - 10, Office - 20</t>
  </si>
  <si>
    <t>Dated :</t>
  </si>
  <si>
    <t>Part O. Certificate No.:</t>
  </si>
  <si>
    <t>KDMCC/PO/2024/APL/00091
Approved Upto : Wing B = Gr/St + 1st to 2nd Floor</t>
  </si>
  <si>
    <t>Part OC provided by bank officials on mail (On 15/05/2025)</t>
  </si>
  <si>
    <t>shop 15k &amp; office 13k by Bhargav On 20/05/2025</t>
  </si>
  <si>
    <t>Remarks:  
1. A &amp; B Wing - Construction work is in process at the time of visit.
2. We considered saleable area as per our calculation.
3. We adopted carpet area as per approved Plan.
4. We have considered rate by verifying it from market inquire.
5. We have updated revised approved Plans &amp; CC (on 15/03/2025).
6. We have updated part OC for wing B (On 15/05/2025).
7. Recommended Rates of the Property have been revised on 20/05/2025.
6. On site, we meet  Mr. Kavita - 9892387291.</t>
  </si>
  <si>
    <t>Mr. Prashant : 8169689454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</si>
</sst>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b/>
      <sz val="11"/>
      <color theme="1"/>
      <name val="Calibri"/>
      <family val="2"/>
      <scheme val="minor"/>
    </font>
    <font>
      <sz val="11"/>
      <color theme="1"/>
      <name val="Calibri"/>
      <family val="2"/>
      <scheme val="minor"/>
    </font>
    <font>
      <sz val="12"/>
      <color theme="1"/>
      <name val="Times New Roman"/>
      <family val="1"/>
    </font>
    <font>
      <sz val="12"/>
      <name val="Times New Roman"/>
      <family val="1"/>
    </font>
    <font>
      <b/>
      <sz val="12"/>
      <name val="Times New Roman"/>
      <family val="1"/>
    </font>
    <font>
      <sz val="11"/>
      <color rgb="FF000000"/>
      <name val="Times New Roman"/>
      <family val="1"/>
    </font>
    <font>
      <b/>
      <sz val="12"/>
      <color theme="1"/>
      <name val="Times New Roman"/>
      <family val="1"/>
    </font>
    <font>
      <sz val="11"/>
      <color theme="1"/>
      <name val="Times New Roman"/>
      <family val="1"/>
    </font>
    <font>
      <u/>
      <sz val="11"/>
      <color theme="10"/>
      <name val="Calibri"/>
      <family val="2"/>
      <scheme val="minor"/>
    </font>
    <font>
      <b/>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13" fillId="0" borderId="0"/>
    <xf numFmtId="0" fontId="20" fillId="0" borderId="0" applyNumberFormat="0" applyFill="0" applyBorder="0" applyAlignment="0" applyProtection="0"/>
  </cellStyleXfs>
  <cellXfs count="215">
    <xf numFmtId="0" fontId="0" fillId="0" borderId="0" xfId="0"/>
    <xf numFmtId="0" fontId="1" fillId="0" borderId="0" xfId="1"/>
    <xf numFmtId="0" fontId="3" fillId="2" borderId="2" xfId="0" applyFont="1" applyFill="1" applyBorder="1" applyAlignment="1">
      <alignment vertical="top"/>
    </xf>
    <xf numFmtId="1" fontId="5" fillId="0" borderId="2" xfId="0" applyNumberFormat="1" applyFont="1" applyBorder="1" applyAlignment="1">
      <alignment horizontal="center" vertical="top" wrapText="1"/>
    </xf>
    <xf numFmtId="0" fontId="0" fillId="0" borderId="2" xfId="0" applyBorder="1"/>
    <xf numFmtId="0" fontId="12" fillId="0" borderId="2" xfId="0" applyFont="1" applyBorder="1"/>
    <xf numFmtId="0" fontId="0" fillId="0" borderId="3" xfId="0" applyBorder="1"/>
    <xf numFmtId="0" fontId="0" fillId="3" borderId="2" xfId="0" applyFill="1" applyBorder="1"/>
    <xf numFmtId="0" fontId="12" fillId="0" borderId="2" xfId="0" applyFont="1" applyBorder="1" applyAlignment="1">
      <alignment horizontal="center"/>
    </xf>
    <xf numFmtId="1" fontId="9" fillId="0" borderId="2" xfId="0" applyNumberFormat="1" applyFont="1" applyBorder="1" applyAlignment="1">
      <alignment horizontal="center" vertical="center" wrapText="1"/>
    </xf>
    <xf numFmtId="0" fontId="12"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2" fillId="0" borderId="0" xfId="0" applyFont="1" applyAlignment="1">
      <alignment vertical="top" wrapText="1"/>
    </xf>
    <xf numFmtId="0" fontId="11" fillId="0" borderId="0" xfId="0" applyFont="1" applyAlignment="1">
      <alignment vertical="top"/>
    </xf>
    <xf numFmtId="1" fontId="0" fillId="0" borderId="0" xfId="0" applyNumberFormat="1"/>
    <xf numFmtId="0" fontId="12" fillId="0" borderId="0" xfId="0" applyFont="1"/>
    <xf numFmtId="0" fontId="14" fillId="0" borderId="17" xfId="2" applyFont="1" applyBorder="1" applyProtection="1">
      <protection hidden="1"/>
    </xf>
    <xf numFmtId="0" fontId="14" fillId="0" borderId="18" xfId="2" applyFont="1" applyBorder="1" applyProtection="1">
      <protection hidden="1"/>
    </xf>
    <xf numFmtId="0" fontId="14" fillId="0" borderId="0" xfId="2" applyFont="1" applyProtection="1">
      <protection hidden="1"/>
    </xf>
    <xf numFmtId="0" fontId="14" fillId="0" borderId="19" xfId="2" applyFont="1" applyBorder="1" applyProtection="1">
      <protection hidden="1"/>
    </xf>
    <xf numFmtId="0" fontId="17" fillId="0" borderId="0" xfId="0" applyFont="1" applyProtection="1">
      <protection hidden="1"/>
    </xf>
    <xf numFmtId="0" fontId="14" fillId="0" borderId="19" xfId="2" applyFont="1" applyBorder="1"/>
    <xf numFmtId="0" fontId="17" fillId="0" borderId="19" xfId="0" applyFont="1" applyBorder="1" applyProtection="1">
      <protection hidden="1"/>
    </xf>
    <xf numFmtId="1" fontId="0" fillId="0" borderId="19" xfId="0" applyNumberFormat="1" applyBorder="1"/>
    <xf numFmtId="1" fontId="0" fillId="0" borderId="19" xfId="0" applyNumberFormat="1" applyBorder="1" applyAlignment="1">
      <alignment horizontal="right"/>
    </xf>
    <xf numFmtId="0" fontId="17" fillId="0" borderId="20" xfId="0" applyFont="1" applyBorder="1" applyProtection="1">
      <protection hidden="1"/>
    </xf>
    <xf numFmtId="1" fontId="0" fillId="0" borderId="21" xfId="0" applyNumberFormat="1" applyBorder="1"/>
    <xf numFmtId="0" fontId="15" fillId="0" borderId="2" xfId="2" applyFont="1" applyBorder="1" applyAlignment="1" applyProtection="1">
      <alignment horizontal="center" wrapText="1"/>
      <protection locked="0"/>
    </xf>
    <xf numFmtId="1" fontId="15" fillId="0" borderId="2" xfId="2" applyNumberFormat="1" applyFont="1" applyBorder="1" applyAlignment="1" applyProtection="1">
      <alignment horizontal="center" wrapText="1"/>
      <protection locked="0"/>
    </xf>
    <xf numFmtId="0" fontId="14" fillId="0" borderId="0" xfId="0" applyFont="1" applyAlignment="1">
      <alignment horizontal="center" vertical="center"/>
    </xf>
    <xf numFmtId="0" fontId="18" fillId="0" borderId="2" xfId="0" applyFont="1" applyBorder="1" applyAlignment="1">
      <alignment horizontal="center" vertical="center"/>
    </xf>
    <xf numFmtId="1"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8" fillId="0" borderId="0" xfId="0" applyFont="1" applyAlignment="1">
      <alignment horizontal="center" vertical="center"/>
    </xf>
    <xf numFmtId="1" fontId="2" fillId="0" borderId="2" xfId="0" applyNumberFormat="1" applyFont="1" applyBorder="1" applyAlignment="1">
      <alignment horizontal="center" vertical="top" wrapText="1"/>
    </xf>
    <xf numFmtId="1" fontId="18" fillId="0" borderId="0" xfId="0" applyNumberFormat="1" applyFont="1" applyAlignment="1">
      <alignment horizontal="center" vertical="center"/>
    </xf>
    <xf numFmtId="0" fontId="21" fillId="0" borderId="0" xfId="0" applyFont="1"/>
    <xf numFmtId="0" fontId="15" fillId="0" borderId="2" xfId="2" applyFont="1" applyBorder="1" applyAlignment="1" applyProtection="1">
      <alignment horizontal="center" vertical="top" wrapText="1"/>
      <protection locked="0"/>
    </xf>
    <xf numFmtId="1" fontId="9" fillId="0" borderId="1" xfId="0" applyNumberFormat="1" applyFont="1" applyBorder="1" applyAlignment="1">
      <alignment horizontal="center" vertical="center" wrapText="1"/>
    </xf>
    <xf numFmtId="0" fontId="15" fillId="0" borderId="2" xfId="2" applyFont="1" applyBorder="1" applyAlignment="1" applyProtection="1">
      <alignment horizontal="center" vertical="top"/>
      <protection locked="0"/>
    </xf>
    <xf numFmtId="1" fontId="9" fillId="0" borderId="1" xfId="0" applyNumberFormat="1" applyFont="1" applyBorder="1" applyAlignment="1">
      <alignment horizontal="center" vertical="center" wrapText="1"/>
    </xf>
    <xf numFmtId="0" fontId="0" fillId="0" borderId="0" xfId="0" applyAlignment="1">
      <alignment vertical="top"/>
    </xf>
    <xf numFmtId="1" fontId="18" fillId="0" borderId="2" xfId="0" applyNumberFormat="1" applyFont="1" applyBorder="1" applyAlignment="1">
      <alignment horizontal="center" vertical="center"/>
    </xf>
    <xf numFmtId="1" fontId="9" fillId="0" borderId="2" xfId="0" applyNumberFormat="1" applyFont="1" applyBorder="1" applyAlignment="1">
      <alignment horizontal="center" vertical="center" wrapText="1"/>
    </xf>
    <xf numFmtId="1" fontId="5" fillId="0" borderId="2" xfId="0" applyNumberFormat="1" applyFont="1" applyBorder="1" applyAlignment="1">
      <alignment vertical="top" wrapText="1"/>
    </xf>
    <xf numFmtId="0" fontId="2" fillId="0" borderId="2" xfId="0" applyFont="1" applyBorder="1" applyAlignment="1">
      <alignment vertical="top"/>
    </xf>
    <xf numFmtId="0" fontId="15" fillId="0" borderId="2" xfId="2" applyFont="1" applyBorder="1" applyAlignment="1" applyProtection="1">
      <alignment horizontal="center" vertical="top" wrapText="1"/>
      <protection locked="0"/>
    </xf>
    <xf numFmtId="0" fontId="15" fillId="0" borderId="2" xfId="2" applyFont="1" applyBorder="1" applyAlignment="1" applyProtection="1">
      <alignment horizontal="center" vertical="top"/>
      <protection locked="0"/>
    </xf>
    <xf numFmtId="1" fontId="9" fillId="0" borderId="2"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9" fillId="0" borderId="6" xfId="0" applyNumberFormat="1" applyFont="1" applyBorder="1" applyAlignment="1">
      <alignment horizontal="center" vertical="center" wrapText="1"/>
    </xf>
    <xf numFmtId="1" fontId="9" fillId="0" borderId="7" xfId="0" applyNumberFormat="1" applyFont="1" applyBorder="1" applyAlignment="1">
      <alignment horizontal="center" vertical="center" wrapText="1"/>
    </xf>
    <xf numFmtId="1" fontId="9" fillId="0" borderId="8"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10" xfId="0" applyNumberFormat="1" applyFont="1" applyBorder="1" applyAlignment="1">
      <alignment horizontal="center" vertical="center" wrapText="1"/>
    </xf>
    <xf numFmtId="1" fontId="5" fillId="0" borderId="11"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0" fontId="15" fillId="0" borderId="2" xfId="2" applyFont="1" applyBorder="1" applyAlignment="1" applyProtection="1">
      <alignment horizontal="center" vertical="top" wrapText="1"/>
      <protection locked="0"/>
    </xf>
    <xf numFmtId="0" fontId="3" fillId="0" borderId="1"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1" fontId="14" fillId="0" borderId="1" xfId="0" applyNumberFormat="1" applyFont="1" applyBorder="1" applyAlignment="1">
      <alignment horizontal="center" vertical="center"/>
    </xf>
    <xf numFmtId="1" fontId="14" fillId="0" borderId="10" xfId="0" applyNumberFormat="1" applyFont="1" applyBorder="1" applyAlignment="1">
      <alignment horizontal="center" vertical="center"/>
    </xf>
    <xf numFmtId="1" fontId="14" fillId="0" borderId="11" xfId="0" applyNumberFormat="1" applyFont="1" applyBorder="1" applyAlignment="1">
      <alignment horizontal="center" vertical="center"/>
    </xf>
    <xf numFmtId="1" fontId="14" fillId="0" borderId="1" xfId="0" applyNumberFormat="1" applyFont="1" applyBorder="1" applyAlignment="1">
      <alignment horizontal="center" vertical="top" wrapText="1"/>
    </xf>
    <xf numFmtId="1" fontId="14" fillId="0" borderId="10" xfId="0" applyNumberFormat="1" applyFont="1" applyBorder="1" applyAlignment="1">
      <alignment horizontal="center" vertical="top" wrapText="1"/>
    </xf>
    <xf numFmtId="1" fontId="14" fillId="0" borderId="11" xfId="0" applyNumberFormat="1" applyFont="1" applyBorder="1" applyAlignment="1">
      <alignment horizontal="center" vertical="top" wrapText="1"/>
    </xf>
    <xf numFmtId="0" fontId="3" fillId="2" borderId="1"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0" borderId="10" xfId="0" applyFont="1" applyBorder="1" applyAlignment="1">
      <alignment horizontal="left" vertical="top"/>
    </xf>
    <xf numFmtId="0" fontId="3" fillId="0" borderId="11" xfId="0" applyFont="1" applyBorder="1" applyAlignment="1">
      <alignment horizontal="left" vertical="top"/>
    </xf>
    <xf numFmtId="3" fontId="3" fillId="2" borderId="1" xfId="0" applyNumberFormat="1" applyFont="1" applyFill="1" applyBorder="1" applyAlignment="1">
      <alignment horizontal="left" vertical="top" wrapText="1"/>
    </xf>
    <xf numFmtId="9" fontId="15" fillId="2" borderId="2" xfId="2" applyNumberFormat="1" applyFont="1" applyFill="1" applyBorder="1" applyAlignment="1" applyProtection="1">
      <alignment horizontal="center" vertical="center" wrapText="1"/>
      <protection hidden="1"/>
    </xf>
    <xf numFmtId="0" fontId="16" fillId="0" borderId="15" xfId="2" applyFont="1" applyBorder="1" applyAlignment="1" applyProtection="1">
      <alignment horizontal="center" vertical="top" wrapText="1"/>
      <protection locked="0"/>
    </xf>
    <xf numFmtId="0" fontId="16" fillId="0" borderId="14" xfId="2" applyFont="1" applyBorder="1" applyAlignment="1" applyProtection="1">
      <alignment horizontal="center" vertical="top" wrapText="1"/>
      <protection locked="0"/>
    </xf>
    <xf numFmtId="0" fontId="16" fillId="0" borderId="15" xfId="2" applyFont="1" applyBorder="1" applyAlignment="1" applyProtection="1">
      <alignment horizontal="left" vertical="top" wrapText="1"/>
      <protection locked="0"/>
    </xf>
    <xf numFmtId="0" fontId="16" fillId="0" borderId="16" xfId="2" applyFont="1" applyBorder="1" applyAlignment="1" applyProtection="1">
      <alignment horizontal="left" vertical="top" wrapText="1"/>
      <protection locked="0"/>
    </xf>
    <xf numFmtId="0" fontId="16" fillId="0" borderId="14" xfId="2" applyFont="1" applyBorder="1" applyAlignment="1" applyProtection="1">
      <alignment horizontal="left" vertical="top" wrapText="1"/>
      <protection locked="0"/>
    </xf>
    <xf numFmtId="0" fontId="15" fillId="0" borderId="1" xfId="2" applyFont="1" applyBorder="1" applyAlignment="1" applyProtection="1">
      <alignment horizontal="center" vertical="top"/>
      <protection locked="0"/>
    </xf>
    <xf numFmtId="0" fontId="15" fillId="0" borderId="11" xfId="2" applyFont="1" applyBorder="1" applyAlignment="1" applyProtection="1">
      <alignment horizontal="center" vertical="top"/>
      <protection locked="0"/>
    </xf>
    <xf numFmtId="0" fontId="16" fillId="0" borderId="2" xfId="2" applyFont="1" applyBorder="1" applyAlignment="1" applyProtection="1">
      <alignment horizontal="left" vertical="top"/>
      <protection locked="0"/>
    </xf>
    <xf numFmtId="0" fontId="16" fillId="0" borderId="1" xfId="2" applyFont="1" applyBorder="1" applyAlignment="1" applyProtection="1">
      <alignment horizontal="left" vertical="top" wrapText="1"/>
      <protection locked="0"/>
    </xf>
    <xf numFmtId="0" fontId="16" fillId="0" borderId="10" xfId="2" applyFont="1" applyBorder="1" applyAlignment="1" applyProtection="1">
      <alignment horizontal="left" vertical="top" wrapText="1"/>
      <protection locked="0"/>
    </xf>
    <xf numFmtId="0" fontId="16" fillId="0" borderId="11" xfId="2" applyFont="1" applyBorder="1" applyAlignment="1" applyProtection="1">
      <alignment horizontal="left" vertical="top" wrapText="1"/>
      <protection locked="0"/>
    </xf>
    <xf numFmtId="0" fontId="15" fillId="0" borderId="1" xfId="2" applyFont="1" applyBorder="1" applyAlignment="1" applyProtection="1">
      <alignment horizontal="center" vertical="top" wrapText="1"/>
      <protection locked="0"/>
    </xf>
    <xf numFmtId="0" fontId="15" fillId="0" borderId="11" xfId="2" applyFont="1" applyBorder="1" applyAlignment="1" applyProtection="1">
      <alignment horizontal="center" vertical="top" wrapText="1"/>
      <protection locked="0"/>
    </xf>
    <xf numFmtId="0" fontId="15" fillId="0" borderId="2" xfId="2" applyFont="1" applyBorder="1" applyAlignment="1" applyProtection="1">
      <alignment horizontal="center" vertical="top"/>
      <protection locked="0"/>
    </xf>
    <xf numFmtId="0" fontId="16" fillId="0" borderId="2" xfId="2" applyFont="1" applyBorder="1" applyAlignment="1" applyProtection="1">
      <alignment horizontal="center" vertical="top" wrapText="1"/>
      <protection locked="0"/>
    </xf>
    <xf numFmtId="1" fontId="5" fillId="0" borderId="5"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0" fontId="3" fillId="0" borderId="1" xfId="0" applyFont="1" applyBorder="1" applyAlignment="1">
      <alignment horizontal="center" vertical="top"/>
    </xf>
    <xf numFmtId="0" fontId="3" fillId="0" borderId="11" xfId="0" applyFont="1" applyBorder="1" applyAlignment="1">
      <alignment horizontal="center" vertical="top"/>
    </xf>
    <xf numFmtId="0" fontId="4" fillId="0" borderId="1" xfId="0" applyFont="1" applyBorder="1" applyAlignment="1">
      <alignment horizontal="center" vertical="top"/>
    </xf>
    <xf numFmtId="0" fontId="4" fillId="0" borderId="11" xfId="0" applyFont="1" applyBorder="1" applyAlignment="1">
      <alignment horizontal="center" vertical="top"/>
    </xf>
    <xf numFmtId="0" fontId="3" fillId="0" borderId="8" xfId="0" applyFont="1" applyBorder="1" applyAlignment="1">
      <alignment horizontal="left" vertical="top"/>
    </xf>
    <xf numFmtId="0" fontId="3" fillId="0" borderId="3" xfId="0" applyFont="1" applyBorder="1" applyAlignment="1">
      <alignment horizontal="left" vertical="top"/>
    </xf>
    <xf numFmtId="0" fontId="3" fillId="0" borderId="9" xfId="0" applyFont="1" applyBorder="1" applyAlignment="1">
      <alignment horizontal="left" vertical="top"/>
    </xf>
    <xf numFmtId="0" fontId="7" fillId="0" borderId="2" xfId="0" applyFont="1" applyBorder="1" applyAlignment="1">
      <alignment vertical="top" wrapText="1"/>
    </xf>
    <xf numFmtId="0" fontId="6" fillId="0" borderId="2" xfId="0" applyFont="1" applyBorder="1" applyAlignment="1">
      <alignment horizontal="left" vertical="top"/>
    </xf>
    <xf numFmtId="0" fontId="8" fillId="0" borderId="1"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14" fontId="3" fillId="2" borderId="1" xfId="0" applyNumberFormat="1" applyFont="1" applyFill="1" applyBorder="1" applyAlignment="1">
      <alignment horizontal="left" vertical="top"/>
    </xf>
    <xf numFmtId="14" fontId="3" fillId="2" borderId="10" xfId="0" applyNumberFormat="1" applyFont="1" applyFill="1" applyBorder="1" applyAlignment="1">
      <alignment horizontal="left" vertical="top"/>
    </xf>
    <xf numFmtId="14" fontId="3" fillId="2" borderId="11" xfId="0" applyNumberFormat="1" applyFont="1" applyFill="1" applyBorder="1" applyAlignment="1">
      <alignment horizontal="left" vertical="top"/>
    </xf>
    <xf numFmtId="0" fontId="2" fillId="0" borderId="1"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3" fillId="0" borderId="1"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8" fillId="0" borderId="1" xfId="0" applyFont="1" applyBorder="1" applyAlignment="1">
      <alignment horizontal="left" vertical="top"/>
    </xf>
    <xf numFmtId="0" fontId="8" fillId="0" borderId="10" xfId="0" applyFont="1" applyBorder="1" applyAlignment="1">
      <alignment horizontal="left" vertical="top"/>
    </xf>
    <xf numFmtId="0" fontId="8" fillId="0" borderId="11" xfId="0" applyFont="1" applyBorder="1" applyAlignment="1">
      <alignment horizontal="left"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2" fillId="0" borderId="1"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14" fontId="3" fillId="0" borderId="2" xfId="0" applyNumberFormat="1" applyFont="1" applyBorder="1" applyAlignment="1">
      <alignment horizontal="center" vertical="top"/>
    </xf>
    <xf numFmtId="0" fontId="3" fillId="0" borderId="2" xfId="0" applyFont="1" applyBorder="1" applyAlignment="1">
      <alignment horizontal="center" vertical="top"/>
    </xf>
    <xf numFmtId="0" fontId="19" fillId="2" borderId="1" xfId="0" applyFont="1" applyFill="1" applyBorder="1" applyAlignment="1">
      <alignment horizontal="left" vertical="top"/>
    </xf>
    <xf numFmtId="0" fontId="19" fillId="2" borderId="10" xfId="0" applyFont="1" applyFill="1" applyBorder="1" applyAlignment="1">
      <alignment horizontal="left" vertical="top"/>
    </xf>
    <xf numFmtId="0" fontId="19" fillId="2" borderId="11" xfId="0" applyFont="1" applyFill="1" applyBorder="1" applyAlignment="1">
      <alignment horizontal="left" vertical="top"/>
    </xf>
    <xf numFmtId="0" fontId="19" fillId="2" borderId="1"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11" xfId="0" applyFont="1" applyFill="1" applyBorder="1" applyAlignment="1">
      <alignment horizontal="left" vertical="top" wrapText="1"/>
    </xf>
    <xf numFmtId="0" fontId="3" fillId="0" borderId="2" xfId="0" applyFont="1" applyBorder="1" applyAlignment="1">
      <alignment horizontal="left" vertical="top"/>
    </xf>
    <xf numFmtId="14" fontId="3" fillId="0" borderId="1" xfId="0" applyNumberFormat="1" applyFont="1" applyBorder="1" applyAlignment="1">
      <alignment horizontal="left" vertical="top"/>
    </xf>
    <xf numFmtId="0" fontId="3"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4"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9" xfId="0" applyFont="1" applyBorder="1" applyAlignment="1">
      <alignment horizontal="left" vertical="top" wrapText="1"/>
    </xf>
    <xf numFmtId="0" fontId="3" fillId="0" borderId="2" xfId="0" applyFont="1" applyBorder="1" applyAlignment="1">
      <alignment horizontal="left"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12" xfId="0" applyFont="1" applyBorder="1" applyAlignment="1">
      <alignment horizontal="center" vertical="top" wrapText="1"/>
    </xf>
    <xf numFmtId="0" fontId="2" fillId="0" borderId="0" xfId="0" applyFont="1" applyBorder="1" applyAlignment="1">
      <alignment horizontal="center" vertical="top" wrapText="1"/>
    </xf>
    <xf numFmtId="0" fontId="2" fillId="0" borderId="13"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2" fillId="0" borderId="9" xfId="0" applyFont="1" applyBorder="1" applyAlignment="1">
      <alignment horizontal="center" vertical="top" wrapText="1"/>
    </xf>
    <xf numFmtId="0" fontId="6" fillId="0" borderId="10" xfId="0" applyFont="1" applyBorder="1" applyAlignment="1">
      <alignment horizontal="left" vertical="top"/>
    </xf>
    <xf numFmtId="0" fontId="6" fillId="0" borderId="11" xfId="0" applyFont="1" applyBorder="1" applyAlignment="1">
      <alignment horizontal="left" vertical="top"/>
    </xf>
    <xf numFmtId="0" fontId="3" fillId="2" borderId="1" xfId="0" applyFont="1" applyFill="1" applyBorder="1" applyAlignment="1">
      <alignment horizontal="left" vertical="top"/>
    </xf>
    <xf numFmtId="0" fontId="10" fillId="0" borderId="1" xfId="0" applyFont="1" applyBorder="1" applyAlignment="1">
      <alignment horizontal="center" vertical="top"/>
    </xf>
    <xf numFmtId="0" fontId="10" fillId="0" borderId="10" xfId="0" applyFont="1" applyBorder="1" applyAlignment="1">
      <alignment horizontal="center" vertical="top"/>
    </xf>
    <xf numFmtId="0" fontId="10" fillId="0" borderId="11" xfId="0" applyFont="1" applyBorder="1" applyAlignment="1">
      <alignment horizontal="center" vertical="top"/>
    </xf>
    <xf numFmtId="0" fontId="2" fillId="0" borderId="2" xfId="0" applyFont="1" applyBorder="1" applyAlignment="1">
      <alignment horizontal="center" vertical="top"/>
    </xf>
    <xf numFmtId="1" fontId="5" fillId="0" borderId="2" xfId="0" applyNumberFormat="1" applyFont="1" applyBorder="1" applyAlignment="1">
      <alignment horizontal="center" vertical="top" wrapText="1"/>
    </xf>
    <xf numFmtId="0" fontId="3" fillId="0" borderId="1" xfId="0" applyFont="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2" fillId="0" borderId="2" xfId="1" applyFont="1" applyBorder="1" applyAlignment="1">
      <alignment horizontal="left" vertical="top" wrapText="1"/>
    </xf>
    <xf numFmtId="0" fontId="4" fillId="0" borderId="2" xfId="0" applyFont="1" applyBorder="1" applyAlignment="1">
      <alignment vertical="top"/>
    </xf>
    <xf numFmtId="0" fontId="2" fillId="2" borderId="1" xfId="0" applyFont="1" applyFill="1" applyBorder="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1" fontId="9" fillId="0" borderId="1" xfId="0" applyNumberFormat="1" applyFont="1" applyBorder="1" applyAlignment="1">
      <alignment horizontal="center" vertical="top" wrapText="1"/>
    </xf>
    <xf numFmtId="1" fontId="9" fillId="0" borderId="10" xfId="0" applyNumberFormat="1" applyFont="1" applyBorder="1" applyAlignment="1">
      <alignment horizontal="center" vertical="top" wrapText="1"/>
    </xf>
    <xf numFmtId="1" fontId="9" fillId="0" borderId="11" xfId="0" applyNumberFormat="1" applyFont="1" applyBorder="1" applyAlignment="1">
      <alignment horizontal="center" vertical="top" wrapText="1"/>
    </xf>
    <xf numFmtId="0" fontId="4" fillId="0" borderId="2" xfId="0" applyFont="1" applyBorder="1" applyAlignment="1">
      <alignment horizontal="left" vertical="top"/>
    </xf>
    <xf numFmtId="0" fontId="0" fillId="0" borderId="11" xfId="0" applyBorder="1" applyAlignment="1">
      <alignment horizontal="left"/>
    </xf>
    <xf numFmtId="0" fontId="16" fillId="0" borderId="2" xfId="2" applyFont="1" applyBorder="1" applyAlignment="1" applyProtection="1">
      <alignment horizontal="left" vertical="top" wrapText="1"/>
      <protection locked="0"/>
    </xf>
    <xf numFmtId="0" fontId="4" fillId="0" borderId="1" xfId="0" applyFont="1" applyBorder="1" applyAlignment="1">
      <alignment horizontal="left" vertical="top"/>
    </xf>
    <xf numFmtId="0" fontId="3" fillId="0" borderId="1"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2" fillId="0" borderId="1" xfId="0" applyFont="1" applyBorder="1" applyAlignment="1">
      <alignment horizontal="center" vertical="top"/>
    </xf>
    <xf numFmtId="0" fontId="2" fillId="0" borderId="10" xfId="0" applyFont="1" applyBorder="1" applyAlignment="1">
      <alignment horizontal="center" vertical="top"/>
    </xf>
    <xf numFmtId="0" fontId="2" fillId="0" borderId="11" xfId="0" applyFont="1" applyBorder="1" applyAlignment="1">
      <alignment horizontal="center" vertical="top"/>
    </xf>
    <xf numFmtId="14" fontId="3" fillId="0" borderId="10" xfId="0" applyNumberFormat="1" applyFont="1" applyBorder="1" applyAlignment="1">
      <alignment horizontal="left" vertical="top"/>
    </xf>
    <xf numFmtId="14" fontId="3" fillId="0" borderId="11" xfId="0" applyNumberFormat="1" applyFont="1" applyBorder="1" applyAlignment="1">
      <alignment horizontal="left" vertical="top"/>
    </xf>
    <xf numFmtId="0" fontId="3" fillId="2" borderId="2" xfId="0" applyFont="1" applyFill="1" applyBorder="1" applyAlignment="1">
      <alignment horizontal="left" vertical="top" wrapText="1"/>
    </xf>
    <xf numFmtId="0" fontId="3" fillId="2" borderId="2" xfId="0" applyFont="1" applyFill="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10" xfId="0" applyFont="1" applyBorder="1" applyAlignment="1">
      <alignment vertical="top"/>
    </xf>
    <xf numFmtId="0" fontId="3" fillId="0" borderId="11" xfId="0" applyFont="1" applyBorder="1" applyAlignment="1">
      <alignment vertical="top"/>
    </xf>
    <xf numFmtId="1" fontId="5" fillId="0" borderId="1" xfId="0" applyNumberFormat="1" applyFont="1" applyBorder="1" applyAlignment="1">
      <alignment horizontal="center" vertical="top" wrapText="1"/>
    </xf>
    <xf numFmtId="1" fontId="5" fillId="0" borderId="10" xfId="0" applyNumberFormat="1" applyFont="1" applyBorder="1" applyAlignment="1">
      <alignment horizontal="center" vertical="top" wrapText="1"/>
    </xf>
    <xf numFmtId="1" fontId="5" fillId="0" borderId="11" xfId="0" applyNumberFormat="1" applyFont="1" applyBorder="1" applyAlignment="1">
      <alignment horizontal="center" vertical="top" wrapText="1"/>
    </xf>
    <xf numFmtId="0" fontId="20" fillId="0" borderId="2" xfId="3" applyFill="1" applyBorder="1" applyAlignment="1">
      <alignment horizontal="left" vertical="top"/>
    </xf>
    <xf numFmtId="0" fontId="18" fillId="0" borderId="1" xfId="0" applyFont="1" applyBorder="1" applyAlignment="1">
      <alignment horizontal="center" vertical="top" wrapText="1"/>
    </xf>
    <xf numFmtId="0" fontId="18" fillId="0" borderId="10" xfId="0" applyFont="1" applyBorder="1" applyAlignment="1">
      <alignment horizontal="center" vertical="top" wrapText="1"/>
    </xf>
    <xf numFmtId="0" fontId="18" fillId="0" borderId="11" xfId="0" applyFont="1" applyBorder="1" applyAlignment="1">
      <alignment horizontal="center" vertical="top" wrapText="1"/>
    </xf>
    <xf numFmtId="0" fontId="2" fillId="0" borderId="2" xfId="0" applyFont="1" applyBorder="1" applyAlignment="1">
      <alignment horizontal="left" vertical="top"/>
    </xf>
    <xf numFmtId="0" fontId="2" fillId="0" borderId="2" xfId="0" applyFont="1" applyBorder="1" applyAlignment="1">
      <alignment horizontal="left" vertical="top" wrapText="1"/>
    </xf>
    <xf numFmtId="14" fontId="2" fillId="0" borderId="2" xfId="0" applyNumberFormat="1" applyFont="1" applyBorder="1" applyAlignment="1">
      <alignment horizontal="left" vertical="top"/>
    </xf>
    <xf numFmtId="0" fontId="2" fillId="0" borderId="1" xfId="0" applyFont="1" applyBorder="1" applyAlignment="1">
      <alignment vertical="top"/>
    </xf>
    <xf numFmtId="0" fontId="2" fillId="0" borderId="10" xfId="0" applyFont="1" applyBorder="1" applyAlignment="1">
      <alignment vertical="top"/>
    </xf>
    <xf numFmtId="0" fontId="2" fillId="0" borderId="11" xfId="0" applyFont="1" applyBorder="1" applyAlignment="1">
      <alignment vertical="top"/>
    </xf>
    <xf numFmtId="1" fontId="18" fillId="0" borderId="1" xfId="0" applyNumberFormat="1" applyFont="1" applyBorder="1" applyAlignment="1">
      <alignment horizontal="center" vertical="top" wrapText="1"/>
    </xf>
    <xf numFmtId="1" fontId="18" fillId="0" borderId="10" xfId="0" applyNumberFormat="1" applyFont="1" applyBorder="1" applyAlignment="1">
      <alignment horizontal="center" vertical="top" wrapText="1"/>
    </xf>
    <xf numFmtId="1" fontId="18" fillId="0" borderId="11" xfId="0" applyNumberFormat="1" applyFont="1" applyBorder="1" applyAlignment="1">
      <alignment horizontal="center" vertical="top" wrapText="1"/>
    </xf>
    <xf numFmtId="0" fontId="0" fillId="3" borderId="2" xfId="0" applyFill="1" applyBorder="1" applyAlignment="1">
      <alignment horizontal="center" wrapText="1"/>
    </xf>
    <xf numFmtId="0" fontId="12" fillId="0" borderId="2" xfId="0" applyFont="1" applyBorder="1" applyAlignment="1">
      <alignment horizontal="center"/>
    </xf>
  </cellXfs>
  <cellStyles count="4">
    <cellStyle name="Excel Built-in Normal" xfId="1"/>
    <cellStyle name="Hyperlink" xfId="3" builtinId="8"/>
    <cellStyle name="Normal" xfId="0" builtinId="0"/>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70599</xdr:colOff>
      <xdr:row>434</xdr:row>
      <xdr:rowOff>91326</xdr:rowOff>
    </xdr:from>
    <xdr:to>
      <xdr:col>8</xdr:col>
      <xdr:colOff>89656</xdr:colOff>
      <xdr:row>451</xdr:row>
      <xdr:rowOff>7100</xdr:rowOff>
    </xdr:to>
    <xdr:pic>
      <xdr:nvPicPr>
        <xdr:cNvPr id="22" name="Picture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51624" y="62499126"/>
          <a:ext cx="5086357" cy="315427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70599</xdr:colOff>
      <xdr:row>451</xdr:row>
      <xdr:rowOff>138857</xdr:rowOff>
    </xdr:from>
    <xdr:to>
      <xdr:col>8</xdr:col>
      <xdr:colOff>89656</xdr:colOff>
      <xdr:row>468</xdr:row>
      <xdr:rowOff>50711</xdr:rowOff>
    </xdr:to>
    <xdr:pic>
      <xdr:nvPicPr>
        <xdr:cNvPr id="23" name="Picture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51624" y="65785157"/>
          <a:ext cx="5086357" cy="315035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25998</xdr:colOff>
      <xdr:row>405</xdr:row>
      <xdr:rowOff>15776</xdr:rowOff>
    </xdr:from>
    <xdr:ext cx="293478" cy="311496"/>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8711066" y="56923321"/>
          <a:ext cx="29347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FF0000"/>
              </a:solidFill>
            </a:rPr>
            <a:t>B</a:t>
          </a:r>
        </a:p>
      </xdr:txBody>
    </xdr:sp>
    <xdr:clientData/>
  </xdr:oneCellAnchor>
  <xdr:oneCellAnchor>
    <xdr:from>
      <xdr:col>17</xdr:col>
      <xdr:colOff>533400</xdr:colOff>
      <xdr:row>388</xdr:row>
      <xdr:rowOff>38100</xdr:rowOff>
    </xdr:from>
    <xdr:ext cx="1092415" cy="468013"/>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1137900" y="52673250"/>
          <a:ext cx="1092415"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400" b="1">
              <a:solidFill>
                <a:srgbClr val="FF0000"/>
              </a:solidFill>
            </a:rPr>
            <a:t>Wing</a:t>
          </a:r>
          <a:r>
            <a:rPr lang="en-IN" sz="2400" b="1" baseline="0">
              <a:solidFill>
                <a:srgbClr val="FF0000"/>
              </a:solidFill>
            </a:rPr>
            <a:t> B</a:t>
          </a:r>
          <a:endParaRPr lang="en-IN" sz="2400" b="1">
            <a:solidFill>
              <a:srgbClr val="FF0000"/>
            </a:solidFill>
          </a:endParaRPr>
        </a:p>
      </xdr:txBody>
    </xdr:sp>
    <xdr:clientData/>
  </xdr:oneCellAnchor>
  <xdr:oneCellAnchor>
    <xdr:from>
      <xdr:col>14</xdr:col>
      <xdr:colOff>101600</xdr:colOff>
      <xdr:row>393</xdr:row>
      <xdr:rowOff>47625</xdr:rowOff>
    </xdr:from>
    <xdr:ext cx="634084" cy="280205"/>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8569325" y="54644925"/>
          <a:ext cx="6340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Wing</a:t>
          </a:r>
          <a:r>
            <a:rPr lang="en-IN" sz="1200" b="0" cap="none" spc="0" baseline="0">
              <a:ln w="0"/>
              <a:solidFill>
                <a:sysClr val="windowText" lastClr="000000"/>
              </a:solidFill>
              <a:effectLst>
                <a:outerShdw blurRad="38100" dist="25400" dir="5400000" algn="ctr" rotWithShape="0">
                  <a:srgbClr val="6E747A">
                    <a:alpha val="43000"/>
                  </a:srgbClr>
                </a:outerShdw>
              </a:effectLst>
            </a:rPr>
            <a:t> A</a:t>
          </a:r>
          <a:endParaRPr lang="en-IN" sz="1200" b="0" cap="none" spc="0">
            <a:ln w="0"/>
            <a:solidFill>
              <a:sysClr val="windowText" lastClr="000000"/>
            </a:solidFill>
            <a:effectLst>
              <a:outerShdw blurRad="38100" dist="25400" dir="5400000" algn="ctr" rotWithShape="0">
                <a:srgbClr val="6E747A">
                  <a:alpha val="43000"/>
                </a:srgbClr>
              </a:outerShdw>
            </a:effectLst>
          </a:endParaRPr>
        </a:p>
      </xdr:txBody>
    </xdr:sp>
    <xdr:clientData/>
  </xdr:oneCellAnchor>
  <xdr:oneCellAnchor>
    <xdr:from>
      <xdr:col>12</xdr:col>
      <xdr:colOff>454025</xdr:colOff>
      <xdr:row>394</xdr:row>
      <xdr:rowOff>28575</xdr:rowOff>
    </xdr:from>
    <xdr:ext cx="634084" cy="280205"/>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7702550" y="54816375"/>
          <a:ext cx="6340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Wing</a:t>
          </a:r>
          <a:r>
            <a:rPr lang="en-IN" sz="1200" b="0" cap="none" spc="0" baseline="0">
              <a:ln w="0"/>
              <a:solidFill>
                <a:sysClr val="windowText" lastClr="000000"/>
              </a:solidFill>
              <a:effectLst>
                <a:outerShdw blurRad="38100" dist="25400" dir="5400000" algn="ctr" rotWithShape="0">
                  <a:srgbClr val="6E747A">
                    <a:alpha val="43000"/>
                  </a:srgbClr>
                </a:outerShdw>
              </a:effectLst>
            </a:rPr>
            <a:t> B</a:t>
          </a:r>
          <a:endParaRPr lang="en-IN" sz="1200" b="0" cap="none" spc="0">
            <a:ln w="0"/>
            <a:solidFill>
              <a:sysClr val="windowText" lastClr="000000"/>
            </a:solidFill>
            <a:effectLst>
              <a:outerShdw blurRad="38100" dist="25400" dir="5400000" algn="ctr" rotWithShape="0">
                <a:srgbClr val="6E747A">
                  <a:alpha val="43000"/>
                </a:srgbClr>
              </a:outerShdw>
            </a:effectLst>
          </a:endParaRPr>
        </a:p>
      </xdr:txBody>
    </xdr:sp>
    <xdr:clientData/>
  </xdr:oneCellAnchor>
  <xdr:twoCellAnchor>
    <xdr:from>
      <xdr:col>11</xdr:col>
      <xdr:colOff>0</xdr:colOff>
      <xdr:row>387</xdr:row>
      <xdr:rowOff>95855</xdr:rowOff>
    </xdr:from>
    <xdr:to>
      <xdr:col>12</xdr:col>
      <xdr:colOff>523580</xdr:colOff>
      <xdr:row>389</xdr:row>
      <xdr:rowOff>90537</xdr:rowOff>
    </xdr:to>
    <xdr:sp macro="" textlink="">
      <xdr:nvSpPr>
        <xdr:cNvPr id="24" name="TextBox 21">
          <a:extLst>
            <a:ext uri="{FF2B5EF4-FFF2-40B4-BE49-F238E27FC236}">
              <a16:creationId xmlns:a16="http://schemas.microsoft.com/office/drawing/2014/main" id="{D13CD533-2F52-4A7A-93AA-9AE9386291AD}"/>
            </a:ext>
          </a:extLst>
        </xdr:cNvPr>
        <xdr:cNvSpPr txBox="1"/>
      </xdr:nvSpPr>
      <xdr:spPr>
        <a:xfrm flipH="1">
          <a:off x="7315200" y="79997905"/>
          <a:ext cx="1133180" cy="36298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clientData/>
  </xdr:twoCellAnchor>
  <xdr:twoCellAnchor>
    <xdr:from>
      <xdr:col>13</xdr:col>
      <xdr:colOff>143999</xdr:colOff>
      <xdr:row>387</xdr:row>
      <xdr:rowOff>0</xdr:rowOff>
    </xdr:from>
    <xdr:to>
      <xdr:col>15</xdr:col>
      <xdr:colOff>153229</xdr:colOff>
      <xdr:row>388</xdr:row>
      <xdr:rowOff>172482</xdr:rowOff>
    </xdr:to>
    <xdr:sp macro="" textlink="">
      <xdr:nvSpPr>
        <xdr:cNvPr id="25" name="TextBox 31">
          <a:extLst>
            <a:ext uri="{FF2B5EF4-FFF2-40B4-BE49-F238E27FC236}">
              <a16:creationId xmlns:a16="http://schemas.microsoft.com/office/drawing/2014/main" id="{C4383D1E-1005-4317-AB85-2DD87A2B565A}"/>
            </a:ext>
          </a:extLst>
        </xdr:cNvPr>
        <xdr:cNvSpPr txBox="1"/>
      </xdr:nvSpPr>
      <xdr:spPr>
        <a:xfrm flipH="1">
          <a:off x="8678399" y="79902050"/>
          <a:ext cx="1228430" cy="3566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clientData/>
  </xdr:twoCellAnchor>
  <xdr:twoCellAnchor>
    <xdr:from>
      <xdr:col>0</xdr:col>
      <xdr:colOff>285750</xdr:colOff>
      <xdr:row>388</xdr:row>
      <xdr:rowOff>139700</xdr:rowOff>
    </xdr:from>
    <xdr:to>
      <xdr:col>9</xdr:col>
      <xdr:colOff>156237</xdr:colOff>
      <xdr:row>428</xdr:row>
      <xdr:rowOff>41382</xdr:rowOff>
    </xdr:to>
    <xdr:grpSp>
      <xdr:nvGrpSpPr>
        <xdr:cNvPr id="2" name="Group 1"/>
        <xdr:cNvGrpSpPr/>
      </xdr:nvGrpSpPr>
      <xdr:grpSpPr>
        <a:xfrm>
          <a:off x="285750" y="81172050"/>
          <a:ext cx="6410987" cy="7274032"/>
          <a:chOff x="285750" y="81172050"/>
          <a:chExt cx="6410987" cy="7274032"/>
        </a:xfrm>
      </xdr:grpSpPr>
      <xdr:pic>
        <xdr:nvPicPr>
          <xdr:cNvPr id="26" name="Picture 2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669560" y="86286082"/>
            <a:ext cx="1618313" cy="216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466312" y="81172050"/>
            <a:ext cx="2049863" cy="2736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039860" y="84017066"/>
            <a:ext cx="2877714" cy="21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5053371" y="84017066"/>
            <a:ext cx="1625063"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85750" y="84017066"/>
            <a:ext cx="1618313" cy="216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85750" y="81172050"/>
            <a:ext cx="2049863" cy="2736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646874" y="81172050"/>
            <a:ext cx="2049863" cy="2736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CWdF4Xx7DWsoXCQr8?coh=178572&amp;entry=tt"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4"/>
  <sheetViews>
    <sheetView tabSelected="1" view="pageBreakPreview" zoomScaleNormal="100" zoomScaleSheetLayoutView="100" zoomScalePageLayoutView="175" workbookViewId="0">
      <selection activeCell="F9" sqref="F9:J9"/>
    </sheetView>
  </sheetViews>
  <sheetFormatPr defaultRowHeight="14.5" x14ac:dyDescent="0.35"/>
  <cols>
    <col min="1" max="1" width="8.7265625" customWidth="1"/>
    <col min="2" max="2" width="14.7265625" customWidth="1"/>
    <col min="3" max="3" width="15.81640625" customWidth="1"/>
    <col min="4" max="4" width="9.453125" customWidth="1"/>
    <col min="5" max="5" width="7.26953125" customWidth="1"/>
    <col min="6" max="6" width="9" customWidth="1"/>
    <col min="7" max="8" width="9.81640625" customWidth="1"/>
    <col min="9" max="9" width="9" customWidth="1"/>
    <col min="10" max="10" width="7.54296875" customWidth="1"/>
    <col min="11" max="11" width="3.54296875" customWidth="1"/>
  </cols>
  <sheetData>
    <row r="1" spans="1:10" ht="45" customHeight="1" x14ac:dyDescent="0.35">
      <c r="A1" s="114" t="s">
        <v>229</v>
      </c>
      <c r="B1" s="115"/>
      <c r="C1" s="115"/>
      <c r="D1" s="115"/>
      <c r="E1" s="115"/>
      <c r="F1" s="115"/>
      <c r="G1" s="115"/>
      <c r="H1" s="115"/>
      <c r="I1" s="115"/>
      <c r="J1" s="116"/>
    </row>
    <row r="2" spans="1:10" x14ac:dyDescent="0.35">
      <c r="A2" s="185" t="s">
        <v>44</v>
      </c>
      <c r="B2" s="186"/>
      <c r="C2" s="186"/>
      <c r="D2" s="186"/>
      <c r="E2" s="186"/>
      <c r="F2" s="186"/>
      <c r="G2" s="186"/>
      <c r="H2" s="186"/>
      <c r="I2" s="186"/>
      <c r="J2" s="187"/>
    </row>
    <row r="3" spans="1:10" x14ac:dyDescent="0.35">
      <c r="A3" s="181" t="s">
        <v>0</v>
      </c>
      <c r="B3" s="66"/>
      <c r="C3" s="66"/>
      <c r="D3" s="66"/>
      <c r="E3" s="67"/>
      <c r="F3" s="137" t="str">
        <f ca="1">TEXT(TODAY(),"DD/MM/YYYY")</f>
        <v>19/09/2025</v>
      </c>
      <c r="G3" s="188"/>
      <c r="H3" s="188"/>
      <c r="I3" s="188"/>
      <c r="J3" s="189"/>
    </row>
    <row r="4" spans="1:10" x14ac:dyDescent="0.35">
      <c r="A4" s="181" t="s">
        <v>1</v>
      </c>
      <c r="B4" s="66"/>
      <c r="C4" s="66"/>
      <c r="D4" s="66"/>
      <c r="E4" s="67"/>
      <c r="F4" s="65" t="s">
        <v>140</v>
      </c>
      <c r="G4" s="77"/>
      <c r="H4" s="77"/>
      <c r="I4" s="77"/>
      <c r="J4" s="78"/>
    </row>
    <row r="5" spans="1:10" x14ac:dyDescent="0.35">
      <c r="A5" s="181" t="s">
        <v>2</v>
      </c>
      <c r="B5" s="66"/>
      <c r="C5" s="66"/>
      <c r="D5" s="66"/>
      <c r="E5" s="67"/>
      <c r="F5" s="137">
        <v>45906</v>
      </c>
      <c r="G5" s="188"/>
      <c r="H5" s="188"/>
      <c r="I5" s="188"/>
      <c r="J5" s="189"/>
    </row>
    <row r="6" spans="1:10" ht="16.5" customHeight="1" x14ac:dyDescent="0.35">
      <c r="A6" s="181" t="s">
        <v>3</v>
      </c>
      <c r="B6" s="66"/>
      <c r="C6" s="66"/>
      <c r="D6" s="66"/>
      <c r="E6" s="67"/>
      <c r="F6" s="117" t="s">
        <v>141</v>
      </c>
      <c r="G6" s="118"/>
      <c r="H6" s="118"/>
      <c r="I6" s="118"/>
      <c r="J6" s="119"/>
    </row>
    <row r="7" spans="1:10" ht="15" customHeight="1" x14ac:dyDescent="0.35">
      <c r="A7" s="181" t="s">
        <v>4</v>
      </c>
      <c r="B7" s="66"/>
      <c r="C7" s="66"/>
      <c r="D7" s="66"/>
      <c r="E7" s="67"/>
      <c r="F7" s="117" t="s">
        <v>141</v>
      </c>
      <c r="G7" s="118"/>
      <c r="H7" s="118"/>
      <c r="I7" s="118"/>
      <c r="J7" s="119"/>
    </row>
    <row r="8" spans="1:10" x14ac:dyDescent="0.35">
      <c r="A8" s="181" t="s">
        <v>5</v>
      </c>
      <c r="B8" s="66"/>
      <c r="C8" s="66"/>
      <c r="D8" s="66"/>
      <c r="E8" s="67"/>
      <c r="F8" s="125" t="s">
        <v>142</v>
      </c>
      <c r="G8" s="126"/>
      <c r="H8" s="126"/>
      <c r="I8" s="126"/>
      <c r="J8" s="127"/>
    </row>
    <row r="9" spans="1:10" x14ac:dyDescent="0.35">
      <c r="A9" s="65" t="s">
        <v>101</v>
      </c>
      <c r="B9" s="66"/>
      <c r="C9" s="66"/>
      <c r="D9" s="66"/>
      <c r="E9" s="67"/>
      <c r="F9" s="65" t="s">
        <v>143</v>
      </c>
      <c r="G9" s="77"/>
      <c r="H9" s="77"/>
      <c r="I9" s="77"/>
      <c r="J9" s="78"/>
    </row>
    <row r="10" spans="1:10" x14ac:dyDescent="0.35">
      <c r="A10" s="65" t="s">
        <v>230</v>
      </c>
      <c r="B10" s="66"/>
      <c r="C10" s="66"/>
      <c r="D10" s="66"/>
      <c r="E10" s="67"/>
      <c r="F10" s="65" t="s">
        <v>271</v>
      </c>
      <c r="G10" s="77"/>
      <c r="H10" s="77"/>
      <c r="I10" s="77"/>
      <c r="J10" s="78"/>
    </row>
    <row r="11" spans="1:10" x14ac:dyDescent="0.35">
      <c r="A11" s="65" t="s">
        <v>102</v>
      </c>
      <c r="B11" s="77"/>
      <c r="C11" s="77"/>
      <c r="D11" s="77"/>
      <c r="E11" s="78"/>
      <c r="F11" s="120" t="s">
        <v>236</v>
      </c>
      <c r="G11" s="121"/>
      <c r="H11" s="121"/>
      <c r="I11" s="121"/>
      <c r="J11" s="122"/>
    </row>
    <row r="12" spans="1:10" x14ac:dyDescent="0.35">
      <c r="A12" s="181" t="s">
        <v>6</v>
      </c>
      <c r="B12" s="66"/>
      <c r="C12" s="66"/>
      <c r="D12" s="66"/>
      <c r="E12" s="67"/>
      <c r="F12" s="117" t="s">
        <v>144</v>
      </c>
      <c r="G12" s="118"/>
      <c r="H12" s="118"/>
      <c r="I12" s="118"/>
      <c r="J12" s="119"/>
    </row>
    <row r="13" spans="1:10" x14ac:dyDescent="0.35">
      <c r="A13" s="65" t="s">
        <v>204</v>
      </c>
      <c r="B13" s="66"/>
      <c r="C13" s="66"/>
      <c r="D13" s="66"/>
      <c r="E13" s="67"/>
      <c r="F13" s="117" t="s">
        <v>205</v>
      </c>
      <c r="G13" s="118"/>
      <c r="H13" s="118"/>
      <c r="I13" s="118"/>
      <c r="J13" s="119"/>
    </row>
    <row r="14" spans="1:10" ht="31.5" customHeight="1" x14ac:dyDescent="0.35">
      <c r="A14" s="136" t="s">
        <v>57</v>
      </c>
      <c r="B14" s="136"/>
      <c r="C14" s="117" t="s">
        <v>234</v>
      </c>
      <c r="D14" s="118"/>
      <c r="E14" s="118"/>
      <c r="F14" s="118"/>
      <c r="G14" s="118"/>
      <c r="H14" s="118"/>
      <c r="I14" s="118"/>
      <c r="J14" s="119"/>
    </row>
    <row r="15" spans="1:10" ht="47.25" customHeight="1" x14ac:dyDescent="0.35">
      <c r="A15" s="149" t="s">
        <v>232</v>
      </c>
      <c r="B15" s="149"/>
      <c r="C15" s="190" t="s">
        <v>233</v>
      </c>
      <c r="D15" s="190"/>
      <c r="E15" s="190"/>
      <c r="F15" s="149" t="s">
        <v>58</v>
      </c>
      <c r="G15" s="149"/>
      <c r="H15" s="118" t="s">
        <v>145</v>
      </c>
      <c r="I15" s="118"/>
      <c r="J15" s="119"/>
    </row>
    <row r="16" spans="1:10" x14ac:dyDescent="0.35">
      <c r="A16" s="136" t="s">
        <v>7</v>
      </c>
      <c r="B16" s="136"/>
      <c r="C16" s="191" t="s">
        <v>147</v>
      </c>
      <c r="D16" s="191"/>
      <c r="E16" s="191"/>
      <c r="F16" s="149" t="s">
        <v>59</v>
      </c>
      <c r="G16" s="149"/>
      <c r="H16" s="118" t="s">
        <v>146</v>
      </c>
      <c r="I16" s="118"/>
      <c r="J16" s="119"/>
    </row>
    <row r="17" spans="1:10" x14ac:dyDescent="0.35">
      <c r="A17" s="136" t="s">
        <v>8</v>
      </c>
      <c r="B17" s="136"/>
      <c r="C17" s="191" t="s">
        <v>146</v>
      </c>
      <c r="D17" s="191"/>
      <c r="E17" s="191"/>
      <c r="F17" s="149" t="s">
        <v>60</v>
      </c>
      <c r="G17" s="149"/>
      <c r="H17" s="118">
        <v>421204</v>
      </c>
      <c r="I17" s="118"/>
      <c r="J17" s="119"/>
    </row>
    <row r="18" spans="1:10" ht="32.25" customHeight="1" x14ac:dyDescent="0.35">
      <c r="A18" s="136" t="s">
        <v>61</v>
      </c>
      <c r="B18" s="136"/>
      <c r="C18" s="191" t="s">
        <v>148</v>
      </c>
      <c r="D18" s="191"/>
      <c r="E18" s="191"/>
      <c r="F18" s="149" t="s">
        <v>51</v>
      </c>
      <c r="G18" s="149"/>
      <c r="H18" s="118" t="s">
        <v>235</v>
      </c>
      <c r="I18" s="118"/>
      <c r="J18" s="119"/>
    </row>
    <row r="19" spans="1:10" ht="15" customHeight="1" x14ac:dyDescent="0.35">
      <c r="A19" s="138" t="s">
        <v>103</v>
      </c>
      <c r="B19" s="144"/>
      <c r="C19" s="144"/>
      <c r="D19" s="144"/>
      <c r="E19" s="145"/>
      <c r="F19" s="192" t="s">
        <v>152</v>
      </c>
      <c r="G19" s="193"/>
      <c r="H19" s="193"/>
      <c r="I19" s="193"/>
      <c r="J19" s="194"/>
    </row>
    <row r="20" spans="1:10" ht="31.5" customHeight="1" x14ac:dyDescent="0.35">
      <c r="A20" s="146"/>
      <c r="B20" s="147"/>
      <c r="C20" s="147"/>
      <c r="D20" s="147"/>
      <c r="E20" s="148"/>
      <c r="F20" s="103"/>
      <c r="G20" s="104"/>
      <c r="H20" s="104"/>
      <c r="I20" s="104"/>
      <c r="J20" s="105"/>
    </row>
    <row r="21" spans="1:10" ht="15" customHeight="1" x14ac:dyDescent="0.35">
      <c r="A21" s="138" t="s">
        <v>104</v>
      </c>
      <c r="B21" s="139"/>
      <c r="C21" s="139"/>
      <c r="D21" s="139"/>
      <c r="E21" s="140"/>
      <c r="F21" s="138" t="s">
        <v>46</v>
      </c>
      <c r="G21" s="144"/>
      <c r="H21" s="144"/>
      <c r="I21" s="144"/>
      <c r="J21" s="145"/>
    </row>
    <row r="22" spans="1:10" x14ac:dyDescent="0.35">
      <c r="A22" s="141"/>
      <c r="B22" s="142"/>
      <c r="C22" s="142"/>
      <c r="D22" s="142"/>
      <c r="E22" s="143"/>
      <c r="F22" s="146"/>
      <c r="G22" s="147"/>
      <c r="H22" s="147"/>
      <c r="I22" s="147"/>
      <c r="J22" s="148"/>
    </row>
    <row r="23" spans="1:10" ht="15.75" customHeight="1" x14ac:dyDescent="0.35">
      <c r="A23" s="181" t="s">
        <v>9</v>
      </c>
      <c r="B23" s="66"/>
      <c r="C23" s="66"/>
      <c r="D23" s="66"/>
      <c r="E23" s="67"/>
      <c r="F23" s="182" t="s">
        <v>150</v>
      </c>
      <c r="G23" s="183"/>
      <c r="H23" s="183"/>
      <c r="I23" s="183"/>
      <c r="J23" s="184"/>
    </row>
    <row r="24" spans="1:10" x14ac:dyDescent="0.35">
      <c r="A24" s="181" t="s">
        <v>10</v>
      </c>
      <c r="B24" s="66"/>
      <c r="C24" s="66"/>
      <c r="D24" s="66"/>
      <c r="E24" s="67"/>
      <c r="F24" s="167" t="s">
        <v>52</v>
      </c>
      <c r="G24" s="195"/>
      <c r="H24" s="195"/>
      <c r="I24" s="195"/>
      <c r="J24" s="196"/>
    </row>
    <row r="25" spans="1:10" ht="19.5" customHeight="1" x14ac:dyDescent="0.35">
      <c r="A25" s="181" t="s">
        <v>11</v>
      </c>
      <c r="B25" s="66"/>
      <c r="C25" s="66"/>
      <c r="D25" s="66"/>
      <c r="E25" s="67"/>
      <c r="F25" s="182" t="s">
        <v>151</v>
      </c>
      <c r="G25" s="183"/>
      <c r="H25" s="183"/>
      <c r="I25" s="183"/>
      <c r="J25" s="184"/>
    </row>
    <row r="26" spans="1:10" x14ac:dyDescent="0.35">
      <c r="A26" s="181" t="s">
        <v>29</v>
      </c>
      <c r="B26" s="66"/>
      <c r="C26" s="66"/>
      <c r="D26" s="66"/>
      <c r="E26" s="67"/>
      <c r="F26" s="167" t="s">
        <v>62</v>
      </c>
      <c r="G26" s="168"/>
      <c r="H26" s="168"/>
      <c r="I26" s="168"/>
      <c r="J26" s="169"/>
    </row>
    <row r="27" spans="1:10" x14ac:dyDescent="0.35">
      <c r="A27" s="101" t="s">
        <v>12</v>
      </c>
      <c r="B27" s="102"/>
      <c r="C27" s="101" t="s">
        <v>13</v>
      </c>
      <c r="D27" s="102"/>
      <c r="E27" s="99" t="s">
        <v>14</v>
      </c>
      <c r="F27" s="102"/>
      <c r="G27" s="99" t="s">
        <v>50</v>
      </c>
      <c r="H27" s="100"/>
      <c r="I27" s="101" t="s">
        <v>15</v>
      </c>
      <c r="J27" s="102"/>
    </row>
    <row r="28" spans="1:10" x14ac:dyDescent="0.35">
      <c r="A28" s="99" t="s">
        <v>16</v>
      </c>
      <c r="B28" s="100"/>
      <c r="C28" s="99" t="s">
        <v>49</v>
      </c>
      <c r="D28" s="100"/>
      <c r="E28" s="99" t="s">
        <v>49</v>
      </c>
      <c r="F28" s="100"/>
      <c r="G28" s="99" t="s">
        <v>49</v>
      </c>
      <c r="H28" s="100"/>
      <c r="I28" s="99" t="s">
        <v>49</v>
      </c>
      <c r="J28" s="100"/>
    </row>
    <row r="29" spans="1:10" x14ac:dyDescent="0.35">
      <c r="A29" s="101" t="s">
        <v>17</v>
      </c>
      <c r="B29" s="102"/>
      <c r="C29" s="99" t="s">
        <v>153</v>
      </c>
      <c r="D29" s="100"/>
      <c r="E29" s="99" t="s">
        <v>154</v>
      </c>
      <c r="F29" s="100"/>
      <c r="G29" s="99" t="s">
        <v>155</v>
      </c>
      <c r="H29" s="100"/>
      <c r="I29" s="99" t="s">
        <v>156</v>
      </c>
      <c r="J29" s="100"/>
    </row>
    <row r="30" spans="1:10" x14ac:dyDescent="0.35">
      <c r="A30" s="136" t="s">
        <v>55</v>
      </c>
      <c r="B30" s="136"/>
      <c r="C30" s="136"/>
      <c r="D30" s="136"/>
      <c r="E30" s="136"/>
      <c r="F30" s="136"/>
      <c r="G30" s="136"/>
      <c r="H30" s="136"/>
      <c r="I30" s="136"/>
      <c r="J30" s="136"/>
    </row>
    <row r="31" spans="1:10" x14ac:dyDescent="0.35">
      <c r="A31" s="136" t="s">
        <v>149</v>
      </c>
      <c r="B31" s="136"/>
      <c r="C31" s="136"/>
      <c r="D31" s="136"/>
      <c r="E31" s="136"/>
      <c r="F31" s="136"/>
      <c r="G31" s="136"/>
      <c r="H31" s="136"/>
      <c r="I31" s="136"/>
      <c r="J31" s="136"/>
    </row>
    <row r="32" spans="1:10" x14ac:dyDescent="0.35">
      <c r="A32" s="136" t="s">
        <v>41</v>
      </c>
      <c r="B32" s="136"/>
      <c r="C32" s="136" t="s">
        <v>231</v>
      </c>
      <c r="D32" s="136"/>
      <c r="E32" s="136"/>
      <c r="F32" s="136"/>
      <c r="G32" s="136"/>
      <c r="H32" s="136"/>
      <c r="I32" s="136"/>
      <c r="J32" s="136"/>
    </row>
    <row r="33" spans="1:10" x14ac:dyDescent="0.35">
      <c r="A33" s="136" t="s">
        <v>227</v>
      </c>
      <c r="B33" s="136"/>
      <c r="C33" s="200" t="s">
        <v>228</v>
      </c>
      <c r="D33" s="136"/>
      <c r="E33" s="136"/>
      <c r="F33" s="136"/>
      <c r="G33" s="136"/>
      <c r="H33" s="136"/>
      <c r="I33" s="136"/>
      <c r="J33" s="136"/>
    </row>
    <row r="34" spans="1:10" x14ac:dyDescent="0.35">
      <c r="A34" s="204" t="s">
        <v>18</v>
      </c>
      <c r="B34" s="204"/>
      <c r="C34" s="204"/>
      <c r="D34" s="204"/>
      <c r="E34" s="204"/>
      <c r="F34" s="204"/>
      <c r="G34" s="204"/>
      <c r="H34" s="204"/>
      <c r="I34" s="204"/>
      <c r="J34" s="204"/>
    </row>
    <row r="35" spans="1:10" ht="15" customHeight="1" x14ac:dyDescent="0.35">
      <c r="A35" s="149" t="s">
        <v>131</v>
      </c>
      <c r="B35" s="149"/>
      <c r="C35" s="149"/>
      <c r="D35" s="149"/>
      <c r="E35" s="149"/>
      <c r="F35" s="149"/>
      <c r="G35" s="149"/>
      <c r="H35" s="149"/>
      <c r="I35" s="149"/>
      <c r="J35" s="149"/>
    </row>
    <row r="36" spans="1:10" x14ac:dyDescent="0.35">
      <c r="A36" s="149"/>
      <c r="B36" s="149"/>
      <c r="C36" s="149"/>
      <c r="D36" s="149"/>
      <c r="E36" s="149"/>
      <c r="F36" s="149"/>
      <c r="G36" s="149"/>
      <c r="H36" s="149"/>
      <c r="I36" s="149"/>
      <c r="J36" s="149"/>
    </row>
    <row r="37" spans="1:10" ht="16.5" customHeight="1" x14ac:dyDescent="0.35">
      <c r="A37" s="136" t="s">
        <v>63</v>
      </c>
      <c r="B37" s="178"/>
      <c r="C37" s="178"/>
      <c r="D37" s="178"/>
      <c r="E37" s="178"/>
      <c r="F37" s="149">
        <v>5313.07</v>
      </c>
      <c r="G37" s="149"/>
      <c r="H37" s="149"/>
      <c r="I37" s="149"/>
      <c r="J37" s="149"/>
    </row>
    <row r="38" spans="1:10" x14ac:dyDescent="0.35">
      <c r="A38" s="178" t="s">
        <v>19</v>
      </c>
      <c r="B38" s="178"/>
      <c r="C38" s="178"/>
      <c r="D38" s="178"/>
      <c r="E38" s="178"/>
      <c r="F38" s="136">
        <v>0.95</v>
      </c>
      <c r="G38" s="136"/>
      <c r="H38" s="136"/>
      <c r="I38" s="136"/>
      <c r="J38" s="136"/>
    </row>
    <row r="39" spans="1:10" x14ac:dyDescent="0.35">
      <c r="A39" s="178" t="s">
        <v>20</v>
      </c>
      <c r="B39" s="178"/>
      <c r="C39" s="178"/>
      <c r="D39" s="178"/>
      <c r="E39" s="178"/>
      <c r="F39" s="136">
        <v>0</v>
      </c>
      <c r="G39" s="136"/>
      <c r="H39" s="136"/>
      <c r="I39" s="136"/>
      <c r="J39" s="136"/>
    </row>
    <row r="40" spans="1:10" x14ac:dyDescent="0.35">
      <c r="A40" s="178" t="s">
        <v>21</v>
      </c>
      <c r="B40" s="178"/>
      <c r="C40" s="178"/>
      <c r="D40" s="178"/>
      <c r="E40" s="178"/>
      <c r="F40" s="136">
        <v>0.95</v>
      </c>
      <c r="G40" s="136"/>
      <c r="H40" s="136"/>
      <c r="I40" s="136"/>
      <c r="J40" s="136"/>
    </row>
    <row r="41" spans="1:10" x14ac:dyDescent="0.35">
      <c r="A41" s="136" t="s">
        <v>64</v>
      </c>
      <c r="B41" s="178"/>
      <c r="C41" s="178"/>
      <c r="D41" s="178"/>
      <c r="E41" s="178"/>
      <c r="F41" s="136">
        <v>5047.41</v>
      </c>
      <c r="G41" s="136"/>
      <c r="H41" s="136"/>
      <c r="I41" s="136"/>
      <c r="J41" s="136"/>
    </row>
    <row r="42" spans="1:10" x14ac:dyDescent="0.35">
      <c r="A42" s="181" t="s">
        <v>22</v>
      </c>
      <c r="B42" s="66"/>
      <c r="C42" s="66"/>
      <c r="D42" s="66"/>
      <c r="E42" s="67"/>
      <c r="F42" s="65" t="s">
        <v>132</v>
      </c>
      <c r="G42" s="77"/>
      <c r="H42" s="77"/>
      <c r="I42" s="77"/>
      <c r="J42" s="78"/>
    </row>
    <row r="43" spans="1:10" x14ac:dyDescent="0.35">
      <c r="A43" s="125" t="s">
        <v>66</v>
      </c>
      <c r="B43" s="126"/>
      <c r="C43" s="126"/>
      <c r="D43" s="126"/>
      <c r="E43" s="126"/>
      <c r="F43" s="126"/>
      <c r="G43" s="126"/>
      <c r="H43" s="126"/>
      <c r="I43" s="126"/>
      <c r="J43" s="127"/>
    </row>
    <row r="44" spans="1:10" x14ac:dyDescent="0.35">
      <c r="A44" s="117" t="s">
        <v>65</v>
      </c>
      <c r="B44" s="119"/>
      <c r="C44" s="130" t="s">
        <v>239</v>
      </c>
      <c r="D44" s="131"/>
      <c r="E44" s="131"/>
      <c r="F44" s="132"/>
      <c r="G44" s="2" t="s">
        <v>56</v>
      </c>
      <c r="H44" s="111">
        <v>45022</v>
      </c>
      <c r="I44" s="123"/>
      <c r="J44" s="124"/>
    </row>
    <row r="45" spans="1:10" x14ac:dyDescent="0.35">
      <c r="A45" s="117" t="s">
        <v>67</v>
      </c>
      <c r="B45" s="119"/>
      <c r="C45" s="130" t="str">
        <f>C44</f>
        <v>KDMC/TPD/BP/27 Village/2017-18/24/11</v>
      </c>
      <c r="D45" s="131"/>
      <c r="E45" s="131"/>
      <c r="F45" s="132"/>
      <c r="G45" s="2" t="s">
        <v>56</v>
      </c>
      <c r="H45" s="111">
        <f>H44</f>
        <v>45022</v>
      </c>
      <c r="I45" s="123"/>
      <c r="J45" s="124"/>
    </row>
    <row r="46" spans="1:10" ht="61.5" customHeight="1" x14ac:dyDescent="0.35">
      <c r="A46" s="117" t="s">
        <v>237</v>
      </c>
      <c r="B46" s="119"/>
      <c r="C46" s="133" t="s">
        <v>238</v>
      </c>
      <c r="D46" s="134"/>
      <c r="E46" s="134"/>
      <c r="F46" s="135"/>
      <c r="G46" s="2" t="s">
        <v>56</v>
      </c>
      <c r="H46" s="111">
        <v>45022</v>
      </c>
      <c r="I46" s="112"/>
      <c r="J46" s="113"/>
    </row>
    <row r="47" spans="1:10" ht="43" customHeight="1" x14ac:dyDescent="0.35">
      <c r="A47" s="204" t="s">
        <v>266</v>
      </c>
      <c r="B47" s="204"/>
      <c r="C47" s="205" t="s">
        <v>267</v>
      </c>
      <c r="D47" s="204"/>
      <c r="E47" s="204"/>
      <c r="F47" s="204"/>
      <c r="G47" s="47" t="s">
        <v>265</v>
      </c>
      <c r="H47" s="206">
        <v>45639</v>
      </c>
      <c r="I47" s="204"/>
      <c r="J47" s="204"/>
    </row>
    <row r="48" spans="1:10" x14ac:dyDescent="0.35">
      <c r="A48" s="136" t="s">
        <v>71</v>
      </c>
      <c r="B48" s="136"/>
      <c r="C48" s="136"/>
      <c r="D48" s="128">
        <v>44174</v>
      </c>
      <c r="E48" s="129"/>
      <c r="F48" s="65" t="s">
        <v>68</v>
      </c>
      <c r="G48" s="179"/>
      <c r="H48" s="137">
        <v>46203</v>
      </c>
      <c r="I48" s="77"/>
      <c r="J48" s="78"/>
    </row>
    <row r="49" spans="1:12" x14ac:dyDescent="0.35">
      <c r="A49" s="207" t="s">
        <v>23</v>
      </c>
      <c r="B49" s="208"/>
      <c r="C49" s="208"/>
      <c r="D49" s="208"/>
      <c r="E49" s="208"/>
      <c r="F49" s="208"/>
      <c r="G49" s="208"/>
      <c r="H49" s="208"/>
      <c r="I49" s="208"/>
      <c r="J49" s="209"/>
    </row>
    <row r="50" spans="1:12" ht="45.75" customHeight="1" x14ac:dyDescent="0.35">
      <c r="A50" s="65" t="s">
        <v>99</v>
      </c>
      <c r="B50" s="77"/>
      <c r="C50" s="78"/>
      <c r="D50" s="120">
        <v>19782.599999999999</v>
      </c>
      <c r="E50" s="122"/>
      <c r="F50" s="108" t="s">
        <v>157</v>
      </c>
      <c r="G50" s="110"/>
      <c r="H50" s="108" t="s">
        <v>264</v>
      </c>
      <c r="I50" s="109"/>
      <c r="J50" s="110"/>
    </row>
    <row r="51" spans="1:12" ht="15" customHeight="1" x14ac:dyDescent="0.35">
      <c r="A51" s="136" t="s">
        <v>69</v>
      </c>
      <c r="B51" s="136"/>
      <c r="C51" s="108" t="s">
        <v>202</v>
      </c>
      <c r="D51" s="109"/>
      <c r="E51" s="109"/>
      <c r="F51" s="109"/>
      <c r="G51" s="109"/>
      <c r="H51" s="109"/>
      <c r="I51" s="109"/>
      <c r="J51" s="110"/>
    </row>
    <row r="52" spans="1:12" x14ac:dyDescent="0.35">
      <c r="A52" s="136" t="s">
        <v>167</v>
      </c>
      <c r="B52" s="136"/>
      <c r="C52" s="117" t="s">
        <v>202</v>
      </c>
      <c r="D52" s="118"/>
      <c r="E52" s="118"/>
      <c r="F52" s="118"/>
      <c r="G52" s="118"/>
      <c r="H52" s="118"/>
      <c r="I52" s="118"/>
      <c r="J52" s="119"/>
    </row>
    <row r="53" spans="1:12" x14ac:dyDescent="0.35">
      <c r="A53" s="65" t="s">
        <v>47</v>
      </c>
      <c r="B53" s="77"/>
      <c r="C53" s="77"/>
      <c r="D53" s="77"/>
      <c r="E53" s="78"/>
      <c r="F53" s="117" t="s">
        <v>226</v>
      </c>
      <c r="G53" s="118"/>
      <c r="H53" s="118"/>
      <c r="I53" s="118"/>
      <c r="J53" s="119"/>
    </row>
    <row r="54" spans="1:12" ht="15" thickBot="1" x14ac:dyDescent="0.4">
      <c r="A54" s="65" t="s">
        <v>53</v>
      </c>
      <c r="B54" s="77"/>
      <c r="C54" s="77"/>
      <c r="D54" s="77"/>
      <c r="E54" s="77"/>
      <c r="F54" s="77"/>
      <c r="G54" s="77"/>
      <c r="H54" s="77"/>
      <c r="I54" s="77"/>
      <c r="J54" s="78"/>
    </row>
    <row r="55" spans="1:12" ht="15" customHeight="1" x14ac:dyDescent="0.35">
      <c r="A55" s="81" t="s">
        <v>168</v>
      </c>
      <c r="B55" s="82"/>
      <c r="C55" s="83" t="s">
        <v>201</v>
      </c>
      <c r="D55" s="84"/>
      <c r="E55" s="84"/>
      <c r="F55" s="84"/>
      <c r="G55" s="84"/>
      <c r="H55" s="84"/>
      <c r="I55" s="84"/>
      <c r="J55" s="85"/>
      <c r="K55" s="18" t="str">
        <f ca="1">(IF(F59&gt;99%,"All work completed. Please provide OC.",IF(F59&gt;89.8%,"Plinth, RCC, Brick, Plaster, Flooring, Painting work Completed. Finishing work is in process.",IF(F59&lt;94%,(IF(C59=0,"Work not yet Started.",IF(D59=25%,"Piling work in process",IF(D59=50%,"Excavation work in process",IF(D59=100%,"Excavation work Completed. ","0")))&amp;(IF(C60=0%,"",IF(C60=L61,"Footing work is process",IF(C60=L62,"Footing work Completed",IF(C60=L63,"1st Basement Completed",IF(C60=L64,"1st &amp; 2nd Basement Completed",IF(C60=L65,"1st to 3rd Basement Completed",IF(C60=L66,"1st to 4th Basement Completed",IF(C60=L67,"Plinth work is process",IF(C60=L68,"Plinth work completed","0")))))))))))&amp;(IF(C61=(D56+G56+I56),", RCC Slab",IF(C61&gt;0,", RCC upto "&amp;C61&amp;" Slab",""))&amp;(IF(C62=I56,", Brickwork",IF(C62&gt;0,", Brickwork upto "&amp;C62&amp;" Floor",""))&amp;(IF(C63=I56,", Internal Plaster",IF(C63&gt;0,", Internal Plaster upto "&amp;C63&amp;" Floor",""))&amp;(IF(C64=I56,", External Plaster",IF(C64&gt;0,", External Plaster upto "&amp;C64&amp;" Floor",""))&amp;(IF(C65=I56,", Flooring",IF(C65&gt;0,", Flooring upto "&amp;C65&amp;" Floor",""))&amp;(IF(C66=I56,", Painting",IF(C66&gt;0,", Painting upto "&amp;C66&amp;" Floor",""))&amp;(IF(C67&gt;0,", Finishing upto "&amp;C67&amp;" Floor","")&amp;(IF(C61&gt;0.5," Completed",""))))))))))))))</f>
        <v>Excavation work Completed. Plinth work completed, RCC Slab, Brickwork, Internal Plaster upto 27 Floor, External Plaster upto 12 Floor, Flooring upto 4 Floor Completed</v>
      </c>
      <c r="L55" s="19"/>
    </row>
    <row r="56" spans="1:12" ht="15.5" x14ac:dyDescent="0.35">
      <c r="A56" s="41" t="s">
        <v>169</v>
      </c>
      <c r="B56" s="41">
        <v>0</v>
      </c>
      <c r="C56" s="41" t="s">
        <v>170</v>
      </c>
      <c r="D56" s="41">
        <v>1</v>
      </c>
      <c r="E56" s="86" t="s">
        <v>171</v>
      </c>
      <c r="F56" s="87"/>
      <c r="G56" s="41">
        <v>0</v>
      </c>
      <c r="H56" s="41" t="s">
        <v>172</v>
      </c>
      <c r="I56" s="86">
        <f ca="1">--TRIM(RIGHT(SUBSTITUTE(LEFT(C55,_xlfn.AGGREGATE(16,6,FIND({0,1,2,3,4,5,6,7,8,9},C55,ROW(INDIRECT("1:"&amp;LEN(C55)))),1))," ",REPT(" ",LEN(C55))),LEN(C55)))</f>
        <v>28</v>
      </c>
      <c r="J56" s="87"/>
      <c r="K56" s="20"/>
      <c r="L56" s="21"/>
    </row>
    <row r="57" spans="1:12" ht="50" customHeight="1" x14ac:dyDescent="0.35">
      <c r="A57" s="88" t="s">
        <v>173</v>
      </c>
      <c r="B57" s="88"/>
      <c r="C57" s="89" t="str">
        <f ca="1">K55</f>
        <v>Excavation work Completed. Plinth work completed, RCC Slab, Brickwork, Internal Plaster upto 27 Floor, External Plaster upto 12 Floor, Flooring upto 4 Floor Completed</v>
      </c>
      <c r="D57" s="90"/>
      <c r="E57" s="90"/>
      <c r="F57" s="90"/>
      <c r="G57" s="90"/>
      <c r="H57" s="90"/>
      <c r="I57" s="90"/>
      <c r="J57" s="91"/>
      <c r="K57" s="20" t="s">
        <v>174</v>
      </c>
      <c r="L57" s="21"/>
    </row>
    <row r="58" spans="1:12" ht="15.5" x14ac:dyDescent="0.35">
      <c r="A58" s="92" t="s">
        <v>33</v>
      </c>
      <c r="B58" s="93"/>
      <c r="C58" s="39" t="s">
        <v>175</v>
      </c>
      <c r="D58" s="64" t="s">
        <v>176</v>
      </c>
      <c r="E58" s="64"/>
      <c r="F58" s="64" t="s">
        <v>177</v>
      </c>
      <c r="G58" s="64"/>
      <c r="H58" s="64" t="s">
        <v>178</v>
      </c>
      <c r="I58" s="64"/>
      <c r="J58" s="64"/>
      <c r="K58" s="22" t="s">
        <v>179</v>
      </c>
      <c r="L58" s="23">
        <f ca="1">I56*25%</f>
        <v>7</v>
      </c>
    </row>
    <row r="59" spans="1:12" ht="15.5" x14ac:dyDescent="0.35">
      <c r="A59" s="64" t="s">
        <v>180</v>
      </c>
      <c r="B59" s="64"/>
      <c r="C59" s="29">
        <f ca="1">L60</f>
        <v>28</v>
      </c>
      <c r="D59" s="80">
        <f ca="1">((100/I56)*C59)/100</f>
        <v>1</v>
      </c>
      <c r="E59" s="80"/>
      <c r="F59" s="80">
        <f ca="1">(((C60/I56*10)+(40/(D56+G56+I56)*C61)+(7.5/(I56)*C62)+(7.5/(I56)*C63)+(10/I56*C64)+(10/I56*C65)+(5/I56*C66)+(5/I56*C67)+(5/I56*C68))/100)</f>
        <v>0.70446428571428588</v>
      </c>
      <c r="G59" s="80"/>
      <c r="H59" s="80">
        <f ca="1">((((C59/I56)*20)+((C60/I56)*25)+(30/(I56+G56+D56)*C61)+(5/I56*C62)+(5/I56*C63)+(5/I56*C64)+(5/I56*C65)+(0/I56*C66)+(0/I56*C67)+(5/I56*C68))/100)</f>
        <v>0.87678571428571417</v>
      </c>
      <c r="I59" s="80"/>
      <c r="J59" s="80"/>
      <c r="K59" s="22" t="s">
        <v>181</v>
      </c>
      <c r="L59" s="24">
        <f ca="1">I56*50%</f>
        <v>14</v>
      </c>
    </row>
    <row r="60" spans="1:12" ht="15.5" x14ac:dyDescent="0.35">
      <c r="A60" s="64" t="s">
        <v>34</v>
      </c>
      <c r="B60" s="64"/>
      <c r="C60" s="30">
        <f ca="1">L68</f>
        <v>28</v>
      </c>
      <c r="D60" s="80">
        <f ca="1">((100/I56)*C60)/100</f>
        <v>1</v>
      </c>
      <c r="E60" s="80"/>
      <c r="F60" s="80"/>
      <c r="G60" s="80"/>
      <c r="H60" s="80"/>
      <c r="I60" s="80"/>
      <c r="J60" s="80"/>
      <c r="K60" s="22" t="s">
        <v>182</v>
      </c>
      <c r="L60" s="24">
        <f ca="1">I56</f>
        <v>28</v>
      </c>
    </row>
    <row r="61" spans="1:12" ht="15.5" x14ac:dyDescent="0.35">
      <c r="A61" s="94" t="s">
        <v>183</v>
      </c>
      <c r="B61" s="94"/>
      <c r="C61" s="30">
        <v>29</v>
      </c>
      <c r="D61" s="80">
        <f ca="1">((100/(D56+G56+I56))*C61)/100</f>
        <v>1</v>
      </c>
      <c r="E61" s="80"/>
      <c r="F61" s="80"/>
      <c r="G61" s="80"/>
      <c r="H61" s="80"/>
      <c r="I61" s="80"/>
      <c r="J61" s="80"/>
      <c r="K61" s="22" t="s">
        <v>184</v>
      </c>
      <c r="L61" s="25">
        <f ca="1">(IF(B56&gt;1,(I56/(B56+2)),I56/4))</f>
        <v>7</v>
      </c>
    </row>
    <row r="62" spans="1:12" ht="15.5" x14ac:dyDescent="0.35">
      <c r="A62" s="64" t="s">
        <v>185</v>
      </c>
      <c r="B62" s="64" t="s">
        <v>186</v>
      </c>
      <c r="C62" s="29">
        <v>28</v>
      </c>
      <c r="D62" s="80">
        <f ca="1">((100/I56)*C62)/100</f>
        <v>1</v>
      </c>
      <c r="E62" s="80"/>
      <c r="F62" s="80"/>
      <c r="G62" s="80"/>
      <c r="H62" s="80"/>
      <c r="I62" s="80"/>
      <c r="J62" s="80"/>
      <c r="K62" s="22" t="s">
        <v>187</v>
      </c>
      <c r="L62" s="25">
        <f ca="1">(IF(B56&gt;1,(I56/(B56+2)+L61),I56/4+L61))</f>
        <v>14</v>
      </c>
    </row>
    <row r="63" spans="1:12" ht="15" customHeight="1" x14ac:dyDescent="0.35">
      <c r="A63" s="64" t="s">
        <v>188</v>
      </c>
      <c r="B63" s="64" t="s">
        <v>186</v>
      </c>
      <c r="C63" s="29">
        <v>27</v>
      </c>
      <c r="D63" s="80">
        <f ca="1">((100/I56)*C63)/100</f>
        <v>0.9642857142857143</v>
      </c>
      <c r="E63" s="80"/>
      <c r="F63" s="80"/>
      <c r="G63" s="80"/>
      <c r="H63" s="80"/>
      <c r="I63" s="80"/>
      <c r="J63" s="80"/>
      <c r="K63" s="22" t="s">
        <v>189</v>
      </c>
      <c r="L63" s="25">
        <f>(IF(B56&gt;1,(I56/(B56+2)+L62),0))</f>
        <v>0</v>
      </c>
    </row>
    <row r="64" spans="1:12" ht="15.5" x14ac:dyDescent="0.35">
      <c r="A64" s="64" t="s">
        <v>190</v>
      </c>
      <c r="B64" s="64" t="s">
        <v>191</v>
      </c>
      <c r="C64" s="29">
        <v>12</v>
      </c>
      <c r="D64" s="80">
        <f ca="1">((100/(I56))*C64)/100</f>
        <v>0.4285714285714286</v>
      </c>
      <c r="E64" s="80"/>
      <c r="F64" s="80"/>
      <c r="G64" s="80"/>
      <c r="H64" s="80"/>
      <c r="I64" s="80"/>
      <c r="J64" s="80"/>
      <c r="K64" s="22" t="s">
        <v>192</v>
      </c>
      <c r="L64" s="25">
        <f>(IF(B56&gt;2,(I56/(B56+2)+L63),0))</f>
        <v>0</v>
      </c>
    </row>
    <row r="65" spans="1:12" ht="15.5" x14ac:dyDescent="0.35">
      <c r="A65" s="64" t="s">
        <v>193</v>
      </c>
      <c r="B65" s="64" t="s">
        <v>193</v>
      </c>
      <c r="C65" s="29">
        <v>4</v>
      </c>
      <c r="D65" s="80">
        <f ca="1">((100/I56)*C65)/100</f>
        <v>0.14285714285714288</v>
      </c>
      <c r="E65" s="80"/>
      <c r="F65" s="80"/>
      <c r="G65" s="80"/>
      <c r="H65" s="80"/>
      <c r="I65" s="80"/>
      <c r="J65" s="80"/>
      <c r="K65" s="22" t="s">
        <v>194</v>
      </c>
      <c r="L65" s="26">
        <f>(IF(B56&gt;3,(I56/(B56+2)+L64),0))</f>
        <v>0</v>
      </c>
    </row>
    <row r="66" spans="1:12" ht="15" customHeight="1" x14ac:dyDescent="0.35">
      <c r="A66" s="64" t="s">
        <v>195</v>
      </c>
      <c r="B66" s="64"/>
      <c r="C66" s="29">
        <v>0</v>
      </c>
      <c r="D66" s="80">
        <f ca="1">((100/I56)*C66)/100</f>
        <v>0</v>
      </c>
      <c r="E66" s="80"/>
      <c r="F66" s="80"/>
      <c r="G66" s="80"/>
      <c r="H66" s="80"/>
      <c r="I66" s="80"/>
      <c r="J66" s="80"/>
      <c r="K66" s="22" t="s">
        <v>196</v>
      </c>
      <c r="L66" s="25">
        <f>(IF(B56&gt;4,(I56/(B56+2)+L65),0))</f>
        <v>0</v>
      </c>
    </row>
    <row r="67" spans="1:12" ht="15.5" x14ac:dyDescent="0.35">
      <c r="A67" s="64" t="s">
        <v>197</v>
      </c>
      <c r="B67" s="64" t="s">
        <v>197</v>
      </c>
      <c r="C67" s="29">
        <v>0</v>
      </c>
      <c r="D67" s="80">
        <f ca="1">((100/(I56))*C67)/100</f>
        <v>0</v>
      </c>
      <c r="E67" s="80"/>
      <c r="F67" s="80"/>
      <c r="G67" s="80"/>
      <c r="H67" s="80"/>
      <c r="I67" s="80"/>
      <c r="J67" s="80"/>
      <c r="K67" s="22" t="s">
        <v>198</v>
      </c>
      <c r="L67" s="25">
        <f ca="1">(IF(B56=1,(I56/(B56+3)+L62),IF(B56=0,(I56/4+L62),IF(B56&gt;1,0))))</f>
        <v>21</v>
      </c>
    </row>
    <row r="68" spans="1:12" ht="16" thickBot="1" x14ac:dyDescent="0.4">
      <c r="A68" s="64" t="s">
        <v>199</v>
      </c>
      <c r="B68" s="64"/>
      <c r="C68" s="29">
        <v>0</v>
      </c>
      <c r="D68" s="80">
        <f ca="1">((100/(I56))*C68)/100</f>
        <v>0</v>
      </c>
      <c r="E68" s="80"/>
      <c r="F68" s="80"/>
      <c r="G68" s="80"/>
      <c r="H68" s="80"/>
      <c r="I68" s="80"/>
      <c r="J68" s="80"/>
      <c r="K68" s="27" t="s">
        <v>200</v>
      </c>
      <c r="L68" s="28">
        <f ca="1">(IF(B56&gt;1.5,(I56/(B56+2)+L62+MAX(0,L63-L62)+MAX(0,L64-L63)+MAX(0,L65-L64)+MAX(0,L66-L65)+MAX(0,L67-L66)),IF(B56=1,(I56/(B56+3)+L67),IF(B56=0,I56/4+L67))))</f>
        <v>28</v>
      </c>
    </row>
    <row r="69" spans="1:12" ht="15.5" x14ac:dyDescent="0.35">
      <c r="A69" s="95" t="s">
        <v>168</v>
      </c>
      <c r="B69" s="95"/>
      <c r="C69" s="180" t="s">
        <v>203</v>
      </c>
      <c r="D69" s="180"/>
      <c r="E69" s="180"/>
      <c r="F69" s="180"/>
      <c r="G69" s="180"/>
      <c r="H69" s="180"/>
      <c r="I69" s="180"/>
      <c r="J69" s="180"/>
      <c r="K69" s="18" t="str">
        <f ca="1">(IF(F73&gt;99%,"All work completed. Please provide OC.",IF(F73&gt;89.8%,"Plinth, RCC, Brick, Plaster, Flooring, Painting work Completed. Finishing work is in process.",IF(F73&lt;94%,(IF(C73=0,"Work not yet Started.",IF(D73=25%,"Piling work in process",IF(D73=50%,"Excavation work in process",IF(D73=100%,"Excavation work Completed. ","0")))&amp;(IF(C74=0%,"",IF(C74=L75,"Footing work is process",IF(C74=L76,"Footing work Completed",IF(C74=L77,"1st Basement Completed",IF(C74=L78,"1st &amp; 2nd Basement Completed",IF(C74=L79,"1st to 3rd Basement Completed",IF(C74=L80,"1st to 4th Basement Completed",IF(C74=L81,"Plinth work is process",IF(C74=L82,"Plinth work completed","0")))))))))))&amp;(IF(C75=(D70+G70+I70),", RCC Slab",IF(C75&gt;0,", RCC upto "&amp;C75&amp;" Slab",""))&amp;(IF(C76=I70,", Brickwork",IF(C76&gt;0,", Brickwork upto "&amp;C76&amp;" Floor",""))&amp;(IF(C77=I70,", Internal Plaster",IF(C77&gt;0,", Internal Plaster upto "&amp;C77&amp;" Floor",""))&amp;(IF(C78=I70,", External Plaster",IF(C78&gt;0,", External Plaster upto "&amp;C78&amp;" Floor",""))&amp;(IF(C79=I70,", Flooring",IF(C79&gt;0,", Flooring upto "&amp;C79&amp;" Floor",""))&amp;(IF(C80=I70,", Painting",IF(C80&gt;0,", Painting upto "&amp;C80&amp;" Floor",""))&amp;(IF(C81&gt;0,", Finishing upto "&amp;C81&amp;" Floor","")&amp;(IF(C75&gt;0.5," Completed",""))))))))))))))</f>
        <v>Excavation work Completed. Plinth work completed, RCC Slab, Brickwork, Internal Plaster, External Plaster upto 15 Floor, Flooring upto 4 Floor, Painting upto 2 Floor, Finishing upto 2 Floor Completed</v>
      </c>
      <c r="L69" s="19"/>
    </row>
    <row r="70" spans="1:12" ht="15" customHeight="1" x14ac:dyDescent="0.35">
      <c r="A70" s="49" t="s">
        <v>169</v>
      </c>
      <c r="B70" s="49">
        <v>0</v>
      </c>
      <c r="C70" s="49" t="s">
        <v>170</v>
      </c>
      <c r="D70" s="49">
        <v>1</v>
      </c>
      <c r="E70" s="94" t="s">
        <v>171</v>
      </c>
      <c r="F70" s="94"/>
      <c r="G70" s="49">
        <v>0</v>
      </c>
      <c r="H70" s="49" t="s">
        <v>172</v>
      </c>
      <c r="I70" s="94">
        <f ca="1">--TRIM(RIGHT(SUBSTITUTE(LEFT(C69,_xlfn.AGGREGATE(16,6,FIND({0,1,2,3,4,5,6,7,8,9},C69,ROW(INDIRECT("1:"&amp;LEN(C69)))),1))," ",REPT(" ",LEN(C69))),LEN(C69)))</f>
        <v>28</v>
      </c>
      <c r="J70" s="94"/>
      <c r="K70" s="20"/>
      <c r="L70" s="21"/>
    </row>
    <row r="71" spans="1:12" ht="50.5" customHeight="1" x14ac:dyDescent="0.35">
      <c r="A71" s="88" t="s">
        <v>173</v>
      </c>
      <c r="B71" s="88"/>
      <c r="C71" s="180" t="str">
        <f ca="1">K69</f>
        <v>Excavation work Completed. Plinth work completed, RCC Slab, Brickwork, Internal Plaster, External Plaster upto 15 Floor, Flooring upto 4 Floor, Painting upto 2 Floor, Finishing upto 2 Floor Completed</v>
      </c>
      <c r="D71" s="180"/>
      <c r="E71" s="180"/>
      <c r="F71" s="180"/>
      <c r="G71" s="180"/>
      <c r="H71" s="180"/>
      <c r="I71" s="180"/>
      <c r="J71" s="180"/>
      <c r="K71" s="20" t="s">
        <v>174</v>
      </c>
      <c r="L71" s="21"/>
    </row>
    <row r="72" spans="1:12" ht="15.5" x14ac:dyDescent="0.35">
      <c r="A72" s="64" t="s">
        <v>33</v>
      </c>
      <c r="B72" s="64"/>
      <c r="C72" s="48" t="s">
        <v>175</v>
      </c>
      <c r="D72" s="64" t="s">
        <v>176</v>
      </c>
      <c r="E72" s="64"/>
      <c r="F72" s="64" t="s">
        <v>177</v>
      </c>
      <c r="G72" s="64"/>
      <c r="H72" s="64" t="s">
        <v>178</v>
      </c>
      <c r="I72" s="64"/>
      <c r="J72" s="64"/>
      <c r="K72" s="22" t="s">
        <v>179</v>
      </c>
      <c r="L72" s="23">
        <f ca="1">I70*25%</f>
        <v>7</v>
      </c>
    </row>
    <row r="73" spans="1:12" ht="15.5" x14ac:dyDescent="0.35">
      <c r="A73" s="64" t="s">
        <v>180</v>
      </c>
      <c r="B73" s="64"/>
      <c r="C73" s="29">
        <f ca="1">L74</f>
        <v>28</v>
      </c>
      <c r="D73" s="80">
        <f ca="1">((100/I70)*C73)/100</f>
        <v>1</v>
      </c>
      <c r="E73" s="80"/>
      <c r="F73" s="80">
        <f ca="1">(((C74/I70*10)+(40/(D70+G70+I70)*C75)+(7.5/(I70)*C76)+(7.5/(I70)*C77)+(10/I70*C78)+(10/I70*C79)+(5/I70*C80)+(5/I70*C81)+(5/I70*C82))/100)</f>
        <v>0.72500000000000009</v>
      </c>
      <c r="G73" s="80"/>
      <c r="H73" s="80">
        <f ca="1">((((C73/I70)*20)+((C74/I70)*25)+(30/(I70+G70+D70)*C75)+(5/I70*C76)+(5/I70*C77)+(5/I70*C78)+(5/I70*C79)+(0/I70*C80)+(0/I70*C81)+(5/I70*C82))/100)</f>
        <v>0.8839285714285714</v>
      </c>
      <c r="I73" s="80"/>
      <c r="J73" s="80"/>
      <c r="K73" s="22" t="s">
        <v>181</v>
      </c>
      <c r="L73" s="24">
        <f ca="1">I70*50%</f>
        <v>14</v>
      </c>
    </row>
    <row r="74" spans="1:12" ht="15.5" x14ac:dyDescent="0.35">
      <c r="A74" s="64" t="s">
        <v>34</v>
      </c>
      <c r="B74" s="64"/>
      <c r="C74" s="30">
        <f ca="1">L82</f>
        <v>28</v>
      </c>
      <c r="D74" s="80">
        <f ca="1">((100/I70)*C74)/100</f>
        <v>1</v>
      </c>
      <c r="E74" s="80"/>
      <c r="F74" s="80"/>
      <c r="G74" s="80"/>
      <c r="H74" s="80"/>
      <c r="I74" s="80"/>
      <c r="J74" s="80"/>
      <c r="K74" s="22" t="s">
        <v>182</v>
      </c>
      <c r="L74" s="24">
        <f ca="1">I70</f>
        <v>28</v>
      </c>
    </row>
    <row r="75" spans="1:12" ht="15.5" x14ac:dyDescent="0.35">
      <c r="A75" s="94" t="s">
        <v>183</v>
      </c>
      <c r="B75" s="94"/>
      <c r="C75" s="30">
        <v>29</v>
      </c>
      <c r="D75" s="80">
        <f ca="1">((100/(D70+G70+I70))*C75)/100</f>
        <v>1</v>
      </c>
      <c r="E75" s="80"/>
      <c r="F75" s="80"/>
      <c r="G75" s="80"/>
      <c r="H75" s="80"/>
      <c r="I75" s="80"/>
      <c r="J75" s="80"/>
      <c r="K75" s="22" t="s">
        <v>184</v>
      </c>
      <c r="L75" s="25">
        <f ca="1">(IF(B70&gt;1,(I70/(B70+2)),I70/4))</f>
        <v>7</v>
      </c>
    </row>
    <row r="76" spans="1:12" ht="15.5" x14ac:dyDescent="0.35">
      <c r="A76" s="64" t="s">
        <v>185</v>
      </c>
      <c r="B76" s="64" t="s">
        <v>186</v>
      </c>
      <c r="C76" s="29">
        <v>28</v>
      </c>
      <c r="D76" s="80">
        <f ca="1">((100/I70)*C76)/100</f>
        <v>1</v>
      </c>
      <c r="E76" s="80"/>
      <c r="F76" s="80"/>
      <c r="G76" s="80"/>
      <c r="H76" s="80"/>
      <c r="I76" s="80"/>
      <c r="J76" s="80"/>
      <c r="K76" s="22" t="s">
        <v>187</v>
      </c>
      <c r="L76" s="25">
        <f ca="1">(IF(B70&gt;1,(I70/(B70+2)+L75),I70/4+L75))</f>
        <v>14</v>
      </c>
    </row>
    <row r="77" spans="1:12" ht="15.5" x14ac:dyDescent="0.35">
      <c r="A77" s="64" t="s">
        <v>188</v>
      </c>
      <c r="B77" s="64" t="s">
        <v>186</v>
      </c>
      <c r="C77" s="29">
        <v>28</v>
      </c>
      <c r="D77" s="80">
        <f ca="1">((100/I70)*C77)/100</f>
        <v>1</v>
      </c>
      <c r="E77" s="80"/>
      <c r="F77" s="80"/>
      <c r="G77" s="80"/>
      <c r="H77" s="80"/>
      <c r="I77" s="80"/>
      <c r="J77" s="80"/>
      <c r="K77" s="22" t="s">
        <v>189</v>
      </c>
      <c r="L77" s="25">
        <f>(IF(B70&gt;1,(I70/(B70+2)+L76),0))</f>
        <v>0</v>
      </c>
    </row>
    <row r="78" spans="1:12" ht="15.5" x14ac:dyDescent="0.35">
      <c r="A78" s="64" t="s">
        <v>190</v>
      </c>
      <c r="B78" s="64" t="s">
        <v>191</v>
      </c>
      <c r="C78" s="29">
        <v>15</v>
      </c>
      <c r="D78" s="80">
        <f ca="1">((100/(I70))*C78)/100</f>
        <v>0.53571428571428581</v>
      </c>
      <c r="E78" s="80"/>
      <c r="F78" s="80"/>
      <c r="G78" s="80"/>
      <c r="H78" s="80"/>
      <c r="I78" s="80"/>
      <c r="J78" s="80"/>
      <c r="K78" s="22" t="s">
        <v>192</v>
      </c>
      <c r="L78" s="25">
        <f>(IF(B70&gt;2,(I70/(B70+2)+L77),0))</f>
        <v>0</v>
      </c>
    </row>
    <row r="79" spans="1:12" ht="15" customHeight="1" x14ac:dyDescent="0.35">
      <c r="A79" s="64" t="s">
        <v>193</v>
      </c>
      <c r="B79" s="64" t="s">
        <v>193</v>
      </c>
      <c r="C79" s="29">
        <v>4</v>
      </c>
      <c r="D79" s="80">
        <f ca="1">((100/I70)*C79)/100</f>
        <v>0.14285714285714288</v>
      </c>
      <c r="E79" s="80"/>
      <c r="F79" s="80"/>
      <c r="G79" s="80"/>
      <c r="H79" s="80"/>
      <c r="I79" s="80"/>
      <c r="J79" s="80"/>
      <c r="K79" s="22" t="s">
        <v>194</v>
      </c>
      <c r="L79" s="26">
        <f>(IF(B70&gt;3,(I70/(B70+2)+L78),0))</f>
        <v>0</v>
      </c>
    </row>
    <row r="80" spans="1:12" ht="15.5" x14ac:dyDescent="0.35">
      <c r="A80" s="64" t="s">
        <v>195</v>
      </c>
      <c r="B80" s="64"/>
      <c r="C80" s="29">
        <v>2</v>
      </c>
      <c r="D80" s="80">
        <f ca="1">((100/I70)*C80)/100</f>
        <v>7.1428571428571438E-2</v>
      </c>
      <c r="E80" s="80"/>
      <c r="F80" s="80"/>
      <c r="G80" s="80"/>
      <c r="H80" s="80"/>
      <c r="I80" s="80"/>
      <c r="J80" s="80"/>
      <c r="K80" s="22" t="s">
        <v>196</v>
      </c>
      <c r="L80" s="25">
        <f>(IF(B70&gt;4,(I70/(B70+2)+L79),0))</f>
        <v>0</v>
      </c>
    </row>
    <row r="81" spans="1:13" ht="15.5" x14ac:dyDescent="0.35">
      <c r="A81" s="64" t="s">
        <v>197</v>
      </c>
      <c r="B81" s="64" t="s">
        <v>197</v>
      </c>
      <c r="C81" s="29">
        <v>2</v>
      </c>
      <c r="D81" s="80">
        <f ca="1">((100/(I70))*C81)/100</f>
        <v>7.1428571428571438E-2</v>
      </c>
      <c r="E81" s="80"/>
      <c r="F81" s="80"/>
      <c r="G81" s="80"/>
      <c r="H81" s="80"/>
      <c r="I81" s="80"/>
      <c r="J81" s="80"/>
      <c r="K81" s="22" t="s">
        <v>198</v>
      </c>
      <c r="L81" s="25">
        <f ca="1">(IF(B70=1,(I70/(B70+3)+L76),IF(B70=0,(I70/4+L76),IF(B70&gt;1,0))))</f>
        <v>21</v>
      </c>
    </row>
    <row r="82" spans="1:13" ht="16" thickBot="1" x14ac:dyDescent="0.4">
      <c r="A82" s="64" t="s">
        <v>199</v>
      </c>
      <c r="B82" s="64"/>
      <c r="C82" s="29">
        <v>0</v>
      </c>
      <c r="D82" s="80">
        <f ca="1">((100/(I70))*C82)/100</f>
        <v>0</v>
      </c>
      <c r="E82" s="80"/>
      <c r="F82" s="80"/>
      <c r="G82" s="80"/>
      <c r="H82" s="80"/>
      <c r="I82" s="80"/>
      <c r="J82" s="80"/>
      <c r="K82" s="27" t="s">
        <v>200</v>
      </c>
      <c r="L82" s="28">
        <f ca="1">(IF(B70&gt;1.5,(I70/(B70+2)+L76+MAX(0,L77-L76)+MAX(0,L78-L77)+MAX(0,L79-L78)+MAX(0,L80-L79)+MAX(0,L81-L80)),IF(B70=1,(I70/(B70+3)+L81),IF(B70=0,I70/4+L81))))</f>
        <v>28</v>
      </c>
    </row>
    <row r="83" spans="1:13" x14ac:dyDescent="0.35">
      <c r="A83" s="103" t="s">
        <v>48</v>
      </c>
      <c r="B83" s="104"/>
      <c r="C83" s="104"/>
      <c r="D83" s="104"/>
      <c r="E83" s="104"/>
      <c r="F83" s="104"/>
      <c r="G83" s="104"/>
      <c r="H83" s="104"/>
      <c r="I83" s="104"/>
      <c r="J83" s="105"/>
    </row>
    <row r="84" spans="1:13" ht="15" customHeight="1" x14ac:dyDescent="0.35">
      <c r="A84" s="106" t="s">
        <v>70</v>
      </c>
      <c r="B84" s="106"/>
      <c r="C84" s="106"/>
      <c r="D84" s="106"/>
      <c r="E84" s="106"/>
      <c r="F84" s="106"/>
      <c r="G84" s="106"/>
      <c r="H84" s="106"/>
      <c r="I84" s="106"/>
      <c r="J84" s="106"/>
    </row>
    <row r="85" spans="1:13" ht="12" hidden="1" customHeight="1" x14ac:dyDescent="0.35">
      <c r="A85" s="106"/>
      <c r="B85" s="106"/>
      <c r="C85" s="106"/>
      <c r="D85" s="106"/>
      <c r="E85" s="106"/>
      <c r="F85" s="106"/>
      <c r="G85" s="106"/>
      <c r="H85" s="106"/>
      <c r="I85" s="106"/>
      <c r="J85" s="106"/>
    </row>
    <row r="86" spans="1:13" ht="2.25" customHeight="1" x14ac:dyDescent="0.35">
      <c r="A86" s="106"/>
      <c r="B86" s="106"/>
      <c r="C86" s="106"/>
      <c r="D86" s="106"/>
      <c r="E86" s="106"/>
      <c r="F86" s="106"/>
      <c r="G86" s="106"/>
      <c r="H86" s="106"/>
      <c r="I86" s="106"/>
      <c r="J86" s="106"/>
    </row>
    <row r="87" spans="1:13" ht="15" hidden="1" customHeight="1" x14ac:dyDescent="0.35">
      <c r="A87" s="106"/>
      <c r="B87" s="106"/>
      <c r="C87" s="106"/>
      <c r="D87" s="106"/>
      <c r="E87" s="106"/>
      <c r="F87" s="106"/>
      <c r="G87" s="106"/>
      <c r="H87" s="106"/>
      <c r="I87" s="106"/>
      <c r="J87" s="106"/>
    </row>
    <row r="88" spans="1:13" ht="15" hidden="1" customHeight="1" x14ac:dyDescent="0.35">
      <c r="A88" s="106"/>
      <c r="B88" s="106"/>
      <c r="C88" s="106"/>
      <c r="D88" s="106"/>
      <c r="E88" s="106"/>
      <c r="F88" s="106"/>
      <c r="G88" s="106"/>
      <c r="H88" s="106"/>
      <c r="I88" s="106"/>
      <c r="J88" s="106"/>
    </row>
    <row r="89" spans="1:13" ht="15" hidden="1" customHeight="1" x14ac:dyDescent="0.35">
      <c r="A89" s="106"/>
      <c r="B89" s="106"/>
      <c r="C89" s="106"/>
      <c r="D89" s="106"/>
      <c r="E89" s="106"/>
      <c r="F89" s="106"/>
      <c r="G89" s="106"/>
      <c r="H89" s="106"/>
      <c r="I89" s="106"/>
      <c r="J89" s="106"/>
    </row>
    <row r="90" spans="1:13" ht="15" hidden="1" customHeight="1" x14ac:dyDescent="0.35">
      <c r="A90" s="106"/>
      <c r="B90" s="106"/>
      <c r="C90" s="106"/>
      <c r="D90" s="106"/>
      <c r="E90" s="106"/>
      <c r="F90" s="106"/>
      <c r="G90" s="106"/>
      <c r="H90" s="106"/>
      <c r="I90" s="106"/>
      <c r="J90" s="106"/>
    </row>
    <row r="91" spans="1:13" x14ac:dyDescent="0.35">
      <c r="A91" s="107" t="s">
        <v>24</v>
      </c>
      <c r="B91" s="107"/>
      <c r="C91" s="107"/>
      <c r="D91" s="107"/>
      <c r="E91" s="107"/>
      <c r="F91" s="107"/>
      <c r="G91" s="107"/>
      <c r="H91" s="107"/>
      <c r="I91" s="107"/>
      <c r="J91" s="107"/>
    </row>
    <row r="92" spans="1:13" x14ac:dyDescent="0.35">
      <c r="A92" s="65" t="s">
        <v>100</v>
      </c>
      <c r="B92" s="66"/>
      <c r="C92" s="66"/>
      <c r="D92" s="66"/>
      <c r="E92" s="66"/>
      <c r="F92" s="67"/>
      <c r="G92" s="172">
        <v>8000</v>
      </c>
      <c r="H92" s="173"/>
      <c r="I92" s="173"/>
      <c r="J92" s="174"/>
      <c r="M92" t="s">
        <v>269</v>
      </c>
    </row>
    <row r="93" spans="1:13" x14ac:dyDescent="0.35">
      <c r="A93" s="65" t="s">
        <v>160</v>
      </c>
      <c r="B93" s="66"/>
      <c r="C93" s="66"/>
      <c r="D93" s="66"/>
      <c r="E93" s="66"/>
      <c r="F93" s="67"/>
      <c r="G93" s="161">
        <v>15000</v>
      </c>
      <c r="H93" s="123"/>
      <c r="I93" s="123"/>
      <c r="J93" s="124"/>
    </row>
    <row r="94" spans="1:13" x14ac:dyDescent="0.35">
      <c r="A94" s="65" t="s">
        <v>224</v>
      </c>
      <c r="B94" s="66"/>
      <c r="C94" s="66"/>
      <c r="D94" s="66"/>
      <c r="E94" s="66"/>
      <c r="F94" s="67"/>
      <c r="G94" s="161">
        <v>13000</v>
      </c>
      <c r="H94" s="123"/>
      <c r="I94" s="123"/>
      <c r="J94" s="124"/>
    </row>
    <row r="95" spans="1:13" x14ac:dyDescent="0.35">
      <c r="A95" s="65" t="s">
        <v>240</v>
      </c>
      <c r="B95" s="66"/>
      <c r="C95" s="66"/>
      <c r="D95" s="66"/>
      <c r="E95" s="66"/>
      <c r="F95" s="67"/>
      <c r="G95" s="74">
        <v>20</v>
      </c>
      <c r="H95" s="75"/>
      <c r="I95" s="75"/>
      <c r="J95" s="76"/>
    </row>
    <row r="96" spans="1:13" hidden="1" x14ac:dyDescent="0.35">
      <c r="A96" s="65" t="s">
        <v>105</v>
      </c>
      <c r="B96" s="77"/>
      <c r="C96" s="77"/>
      <c r="D96" s="77"/>
      <c r="E96" s="77"/>
      <c r="F96" s="78"/>
      <c r="G96" s="74" t="s">
        <v>49</v>
      </c>
      <c r="H96" s="75"/>
      <c r="I96" s="75"/>
      <c r="J96" s="76"/>
    </row>
    <row r="97" spans="1:13" x14ac:dyDescent="0.35">
      <c r="A97" s="65" t="s">
        <v>106</v>
      </c>
      <c r="B97" s="77"/>
      <c r="C97" s="77"/>
      <c r="D97" s="77"/>
      <c r="E97" s="77"/>
      <c r="F97" s="78"/>
      <c r="G97" s="79">
        <v>100000</v>
      </c>
      <c r="H97" s="75"/>
      <c r="I97" s="75"/>
      <c r="J97" s="76"/>
    </row>
    <row r="98" spans="1:13" x14ac:dyDescent="0.35">
      <c r="A98" s="117" t="s">
        <v>225</v>
      </c>
      <c r="B98" s="118"/>
      <c r="C98" s="118"/>
      <c r="D98" s="118"/>
      <c r="E98" s="118"/>
      <c r="F98" s="119"/>
      <c r="G98" s="79">
        <v>85000</v>
      </c>
      <c r="H98" s="75"/>
      <c r="I98" s="75"/>
      <c r="J98" s="76"/>
    </row>
    <row r="99" spans="1:13" hidden="1" x14ac:dyDescent="0.35">
      <c r="A99" s="65" t="s">
        <v>72</v>
      </c>
      <c r="B99" s="77"/>
      <c r="C99" s="77"/>
      <c r="D99" s="77"/>
      <c r="E99" s="77"/>
      <c r="F99" s="78"/>
      <c r="G99" s="74" t="s">
        <v>49</v>
      </c>
      <c r="H99" s="75"/>
      <c r="I99" s="75"/>
      <c r="J99" s="76"/>
    </row>
    <row r="100" spans="1:13" x14ac:dyDescent="0.35">
      <c r="A100" s="65" t="s">
        <v>95</v>
      </c>
      <c r="B100" s="66"/>
      <c r="C100" s="66"/>
      <c r="D100" s="66"/>
      <c r="E100" s="66"/>
      <c r="F100" s="67"/>
      <c r="G100" s="79">
        <v>500000</v>
      </c>
      <c r="H100" s="75"/>
      <c r="I100" s="75"/>
      <c r="J100" s="76"/>
    </row>
    <row r="101" spans="1:13" x14ac:dyDescent="0.35">
      <c r="A101" s="65" t="s">
        <v>139</v>
      </c>
      <c r="B101" s="77"/>
      <c r="C101" s="77"/>
      <c r="D101" s="77"/>
      <c r="E101" s="77"/>
      <c r="F101" s="78"/>
      <c r="G101" s="79">
        <v>350000</v>
      </c>
      <c r="H101" s="75"/>
      <c r="I101" s="75"/>
      <c r="J101" s="76"/>
    </row>
    <row r="102" spans="1:13" hidden="1" x14ac:dyDescent="0.35">
      <c r="A102" s="65" t="s">
        <v>25</v>
      </c>
      <c r="B102" s="77"/>
      <c r="C102" s="77"/>
      <c r="D102" s="77"/>
      <c r="E102" s="77"/>
      <c r="F102" s="78"/>
      <c r="G102" s="74" t="s">
        <v>49</v>
      </c>
      <c r="H102" s="75"/>
      <c r="I102" s="75"/>
      <c r="J102" s="76"/>
    </row>
    <row r="103" spans="1:13" s="1" customFormat="1" x14ac:dyDescent="0.35">
      <c r="A103" s="125" t="s">
        <v>107</v>
      </c>
      <c r="B103" s="159"/>
      <c r="C103" s="159"/>
      <c r="D103" s="159"/>
      <c r="E103" s="159"/>
      <c r="F103" s="160"/>
      <c r="G103" s="161">
        <f>G92*0.8</f>
        <v>6400</v>
      </c>
      <c r="H103" s="123"/>
      <c r="I103" s="123"/>
      <c r="J103" s="124"/>
    </row>
    <row r="104" spans="1:13" s="31" customFormat="1" ht="15.75" customHeight="1" x14ac:dyDescent="0.35">
      <c r="A104" s="59" t="s">
        <v>216</v>
      </c>
      <c r="B104" s="60"/>
      <c r="C104" s="60"/>
      <c r="D104" s="60"/>
      <c r="E104" s="60"/>
      <c r="F104" s="60"/>
      <c r="G104" s="60"/>
      <c r="H104" s="60"/>
      <c r="I104" s="60"/>
      <c r="J104" s="61"/>
    </row>
    <row r="105" spans="1:13" s="31" customFormat="1" ht="15.75" customHeight="1" x14ac:dyDescent="0.35">
      <c r="A105" s="197" t="s">
        <v>217</v>
      </c>
      <c r="B105" s="199"/>
      <c r="C105" s="32" t="s">
        <v>218</v>
      </c>
      <c r="D105" s="201" t="s">
        <v>219</v>
      </c>
      <c r="E105" s="202"/>
      <c r="F105" s="203"/>
      <c r="G105" s="197" t="s">
        <v>220</v>
      </c>
      <c r="H105" s="198"/>
      <c r="I105" s="198"/>
      <c r="J105" s="199"/>
    </row>
    <row r="106" spans="1:13" s="31" customFormat="1" ht="15.5" x14ac:dyDescent="0.35">
      <c r="A106" s="57" t="s">
        <v>222</v>
      </c>
      <c r="B106" s="58"/>
      <c r="C106" s="33">
        <f>COUNT(D230:E239)</f>
        <v>10</v>
      </c>
      <c r="D106" s="71">
        <f>SUM(G230:G239)</f>
        <v>6661.8449820000005</v>
      </c>
      <c r="E106" s="72"/>
      <c r="F106" s="73"/>
      <c r="G106" s="175">
        <f>SUM(I230:I239)</f>
        <v>9992.7674730000017</v>
      </c>
      <c r="H106" s="176"/>
      <c r="I106" s="176"/>
      <c r="J106" s="177"/>
    </row>
    <row r="107" spans="1:13" s="31" customFormat="1" ht="15.5" x14ac:dyDescent="0.35">
      <c r="A107" s="57" t="s">
        <v>223</v>
      </c>
      <c r="B107" s="58"/>
      <c r="C107" s="33">
        <f>COUNT(D241:E250)+COUNT(D252:E261)</f>
        <v>20</v>
      </c>
      <c r="D107" s="71">
        <f>SUM(G241:G250)+SUM(G252:G261)</f>
        <v>8037.4249799999998</v>
      </c>
      <c r="E107" s="72"/>
      <c r="F107" s="73"/>
      <c r="G107" s="175">
        <f>SUM(I241:I250)+SUM(I252:I261)</f>
        <v>12056.137469999998</v>
      </c>
      <c r="H107" s="176"/>
      <c r="I107" s="176"/>
      <c r="J107" s="177"/>
      <c r="L107" s="31">
        <f>64+28+2</f>
        <v>94</v>
      </c>
    </row>
    <row r="108" spans="1:13" s="35" customFormat="1" ht="15" x14ac:dyDescent="0.35">
      <c r="A108" s="59" t="s">
        <v>92</v>
      </c>
      <c r="B108" s="61"/>
      <c r="C108" s="32">
        <f>SUM(C105:C107)</f>
        <v>30</v>
      </c>
      <c r="D108" s="210">
        <f>SUM(D105:F107)</f>
        <v>14699.269962</v>
      </c>
      <c r="E108" s="211"/>
      <c r="F108" s="212"/>
      <c r="G108" s="197">
        <f>SUM(G105:J107)</f>
        <v>22048.904943000001</v>
      </c>
      <c r="H108" s="198"/>
      <c r="I108" s="198"/>
      <c r="J108" s="199"/>
      <c r="M108" s="37">
        <f>SUM(D108,D115)</f>
        <v>188900.18620199995</v>
      </c>
    </row>
    <row r="109" spans="1:13" s="31" customFormat="1" ht="15.5" x14ac:dyDescent="0.35">
      <c r="A109" s="59" t="s">
        <v>221</v>
      </c>
      <c r="B109" s="60"/>
      <c r="C109" s="60"/>
      <c r="D109" s="60"/>
      <c r="E109" s="60"/>
      <c r="F109" s="60"/>
      <c r="G109" s="60"/>
      <c r="H109" s="60"/>
      <c r="I109" s="60"/>
      <c r="J109" s="61"/>
    </row>
    <row r="110" spans="1:13" s="31" customFormat="1" ht="15.5" x14ac:dyDescent="0.35">
      <c r="A110" s="197" t="s">
        <v>217</v>
      </c>
      <c r="B110" s="199"/>
      <c r="C110" s="32" t="s">
        <v>218</v>
      </c>
      <c r="D110" s="201" t="s">
        <v>219</v>
      </c>
      <c r="E110" s="202"/>
      <c r="F110" s="203"/>
      <c r="G110" s="197" t="s">
        <v>220</v>
      </c>
      <c r="H110" s="198"/>
      <c r="I110" s="198"/>
      <c r="J110" s="199"/>
    </row>
    <row r="111" spans="1:13" s="31" customFormat="1" ht="15.75" customHeight="1" x14ac:dyDescent="0.35">
      <c r="A111" s="50" t="s">
        <v>161</v>
      </c>
      <c r="B111" s="9" t="s">
        <v>210</v>
      </c>
      <c r="C111" s="34">
        <f>COUNT(G124:G129)+COUNT(G131:G136)+COUNT(G138:G140,G142:G143)+COUNT(G147:G149)+COUNT(G152:G157)*5+COUNT(G160:G161)+COUNT(G166:G171)*4+COUNT(G173:G178)*4+COUNT(G180:G182,G184:G185,G187:G189,G191:G192,G194:G199,G201:G206,G208:G213,G215:G220,G222:G223,G226:G227)</f>
        <v>138</v>
      </c>
      <c r="D111" s="71">
        <f>SUM(G124:G129)+SUM(G131:G136)+SUM(G138:G140,G142:G143)+SUM(G147:G149)+SUM(G152:G157)*5+SUM(G160:G161)+SUM(G166:G171)*4+SUM(G173:G178)*4+SUM(G180:G182,G184:G185,G187:G189,G191:G192,G194:G199,G201:G206,G208:G213,G215:G220,G222:G223,G226:G227)</f>
        <v>87097.76711999999</v>
      </c>
      <c r="E111" s="72"/>
      <c r="F111" s="73"/>
      <c r="G111" s="71">
        <f>SUM(I124:I129)+SUM(I131:I136)+SUM(I138:I140,I142:I143)+SUM(I147:I149)+SUM(I152:I157)*5+SUM(I160:I161)+SUM(I166:I171)*4+SUM(I173:I178)*4+SUM(I180:I182,I184:I185,I187:I189,I191:I192,I194:I199,I201:I206,I208:I213,I215:I220,I222:I223,I226:I227)</f>
        <v>128911.18172399998</v>
      </c>
      <c r="H111" s="72"/>
      <c r="I111" s="72"/>
      <c r="J111" s="73"/>
    </row>
    <row r="112" spans="1:13" s="31" customFormat="1" ht="15.75" customHeight="1" x14ac:dyDescent="0.35">
      <c r="A112" s="50"/>
      <c r="B112" s="9" t="s">
        <v>246</v>
      </c>
      <c r="C112" s="33">
        <f>COUNT(D145:E146,D150)+COUNT(D159)+COUNT(D163:E164)</f>
        <v>6</v>
      </c>
      <c r="D112" s="68">
        <f>SUM(G145:G146,G150)+SUM(G159)+SUM(G163:G164)</f>
        <v>2907.57168</v>
      </c>
      <c r="E112" s="69"/>
      <c r="F112" s="70"/>
      <c r="G112" s="71">
        <f>SUM(I145:I146,I150)+SUM(I159)+SUM(I163:I164)</f>
        <v>4549.5552959999995</v>
      </c>
      <c r="H112" s="72"/>
      <c r="I112" s="72"/>
      <c r="J112" s="73"/>
    </row>
    <row r="113" spans="1:17" s="31" customFormat="1" ht="15.75" customHeight="1" x14ac:dyDescent="0.35">
      <c r="A113" s="50" t="s">
        <v>162</v>
      </c>
      <c r="B113" s="9" t="s">
        <v>210</v>
      </c>
      <c r="C113" s="34">
        <f>COUNT(G264:G269)+COUNT(G273:G276)+COUNT(G280,G290)+COUNT(G292:G297)*5+COUNT(G299:G301,G303:G304)+COUNT(G313:G318)*3+COUNT(G320:G325)*4+COUNT(G327:G329,G331:G332,G334:G336,G338:G339,G343:G346,G350:G353,G357:G360,G364:G367,G373:G374)</f>
        <v>117</v>
      </c>
      <c r="D113" s="71">
        <f>SUM(G264:G269)+SUM(G273:G276)+SUM(G280,G290)+SUM(G292:G297)*5+SUM(G299:G301,G303:G304)+SUM(G313:G318)*3+SUM(G320:G325)*4+SUM(G327:G329,G331:G332,G334:G336,G338:G339,G343:G346,G350:G353,G357:G360,G364:G367,G373:G374)</f>
        <v>74498.289839999983</v>
      </c>
      <c r="E113" s="72"/>
      <c r="F113" s="73"/>
      <c r="G113" s="71">
        <f>SUM(I264:I269)+SUM(I273:I276)+SUM(I280,I290)+SUM(I292:I297)*5+SUM(I299:I301,I303:I304)+SUM(I313:I318)*3+SUM(I320:I325)*4+SUM(I327:I329,I331:I332,I334:I336,I338:I339,I343:I346,I350:I353,I357:I360,I364:I367,I373:I374)</f>
        <v>110376.17650799999</v>
      </c>
      <c r="H113" s="72"/>
      <c r="I113" s="72"/>
      <c r="J113" s="73"/>
    </row>
    <row r="114" spans="1:17" s="31" customFormat="1" ht="15.75" customHeight="1" x14ac:dyDescent="0.35">
      <c r="A114" s="50"/>
      <c r="B114" s="9" t="s">
        <v>246</v>
      </c>
      <c r="C114" s="33">
        <f>COUNT(G271:G272,G278:G279)+COUNT(G282:G283)+COUNT(G285:G289,G306:G311)</f>
        <v>17</v>
      </c>
      <c r="D114" s="68">
        <f>SUM(G271:G272,G278:G279)+SUM(G282:G283)+SUM(G285:G289,G306:G311)</f>
        <v>9697.2875999999997</v>
      </c>
      <c r="E114" s="69"/>
      <c r="F114" s="70"/>
      <c r="G114" s="71">
        <f>SUM(I271:I272,I278:I279)+SUM(I282:I283)+SUM(I285:I289,I306:I311)</f>
        <v>14660.40654</v>
      </c>
      <c r="H114" s="72"/>
      <c r="I114" s="72"/>
      <c r="J114" s="73"/>
    </row>
    <row r="115" spans="1:17" s="35" customFormat="1" ht="15" x14ac:dyDescent="0.35">
      <c r="A115" s="59" t="s">
        <v>92</v>
      </c>
      <c r="B115" s="61"/>
      <c r="C115" s="44">
        <f>SUM(C111:C114)</f>
        <v>278</v>
      </c>
      <c r="D115" s="210">
        <f>SUM(D111:F114)</f>
        <v>174200.91623999996</v>
      </c>
      <c r="E115" s="211"/>
      <c r="F115" s="212"/>
      <c r="G115" s="197">
        <f>SUM(G111:J114)</f>
        <v>258497.32006799994</v>
      </c>
      <c r="H115" s="198"/>
      <c r="I115" s="198"/>
      <c r="J115" s="199"/>
    </row>
    <row r="116" spans="1:17" s="1" customFormat="1" ht="21" customHeight="1" x14ac:dyDescent="0.35">
      <c r="A116" s="162" t="s">
        <v>108</v>
      </c>
      <c r="B116" s="163"/>
      <c r="C116" s="163"/>
      <c r="D116" s="163"/>
      <c r="E116" s="163"/>
      <c r="F116" s="163"/>
      <c r="G116" s="163"/>
      <c r="H116" s="163"/>
      <c r="I116" s="163"/>
      <c r="J116" s="164"/>
    </row>
    <row r="117" spans="1:17" x14ac:dyDescent="0.35">
      <c r="A117" s="165" t="s">
        <v>45</v>
      </c>
      <c r="B117" s="165"/>
      <c r="C117" s="165"/>
      <c r="D117" s="165"/>
      <c r="E117" s="165"/>
      <c r="F117" s="165"/>
      <c r="G117" s="165"/>
      <c r="H117" s="165"/>
      <c r="I117" s="165"/>
      <c r="J117" s="165"/>
    </row>
    <row r="118" spans="1:17" s="43" customFormat="1" ht="48" customHeight="1" x14ac:dyDescent="0.35">
      <c r="A118" s="46" t="s">
        <v>245</v>
      </c>
      <c r="B118" s="3" t="s">
        <v>244</v>
      </c>
      <c r="C118" s="3" t="s">
        <v>30</v>
      </c>
      <c r="D118" s="166" t="s">
        <v>73</v>
      </c>
      <c r="E118" s="166"/>
      <c r="F118" s="36" t="s">
        <v>241</v>
      </c>
      <c r="G118" s="3" t="s">
        <v>242</v>
      </c>
      <c r="H118" s="36" t="s">
        <v>31</v>
      </c>
      <c r="I118" s="166" t="s">
        <v>243</v>
      </c>
      <c r="J118" s="166"/>
    </row>
    <row r="119" spans="1:17" ht="15" x14ac:dyDescent="0.35">
      <c r="A119" s="62" t="s">
        <v>161</v>
      </c>
      <c r="B119" s="62"/>
      <c r="C119" s="62"/>
      <c r="D119" s="62"/>
      <c r="E119" s="62"/>
      <c r="F119" s="62"/>
      <c r="G119" s="62"/>
      <c r="H119" s="62"/>
      <c r="I119" s="62"/>
      <c r="J119" s="62"/>
    </row>
    <row r="120" spans="1:17" ht="15" x14ac:dyDescent="0.35">
      <c r="A120" s="62" t="s">
        <v>164</v>
      </c>
      <c r="B120" s="62"/>
      <c r="C120" s="62"/>
      <c r="D120" s="62"/>
      <c r="E120" s="62"/>
      <c r="F120" s="62"/>
      <c r="G120" s="62"/>
      <c r="H120" s="62"/>
      <c r="I120" s="62"/>
      <c r="J120" s="62"/>
    </row>
    <row r="121" spans="1:17" ht="15" x14ac:dyDescent="0.35">
      <c r="A121" s="62" t="s">
        <v>165</v>
      </c>
      <c r="B121" s="62"/>
      <c r="C121" s="62"/>
      <c r="D121" s="62"/>
      <c r="E121" s="62"/>
      <c r="F121" s="62"/>
      <c r="G121" s="62"/>
      <c r="H121" s="62"/>
      <c r="I121" s="62"/>
      <c r="J121" s="62"/>
    </row>
    <row r="122" spans="1:17" ht="15" x14ac:dyDescent="0.35">
      <c r="A122" s="62" t="s">
        <v>163</v>
      </c>
      <c r="B122" s="62"/>
      <c r="C122" s="62"/>
      <c r="D122" s="62"/>
      <c r="E122" s="62"/>
      <c r="F122" s="62"/>
      <c r="G122" s="62"/>
      <c r="H122" s="62"/>
      <c r="I122" s="62"/>
      <c r="J122" s="62"/>
    </row>
    <row r="123" spans="1:17" ht="15" x14ac:dyDescent="0.35">
      <c r="A123" s="62" t="s">
        <v>134</v>
      </c>
      <c r="B123" s="62"/>
      <c r="C123" s="62"/>
      <c r="D123" s="62"/>
      <c r="E123" s="62"/>
      <c r="F123" s="62"/>
      <c r="G123" s="62"/>
      <c r="H123" s="62"/>
      <c r="I123" s="62"/>
      <c r="J123" s="62"/>
      <c r="L123">
        <f>4*G124*24</f>
        <v>47368.488960000002</v>
      </c>
    </row>
    <row r="124" spans="1:17" ht="15.5" x14ac:dyDescent="0.35">
      <c r="A124" s="45">
        <v>1</v>
      </c>
      <c r="B124" s="45" t="s">
        <v>210</v>
      </c>
      <c r="C124" s="45" t="s">
        <v>135</v>
      </c>
      <c r="D124" s="50">
        <f>43.63*10.764</f>
        <v>469.63332000000003</v>
      </c>
      <c r="E124" s="50"/>
      <c r="F124" s="45">
        <f>2.21*10.764</f>
        <v>23.788439999999998</v>
      </c>
      <c r="G124" s="45">
        <f>D124+F124</f>
        <v>493.42176000000001</v>
      </c>
      <c r="H124" s="45">
        <v>0</v>
      </c>
      <c r="I124" s="50">
        <f>G124*1.45+H124</f>
        <v>715.46155199999998</v>
      </c>
      <c r="J124" s="50"/>
      <c r="L124">
        <f t="shared" ref="L124:L128" si="0">4*G125*24</f>
        <v>47368.488960000002</v>
      </c>
      <c r="M124">
        <f>3*4.6+1.85*1.8+2.8*3.6+2.7*2.1+1.2*1.85+2.1*1.2+0.6*2</f>
        <v>38.820000000000007</v>
      </c>
      <c r="O124">
        <f>43.63*10.764</f>
        <v>469.63332000000003</v>
      </c>
      <c r="P124">
        <f>2.21*10.764</f>
        <v>23.788439999999998</v>
      </c>
      <c r="Q124">
        <f>SUM(O124:P124)</f>
        <v>493.42176000000001</v>
      </c>
    </row>
    <row r="125" spans="1:17" ht="15.5" x14ac:dyDescent="0.35">
      <c r="A125" s="40">
        <v>2</v>
      </c>
      <c r="B125" s="9" t="s">
        <v>210</v>
      </c>
      <c r="C125" s="9" t="s">
        <v>135</v>
      </c>
      <c r="D125" s="57">
        <f>43.63*10.764</f>
        <v>469.63332000000003</v>
      </c>
      <c r="E125" s="58"/>
      <c r="F125" s="9">
        <f t="shared" ref="F125:F129" si="1">2.21*10.764</f>
        <v>23.788439999999998</v>
      </c>
      <c r="G125" s="9">
        <f t="shared" ref="G125:G129" si="2">D125+F125</f>
        <v>493.42176000000001</v>
      </c>
      <c r="H125" s="9">
        <v>0</v>
      </c>
      <c r="I125" s="51">
        <f t="shared" ref="I125:I129" si="3">G125*1.45+H125</f>
        <v>715.46155199999998</v>
      </c>
      <c r="J125" s="53"/>
      <c r="L125">
        <f t="shared" si="0"/>
        <v>67188.02687999999</v>
      </c>
      <c r="O125">
        <f t="shared" ref="O125" si="4">43.63*10.764</f>
        <v>469.63332000000003</v>
      </c>
      <c r="P125">
        <f t="shared" ref="P125:P129" si="5">2.21*10.764</f>
        <v>23.788439999999998</v>
      </c>
      <c r="Q125">
        <f t="shared" ref="Q125:Q129" si="6">SUM(O125:P125)</f>
        <v>493.42176000000001</v>
      </c>
    </row>
    <row r="126" spans="1:17" ht="15.5" x14ac:dyDescent="0.35">
      <c r="A126" s="40">
        <v>3</v>
      </c>
      <c r="B126" s="9" t="s">
        <v>210</v>
      </c>
      <c r="C126" s="9" t="s">
        <v>136</v>
      </c>
      <c r="D126" s="57">
        <f>59.61*10.764</f>
        <v>641.64203999999995</v>
      </c>
      <c r="E126" s="58"/>
      <c r="F126" s="9">
        <f>5.41*10.764</f>
        <v>58.233239999999995</v>
      </c>
      <c r="G126" s="9">
        <f t="shared" si="2"/>
        <v>699.87527999999998</v>
      </c>
      <c r="H126" s="9">
        <v>0</v>
      </c>
      <c r="I126" s="51">
        <f t="shared" si="3"/>
        <v>1014.8191559999999</v>
      </c>
      <c r="J126" s="53"/>
      <c r="L126">
        <f t="shared" si="0"/>
        <v>67188.02687999999</v>
      </c>
      <c r="O126">
        <f>59.61*10.764</f>
        <v>641.64203999999995</v>
      </c>
      <c r="P126">
        <f>5.41*10.764</f>
        <v>58.233239999999995</v>
      </c>
      <c r="Q126">
        <f t="shared" si="6"/>
        <v>699.87527999999998</v>
      </c>
    </row>
    <row r="127" spans="1:17" ht="15.5" x14ac:dyDescent="0.35">
      <c r="A127" s="40">
        <v>4</v>
      </c>
      <c r="B127" s="9" t="s">
        <v>210</v>
      </c>
      <c r="C127" s="9" t="s">
        <v>136</v>
      </c>
      <c r="D127" s="57">
        <f>59.61*10.764</f>
        <v>641.64203999999995</v>
      </c>
      <c r="E127" s="58"/>
      <c r="F127" s="9">
        <f>5.41*10.764</f>
        <v>58.233239999999995</v>
      </c>
      <c r="G127" s="9">
        <f t="shared" si="2"/>
        <v>699.87527999999998</v>
      </c>
      <c r="H127" s="9">
        <v>0</v>
      </c>
      <c r="I127" s="51">
        <f t="shared" si="3"/>
        <v>1014.8191559999999</v>
      </c>
      <c r="J127" s="53"/>
      <c r="L127">
        <f t="shared" si="0"/>
        <v>44320.124159999992</v>
      </c>
      <c r="O127">
        <f>59.61*10.764</f>
        <v>641.64203999999995</v>
      </c>
      <c r="P127">
        <f>5.41*10.764</f>
        <v>58.233239999999995</v>
      </c>
      <c r="Q127">
        <f t="shared" si="6"/>
        <v>699.87527999999998</v>
      </c>
    </row>
    <row r="128" spans="1:17" ht="15.5" x14ac:dyDescent="0.35">
      <c r="A128" s="40">
        <v>5</v>
      </c>
      <c r="B128" s="9" t="s">
        <v>210</v>
      </c>
      <c r="C128" s="9" t="s">
        <v>135</v>
      </c>
      <c r="D128" s="57">
        <f>40.68*10.764</f>
        <v>437.87951999999996</v>
      </c>
      <c r="E128" s="58"/>
      <c r="F128" s="9">
        <f t="shared" si="1"/>
        <v>23.788439999999998</v>
      </c>
      <c r="G128" s="9">
        <f t="shared" si="2"/>
        <v>461.66795999999994</v>
      </c>
      <c r="H128" s="9">
        <v>0</v>
      </c>
      <c r="I128" s="51">
        <f t="shared" si="3"/>
        <v>669.41854199999989</v>
      </c>
      <c r="J128" s="53"/>
      <c r="L128">
        <f t="shared" si="0"/>
        <v>44320.124159999992</v>
      </c>
      <c r="O128">
        <f>40.68*10.764</f>
        <v>437.87951999999996</v>
      </c>
      <c r="P128">
        <f t="shared" si="5"/>
        <v>23.788439999999998</v>
      </c>
      <c r="Q128">
        <f t="shared" si="6"/>
        <v>461.66795999999994</v>
      </c>
    </row>
    <row r="129" spans="1:17" ht="15.5" x14ac:dyDescent="0.35">
      <c r="A129" s="40">
        <v>6</v>
      </c>
      <c r="B129" s="9" t="s">
        <v>210</v>
      </c>
      <c r="C129" s="9" t="s">
        <v>135</v>
      </c>
      <c r="D129" s="57">
        <f>40.68*10.764</f>
        <v>437.87951999999996</v>
      </c>
      <c r="E129" s="58"/>
      <c r="F129" s="9">
        <f t="shared" si="1"/>
        <v>23.788439999999998</v>
      </c>
      <c r="G129" s="9">
        <f t="shared" si="2"/>
        <v>461.66795999999994</v>
      </c>
      <c r="H129" s="9">
        <v>0</v>
      </c>
      <c r="I129" s="51">
        <f t="shared" si="3"/>
        <v>669.41854199999989</v>
      </c>
      <c r="J129" s="53"/>
      <c r="L129" t="e">
        <f>4*#REF!*24</f>
        <v>#REF!</v>
      </c>
      <c r="M129">
        <f>G129/D129</f>
        <v>1.0543264503441494</v>
      </c>
      <c r="O129">
        <f>40.68*10.764</f>
        <v>437.87951999999996</v>
      </c>
      <c r="P129">
        <f t="shared" si="5"/>
        <v>23.788439999999998</v>
      </c>
      <c r="Q129">
        <f t="shared" si="6"/>
        <v>461.66795999999994</v>
      </c>
    </row>
    <row r="130" spans="1:17" ht="15" x14ac:dyDescent="0.35">
      <c r="A130" s="59" t="s">
        <v>138</v>
      </c>
      <c r="B130" s="60"/>
      <c r="C130" s="60"/>
      <c r="D130" s="60"/>
      <c r="E130" s="60"/>
      <c r="F130" s="60"/>
      <c r="G130" s="60"/>
      <c r="H130" s="60"/>
      <c r="I130" s="60"/>
      <c r="J130" s="61"/>
    </row>
    <row r="131" spans="1:17" ht="15.5" x14ac:dyDescent="0.35">
      <c r="A131" s="40">
        <v>1</v>
      </c>
      <c r="B131" s="9" t="s">
        <v>210</v>
      </c>
      <c r="C131" s="9" t="s">
        <v>135</v>
      </c>
      <c r="D131" s="57">
        <f>44.14*10.764</f>
        <v>475.12295999999998</v>
      </c>
      <c r="E131" s="58"/>
      <c r="F131" s="9">
        <f>2.21*10.764</f>
        <v>23.788439999999998</v>
      </c>
      <c r="G131" s="9">
        <f>D131+F131</f>
        <v>498.91139999999996</v>
      </c>
      <c r="H131" s="9">
        <f>4.93*10.764</f>
        <v>53.066519999999997</v>
      </c>
      <c r="I131" s="51">
        <f>G131*1.45+H131</f>
        <v>776.48804999999993</v>
      </c>
      <c r="J131" s="53"/>
      <c r="L131">
        <f t="shared" ref="L131:L135" si="7">4*G132*24</f>
        <v>47895.494399999996</v>
      </c>
    </row>
    <row r="132" spans="1:17" ht="15.5" x14ac:dyDescent="0.35">
      <c r="A132" s="40">
        <v>2</v>
      </c>
      <c r="B132" s="9" t="s">
        <v>210</v>
      </c>
      <c r="C132" s="9" t="s">
        <v>135</v>
      </c>
      <c r="D132" s="57">
        <f>44.14*10.764</f>
        <v>475.12295999999998</v>
      </c>
      <c r="E132" s="58"/>
      <c r="F132" s="9">
        <f t="shared" ref="F132" si="8">2.21*10.764</f>
        <v>23.788439999999998</v>
      </c>
      <c r="G132" s="9">
        <f t="shared" ref="G132:G136" si="9">D132+F132</f>
        <v>498.91139999999996</v>
      </c>
      <c r="H132" s="9">
        <f t="shared" ref="H132" si="10">4.93*10.764</f>
        <v>53.066519999999997</v>
      </c>
      <c r="I132" s="51">
        <f t="shared" ref="I132:I136" si="11">G132*1.45+H132</f>
        <v>776.48804999999993</v>
      </c>
      <c r="J132" s="53"/>
      <c r="L132">
        <f t="shared" si="7"/>
        <v>67653.03168</v>
      </c>
    </row>
    <row r="133" spans="1:17" ht="15.5" x14ac:dyDescent="0.35">
      <c r="A133" s="40">
        <v>3</v>
      </c>
      <c r="B133" s="9" t="s">
        <v>210</v>
      </c>
      <c r="C133" s="9" t="s">
        <v>136</v>
      </c>
      <c r="D133" s="57">
        <f>60.06*10.764</f>
        <v>646.48583999999994</v>
      </c>
      <c r="E133" s="58"/>
      <c r="F133" s="9">
        <f>5.41*10.764</f>
        <v>58.233239999999995</v>
      </c>
      <c r="G133" s="9">
        <f t="shared" si="9"/>
        <v>704.71907999999996</v>
      </c>
      <c r="H133" s="9">
        <f>4.95*10.764</f>
        <v>53.281799999999997</v>
      </c>
      <c r="I133" s="51">
        <f t="shared" si="11"/>
        <v>1075.124466</v>
      </c>
      <c r="J133" s="53"/>
      <c r="L133">
        <f t="shared" si="7"/>
        <v>67653.03168</v>
      </c>
    </row>
    <row r="134" spans="1:17" ht="15.5" x14ac:dyDescent="0.35">
      <c r="A134" s="40">
        <v>4</v>
      </c>
      <c r="B134" s="9" t="s">
        <v>210</v>
      </c>
      <c r="C134" s="9" t="s">
        <v>136</v>
      </c>
      <c r="D134" s="57">
        <f>60.06*10.764</f>
        <v>646.48583999999994</v>
      </c>
      <c r="E134" s="58"/>
      <c r="F134" s="9">
        <f>5.41*10.764</f>
        <v>58.233239999999995</v>
      </c>
      <c r="G134" s="9">
        <f t="shared" si="9"/>
        <v>704.71907999999996</v>
      </c>
      <c r="H134" s="9">
        <f t="shared" ref="H134" si="12">4.95*10.764</f>
        <v>53.281799999999997</v>
      </c>
      <c r="I134" s="51">
        <f t="shared" si="11"/>
        <v>1075.124466</v>
      </c>
      <c r="J134" s="53"/>
      <c r="L134">
        <f t="shared" si="7"/>
        <v>45146.79935999999</v>
      </c>
    </row>
    <row r="135" spans="1:17" ht="15.5" x14ac:dyDescent="0.35">
      <c r="A135" s="40">
        <v>5</v>
      </c>
      <c r="B135" s="9" t="s">
        <v>210</v>
      </c>
      <c r="C135" s="9" t="s">
        <v>135</v>
      </c>
      <c r="D135" s="57">
        <f>41.33*10.764</f>
        <v>444.87611999999996</v>
      </c>
      <c r="E135" s="58"/>
      <c r="F135" s="9">
        <f>2.36*10.764</f>
        <v>25.403039999999997</v>
      </c>
      <c r="G135" s="9">
        <f t="shared" si="9"/>
        <v>470.27915999999993</v>
      </c>
      <c r="H135" s="9">
        <f>5.4*10.764</f>
        <v>58.125599999999999</v>
      </c>
      <c r="I135" s="51">
        <f t="shared" si="11"/>
        <v>740.0303819999998</v>
      </c>
      <c r="J135" s="53"/>
      <c r="L135">
        <f t="shared" si="7"/>
        <v>45146.79935999999</v>
      </c>
    </row>
    <row r="136" spans="1:17" ht="15.5" x14ac:dyDescent="0.35">
      <c r="A136" s="40">
        <v>6</v>
      </c>
      <c r="B136" s="9" t="s">
        <v>210</v>
      </c>
      <c r="C136" s="9" t="s">
        <v>135</v>
      </c>
      <c r="D136" s="57">
        <f>41.33*10.764</f>
        <v>444.87611999999996</v>
      </c>
      <c r="E136" s="58"/>
      <c r="F136" s="9">
        <f>2.36*10.764</f>
        <v>25.403039999999997</v>
      </c>
      <c r="G136" s="9">
        <f t="shared" si="9"/>
        <v>470.27915999999993</v>
      </c>
      <c r="H136" s="9">
        <f>5.4*10.764</f>
        <v>58.125599999999999</v>
      </c>
      <c r="I136" s="51">
        <f t="shared" si="11"/>
        <v>740.0303819999998</v>
      </c>
      <c r="J136" s="53"/>
      <c r="L136">
        <f>4*G151*24</f>
        <v>0</v>
      </c>
    </row>
    <row r="137" spans="1:17" ht="15" x14ac:dyDescent="0.35">
      <c r="A137" s="59" t="s">
        <v>212</v>
      </c>
      <c r="B137" s="60"/>
      <c r="C137" s="60"/>
      <c r="D137" s="60"/>
      <c r="E137" s="60"/>
      <c r="F137" s="60"/>
      <c r="G137" s="60"/>
      <c r="H137" s="60"/>
      <c r="I137" s="60"/>
      <c r="J137" s="61"/>
    </row>
    <row r="138" spans="1:17" ht="15.5" x14ac:dyDescent="0.35">
      <c r="A138" s="40">
        <v>1</v>
      </c>
      <c r="B138" s="9" t="s">
        <v>210</v>
      </c>
      <c r="C138" s="9" t="s">
        <v>135</v>
      </c>
      <c r="D138" s="57">
        <f>44.14*10.764</f>
        <v>475.12295999999998</v>
      </c>
      <c r="E138" s="58"/>
      <c r="F138" s="9">
        <f>2.21*10.764</f>
        <v>23.788439999999998</v>
      </c>
      <c r="G138" s="9">
        <f>D138+F138</f>
        <v>498.91139999999996</v>
      </c>
      <c r="H138" s="9">
        <f>4.93*10.764</f>
        <v>53.066519999999997</v>
      </c>
      <c r="I138" s="51">
        <f>G138*1.45+H138</f>
        <v>776.48804999999993</v>
      </c>
      <c r="J138" s="53"/>
      <c r="L138">
        <f>4*G139*24</f>
        <v>47895.494399999996</v>
      </c>
    </row>
    <row r="139" spans="1:17" ht="15.5" x14ac:dyDescent="0.35">
      <c r="A139" s="40">
        <v>2</v>
      </c>
      <c r="B139" s="9" t="s">
        <v>210</v>
      </c>
      <c r="C139" s="9" t="s">
        <v>135</v>
      </c>
      <c r="D139" s="57">
        <f>44.14*10.764</f>
        <v>475.12295999999998</v>
      </c>
      <c r="E139" s="58"/>
      <c r="F139" s="9">
        <f t="shared" ref="F139" si="13">2.21*10.764</f>
        <v>23.788439999999998</v>
      </c>
      <c r="G139" s="9">
        <f t="shared" ref="G139:G140" si="14">D139+F139</f>
        <v>498.91139999999996</v>
      </c>
      <c r="H139" s="9">
        <f t="shared" ref="H139" si="15">4.93*10.764</f>
        <v>53.066519999999997</v>
      </c>
      <c r="I139" s="51">
        <f t="shared" ref="I139:I140" si="16">G139*1.45+H139</f>
        <v>776.48804999999993</v>
      </c>
      <c r="J139" s="53"/>
      <c r="L139">
        <f>4*G140*24</f>
        <v>105700.75775999999</v>
      </c>
    </row>
    <row r="140" spans="1:17" ht="15.5" x14ac:dyDescent="0.35">
      <c r="A140" s="40">
        <v>3</v>
      </c>
      <c r="B140" s="9" t="s">
        <v>210</v>
      </c>
      <c r="C140" s="9" t="s">
        <v>213</v>
      </c>
      <c r="D140" s="57">
        <f>92.04*10.764</f>
        <v>990.71856000000002</v>
      </c>
      <c r="E140" s="58"/>
      <c r="F140" s="9">
        <f>10.25*10.764</f>
        <v>110.33099999999999</v>
      </c>
      <c r="G140" s="9">
        <f t="shared" si="14"/>
        <v>1101.0495599999999</v>
      </c>
      <c r="H140" s="9">
        <f>4.95*10.764</f>
        <v>53.281799999999997</v>
      </c>
      <c r="I140" s="57">
        <f t="shared" si="16"/>
        <v>1649.8036619999998</v>
      </c>
      <c r="J140" s="58"/>
      <c r="L140">
        <f>4*G141*24</f>
        <v>0</v>
      </c>
    </row>
    <row r="141" spans="1:17" ht="15.5" x14ac:dyDescent="0.35">
      <c r="A141" s="40">
        <v>4</v>
      </c>
      <c r="B141" s="9" t="s">
        <v>214</v>
      </c>
      <c r="C141" s="57" t="s">
        <v>137</v>
      </c>
      <c r="D141" s="63"/>
      <c r="E141" s="63"/>
      <c r="F141" s="63"/>
      <c r="G141" s="63"/>
      <c r="H141" s="63"/>
      <c r="I141" s="63"/>
      <c r="J141" s="58"/>
      <c r="L141">
        <f>4*G142*24</f>
        <v>45146.79935999999</v>
      </c>
    </row>
    <row r="142" spans="1:17" ht="15.5" x14ac:dyDescent="0.35">
      <c r="A142" s="40">
        <v>5</v>
      </c>
      <c r="B142" s="9" t="s">
        <v>210</v>
      </c>
      <c r="C142" s="9" t="s">
        <v>135</v>
      </c>
      <c r="D142" s="57">
        <f>41.33*10.764</f>
        <v>444.87611999999996</v>
      </c>
      <c r="E142" s="58"/>
      <c r="F142" s="9">
        <f>2.36*10.764</f>
        <v>25.403039999999997</v>
      </c>
      <c r="G142" s="9">
        <f t="shared" ref="G142:G143" si="17">D142+F142</f>
        <v>470.27915999999993</v>
      </c>
      <c r="H142" s="9">
        <f>5.4*10.764</f>
        <v>58.125599999999999</v>
      </c>
      <c r="I142" s="51">
        <f t="shared" ref="I142:I143" si="18">G142*1.45+H142</f>
        <v>740.0303819999998</v>
      </c>
      <c r="J142" s="53"/>
      <c r="L142">
        <f>4*G143*24</f>
        <v>45146.79935999999</v>
      </c>
    </row>
    <row r="143" spans="1:17" ht="15.5" x14ac:dyDescent="0.35">
      <c r="A143" s="40">
        <v>6</v>
      </c>
      <c r="B143" s="9" t="s">
        <v>210</v>
      </c>
      <c r="C143" s="9" t="s">
        <v>135</v>
      </c>
      <c r="D143" s="57">
        <f>41.33*10.764</f>
        <v>444.87611999999996</v>
      </c>
      <c r="E143" s="58"/>
      <c r="F143" s="9">
        <f>2.36*10.764</f>
        <v>25.403039999999997</v>
      </c>
      <c r="G143" s="9">
        <f t="shared" si="17"/>
        <v>470.27915999999993</v>
      </c>
      <c r="H143" s="9">
        <f>5.4*10.764</f>
        <v>58.125599999999999</v>
      </c>
      <c r="I143" s="51">
        <f t="shared" si="18"/>
        <v>740.0303819999998</v>
      </c>
      <c r="J143" s="53"/>
      <c r="L143">
        <f>4*G277*24</f>
        <v>0</v>
      </c>
    </row>
    <row r="144" spans="1:17" ht="15" x14ac:dyDescent="0.35">
      <c r="A144" s="59" t="s">
        <v>208</v>
      </c>
      <c r="B144" s="60"/>
      <c r="C144" s="60"/>
      <c r="D144" s="60"/>
      <c r="E144" s="60"/>
      <c r="F144" s="60"/>
      <c r="G144" s="60"/>
      <c r="H144" s="60"/>
      <c r="I144" s="60"/>
      <c r="J144" s="61"/>
    </row>
    <row r="145" spans="1:12" ht="15.5" x14ac:dyDescent="0.35">
      <c r="A145" s="40">
        <v>1</v>
      </c>
      <c r="B145" s="9" t="s">
        <v>209</v>
      </c>
      <c r="C145" s="9" t="s">
        <v>135</v>
      </c>
      <c r="D145" s="57">
        <f>44.14*10.764</f>
        <v>475.12295999999998</v>
      </c>
      <c r="E145" s="58"/>
      <c r="F145" s="9">
        <f>2.21*10.764</f>
        <v>23.788439999999998</v>
      </c>
      <c r="G145" s="9">
        <f>D145+F145</f>
        <v>498.91139999999996</v>
      </c>
      <c r="H145" s="9">
        <f>4.93*10.764</f>
        <v>53.066519999999997</v>
      </c>
      <c r="I145" s="51">
        <f>G145*1.45+H145</f>
        <v>776.48804999999993</v>
      </c>
      <c r="J145" s="53"/>
      <c r="L145">
        <f t="shared" ref="L145:L149" si="19">4*G146*24</f>
        <v>47895.494399999996</v>
      </c>
    </row>
    <row r="146" spans="1:12" ht="15.5" x14ac:dyDescent="0.35">
      <c r="A146" s="40">
        <v>2</v>
      </c>
      <c r="B146" s="9" t="s">
        <v>209</v>
      </c>
      <c r="C146" s="9" t="s">
        <v>135</v>
      </c>
      <c r="D146" s="57">
        <f>44.14*10.764</f>
        <v>475.12295999999998</v>
      </c>
      <c r="E146" s="58"/>
      <c r="F146" s="9">
        <f t="shared" ref="F146" si="20">2.21*10.764</f>
        <v>23.788439999999998</v>
      </c>
      <c r="G146" s="9">
        <f t="shared" ref="G146:G150" si="21">D146+F146</f>
        <v>498.91139999999996</v>
      </c>
      <c r="H146" s="9">
        <f t="shared" ref="H146" si="22">4.93*10.764</f>
        <v>53.066519999999997</v>
      </c>
      <c r="I146" s="51">
        <f t="shared" ref="I146:I150" si="23">G146*1.45+H146</f>
        <v>776.48804999999993</v>
      </c>
      <c r="J146" s="53"/>
      <c r="L146">
        <f t="shared" si="19"/>
        <v>67653.03168</v>
      </c>
    </row>
    <row r="147" spans="1:12" ht="15.5" x14ac:dyDescent="0.35">
      <c r="A147" s="40">
        <v>3</v>
      </c>
      <c r="B147" s="9" t="s">
        <v>210</v>
      </c>
      <c r="C147" s="9" t="s">
        <v>136</v>
      </c>
      <c r="D147" s="57">
        <f>60.06*10.764</f>
        <v>646.48583999999994</v>
      </c>
      <c r="E147" s="58"/>
      <c r="F147" s="9">
        <f>5.41*10.764</f>
        <v>58.233239999999995</v>
      </c>
      <c r="G147" s="9">
        <f t="shared" si="21"/>
        <v>704.71907999999996</v>
      </c>
      <c r="H147" s="9">
        <f>4.95*10.764</f>
        <v>53.281799999999997</v>
      </c>
      <c r="I147" s="51">
        <f t="shared" si="23"/>
        <v>1075.124466</v>
      </c>
      <c r="J147" s="53"/>
      <c r="L147">
        <f t="shared" si="19"/>
        <v>67653.03168</v>
      </c>
    </row>
    <row r="148" spans="1:12" ht="15.5" x14ac:dyDescent="0.35">
      <c r="A148" s="40">
        <v>4</v>
      </c>
      <c r="B148" s="9" t="s">
        <v>210</v>
      </c>
      <c r="C148" s="9" t="s">
        <v>136</v>
      </c>
      <c r="D148" s="57">
        <f>60.06*10.764</f>
        <v>646.48583999999994</v>
      </c>
      <c r="E148" s="58"/>
      <c r="F148" s="9">
        <f>5.41*10.764</f>
        <v>58.233239999999995</v>
      </c>
      <c r="G148" s="9">
        <f t="shared" si="21"/>
        <v>704.71907999999996</v>
      </c>
      <c r="H148" s="9">
        <f t="shared" ref="H148" si="24">4.95*10.764</f>
        <v>53.281799999999997</v>
      </c>
      <c r="I148" s="51">
        <f t="shared" si="23"/>
        <v>1075.124466</v>
      </c>
      <c r="J148" s="53"/>
      <c r="L148">
        <f t="shared" si="19"/>
        <v>45146.79935999999</v>
      </c>
    </row>
    <row r="149" spans="1:12" ht="15.5" x14ac:dyDescent="0.35">
      <c r="A149" s="40">
        <v>5</v>
      </c>
      <c r="B149" s="9" t="s">
        <v>210</v>
      </c>
      <c r="C149" s="9" t="s">
        <v>135</v>
      </c>
      <c r="D149" s="57">
        <f>41.33*10.764</f>
        <v>444.87611999999996</v>
      </c>
      <c r="E149" s="58"/>
      <c r="F149" s="9">
        <f>2.36*10.764</f>
        <v>25.403039999999997</v>
      </c>
      <c r="G149" s="9">
        <f t="shared" si="21"/>
        <v>470.27915999999993</v>
      </c>
      <c r="H149" s="9">
        <f>5.4*10.764</f>
        <v>58.125599999999999</v>
      </c>
      <c r="I149" s="51">
        <f t="shared" si="23"/>
        <v>740.0303819999998</v>
      </c>
      <c r="J149" s="53"/>
      <c r="L149">
        <f t="shared" si="19"/>
        <v>45146.79935999999</v>
      </c>
    </row>
    <row r="150" spans="1:12" ht="15.5" x14ac:dyDescent="0.35">
      <c r="A150" s="40">
        <v>6</v>
      </c>
      <c r="B150" s="9" t="s">
        <v>209</v>
      </c>
      <c r="C150" s="9" t="s">
        <v>135</v>
      </c>
      <c r="D150" s="57">
        <f>41.33*10.764</f>
        <v>444.87611999999996</v>
      </c>
      <c r="E150" s="58"/>
      <c r="F150" s="9">
        <f>2.36*10.764</f>
        <v>25.403039999999997</v>
      </c>
      <c r="G150" s="9">
        <f t="shared" si="21"/>
        <v>470.27915999999993</v>
      </c>
      <c r="H150" s="9">
        <f>5.4*10.764</f>
        <v>58.125599999999999</v>
      </c>
      <c r="I150" s="51">
        <f t="shared" si="23"/>
        <v>740.0303819999998</v>
      </c>
      <c r="J150" s="53"/>
      <c r="L150">
        <f>4*G228*24</f>
        <v>0</v>
      </c>
    </row>
    <row r="151" spans="1:12" ht="15" x14ac:dyDescent="0.35">
      <c r="A151" s="59" t="s">
        <v>211</v>
      </c>
      <c r="B151" s="60"/>
      <c r="C151" s="60"/>
      <c r="D151" s="60"/>
      <c r="E151" s="60"/>
      <c r="F151" s="60"/>
      <c r="G151" s="60"/>
      <c r="H151" s="60"/>
      <c r="I151" s="60"/>
      <c r="J151" s="61"/>
    </row>
    <row r="152" spans="1:12" ht="15" customHeight="1" x14ac:dyDescent="0.35">
      <c r="A152" s="40">
        <v>1</v>
      </c>
      <c r="B152" s="9" t="s">
        <v>210</v>
      </c>
      <c r="C152" s="9" t="s">
        <v>135</v>
      </c>
      <c r="D152" s="57">
        <f>44.26*10.764</f>
        <v>476.41463999999996</v>
      </c>
      <c r="E152" s="58"/>
      <c r="F152" s="9">
        <f>2.21*10.764</f>
        <v>23.788439999999998</v>
      </c>
      <c r="G152" s="9">
        <f>D152+F152</f>
        <v>500.20307999999994</v>
      </c>
      <c r="H152" s="9">
        <f>5.4*10.764</f>
        <v>58.125599999999999</v>
      </c>
      <c r="I152" s="51">
        <f>G152*1.45+H152</f>
        <v>783.42006599999991</v>
      </c>
      <c r="J152" s="53"/>
      <c r="L152">
        <f t="shared" ref="L152:L156" si="25">4*G153*24</f>
        <v>48019.495679999993</v>
      </c>
    </row>
    <row r="153" spans="1:12" ht="15.5" x14ac:dyDescent="0.35">
      <c r="A153" s="40">
        <v>2</v>
      </c>
      <c r="B153" s="9" t="s">
        <v>210</v>
      </c>
      <c r="C153" s="9" t="s">
        <v>135</v>
      </c>
      <c r="D153" s="57">
        <f>44.26*10.764</f>
        <v>476.41463999999996</v>
      </c>
      <c r="E153" s="58"/>
      <c r="F153" s="9">
        <f t="shared" ref="F153" si="26">2.21*10.764</f>
        <v>23.788439999999998</v>
      </c>
      <c r="G153" s="9">
        <f t="shared" ref="G153:G157" si="27">D153+F153</f>
        <v>500.20307999999994</v>
      </c>
      <c r="H153" s="9">
        <f t="shared" ref="H153:H157" si="28">5.4*10.764</f>
        <v>58.125599999999999</v>
      </c>
      <c r="I153" s="51">
        <f t="shared" ref="I153:I157" si="29">G153*1.45+H153</f>
        <v>783.42006599999991</v>
      </c>
      <c r="J153" s="53"/>
      <c r="L153">
        <f t="shared" si="25"/>
        <v>67828.700159999993</v>
      </c>
    </row>
    <row r="154" spans="1:12" ht="15.5" x14ac:dyDescent="0.35">
      <c r="A154" s="40">
        <v>3</v>
      </c>
      <c r="B154" s="9" t="s">
        <v>210</v>
      </c>
      <c r="C154" s="9" t="s">
        <v>136</v>
      </c>
      <c r="D154" s="57">
        <f>60.23*10.764</f>
        <v>648.31571999999994</v>
      </c>
      <c r="E154" s="58"/>
      <c r="F154" s="9">
        <f>5.41*10.764</f>
        <v>58.233239999999995</v>
      </c>
      <c r="G154" s="9">
        <f t="shared" si="27"/>
        <v>706.54895999999997</v>
      </c>
      <c r="H154" s="9">
        <f t="shared" si="28"/>
        <v>58.125599999999999</v>
      </c>
      <c r="I154" s="51">
        <f t="shared" si="29"/>
        <v>1082.621592</v>
      </c>
      <c r="J154" s="53"/>
      <c r="L154">
        <f t="shared" si="25"/>
        <v>67828.700159999993</v>
      </c>
    </row>
    <row r="155" spans="1:12" ht="15.5" x14ac:dyDescent="0.35">
      <c r="A155" s="40">
        <v>4</v>
      </c>
      <c r="B155" s="9" t="s">
        <v>210</v>
      </c>
      <c r="C155" s="9" t="s">
        <v>136</v>
      </c>
      <c r="D155" s="57">
        <f>60.23*10.764</f>
        <v>648.31571999999994</v>
      </c>
      <c r="E155" s="58"/>
      <c r="F155" s="9">
        <f>5.41*10.764</f>
        <v>58.233239999999995</v>
      </c>
      <c r="G155" s="9">
        <f t="shared" si="27"/>
        <v>706.54895999999997</v>
      </c>
      <c r="H155" s="9">
        <f t="shared" si="28"/>
        <v>58.125599999999999</v>
      </c>
      <c r="I155" s="51">
        <f t="shared" si="29"/>
        <v>1082.621592</v>
      </c>
      <c r="J155" s="53"/>
      <c r="L155">
        <f t="shared" si="25"/>
        <v>45146.79935999999</v>
      </c>
    </row>
    <row r="156" spans="1:12" ht="15.5" x14ac:dyDescent="0.35">
      <c r="A156" s="40">
        <v>5</v>
      </c>
      <c r="B156" s="9" t="s">
        <v>210</v>
      </c>
      <c r="C156" s="9" t="s">
        <v>135</v>
      </c>
      <c r="D156" s="57">
        <f>41.33*10.764</f>
        <v>444.87611999999996</v>
      </c>
      <c r="E156" s="58"/>
      <c r="F156" s="9">
        <f>2.36*10.764</f>
        <v>25.403039999999997</v>
      </c>
      <c r="G156" s="9">
        <f t="shared" si="27"/>
        <v>470.27915999999993</v>
      </c>
      <c r="H156" s="9">
        <f t="shared" si="28"/>
        <v>58.125599999999999</v>
      </c>
      <c r="I156" s="51">
        <f t="shared" si="29"/>
        <v>740.0303819999998</v>
      </c>
      <c r="J156" s="53"/>
      <c r="L156">
        <f t="shared" si="25"/>
        <v>45146.79935999999</v>
      </c>
    </row>
    <row r="157" spans="1:12" ht="15.5" x14ac:dyDescent="0.35">
      <c r="A157" s="40">
        <v>6</v>
      </c>
      <c r="B157" s="9" t="s">
        <v>210</v>
      </c>
      <c r="C157" s="9" t="s">
        <v>135</v>
      </c>
      <c r="D157" s="57">
        <f>41.33*10.764</f>
        <v>444.87611999999996</v>
      </c>
      <c r="E157" s="58"/>
      <c r="F157" s="9">
        <f>2.36*10.764</f>
        <v>25.403039999999997</v>
      </c>
      <c r="G157" s="9">
        <f t="shared" si="27"/>
        <v>470.27915999999993</v>
      </c>
      <c r="H157" s="9">
        <f t="shared" si="28"/>
        <v>58.125599999999999</v>
      </c>
      <c r="I157" s="51">
        <f t="shared" si="29"/>
        <v>740.0303819999998</v>
      </c>
      <c r="J157" s="53"/>
    </row>
    <row r="158" spans="1:12" ht="15" x14ac:dyDescent="0.35">
      <c r="A158" s="59" t="s">
        <v>215</v>
      </c>
      <c r="B158" s="60"/>
      <c r="C158" s="60"/>
      <c r="D158" s="60"/>
      <c r="E158" s="60"/>
      <c r="F158" s="60"/>
      <c r="G158" s="60"/>
      <c r="H158" s="60"/>
      <c r="I158" s="60"/>
      <c r="J158" s="61"/>
    </row>
    <row r="159" spans="1:12" ht="15.5" x14ac:dyDescent="0.35">
      <c r="A159" s="40">
        <v>1</v>
      </c>
      <c r="B159" s="9" t="s">
        <v>209</v>
      </c>
      <c r="C159" s="9" t="s">
        <v>135</v>
      </c>
      <c r="D159" s="57">
        <f>44.14*10.764</f>
        <v>475.12295999999998</v>
      </c>
      <c r="E159" s="58"/>
      <c r="F159" s="9">
        <f>2.21*10.764</f>
        <v>23.788439999999998</v>
      </c>
      <c r="G159" s="9">
        <f>D159+F159</f>
        <v>498.91139999999996</v>
      </c>
      <c r="H159" s="9">
        <f>4.93*10.764</f>
        <v>53.066519999999997</v>
      </c>
      <c r="I159" s="51">
        <f>G159*1.45+H159</f>
        <v>776.48804999999993</v>
      </c>
      <c r="J159" s="53"/>
      <c r="L159">
        <f t="shared" ref="L159:L163" si="30">4*G160*24</f>
        <v>52989.880319999997</v>
      </c>
    </row>
    <row r="160" spans="1:12" ht="15.5" x14ac:dyDescent="0.35">
      <c r="A160" s="40">
        <v>2</v>
      </c>
      <c r="B160" s="9" t="s">
        <v>210</v>
      </c>
      <c r="C160" s="9" t="s">
        <v>135</v>
      </c>
      <c r="D160" s="57">
        <f>44.14*10.764</f>
        <v>475.12295999999998</v>
      </c>
      <c r="E160" s="58"/>
      <c r="F160" s="9">
        <f>7.14*10.764</f>
        <v>76.854959999999991</v>
      </c>
      <c r="G160" s="9">
        <f t="shared" ref="G160:G161" si="31">D160+F160</f>
        <v>551.97791999999993</v>
      </c>
      <c r="H160" s="9">
        <f t="shared" ref="H160" si="32">4.93*10.764</f>
        <v>53.066519999999997</v>
      </c>
      <c r="I160" s="51">
        <f t="shared" ref="I160:I161" si="33">G160*1.45+H160</f>
        <v>853.43450399999983</v>
      </c>
      <c r="J160" s="53"/>
      <c r="L160">
        <f t="shared" si="30"/>
        <v>110743.47648000001</v>
      </c>
    </row>
    <row r="161" spans="1:12" ht="15.5" x14ac:dyDescent="0.35">
      <c r="A161" s="40">
        <v>3</v>
      </c>
      <c r="B161" s="9" t="s">
        <v>210</v>
      </c>
      <c r="C161" s="9" t="s">
        <v>213</v>
      </c>
      <c r="D161" s="57">
        <f>92.04*10.764</f>
        <v>990.71856000000002</v>
      </c>
      <c r="E161" s="58"/>
      <c r="F161" s="9">
        <f>15.13*10.764</f>
        <v>162.85932</v>
      </c>
      <c r="G161" s="9">
        <f t="shared" si="31"/>
        <v>1153.5778800000001</v>
      </c>
      <c r="H161" s="9">
        <f>4.95*10.764</f>
        <v>53.281799999999997</v>
      </c>
      <c r="I161" s="57">
        <f t="shared" si="33"/>
        <v>1725.969726</v>
      </c>
      <c r="J161" s="58"/>
      <c r="L161">
        <f t="shared" si="30"/>
        <v>0</v>
      </c>
    </row>
    <row r="162" spans="1:12" ht="15.5" x14ac:dyDescent="0.35">
      <c r="A162" s="40">
        <v>4</v>
      </c>
      <c r="B162" s="9" t="s">
        <v>214</v>
      </c>
      <c r="C162" s="51" t="s">
        <v>137</v>
      </c>
      <c r="D162" s="52"/>
      <c r="E162" s="52"/>
      <c r="F162" s="52"/>
      <c r="G162" s="52"/>
      <c r="H162" s="52"/>
      <c r="I162" s="52"/>
      <c r="J162" s="53"/>
      <c r="L162">
        <f t="shared" si="30"/>
        <v>45146.79935999999</v>
      </c>
    </row>
    <row r="163" spans="1:12" ht="15.5" x14ac:dyDescent="0.35">
      <c r="A163" s="40">
        <v>5</v>
      </c>
      <c r="B163" s="9" t="s">
        <v>209</v>
      </c>
      <c r="C163" s="9" t="s">
        <v>135</v>
      </c>
      <c r="D163" s="57">
        <f>41.33*10.764</f>
        <v>444.87611999999996</v>
      </c>
      <c r="E163" s="58"/>
      <c r="F163" s="9">
        <f>2.36*10.764</f>
        <v>25.403039999999997</v>
      </c>
      <c r="G163" s="9">
        <f t="shared" ref="G163:G164" si="34">D163+F163</f>
        <v>470.27915999999993</v>
      </c>
      <c r="H163" s="9">
        <f>5.4*10.764</f>
        <v>58.125599999999999</v>
      </c>
      <c r="I163" s="51">
        <f t="shared" ref="I163:I164" si="35">G163*1.45+H163</f>
        <v>740.0303819999998</v>
      </c>
      <c r="J163" s="53"/>
      <c r="L163">
        <f t="shared" si="30"/>
        <v>45146.79935999999</v>
      </c>
    </row>
    <row r="164" spans="1:12" ht="15.5" x14ac:dyDescent="0.35">
      <c r="A164" s="40">
        <v>6</v>
      </c>
      <c r="B164" s="9" t="s">
        <v>209</v>
      </c>
      <c r="C164" s="9" t="s">
        <v>135</v>
      </c>
      <c r="D164" s="57">
        <f>41.33*10.764</f>
        <v>444.87611999999996</v>
      </c>
      <c r="E164" s="58"/>
      <c r="F164" s="9">
        <f>2.36*10.764</f>
        <v>25.403039999999997</v>
      </c>
      <c r="G164" s="9">
        <f t="shared" si="34"/>
        <v>470.27915999999993</v>
      </c>
      <c r="H164" s="9">
        <f>5.4*10.764</f>
        <v>58.125599999999999</v>
      </c>
      <c r="I164" s="51">
        <f t="shared" si="35"/>
        <v>740.0303819999998</v>
      </c>
      <c r="J164" s="53"/>
      <c r="L164">
        <f>4*G242*24</f>
        <v>35107.862399999998</v>
      </c>
    </row>
    <row r="165" spans="1:12" ht="15" x14ac:dyDescent="0.35">
      <c r="A165" s="59" t="s">
        <v>247</v>
      </c>
      <c r="B165" s="60"/>
      <c r="C165" s="60"/>
      <c r="D165" s="60"/>
      <c r="E165" s="60"/>
      <c r="F165" s="60"/>
      <c r="G165" s="60"/>
      <c r="H165" s="60"/>
      <c r="I165" s="60"/>
      <c r="J165" s="61"/>
    </row>
    <row r="166" spans="1:12" ht="15" customHeight="1" x14ac:dyDescent="0.35">
      <c r="A166" s="42">
        <v>1</v>
      </c>
      <c r="B166" s="9" t="s">
        <v>210</v>
      </c>
      <c r="C166" s="9" t="s">
        <v>135</v>
      </c>
      <c r="D166" s="57">
        <f>39.27*10.764</f>
        <v>422.70228000000003</v>
      </c>
      <c r="E166" s="58"/>
      <c r="F166" s="9">
        <f>(5.43+8.91)*10.764</f>
        <v>154.35575999999998</v>
      </c>
      <c r="G166" s="9">
        <f>D166+F166</f>
        <v>577.05804000000001</v>
      </c>
      <c r="H166" s="9">
        <v>0</v>
      </c>
      <c r="I166" s="51">
        <f>G166*1.45+H166</f>
        <v>836.73415799999998</v>
      </c>
      <c r="J166" s="53"/>
      <c r="L166">
        <f t="shared" ref="L166:L170" si="36">4*G167*24</f>
        <v>55397.571840000004</v>
      </c>
    </row>
    <row r="167" spans="1:12" ht="15.5" x14ac:dyDescent="0.35">
      <c r="A167" s="42">
        <v>2</v>
      </c>
      <c r="B167" s="9" t="s">
        <v>210</v>
      </c>
      <c r="C167" s="9" t="s">
        <v>135</v>
      </c>
      <c r="D167" s="57">
        <f>39.27*10.764</f>
        <v>422.70228000000003</v>
      </c>
      <c r="E167" s="58"/>
      <c r="F167" s="9">
        <f t="shared" ref="F167" si="37">(5.43+8.91)*10.764</f>
        <v>154.35575999999998</v>
      </c>
      <c r="G167" s="9">
        <f t="shared" ref="G167:G171" si="38">D167+F167</f>
        <v>577.05804000000001</v>
      </c>
      <c r="H167" s="9">
        <v>0</v>
      </c>
      <c r="I167" s="51">
        <f t="shared" ref="I167:I171" si="39">G167*1.45+H167</f>
        <v>836.73415799999998</v>
      </c>
      <c r="J167" s="53"/>
      <c r="L167">
        <f t="shared" si="36"/>
        <v>75227.44319999998</v>
      </c>
    </row>
    <row r="168" spans="1:12" ht="15.5" x14ac:dyDescent="0.35">
      <c r="A168" s="42">
        <v>3</v>
      </c>
      <c r="B168" s="9" t="s">
        <v>210</v>
      </c>
      <c r="C168" s="9" t="s">
        <v>136</v>
      </c>
      <c r="D168" s="57">
        <f>52.75*10.764</f>
        <v>567.80099999999993</v>
      </c>
      <c r="E168" s="58"/>
      <c r="F168" s="9">
        <f>(7.87+12.18)*10.764</f>
        <v>215.81819999999999</v>
      </c>
      <c r="G168" s="9">
        <f t="shared" si="38"/>
        <v>783.61919999999986</v>
      </c>
      <c r="H168" s="9">
        <v>0</v>
      </c>
      <c r="I168" s="51">
        <f t="shared" si="39"/>
        <v>1136.2478399999998</v>
      </c>
      <c r="J168" s="53"/>
      <c r="L168">
        <f t="shared" si="36"/>
        <v>75227.44319999998</v>
      </c>
    </row>
    <row r="169" spans="1:12" ht="15.5" x14ac:dyDescent="0.35">
      <c r="A169" s="42">
        <v>4</v>
      </c>
      <c r="B169" s="9" t="s">
        <v>210</v>
      </c>
      <c r="C169" s="9" t="s">
        <v>136</v>
      </c>
      <c r="D169" s="57">
        <f>52.75*10.764</f>
        <v>567.80099999999993</v>
      </c>
      <c r="E169" s="58"/>
      <c r="F169" s="9">
        <f>(7.87+12.18)*10.764</f>
        <v>215.81819999999999</v>
      </c>
      <c r="G169" s="9">
        <f t="shared" si="38"/>
        <v>783.61919999999986</v>
      </c>
      <c r="H169" s="9">
        <v>0</v>
      </c>
      <c r="I169" s="51">
        <f t="shared" si="39"/>
        <v>1136.2478399999998</v>
      </c>
      <c r="J169" s="53"/>
      <c r="L169">
        <f t="shared" si="36"/>
        <v>53237.882880000005</v>
      </c>
    </row>
    <row r="170" spans="1:12" ht="15.5" x14ac:dyDescent="0.35">
      <c r="A170" s="42">
        <v>5</v>
      </c>
      <c r="B170" s="9" t="s">
        <v>210</v>
      </c>
      <c r="C170" s="9" t="s">
        <v>135</v>
      </c>
      <c r="D170" s="57">
        <f>36.28*10.764</f>
        <v>390.51792</v>
      </c>
      <c r="E170" s="58"/>
      <c r="F170" s="9">
        <f>(5.46+9.78)*10.764</f>
        <v>164.04335999999998</v>
      </c>
      <c r="G170" s="9">
        <f t="shared" si="38"/>
        <v>554.56128000000001</v>
      </c>
      <c r="H170" s="9">
        <v>0</v>
      </c>
      <c r="I170" s="51">
        <f t="shared" si="39"/>
        <v>804.11385599999994</v>
      </c>
      <c r="J170" s="53"/>
      <c r="L170">
        <f t="shared" si="36"/>
        <v>53237.882880000005</v>
      </c>
    </row>
    <row r="171" spans="1:12" ht="15.5" x14ac:dyDescent="0.35">
      <c r="A171" s="42">
        <v>6</v>
      </c>
      <c r="B171" s="9" t="s">
        <v>210</v>
      </c>
      <c r="C171" s="9" t="s">
        <v>135</v>
      </c>
      <c r="D171" s="57">
        <f>36.28*10.764</f>
        <v>390.51792</v>
      </c>
      <c r="E171" s="58"/>
      <c r="F171" s="9">
        <f>(5.46+9.78)*10.764</f>
        <v>164.04335999999998</v>
      </c>
      <c r="G171" s="9">
        <f t="shared" si="38"/>
        <v>554.56128000000001</v>
      </c>
      <c r="H171" s="9">
        <v>0</v>
      </c>
      <c r="I171" s="51">
        <f t="shared" si="39"/>
        <v>804.11385599999994</v>
      </c>
      <c r="J171" s="53"/>
    </row>
    <row r="172" spans="1:12" ht="15" x14ac:dyDescent="0.35">
      <c r="A172" s="59" t="s">
        <v>248</v>
      </c>
      <c r="B172" s="60"/>
      <c r="C172" s="60"/>
      <c r="D172" s="60"/>
      <c r="E172" s="60"/>
      <c r="F172" s="60"/>
      <c r="G172" s="60"/>
      <c r="H172" s="60"/>
      <c r="I172" s="60"/>
      <c r="J172" s="61"/>
    </row>
    <row r="173" spans="1:12" ht="15" customHeight="1" x14ac:dyDescent="0.35">
      <c r="A173" s="42">
        <v>1</v>
      </c>
      <c r="B173" s="9" t="s">
        <v>210</v>
      </c>
      <c r="C173" s="9" t="s">
        <v>135</v>
      </c>
      <c r="D173" s="57">
        <f>38.67*10.764</f>
        <v>416.24387999999999</v>
      </c>
      <c r="E173" s="58"/>
      <c r="F173" s="9">
        <f>(6.12+9.73)*10.764</f>
        <v>170.60939999999999</v>
      </c>
      <c r="G173" s="9">
        <f>D173+F173</f>
        <v>586.85328000000004</v>
      </c>
      <c r="H173" s="9">
        <v>0</v>
      </c>
      <c r="I173" s="51">
        <f>G173*1.45+H173</f>
        <v>850.93725600000005</v>
      </c>
      <c r="J173" s="53"/>
      <c r="L173">
        <f t="shared" ref="L173:L177" si="40">4*G174*24</f>
        <v>56337.914880000004</v>
      </c>
    </row>
    <row r="174" spans="1:12" ht="15.5" x14ac:dyDescent="0.35">
      <c r="A174" s="42">
        <v>2</v>
      </c>
      <c r="B174" s="9" t="s">
        <v>210</v>
      </c>
      <c r="C174" s="9" t="s">
        <v>135</v>
      </c>
      <c r="D174" s="57">
        <f>38.67*10.764</f>
        <v>416.24387999999999</v>
      </c>
      <c r="E174" s="58"/>
      <c r="F174" s="9">
        <f>(6.12+9.73)*10.764</f>
        <v>170.60939999999999</v>
      </c>
      <c r="G174" s="9">
        <f t="shared" ref="G174:G178" si="41">D174+F174</f>
        <v>586.85328000000004</v>
      </c>
      <c r="H174" s="9">
        <v>0</v>
      </c>
      <c r="I174" s="51">
        <f t="shared" ref="I174:I178" si="42">G174*1.45+H174</f>
        <v>850.93725600000005</v>
      </c>
      <c r="J174" s="53"/>
      <c r="L174">
        <f t="shared" si="40"/>
        <v>75857.78303999998</v>
      </c>
    </row>
    <row r="175" spans="1:12" ht="15.5" x14ac:dyDescent="0.35">
      <c r="A175" s="42">
        <v>3</v>
      </c>
      <c r="B175" s="9" t="s">
        <v>210</v>
      </c>
      <c r="C175" s="9" t="s">
        <v>136</v>
      </c>
      <c r="D175" s="57">
        <f>52.65*10.764</f>
        <v>566.7245999999999</v>
      </c>
      <c r="E175" s="58"/>
      <c r="F175" s="9">
        <f>(8.06+12.7)*10.764</f>
        <v>223.46063999999996</v>
      </c>
      <c r="G175" s="9">
        <f t="shared" si="41"/>
        <v>790.18523999999979</v>
      </c>
      <c r="H175" s="9">
        <v>0</v>
      </c>
      <c r="I175" s="51">
        <f t="shared" si="42"/>
        <v>1145.7685979999997</v>
      </c>
      <c r="J175" s="53"/>
      <c r="L175">
        <f t="shared" si="40"/>
        <v>75857.78303999998</v>
      </c>
    </row>
    <row r="176" spans="1:12" ht="15.5" x14ac:dyDescent="0.35">
      <c r="A176" s="42">
        <v>4</v>
      </c>
      <c r="B176" s="9" t="s">
        <v>210</v>
      </c>
      <c r="C176" s="9" t="s">
        <v>136</v>
      </c>
      <c r="D176" s="57">
        <f>52.65*10.764</f>
        <v>566.7245999999999</v>
      </c>
      <c r="E176" s="58"/>
      <c r="F176" s="9">
        <f>(8.06+12.7)*10.764</f>
        <v>223.46063999999996</v>
      </c>
      <c r="G176" s="9">
        <f t="shared" si="41"/>
        <v>790.18523999999979</v>
      </c>
      <c r="H176" s="9">
        <v>0</v>
      </c>
      <c r="I176" s="51">
        <f t="shared" si="42"/>
        <v>1145.7685979999997</v>
      </c>
      <c r="J176" s="53"/>
      <c r="L176">
        <f t="shared" si="40"/>
        <v>53186.215679999994</v>
      </c>
    </row>
    <row r="177" spans="1:12" ht="15.5" x14ac:dyDescent="0.35">
      <c r="A177" s="42">
        <v>5</v>
      </c>
      <c r="B177" s="9" t="s">
        <v>210</v>
      </c>
      <c r="C177" s="9" t="s">
        <v>135</v>
      </c>
      <c r="D177" s="57">
        <f>36.28*10.764</f>
        <v>390.51792</v>
      </c>
      <c r="E177" s="58"/>
      <c r="F177" s="9">
        <f>(5.67+9.52)*10.764</f>
        <v>163.50515999999999</v>
      </c>
      <c r="G177" s="9">
        <f t="shared" si="41"/>
        <v>554.02307999999994</v>
      </c>
      <c r="H177" s="9">
        <v>0</v>
      </c>
      <c r="I177" s="51">
        <f t="shared" si="42"/>
        <v>803.33346599999993</v>
      </c>
      <c r="J177" s="53"/>
      <c r="L177">
        <f t="shared" si="40"/>
        <v>53186.215679999994</v>
      </c>
    </row>
    <row r="178" spans="1:12" ht="15.5" x14ac:dyDescent="0.35">
      <c r="A178" s="42">
        <v>6</v>
      </c>
      <c r="B178" s="9" t="s">
        <v>210</v>
      </c>
      <c r="C178" s="9" t="s">
        <v>135</v>
      </c>
      <c r="D178" s="57">
        <f>36.28*10.764</f>
        <v>390.51792</v>
      </c>
      <c r="E178" s="58"/>
      <c r="F178" s="9">
        <f>(5.67+9.52)*10.764</f>
        <v>163.50515999999999</v>
      </c>
      <c r="G178" s="9">
        <f t="shared" si="41"/>
        <v>554.02307999999994</v>
      </c>
      <c r="H178" s="9">
        <v>0</v>
      </c>
      <c r="I178" s="51">
        <f t="shared" si="42"/>
        <v>803.33346599999993</v>
      </c>
      <c r="J178" s="53"/>
    </row>
    <row r="179" spans="1:12" ht="15" x14ac:dyDescent="0.35">
      <c r="A179" s="59" t="s">
        <v>249</v>
      </c>
      <c r="B179" s="60"/>
      <c r="C179" s="60"/>
      <c r="D179" s="60"/>
      <c r="E179" s="60"/>
      <c r="F179" s="60"/>
      <c r="G179" s="60"/>
      <c r="H179" s="60"/>
      <c r="I179" s="60"/>
      <c r="J179" s="61"/>
    </row>
    <row r="180" spans="1:12" ht="15" customHeight="1" x14ac:dyDescent="0.35">
      <c r="A180" s="42">
        <v>1</v>
      </c>
      <c r="B180" s="9" t="s">
        <v>210</v>
      </c>
      <c r="C180" s="9" t="s">
        <v>135</v>
      </c>
      <c r="D180" s="57">
        <f>39.27*10.764</f>
        <v>422.70228000000003</v>
      </c>
      <c r="E180" s="58"/>
      <c r="F180" s="9">
        <f>(5.43+8.91)*10.764</f>
        <v>154.35575999999998</v>
      </c>
      <c r="G180" s="9">
        <f>D180+F180</f>
        <v>577.05804000000001</v>
      </c>
      <c r="H180" s="9">
        <v>0</v>
      </c>
      <c r="I180" s="51">
        <f>G180*1.45+H180</f>
        <v>836.73415799999998</v>
      </c>
      <c r="J180" s="53"/>
      <c r="L180">
        <f t="shared" ref="L180:L184" si="43">4*G181*24</f>
        <v>55397.571840000004</v>
      </c>
    </row>
    <row r="181" spans="1:12" ht="15.5" x14ac:dyDescent="0.35">
      <c r="A181" s="42">
        <v>2</v>
      </c>
      <c r="B181" s="9" t="s">
        <v>210</v>
      </c>
      <c r="C181" s="9" t="s">
        <v>135</v>
      </c>
      <c r="D181" s="57">
        <f>39.27*10.764</f>
        <v>422.70228000000003</v>
      </c>
      <c r="E181" s="58"/>
      <c r="F181" s="9">
        <f t="shared" ref="F181" si="44">(5.43+8.91)*10.764</f>
        <v>154.35575999999998</v>
      </c>
      <c r="G181" s="9">
        <f t="shared" ref="G181:G185" si="45">D181+F181</f>
        <v>577.05804000000001</v>
      </c>
      <c r="H181" s="9">
        <v>0</v>
      </c>
      <c r="I181" s="51">
        <f t="shared" ref="I181:I185" si="46">G181*1.45+H181</f>
        <v>836.73415799999998</v>
      </c>
      <c r="J181" s="53"/>
      <c r="L181">
        <f t="shared" si="43"/>
        <v>115672.52735999998</v>
      </c>
    </row>
    <row r="182" spans="1:12" ht="15.5" x14ac:dyDescent="0.35">
      <c r="A182" s="42">
        <v>3</v>
      </c>
      <c r="B182" s="9" t="s">
        <v>210</v>
      </c>
      <c r="C182" s="9" t="s">
        <v>213</v>
      </c>
      <c r="D182" s="57">
        <f>82.6*10.764</f>
        <v>889.10639999999989</v>
      </c>
      <c r="E182" s="58"/>
      <c r="F182" s="9">
        <f>(10.49+18.85)*10.764</f>
        <v>315.81576000000001</v>
      </c>
      <c r="G182" s="9">
        <f t="shared" si="45"/>
        <v>1204.9221599999998</v>
      </c>
      <c r="H182" s="9">
        <v>0</v>
      </c>
      <c r="I182" s="51">
        <f t="shared" si="46"/>
        <v>1747.1371319999998</v>
      </c>
      <c r="J182" s="53"/>
      <c r="L182">
        <f t="shared" si="43"/>
        <v>0</v>
      </c>
    </row>
    <row r="183" spans="1:12" ht="15.5" x14ac:dyDescent="0.35">
      <c r="A183" s="42">
        <v>4</v>
      </c>
      <c r="B183" s="9" t="s">
        <v>214</v>
      </c>
      <c r="C183" s="57" t="s">
        <v>137</v>
      </c>
      <c r="D183" s="63"/>
      <c r="E183" s="63"/>
      <c r="F183" s="63"/>
      <c r="G183" s="63"/>
      <c r="H183" s="63"/>
      <c r="I183" s="63"/>
      <c r="J183" s="58"/>
      <c r="L183">
        <f t="shared" si="43"/>
        <v>53237.882880000005</v>
      </c>
    </row>
    <row r="184" spans="1:12" ht="15.5" x14ac:dyDescent="0.35">
      <c r="A184" s="42">
        <v>5</v>
      </c>
      <c r="B184" s="9" t="s">
        <v>210</v>
      </c>
      <c r="C184" s="9" t="s">
        <v>135</v>
      </c>
      <c r="D184" s="57">
        <f>36.28*10.764</f>
        <v>390.51792</v>
      </c>
      <c r="E184" s="58"/>
      <c r="F184" s="9">
        <f>(5.46+9.78)*10.764</f>
        <v>164.04335999999998</v>
      </c>
      <c r="G184" s="9">
        <f t="shared" si="45"/>
        <v>554.56128000000001</v>
      </c>
      <c r="H184" s="9">
        <v>0</v>
      </c>
      <c r="I184" s="51">
        <f t="shared" si="46"/>
        <v>804.11385599999994</v>
      </c>
      <c r="J184" s="53"/>
      <c r="L184">
        <f t="shared" si="43"/>
        <v>53237.882880000005</v>
      </c>
    </row>
    <row r="185" spans="1:12" ht="15.5" x14ac:dyDescent="0.35">
      <c r="A185" s="42">
        <v>6</v>
      </c>
      <c r="B185" s="9" t="s">
        <v>210</v>
      </c>
      <c r="C185" s="9" t="s">
        <v>135</v>
      </c>
      <c r="D185" s="57">
        <f>36.28*10.764</f>
        <v>390.51792</v>
      </c>
      <c r="E185" s="58"/>
      <c r="F185" s="9">
        <f>(5.46+9.78)*10.764</f>
        <v>164.04335999999998</v>
      </c>
      <c r="G185" s="9">
        <f t="shared" si="45"/>
        <v>554.56128000000001</v>
      </c>
      <c r="H185" s="9">
        <v>0</v>
      </c>
      <c r="I185" s="51">
        <f t="shared" si="46"/>
        <v>804.11385599999994</v>
      </c>
      <c r="J185" s="53"/>
    </row>
    <row r="186" spans="1:12" ht="15" x14ac:dyDescent="0.35">
      <c r="A186" s="59" t="s">
        <v>250</v>
      </c>
      <c r="B186" s="60"/>
      <c r="C186" s="60"/>
      <c r="D186" s="60"/>
      <c r="E186" s="60"/>
      <c r="F186" s="60"/>
      <c r="G186" s="60"/>
      <c r="H186" s="60"/>
      <c r="I186" s="60"/>
      <c r="J186" s="61"/>
    </row>
    <row r="187" spans="1:12" ht="15" customHeight="1" x14ac:dyDescent="0.35">
      <c r="A187" s="42">
        <v>1</v>
      </c>
      <c r="B187" s="9" t="s">
        <v>210</v>
      </c>
      <c r="C187" s="9" t="s">
        <v>135</v>
      </c>
      <c r="D187" s="57">
        <f>38.67*10.764</f>
        <v>416.24387999999999</v>
      </c>
      <c r="E187" s="58"/>
      <c r="F187" s="9">
        <f>(6.12+9.73)*10.764</f>
        <v>170.60939999999999</v>
      </c>
      <c r="G187" s="9">
        <f>D187+F187</f>
        <v>586.85328000000004</v>
      </c>
      <c r="H187" s="9">
        <v>0</v>
      </c>
      <c r="I187" s="51">
        <f>G187*1.45+H187</f>
        <v>850.93725600000005</v>
      </c>
      <c r="J187" s="53"/>
      <c r="L187">
        <f t="shared" ref="L187:L191" si="47">4*G188*24</f>
        <v>56337.914880000004</v>
      </c>
    </row>
    <row r="188" spans="1:12" ht="15.5" x14ac:dyDescent="0.35">
      <c r="A188" s="42">
        <v>2</v>
      </c>
      <c r="B188" s="9" t="s">
        <v>210</v>
      </c>
      <c r="C188" s="9" t="s">
        <v>135</v>
      </c>
      <c r="D188" s="57">
        <f>38.67*10.764</f>
        <v>416.24387999999999</v>
      </c>
      <c r="E188" s="58"/>
      <c r="F188" s="9">
        <f>(6.12+9.73)*10.764</f>
        <v>170.60939999999999</v>
      </c>
      <c r="G188" s="9">
        <f t="shared" ref="G188:G192" si="48">D188+F188</f>
        <v>586.85328000000004</v>
      </c>
      <c r="H188" s="9">
        <v>0</v>
      </c>
      <c r="I188" s="51">
        <f t="shared" ref="I188:I192" si="49">G188*1.45+H188</f>
        <v>850.93725600000005</v>
      </c>
      <c r="J188" s="53"/>
      <c r="L188">
        <f t="shared" si="47"/>
        <v>117191.54303999999</v>
      </c>
    </row>
    <row r="189" spans="1:12" ht="15.5" x14ac:dyDescent="0.35">
      <c r="A189" s="42">
        <v>3</v>
      </c>
      <c r="B189" s="9" t="s">
        <v>210</v>
      </c>
      <c r="C189" s="9" t="s">
        <v>213</v>
      </c>
      <c r="D189" s="57">
        <f>81.16*10.764</f>
        <v>873.60623999999996</v>
      </c>
      <c r="E189" s="58"/>
      <c r="F189" s="9">
        <f>(11.67+20.58)*10.764</f>
        <v>347.13899999999995</v>
      </c>
      <c r="G189" s="9">
        <f t="shared" si="48"/>
        <v>1220.74524</v>
      </c>
      <c r="H189" s="9">
        <v>0</v>
      </c>
      <c r="I189" s="51">
        <f t="shared" si="49"/>
        <v>1770.080598</v>
      </c>
      <c r="J189" s="53"/>
      <c r="L189">
        <f t="shared" si="47"/>
        <v>0</v>
      </c>
    </row>
    <row r="190" spans="1:12" ht="15.5" x14ac:dyDescent="0.35">
      <c r="A190" s="42">
        <v>4</v>
      </c>
      <c r="B190" s="9" t="s">
        <v>214</v>
      </c>
      <c r="C190" s="57" t="s">
        <v>137</v>
      </c>
      <c r="D190" s="63"/>
      <c r="E190" s="63"/>
      <c r="F190" s="63"/>
      <c r="G190" s="63"/>
      <c r="H190" s="63"/>
      <c r="I190" s="63"/>
      <c r="J190" s="58"/>
      <c r="L190">
        <f t="shared" si="47"/>
        <v>53186.215679999994</v>
      </c>
    </row>
    <row r="191" spans="1:12" ht="15.5" x14ac:dyDescent="0.35">
      <c r="A191" s="42">
        <v>5</v>
      </c>
      <c r="B191" s="9" t="s">
        <v>210</v>
      </c>
      <c r="C191" s="9" t="s">
        <v>135</v>
      </c>
      <c r="D191" s="57">
        <f>36.28*10.764</f>
        <v>390.51792</v>
      </c>
      <c r="E191" s="58"/>
      <c r="F191" s="9">
        <f>(5.67+9.52)*10.764</f>
        <v>163.50515999999999</v>
      </c>
      <c r="G191" s="9">
        <f t="shared" si="48"/>
        <v>554.02307999999994</v>
      </c>
      <c r="H191" s="9">
        <v>0</v>
      </c>
      <c r="I191" s="51">
        <f t="shared" si="49"/>
        <v>803.33346599999993</v>
      </c>
      <c r="J191" s="53"/>
      <c r="L191">
        <f t="shared" si="47"/>
        <v>53186.215679999994</v>
      </c>
    </row>
    <row r="192" spans="1:12" ht="15.5" x14ac:dyDescent="0.35">
      <c r="A192" s="42">
        <v>6</v>
      </c>
      <c r="B192" s="9" t="s">
        <v>210</v>
      </c>
      <c r="C192" s="9" t="s">
        <v>135</v>
      </c>
      <c r="D192" s="57">
        <f>36.28*10.764</f>
        <v>390.51792</v>
      </c>
      <c r="E192" s="58"/>
      <c r="F192" s="9">
        <f>(5.67+9.52)*10.764</f>
        <v>163.50515999999999</v>
      </c>
      <c r="G192" s="9">
        <f t="shared" si="48"/>
        <v>554.02307999999994</v>
      </c>
      <c r="H192" s="9">
        <v>0</v>
      </c>
      <c r="I192" s="51">
        <f t="shared" si="49"/>
        <v>803.33346599999993</v>
      </c>
      <c r="J192" s="53"/>
    </row>
    <row r="193" spans="1:12" ht="15" x14ac:dyDescent="0.35">
      <c r="A193" s="59" t="s">
        <v>251</v>
      </c>
      <c r="B193" s="60"/>
      <c r="C193" s="60"/>
      <c r="D193" s="60"/>
      <c r="E193" s="60"/>
      <c r="F193" s="60"/>
      <c r="G193" s="60"/>
      <c r="H193" s="60"/>
      <c r="I193" s="60"/>
      <c r="J193" s="61"/>
    </row>
    <row r="194" spans="1:12" ht="15" customHeight="1" x14ac:dyDescent="0.35">
      <c r="A194" s="42">
        <v>1</v>
      </c>
      <c r="B194" s="9" t="s">
        <v>210</v>
      </c>
      <c r="C194" s="9" t="s">
        <v>135</v>
      </c>
      <c r="D194" s="57">
        <f>39.27*10.764</f>
        <v>422.70228000000003</v>
      </c>
      <c r="E194" s="58"/>
      <c r="F194" s="9">
        <f>(5.43+8.91)*10.764</f>
        <v>154.35575999999998</v>
      </c>
      <c r="G194" s="9">
        <f>D194+F194</f>
        <v>577.05804000000001</v>
      </c>
      <c r="H194" s="9">
        <v>0</v>
      </c>
      <c r="I194" s="51">
        <f>G194*1.45+H194</f>
        <v>836.73415799999998</v>
      </c>
      <c r="J194" s="53"/>
      <c r="L194">
        <f t="shared" ref="L194:L198" si="50">4*G195*24</f>
        <v>55397.571840000004</v>
      </c>
    </row>
    <row r="195" spans="1:12" ht="15.5" x14ac:dyDescent="0.35">
      <c r="A195" s="42">
        <v>2</v>
      </c>
      <c r="B195" s="9" t="s">
        <v>210</v>
      </c>
      <c r="C195" s="9" t="s">
        <v>135</v>
      </c>
      <c r="D195" s="57">
        <f>39.27*10.764</f>
        <v>422.70228000000003</v>
      </c>
      <c r="E195" s="58"/>
      <c r="F195" s="9">
        <f t="shared" ref="F195" si="51">(5.43+8.91)*10.764</f>
        <v>154.35575999999998</v>
      </c>
      <c r="G195" s="9">
        <f t="shared" ref="G195:G199" si="52">D195+F195</f>
        <v>577.05804000000001</v>
      </c>
      <c r="H195" s="9">
        <v>0</v>
      </c>
      <c r="I195" s="51">
        <f t="shared" ref="I195:I199" si="53">G195*1.45+H195</f>
        <v>836.73415799999998</v>
      </c>
      <c r="J195" s="53"/>
      <c r="L195">
        <f t="shared" si="50"/>
        <v>75227.44319999998</v>
      </c>
    </row>
    <row r="196" spans="1:12" ht="15.5" x14ac:dyDescent="0.35">
      <c r="A196" s="42">
        <v>3</v>
      </c>
      <c r="B196" s="9" t="s">
        <v>210</v>
      </c>
      <c r="C196" s="9" t="s">
        <v>136</v>
      </c>
      <c r="D196" s="57">
        <f>52.75*10.764</f>
        <v>567.80099999999993</v>
      </c>
      <c r="E196" s="58"/>
      <c r="F196" s="9">
        <f>(7.87+12.18)*10.764</f>
        <v>215.81819999999999</v>
      </c>
      <c r="G196" s="9">
        <f t="shared" si="52"/>
        <v>783.61919999999986</v>
      </c>
      <c r="H196" s="9">
        <v>0</v>
      </c>
      <c r="I196" s="51">
        <f t="shared" si="53"/>
        <v>1136.2478399999998</v>
      </c>
      <c r="J196" s="53"/>
      <c r="L196">
        <f t="shared" si="50"/>
        <v>75227.44319999998</v>
      </c>
    </row>
    <row r="197" spans="1:12" ht="15.5" x14ac:dyDescent="0.35">
      <c r="A197" s="42">
        <v>4</v>
      </c>
      <c r="B197" s="9" t="s">
        <v>210</v>
      </c>
      <c r="C197" s="9" t="s">
        <v>136</v>
      </c>
      <c r="D197" s="57">
        <f>52.75*10.764</f>
        <v>567.80099999999993</v>
      </c>
      <c r="E197" s="58"/>
      <c r="F197" s="9">
        <f>(7.87+12.18)*10.764</f>
        <v>215.81819999999999</v>
      </c>
      <c r="G197" s="9">
        <f t="shared" si="52"/>
        <v>783.61919999999986</v>
      </c>
      <c r="H197" s="9">
        <v>0</v>
      </c>
      <c r="I197" s="51">
        <f t="shared" si="53"/>
        <v>1136.2478399999998</v>
      </c>
      <c r="J197" s="53"/>
      <c r="L197">
        <f t="shared" si="50"/>
        <v>53237.882880000005</v>
      </c>
    </row>
    <row r="198" spans="1:12" ht="15.5" x14ac:dyDescent="0.35">
      <c r="A198" s="42">
        <v>5</v>
      </c>
      <c r="B198" s="9" t="s">
        <v>210</v>
      </c>
      <c r="C198" s="9" t="s">
        <v>135</v>
      </c>
      <c r="D198" s="57">
        <f>36.28*10.764</f>
        <v>390.51792</v>
      </c>
      <c r="E198" s="58"/>
      <c r="F198" s="9">
        <f>(5.46+9.78)*10.764</f>
        <v>164.04335999999998</v>
      </c>
      <c r="G198" s="9">
        <f t="shared" si="52"/>
        <v>554.56128000000001</v>
      </c>
      <c r="H198" s="9">
        <v>0</v>
      </c>
      <c r="I198" s="51">
        <f t="shared" si="53"/>
        <v>804.11385599999994</v>
      </c>
      <c r="J198" s="53"/>
      <c r="L198">
        <f t="shared" si="50"/>
        <v>53237.882880000005</v>
      </c>
    </row>
    <row r="199" spans="1:12" ht="15.5" x14ac:dyDescent="0.35">
      <c r="A199" s="42">
        <v>6</v>
      </c>
      <c r="B199" s="9" t="s">
        <v>210</v>
      </c>
      <c r="C199" s="9" t="s">
        <v>135</v>
      </c>
      <c r="D199" s="57">
        <f>36.28*10.764</f>
        <v>390.51792</v>
      </c>
      <c r="E199" s="58"/>
      <c r="F199" s="9">
        <f>(5.46+9.78)*10.764</f>
        <v>164.04335999999998</v>
      </c>
      <c r="G199" s="9">
        <f t="shared" si="52"/>
        <v>554.56128000000001</v>
      </c>
      <c r="H199" s="9">
        <v>0</v>
      </c>
      <c r="I199" s="51">
        <f t="shared" si="53"/>
        <v>804.11385599999994</v>
      </c>
      <c r="J199" s="53"/>
    </row>
    <row r="200" spans="1:12" ht="15" x14ac:dyDescent="0.35">
      <c r="A200" s="59" t="s">
        <v>252</v>
      </c>
      <c r="B200" s="60"/>
      <c r="C200" s="60"/>
      <c r="D200" s="60"/>
      <c r="E200" s="60"/>
      <c r="F200" s="60"/>
      <c r="G200" s="60"/>
      <c r="H200" s="60"/>
      <c r="I200" s="60"/>
      <c r="J200" s="61"/>
    </row>
    <row r="201" spans="1:12" ht="15" customHeight="1" x14ac:dyDescent="0.35">
      <c r="A201" s="42">
        <v>1</v>
      </c>
      <c r="B201" s="9" t="s">
        <v>210</v>
      </c>
      <c r="C201" s="9" t="s">
        <v>135</v>
      </c>
      <c r="D201" s="57">
        <f>38.67*10.764</f>
        <v>416.24387999999999</v>
      </c>
      <c r="E201" s="58"/>
      <c r="F201" s="9">
        <f>(6.12+9.73)*10.764</f>
        <v>170.60939999999999</v>
      </c>
      <c r="G201" s="9">
        <f>D201+F201</f>
        <v>586.85328000000004</v>
      </c>
      <c r="H201" s="9">
        <v>0</v>
      </c>
      <c r="I201" s="51">
        <f>G201*1.45+H201</f>
        <v>850.93725600000005</v>
      </c>
      <c r="J201" s="53"/>
      <c r="L201">
        <f t="shared" ref="L201:L205" si="54">4*G202*24</f>
        <v>56337.914880000004</v>
      </c>
    </row>
    <row r="202" spans="1:12" ht="15.5" x14ac:dyDescent="0.35">
      <c r="A202" s="42">
        <v>2</v>
      </c>
      <c r="B202" s="9" t="s">
        <v>210</v>
      </c>
      <c r="C202" s="9" t="s">
        <v>135</v>
      </c>
      <c r="D202" s="57">
        <f>38.67*10.764</f>
        <v>416.24387999999999</v>
      </c>
      <c r="E202" s="58"/>
      <c r="F202" s="9">
        <f>(6.12+9.73)*10.764</f>
        <v>170.60939999999999</v>
      </c>
      <c r="G202" s="9">
        <f t="shared" ref="G202:G206" si="55">D202+F202</f>
        <v>586.85328000000004</v>
      </c>
      <c r="H202" s="9">
        <v>0</v>
      </c>
      <c r="I202" s="51">
        <f t="shared" ref="I202:I206" si="56">G202*1.45+H202</f>
        <v>850.93725600000005</v>
      </c>
      <c r="J202" s="53"/>
      <c r="L202">
        <f t="shared" si="54"/>
        <v>75857.78303999998</v>
      </c>
    </row>
    <row r="203" spans="1:12" ht="15.5" x14ac:dyDescent="0.35">
      <c r="A203" s="42">
        <v>3</v>
      </c>
      <c r="B203" s="9" t="s">
        <v>210</v>
      </c>
      <c r="C203" s="9" t="s">
        <v>136</v>
      </c>
      <c r="D203" s="57">
        <f>52.65*10.764</f>
        <v>566.7245999999999</v>
      </c>
      <c r="E203" s="58"/>
      <c r="F203" s="9">
        <f>(8.06+12.7)*10.764</f>
        <v>223.46063999999996</v>
      </c>
      <c r="G203" s="9">
        <f t="shared" si="55"/>
        <v>790.18523999999979</v>
      </c>
      <c r="H203" s="9">
        <v>0</v>
      </c>
      <c r="I203" s="51">
        <f t="shared" si="56"/>
        <v>1145.7685979999997</v>
      </c>
      <c r="J203" s="53"/>
      <c r="L203">
        <f t="shared" si="54"/>
        <v>75857.78303999998</v>
      </c>
    </row>
    <row r="204" spans="1:12" ht="15.5" x14ac:dyDescent="0.35">
      <c r="A204" s="42">
        <v>4</v>
      </c>
      <c r="B204" s="9" t="s">
        <v>210</v>
      </c>
      <c r="C204" s="9" t="s">
        <v>136</v>
      </c>
      <c r="D204" s="57">
        <f>52.65*10.764</f>
        <v>566.7245999999999</v>
      </c>
      <c r="E204" s="58"/>
      <c r="F204" s="9">
        <f>(8.06+12.7)*10.764</f>
        <v>223.46063999999996</v>
      </c>
      <c r="G204" s="9">
        <f t="shared" si="55"/>
        <v>790.18523999999979</v>
      </c>
      <c r="H204" s="9">
        <v>0</v>
      </c>
      <c r="I204" s="51">
        <f t="shared" si="56"/>
        <v>1145.7685979999997</v>
      </c>
      <c r="J204" s="53"/>
      <c r="L204">
        <f t="shared" si="54"/>
        <v>53186.215679999994</v>
      </c>
    </row>
    <row r="205" spans="1:12" ht="15.5" x14ac:dyDescent="0.35">
      <c r="A205" s="42">
        <v>5</v>
      </c>
      <c r="B205" s="9" t="s">
        <v>210</v>
      </c>
      <c r="C205" s="9" t="s">
        <v>135</v>
      </c>
      <c r="D205" s="57">
        <f>36.28*10.764</f>
        <v>390.51792</v>
      </c>
      <c r="E205" s="58"/>
      <c r="F205" s="9">
        <f>(5.67+9.52)*10.764</f>
        <v>163.50515999999999</v>
      </c>
      <c r="G205" s="9">
        <f t="shared" si="55"/>
        <v>554.02307999999994</v>
      </c>
      <c r="H205" s="9">
        <v>0</v>
      </c>
      <c r="I205" s="51">
        <f t="shared" si="56"/>
        <v>803.33346599999993</v>
      </c>
      <c r="J205" s="53"/>
      <c r="L205">
        <f t="shared" si="54"/>
        <v>53186.215679999994</v>
      </c>
    </row>
    <row r="206" spans="1:12" ht="15.5" x14ac:dyDescent="0.35">
      <c r="A206" s="42">
        <v>6</v>
      </c>
      <c r="B206" s="9" t="s">
        <v>210</v>
      </c>
      <c r="C206" s="9" t="s">
        <v>135</v>
      </c>
      <c r="D206" s="57">
        <f>36.28*10.764</f>
        <v>390.51792</v>
      </c>
      <c r="E206" s="58"/>
      <c r="F206" s="9">
        <f>(5.67+9.52)*10.764</f>
        <v>163.50515999999999</v>
      </c>
      <c r="G206" s="9">
        <f t="shared" si="55"/>
        <v>554.02307999999994</v>
      </c>
      <c r="H206" s="9">
        <v>0</v>
      </c>
      <c r="I206" s="51">
        <f t="shared" si="56"/>
        <v>803.33346599999993</v>
      </c>
      <c r="J206" s="53"/>
    </row>
    <row r="207" spans="1:12" ht="15" x14ac:dyDescent="0.35">
      <c r="A207" s="62" t="s">
        <v>253</v>
      </c>
      <c r="B207" s="62"/>
      <c r="C207" s="62"/>
      <c r="D207" s="62"/>
      <c r="E207" s="62"/>
      <c r="F207" s="62"/>
      <c r="G207" s="62"/>
      <c r="H207" s="62"/>
      <c r="I207" s="62"/>
      <c r="J207" s="62"/>
    </row>
    <row r="208" spans="1:12" ht="15" customHeight="1" x14ac:dyDescent="0.35">
      <c r="A208" s="45">
        <v>1</v>
      </c>
      <c r="B208" s="45" t="s">
        <v>210</v>
      </c>
      <c r="C208" s="45" t="s">
        <v>135</v>
      </c>
      <c r="D208" s="50">
        <f>39.27*10.764</f>
        <v>422.70228000000003</v>
      </c>
      <c r="E208" s="50"/>
      <c r="F208" s="45">
        <f>(5.43+8.91)*10.764</f>
        <v>154.35575999999998</v>
      </c>
      <c r="G208" s="45">
        <f>D208+F208</f>
        <v>577.05804000000001</v>
      </c>
      <c r="H208" s="45">
        <v>0</v>
      </c>
      <c r="I208" s="50">
        <f>G208*1.45+H208</f>
        <v>836.73415799999998</v>
      </c>
      <c r="J208" s="50"/>
      <c r="L208">
        <f t="shared" ref="L208:L212" si="57">4*G209*24</f>
        <v>55397.571840000004</v>
      </c>
    </row>
    <row r="209" spans="1:12" ht="15.5" x14ac:dyDescent="0.35">
      <c r="A209" s="45">
        <v>2</v>
      </c>
      <c r="B209" s="45" t="s">
        <v>210</v>
      </c>
      <c r="C209" s="45" t="s">
        <v>135</v>
      </c>
      <c r="D209" s="50">
        <f>39.27*10.764</f>
        <v>422.70228000000003</v>
      </c>
      <c r="E209" s="50"/>
      <c r="F209" s="45">
        <f t="shared" ref="F209" si="58">(5.43+8.91)*10.764</f>
        <v>154.35575999999998</v>
      </c>
      <c r="G209" s="45">
        <f t="shared" ref="G209:G213" si="59">D209+F209</f>
        <v>577.05804000000001</v>
      </c>
      <c r="H209" s="45">
        <v>0</v>
      </c>
      <c r="I209" s="50">
        <f t="shared" ref="I209:I213" si="60">G209*1.45+H209</f>
        <v>836.73415799999998</v>
      </c>
      <c r="J209" s="50"/>
      <c r="L209">
        <f t="shared" si="57"/>
        <v>75227.44319999998</v>
      </c>
    </row>
    <row r="210" spans="1:12" ht="15.5" x14ac:dyDescent="0.35">
      <c r="A210" s="45">
        <v>3</v>
      </c>
      <c r="B210" s="45" t="s">
        <v>210</v>
      </c>
      <c r="C210" s="45" t="s">
        <v>136</v>
      </c>
      <c r="D210" s="50">
        <f>52.75*10.764</f>
        <v>567.80099999999993</v>
      </c>
      <c r="E210" s="50"/>
      <c r="F210" s="45">
        <f>(7.87+12.18)*10.764</f>
        <v>215.81819999999999</v>
      </c>
      <c r="G210" s="45">
        <f t="shared" si="59"/>
        <v>783.61919999999986</v>
      </c>
      <c r="H210" s="45">
        <v>0</v>
      </c>
      <c r="I210" s="50">
        <f t="shared" si="60"/>
        <v>1136.2478399999998</v>
      </c>
      <c r="J210" s="50"/>
      <c r="L210">
        <f t="shared" si="57"/>
        <v>75227.44319999998</v>
      </c>
    </row>
    <row r="211" spans="1:12" ht="15.5" x14ac:dyDescent="0.35">
      <c r="A211" s="45">
        <v>4</v>
      </c>
      <c r="B211" s="45" t="s">
        <v>210</v>
      </c>
      <c r="C211" s="45" t="s">
        <v>136</v>
      </c>
      <c r="D211" s="50">
        <f>52.75*10.764</f>
        <v>567.80099999999993</v>
      </c>
      <c r="E211" s="50"/>
      <c r="F211" s="45">
        <f>(7.87+12.18)*10.764</f>
        <v>215.81819999999999</v>
      </c>
      <c r="G211" s="45">
        <f t="shared" si="59"/>
        <v>783.61919999999986</v>
      </c>
      <c r="H211" s="45">
        <v>0</v>
      </c>
      <c r="I211" s="50">
        <f t="shared" si="60"/>
        <v>1136.2478399999998</v>
      </c>
      <c r="J211" s="50"/>
      <c r="L211">
        <f t="shared" si="57"/>
        <v>53237.882880000005</v>
      </c>
    </row>
    <row r="212" spans="1:12" ht="15.5" x14ac:dyDescent="0.35">
      <c r="A212" s="45">
        <v>5</v>
      </c>
      <c r="B212" s="45" t="s">
        <v>210</v>
      </c>
      <c r="C212" s="45" t="s">
        <v>135</v>
      </c>
      <c r="D212" s="50">
        <f>36.28*10.764</f>
        <v>390.51792</v>
      </c>
      <c r="E212" s="50"/>
      <c r="F212" s="45">
        <f>(5.46+9.78)*10.764</f>
        <v>164.04335999999998</v>
      </c>
      <c r="G212" s="45">
        <f t="shared" si="59"/>
        <v>554.56128000000001</v>
      </c>
      <c r="H212" s="45">
        <v>0</v>
      </c>
      <c r="I212" s="50">
        <f t="shared" si="60"/>
        <v>804.11385599999994</v>
      </c>
      <c r="J212" s="50"/>
      <c r="L212">
        <f t="shared" si="57"/>
        <v>53237.882880000005</v>
      </c>
    </row>
    <row r="213" spans="1:12" ht="15.5" x14ac:dyDescent="0.35">
      <c r="A213" s="45">
        <v>6</v>
      </c>
      <c r="B213" s="45" t="s">
        <v>210</v>
      </c>
      <c r="C213" s="45" t="s">
        <v>135</v>
      </c>
      <c r="D213" s="50">
        <f>36.28*10.764</f>
        <v>390.51792</v>
      </c>
      <c r="E213" s="50"/>
      <c r="F213" s="45">
        <f>(5.46+9.78)*10.764</f>
        <v>164.04335999999998</v>
      </c>
      <c r="G213" s="45">
        <f t="shared" si="59"/>
        <v>554.56128000000001</v>
      </c>
      <c r="H213" s="45">
        <v>0</v>
      </c>
      <c r="I213" s="50">
        <f t="shared" si="60"/>
        <v>804.11385599999994</v>
      </c>
      <c r="J213" s="50"/>
    </row>
    <row r="214" spans="1:12" ht="15" x14ac:dyDescent="0.35">
      <c r="A214" s="62" t="s">
        <v>254</v>
      </c>
      <c r="B214" s="62"/>
      <c r="C214" s="62"/>
      <c r="D214" s="62"/>
      <c r="E214" s="62"/>
      <c r="F214" s="62"/>
      <c r="G214" s="62"/>
      <c r="H214" s="62"/>
      <c r="I214" s="62"/>
      <c r="J214" s="62"/>
    </row>
    <row r="215" spans="1:12" ht="15" customHeight="1" x14ac:dyDescent="0.35">
      <c r="A215" s="45">
        <v>1</v>
      </c>
      <c r="B215" s="45" t="s">
        <v>210</v>
      </c>
      <c r="C215" s="45" t="s">
        <v>135</v>
      </c>
      <c r="D215" s="50">
        <f>38.67*10.764</f>
        <v>416.24387999999999</v>
      </c>
      <c r="E215" s="50"/>
      <c r="F215" s="45">
        <f>(6.12+9.73)*10.764</f>
        <v>170.60939999999999</v>
      </c>
      <c r="G215" s="45">
        <f>D215+F215</f>
        <v>586.85328000000004</v>
      </c>
      <c r="H215" s="45">
        <v>0</v>
      </c>
      <c r="I215" s="50">
        <f>G215*1.45+H215</f>
        <v>850.93725600000005</v>
      </c>
      <c r="J215" s="50"/>
      <c r="L215">
        <f t="shared" ref="L215:L219" si="61">4*G216*24</f>
        <v>56337.914880000004</v>
      </c>
    </row>
    <row r="216" spans="1:12" ht="15.5" x14ac:dyDescent="0.35">
      <c r="A216" s="45">
        <v>2</v>
      </c>
      <c r="B216" s="45" t="s">
        <v>210</v>
      </c>
      <c r="C216" s="45" t="s">
        <v>135</v>
      </c>
      <c r="D216" s="50">
        <f>38.67*10.764</f>
        <v>416.24387999999999</v>
      </c>
      <c r="E216" s="50"/>
      <c r="F216" s="45">
        <f>(6.12+9.73)*10.764</f>
        <v>170.60939999999999</v>
      </c>
      <c r="G216" s="45">
        <f t="shared" ref="G216:G220" si="62">D216+F216</f>
        <v>586.85328000000004</v>
      </c>
      <c r="H216" s="45">
        <v>0</v>
      </c>
      <c r="I216" s="50">
        <f t="shared" ref="I216:I220" si="63">G216*1.45+H216</f>
        <v>850.93725600000005</v>
      </c>
      <c r="J216" s="50"/>
      <c r="L216">
        <f t="shared" si="61"/>
        <v>155321.93663999997</v>
      </c>
    </row>
    <row r="217" spans="1:12" ht="51.75" customHeight="1" x14ac:dyDescent="0.35">
      <c r="A217" s="45">
        <v>3</v>
      </c>
      <c r="B217" s="45" t="s">
        <v>210</v>
      </c>
      <c r="C217" s="45" t="s">
        <v>263</v>
      </c>
      <c r="D217" s="50">
        <f>105.96*10.764</f>
        <v>1140.5534399999999</v>
      </c>
      <c r="E217" s="50"/>
      <c r="F217" s="45">
        <f>(8.24+36.11)*10.764</f>
        <v>477.38339999999999</v>
      </c>
      <c r="G217" s="45">
        <f t="shared" si="62"/>
        <v>1617.9368399999998</v>
      </c>
      <c r="H217" s="45">
        <v>0</v>
      </c>
      <c r="I217" s="50">
        <f t="shared" si="63"/>
        <v>2346.0084179999999</v>
      </c>
      <c r="J217" s="50"/>
      <c r="L217">
        <f t="shared" si="61"/>
        <v>155321.93663999997</v>
      </c>
    </row>
    <row r="218" spans="1:12" ht="51.75" customHeight="1" x14ac:dyDescent="0.35">
      <c r="A218" s="42">
        <v>4</v>
      </c>
      <c r="B218" s="9" t="s">
        <v>210</v>
      </c>
      <c r="C218" s="9" t="s">
        <v>263</v>
      </c>
      <c r="D218" s="57">
        <f>108.59*10.764</f>
        <v>1168.86276</v>
      </c>
      <c r="E218" s="58"/>
      <c r="F218" s="9">
        <f>(5.6+36.12)*10.764</f>
        <v>449.07407999999998</v>
      </c>
      <c r="G218" s="9">
        <f t="shared" si="62"/>
        <v>1617.9368399999998</v>
      </c>
      <c r="H218" s="9">
        <v>0</v>
      </c>
      <c r="I218" s="51">
        <f t="shared" si="63"/>
        <v>2346.0084179999999</v>
      </c>
      <c r="J218" s="53"/>
      <c r="L218">
        <f t="shared" si="61"/>
        <v>53186.215679999994</v>
      </c>
    </row>
    <row r="219" spans="1:12" ht="15.5" x14ac:dyDescent="0.35">
      <c r="A219" s="42">
        <v>5</v>
      </c>
      <c r="B219" s="9" t="s">
        <v>210</v>
      </c>
      <c r="C219" s="9" t="s">
        <v>135</v>
      </c>
      <c r="D219" s="57">
        <f>36.28*10.764</f>
        <v>390.51792</v>
      </c>
      <c r="E219" s="58"/>
      <c r="F219" s="9">
        <f>(5.67+9.52)*10.764</f>
        <v>163.50515999999999</v>
      </c>
      <c r="G219" s="9">
        <f t="shared" si="62"/>
        <v>554.02307999999994</v>
      </c>
      <c r="H219" s="9">
        <v>0</v>
      </c>
      <c r="I219" s="51">
        <f t="shared" si="63"/>
        <v>803.33346599999993</v>
      </c>
      <c r="J219" s="53"/>
      <c r="L219">
        <f t="shared" si="61"/>
        <v>53186.215679999994</v>
      </c>
    </row>
    <row r="220" spans="1:12" ht="15.5" x14ac:dyDescent="0.35">
      <c r="A220" s="42">
        <v>6</v>
      </c>
      <c r="B220" s="9" t="s">
        <v>210</v>
      </c>
      <c r="C220" s="9" t="s">
        <v>135</v>
      </c>
      <c r="D220" s="57">
        <f>36.28*10.764</f>
        <v>390.51792</v>
      </c>
      <c r="E220" s="58"/>
      <c r="F220" s="9">
        <f>(5.67+9.52)*10.764</f>
        <v>163.50515999999999</v>
      </c>
      <c r="G220" s="9">
        <f t="shared" si="62"/>
        <v>554.02307999999994</v>
      </c>
      <c r="H220" s="9">
        <v>0</v>
      </c>
      <c r="I220" s="51">
        <f t="shared" si="63"/>
        <v>803.33346599999993</v>
      </c>
      <c r="J220" s="53"/>
    </row>
    <row r="221" spans="1:12" ht="15" x14ac:dyDescent="0.35">
      <c r="A221" s="59" t="s">
        <v>255</v>
      </c>
      <c r="B221" s="60"/>
      <c r="C221" s="60"/>
      <c r="D221" s="60"/>
      <c r="E221" s="60"/>
      <c r="F221" s="60"/>
      <c r="G221" s="60"/>
      <c r="H221" s="60"/>
      <c r="I221" s="60"/>
      <c r="J221" s="61"/>
    </row>
    <row r="222" spans="1:12" ht="15" customHeight="1" x14ac:dyDescent="0.35">
      <c r="A222" s="42">
        <v>1</v>
      </c>
      <c r="B222" s="9" t="s">
        <v>210</v>
      </c>
      <c r="C222" s="9" t="s">
        <v>135</v>
      </c>
      <c r="D222" s="57">
        <f>39.27*10.764</f>
        <v>422.70228000000003</v>
      </c>
      <c r="E222" s="58"/>
      <c r="F222" s="9">
        <f>(5.43+8.91)*10.764</f>
        <v>154.35575999999998</v>
      </c>
      <c r="G222" s="9">
        <f>D222+F222</f>
        <v>577.05804000000001</v>
      </c>
      <c r="H222" s="9">
        <v>0</v>
      </c>
      <c r="I222" s="51">
        <f>G222*1.45+H222</f>
        <v>836.73415799999998</v>
      </c>
      <c r="J222" s="53"/>
      <c r="L222">
        <f t="shared" ref="L222:L226" si="64">4*G223*24</f>
        <v>55397.571840000004</v>
      </c>
    </row>
    <row r="223" spans="1:12" ht="15.5" x14ac:dyDescent="0.35">
      <c r="A223" s="42">
        <v>2</v>
      </c>
      <c r="B223" s="9" t="s">
        <v>210</v>
      </c>
      <c r="C223" s="9" t="s">
        <v>135</v>
      </c>
      <c r="D223" s="57">
        <f>39.27*10.764</f>
        <v>422.70228000000003</v>
      </c>
      <c r="E223" s="58"/>
      <c r="F223" s="9">
        <f t="shared" ref="F223" si="65">(5.43+8.91)*10.764</f>
        <v>154.35575999999998</v>
      </c>
      <c r="G223" s="9">
        <f t="shared" ref="G223:G227" si="66">D223+F223</f>
        <v>577.05804000000001</v>
      </c>
      <c r="H223" s="9">
        <v>0</v>
      </c>
      <c r="I223" s="51">
        <f t="shared" ref="I223:I227" si="67">G223*1.45+H223</f>
        <v>836.73415799999998</v>
      </c>
      <c r="J223" s="53"/>
      <c r="L223">
        <f t="shared" si="64"/>
        <v>0</v>
      </c>
    </row>
    <row r="224" spans="1:12" ht="15.5" x14ac:dyDescent="0.35">
      <c r="A224" s="42">
        <v>3</v>
      </c>
      <c r="B224" s="9" t="s">
        <v>214</v>
      </c>
      <c r="C224" s="57" t="s">
        <v>256</v>
      </c>
      <c r="D224" s="63"/>
      <c r="E224" s="63"/>
      <c r="F224" s="63"/>
      <c r="G224" s="63"/>
      <c r="H224" s="63"/>
      <c r="I224" s="63"/>
      <c r="J224" s="58"/>
      <c r="L224">
        <f t="shared" si="64"/>
        <v>0</v>
      </c>
    </row>
    <row r="225" spans="1:13" ht="15.5" x14ac:dyDescent="0.35">
      <c r="A225" s="42">
        <v>4</v>
      </c>
      <c r="B225" s="9" t="s">
        <v>214</v>
      </c>
      <c r="C225" s="57" t="s">
        <v>257</v>
      </c>
      <c r="D225" s="63"/>
      <c r="E225" s="63"/>
      <c r="F225" s="63"/>
      <c r="G225" s="63"/>
      <c r="H225" s="63"/>
      <c r="I225" s="63"/>
      <c r="J225" s="58"/>
      <c r="L225">
        <f t="shared" si="64"/>
        <v>53237.882880000005</v>
      </c>
    </row>
    <row r="226" spans="1:13" ht="15.5" x14ac:dyDescent="0.35">
      <c r="A226" s="42">
        <v>5</v>
      </c>
      <c r="B226" s="9" t="s">
        <v>210</v>
      </c>
      <c r="C226" s="9" t="s">
        <v>135</v>
      </c>
      <c r="D226" s="57">
        <f>36.28*10.764</f>
        <v>390.51792</v>
      </c>
      <c r="E226" s="58"/>
      <c r="F226" s="9">
        <f>(5.46+9.78)*10.764</f>
        <v>164.04335999999998</v>
      </c>
      <c r="G226" s="9">
        <f t="shared" si="66"/>
        <v>554.56128000000001</v>
      </c>
      <c r="H226" s="9">
        <v>0</v>
      </c>
      <c r="I226" s="51">
        <f t="shared" si="67"/>
        <v>804.11385599999994</v>
      </c>
      <c r="J226" s="53"/>
      <c r="L226">
        <f t="shared" si="64"/>
        <v>53237.882880000005</v>
      </c>
    </row>
    <row r="227" spans="1:13" ht="15.5" x14ac:dyDescent="0.35">
      <c r="A227" s="42">
        <v>6</v>
      </c>
      <c r="B227" s="9" t="s">
        <v>210</v>
      </c>
      <c r="C227" s="9" t="s">
        <v>135</v>
      </c>
      <c r="D227" s="57">
        <f>36.28*10.764</f>
        <v>390.51792</v>
      </c>
      <c r="E227" s="58"/>
      <c r="F227" s="9">
        <f>(5.46+9.78)*10.764</f>
        <v>164.04335999999998</v>
      </c>
      <c r="G227" s="9">
        <f t="shared" si="66"/>
        <v>554.56128000000001</v>
      </c>
      <c r="H227" s="9">
        <v>0</v>
      </c>
      <c r="I227" s="51">
        <f t="shared" si="67"/>
        <v>804.11385599999994</v>
      </c>
      <c r="J227" s="53"/>
    </row>
    <row r="228" spans="1:13" ht="15" x14ac:dyDescent="0.35">
      <c r="A228" s="59" t="s">
        <v>162</v>
      </c>
      <c r="B228" s="60"/>
      <c r="C228" s="60"/>
      <c r="D228" s="60"/>
      <c r="E228" s="60"/>
      <c r="F228" s="60"/>
      <c r="G228" s="60"/>
      <c r="H228" s="60"/>
      <c r="I228" s="60"/>
      <c r="J228" s="61"/>
    </row>
    <row r="229" spans="1:13" ht="15" x14ac:dyDescent="0.35">
      <c r="A229" s="96" t="s">
        <v>166</v>
      </c>
      <c r="B229" s="97"/>
      <c r="C229" s="97"/>
      <c r="D229" s="97"/>
      <c r="E229" s="97"/>
      <c r="F229" s="97"/>
      <c r="G229" s="97"/>
      <c r="H229" s="97"/>
      <c r="I229" s="97"/>
      <c r="J229" s="98"/>
    </row>
    <row r="230" spans="1:13" ht="15.5" x14ac:dyDescent="0.35">
      <c r="A230" s="40">
        <v>1</v>
      </c>
      <c r="B230" s="9" t="s">
        <v>210</v>
      </c>
      <c r="C230" s="9" t="s">
        <v>130</v>
      </c>
      <c r="D230" s="57">
        <f>(5.6*11.4+4.25*2.1+1.2*2.1)*10.764</f>
        <v>810.36773999999991</v>
      </c>
      <c r="E230" s="58"/>
      <c r="F230" s="9">
        <v>0</v>
      </c>
      <c r="G230" s="9">
        <f t="shared" ref="G230:G239" si="68">D230+F230</f>
        <v>810.36773999999991</v>
      </c>
      <c r="H230" s="9">
        <v>0</v>
      </c>
      <c r="I230" s="51">
        <f>G230*1.5+H230</f>
        <v>1215.55161</v>
      </c>
      <c r="J230" s="53"/>
      <c r="L230">
        <f t="shared" ref="L230:L235" si="69">4*G231*24</f>
        <v>62450.144640000013</v>
      </c>
      <c r="M230">
        <f>5.6*11.4+4.25*2.1+1.2*2.1</f>
        <v>75.284999999999997</v>
      </c>
    </row>
    <row r="231" spans="1:13" ht="15.75" customHeight="1" x14ac:dyDescent="0.35">
      <c r="A231" s="40">
        <v>2</v>
      </c>
      <c r="B231" s="9" t="s">
        <v>210</v>
      </c>
      <c r="C231" s="9" t="s">
        <v>130</v>
      </c>
      <c r="D231" s="57">
        <f>(4.5*11.4+3.15*2.1+1.2*2.1)*10.764</f>
        <v>650.5223400000001</v>
      </c>
      <c r="E231" s="58"/>
      <c r="F231" s="9">
        <v>0</v>
      </c>
      <c r="G231" s="9">
        <f t="shared" si="68"/>
        <v>650.5223400000001</v>
      </c>
      <c r="H231" s="9">
        <v>0</v>
      </c>
      <c r="I231" s="51">
        <f t="shared" ref="I231:I239" si="70">G231*1.5+H231</f>
        <v>975.78351000000021</v>
      </c>
      <c r="J231" s="53"/>
      <c r="L231">
        <f t="shared" si="69"/>
        <v>62450.144640000013</v>
      </c>
    </row>
    <row r="232" spans="1:13" ht="15.75" customHeight="1" x14ac:dyDescent="0.35">
      <c r="A232" s="40">
        <v>3</v>
      </c>
      <c r="B232" s="9" t="s">
        <v>210</v>
      </c>
      <c r="C232" s="9" t="s">
        <v>130</v>
      </c>
      <c r="D232" s="57">
        <f>(4.5*11.4+3.15*2.1+1.2*2.1)*10.764</f>
        <v>650.5223400000001</v>
      </c>
      <c r="E232" s="58"/>
      <c r="F232" s="9">
        <v>0</v>
      </c>
      <c r="G232" s="9">
        <f t="shared" si="68"/>
        <v>650.5223400000001</v>
      </c>
      <c r="H232" s="9">
        <v>0</v>
      </c>
      <c r="I232" s="51">
        <f t="shared" si="70"/>
        <v>975.78351000000021</v>
      </c>
      <c r="J232" s="53"/>
      <c r="L232">
        <f t="shared" si="69"/>
        <v>62287.392959999997</v>
      </c>
    </row>
    <row r="233" spans="1:13" ht="15.75" customHeight="1" x14ac:dyDescent="0.35">
      <c r="A233" s="40">
        <v>4</v>
      </c>
      <c r="B233" s="9" t="s">
        <v>210</v>
      </c>
      <c r="C233" s="9" t="s">
        <v>130</v>
      </c>
      <c r="D233" s="57">
        <f>(4.5*10.35+3.15*3.15+1.2*3.15)*10.764</f>
        <v>648.82700999999997</v>
      </c>
      <c r="E233" s="58"/>
      <c r="F233" s="9">
        <v>0</v>
      </c>
      <c r="G233" s="9">
        <f t="shared" si="68"/>
        <v>648.82700999999997</v>
      </c>
      <c r="H233" s="9">
        <v>0</v>
      </c>
      <c r="I233" s="51">
        <f t="shared" si="70"/>
        <v>973.24051499999996</v>
      </c>
      <c r="J233" s="53"/>
      <c r="L233">
        <f t="shared" si="69"/>
        <v>75121.525439999998</v>
      </c>
    </row>
    <row r="234" spans="1:13" ht="15.75" customHeight="1" x14ac:dyDescent="0.35">
      <c r="A234" s="40">
        <v>5</v>
      </c>
      <c r="B234" s="9" t="s">
        <v>210</v>
      </c>
      <c r="C234" s="9" t="s">
        <v>130</v>
      </c>
      <c r="D234" s="57">
        <f>(5.7*10.35+3.15*3.15+1.2*3.15)*10.764</f>
        <v>782.5158899999999</v>
      </c>
      <c r="E234" s="58"/>
      <c r="F234" s="9">
        <v>0</v>
      </c>
      <c r="G234" s="9">
        <f t="shared" si="68"/>
        <v>782.5158899999999</v>
      </c>
      <c r="H234" s="9">
        <v>0</v>
      </c>
      <c r="I234" s="51">
        <f t="shared" si="70"/>
        <v>1173.773835</v>
      </c>
      <c r="J234" s="53"/>
      <c r="L234">
        <f t="shared" si="69"/>
        <v>34286.870591999992</v>
      </c>
    </row>
    <row r="235" spans="1:13" ht="15.75" customHeight="1" x14ac:dyDescent="0.35">
      <c r="A235" s="40">
        <v>6</v>
      </c>
      <c r="B235" s="9" t="s">
        <v>210</v>
      </c>
      <c r="C235" s="9" t="s">
        <v>130</v>
      </c>
      <c r="D235" s="57">
        <f>(5.6+10.35+4.27*3.15+1.2*3.15)*10.764</f>
        <v>357.15490199999994</v>
      </c>
      <c r="E235" s="58"/>
      <c r="F235" s="9">
        <v>0</v>
      </c>
      <c r="G235" s="9">
        <f t="shared" si="68"/>
        <v>357.15490199999994</v>
      </c>
      <c r="H235" s="9">
        <v>0</v>
      </c>
      <c r="I235" s="51">
        <f t="shared" si="70"/>
        <v>535.73235299999988</v>
      </c>
      <c r="J235" s="53"/>
      <c r="L235">
        <f t="shared" si="69"/>
        <v>62450.144640000013</v>
      </c>
    </row>
    <row r="236" spans="1:13" ht="15.75" customHeight="1" x14ac:dyDescent="0.35">
      <c r="A236" s="40">
        <v>7</v>
      </c>
      <c r="B236" s="9" t="s">
        <v>210</v>
      </c>
      <c r="C236" s="9" t="s">
        <v>130</v>
      </c>
      <c r="D236" s="57">
        <f>(4.5*11.4+3.15*2.1+1.2*2.1)*10.764</f>
        <v>650.5223400000001</v>
      </c>
      <c r="E236" s="58"/>
      <c r="F236" s="9">
        <v>0</v>
      </c>
      <c r="G236" s="9">
        <f t="shared" si="68"/>
        <v>650.5223400000001</v>
      </c>
      <c r="H236" s="9">
        <v>0</v>
      </c>
      <c r="I236" s="51">
        <f t="shared" si="70"/>
        <v>975.78351000000021</v>
      </c>
      <c r="J236" s="53"/>
    </row>
    <row r="237" spans="1:13" ht="15.75" customHeight="1" x14ac:dyDescent="0.35">
      <c r="A237" s="40">
        <v>8</v>
      </c>
      <c r="B237" s="9" t="s">
        <v>210</v>
      </c>
      <c r="C237" s="9" t="s">
        <v>130</v>
      </c>
      <c r="D237" s="57">
        <f>(4.5*11.4+3.15*2.1+1.2*2.1)*10.764</f>
        <v>650.5223400000001</v>
      </c>
      <c r="E237" s="58"/>
      <c r="F237" s="9">
        <v>0</v>
      </c>
      <c r="G237" s="9">
        <f t="shared" si="68"/>
        <v>650.5223400000001</v>
      </c>
      <c r="H237" s="9">
        <v>0</v>
      </c>
      <c r="I237" s="51">
        <f t="shared" si="70"/>
        <v>975.78351000000021</v>
      </c>
      <c r="J237" s="53"/>
    </row>
    <row r="238" spans="1:13" ht="15.75" customHeight="1" x14ac:dyDescent="0.35">
      <c r="A238" s="40">
        <v>9</v>
      </c>
      <c r="B238" s="9" t="s">
        <v>210</v>
      </c>
      <c r="C238" s="9" t="s">
        <v>130</v>
      </c>
      <c r="D238" s="57">
        <f>(4.5*11.4+3.15*2.1+1.2*2.1)*10.764</f>
        <v>650.5223400000001</v>
      </c>
      <c r="E238" s="58"/>
      <c r="F238" s="9">
        <v>0</v>
      </c>
      <c r="G238" s="9">
        <f t="shared" si="68"/>
        <v>650.5223400000001</v>
      </c>
      <c r="H238" s="9">
        <v>0</v>
      </c>
      <c r="I238" s="51">
        <f t="shared" si="70"/>
        <v>975.78351000000021</v>
      </c>
      <c r="J238" s="53"/>
    </row>
    <row r="239" spans="1:13" ht="15.75" customHeight="1" x14ac:dyDescent="0.35">
      <c r="A239" s="40">
        <v>10</v>
      </c>
      <c r="B239" s="9" t="s">
        <v>210</v>
      </c>
      <c r="C239" s="9" t="s">
        <v>130</v>
      </c>
      <c r="D239" s="57">
        <f>(5.6*11.4+4.25*2.1+1.2*2.1)*10.764</f>
        <v>810.36773999999991</v>
      </c>
      <c r="E239" s="58"/>
      <c r="F239" s="9">
        <v>0</v>
      </c>
      <c r="G239" s="9">
        <f t="shared" si="68"/>
        <v>810.36773999999991</v>
      </c>
      <c r="H239" s="9">
        <v>0</v>
      </c>
      <c r="I239" s="51">
        <f t="shared" si="70"/>
        <v>1215.55161</v>
      </c>
      <c r="J239" s="53"/>
    </row>
    <row r="240" spans="1:13" ht="15" x14ac:dyDescent="0.35">
      <c r="A240" s="96" t="s">
        <v>206</v>
      </c>
      <c r="B240" s="97"/>
      <c r="C240" s="97"/>
      <c r="D240" s="97"/>
      <c r="E240" s="97"/>
      <c r="F240" s="97"/>
      <c r="G240" s="97"/>
      <c r="H240" s="97"/>
      <c r="I240" s="97"/>
      <c r="J240" s="98"/>
      <c r="L240">
        <f t="shared" ref="L240:L249" si="71">4*G241*24</f>
        <v>45640.221119999987</v>
      </c>
    </row>
    <row r="241" spans="1:12" ht="15.5" x14ac:dyDescent="0.35">
      <c r="A241" s="40">
        <v>1</v>
      </c>
      <c r="B241" s="9" t="s">
        <v>210</v>
      </c>
      <c r="C241" s="9" t="s">
        <v>133</v>
      </c>
      <c r="D241" s="57">
        <f>(5.85*6.35+1.2*5.85)*10.764</f>
        <v>475.41896999999989</v>
      </c>
      <c r="E241" s="58"/>
      <c r="F241" s="9">
        <v>0</v>
      </c>
      <c r="G241" s="9">
        <f t="shared" ref="G241:G250" si="72">D241+F241</f>
        <v>475.41896999999989</v>
      </c>
      <c r="H241" s="9">
        <v>0</v>
      </c>
      <c r="I241" s="51">
        <f>G241*1.5+H241</f>
        <v>713.1284549999998</v>
      </c>
      <c r="J241" s="53"/>
      <c r="L241">
        <f t="shared" si="71"/>
        <v>35107.862399999998</v>
      </c>
    </row>
    <row r="242" spans="1:12" ht="15.5" x14ac:dyDescent="0.35">
      <c r="A242" s="40">
        <v>2</v>
      </c>
      <c r="B242" s="9" t="s">
        <v>210</v>
      </c>
      <c r="C242" s="9" t="s">
        <v>133</v>
      </c>
      <c r="D242" s="57">
        <f>(4.5*6.35+1.2*4.5)*10.764</f>
        <v>365.70690000000002</v>
      </c>
      <c r="E242" s="58"/>
      <c r="F242" s="9">
        <v>0</v>
      </c>
      <c r="G242" s="9">
        <f t="shared" si="72"/>
        <v>365.70690000000002</v>
      </c>
      <c r="H242" s="9">
        <v>0</v>
      </c>
      <c r="I242" s="51">
        <f t="shared" ref="I242:I250" si="73">G242*1.5+H242</f>
        <v>548.56034999999997</v>
      </c>
      <c r="J242" s="53"/>
      <c r="L242">
        <f t="shared" si="71"/>
        <v>35107.862399999998</v>
      </c>
    </row>
    <row r="243" spans="1:12" ht="15.5" x14ac:dyDescent="0.35">
      <c r="A243" s="40">
        <v>3</v>
      </c>
      <c r="B243" s="9" t="s">
        <v>210</v>
      </c>
      <c r="C243" s="9" t="s">
        <v>133</v>
      </c>
      <c r="D243" s="57">
        <f>(4.5*6.35+1.2*4.5)*10.764</f>
        <v>365.70690000000002</v>
      </c>
      <c r="E243" s="58"/>
      <c r="F243" s="9">
        <v>0</v>
      </c>
      <c r="G243" s="9">
        <f t="shared" si="72"/>
        <v>365.70690000000002</v>
      </c>
      <c r="H243" s="9">
        <v>0</v>
      </c>
      <c r="I243" s="51">
        <f t="shared" si="73"/>
        <v>548.56034999999997</v>
      </c>
      <c r="J243" s="53"/>
      <c r="L243">
        <f t="shared" si="71"/>
        <v>33157.425599999995</v>
      </c>
    </row>
    <row r="244" spans="1:12" ht="15.5" x14ac:dyDescent="0.35">
      <c r="A244" s="45">
        <v>4</v>
      </c>
      <c r="B244" s="45" t="s">
        <v>210</v>
      </c>
      <c r="C244" s="45" t="s">
        <v>133</v>
      </c>
      <c r="D244" s="50">
        <f>(4.25*6.35+1.2*4.25)*10.764</f>
        <v>345.38984999999997</v>
      </c>
      <c r="E244" s="50"/>
      <c r="F244" s="45">
        <v>0</v>
      </c>
      <c r="G244" s="45">
        <f t="shared" si="72"/>
        <v>345.38984999999997</v>
      </c>
      <c r="H244" s="45">
        <v>0</v>
      </c>
      <c r="I244" s="50">
        <f t="shared" si="73"/>
        <v>518.08477499999992</v>
      </c>
      <c r="J244" s="50"/>
      <c r="L244">
        <f t="shared" si="71"/>
        <v>44469.959039999994</v>
      </c>
    </row>
    <row r="245" spans="1:12" ht="15.5" x14ac:dyDescent="0.35">
      <c r="A245" s="45">
        <v>5</v>
      </c>
      <c r="B245" s="45" t="s">
        <v>210</v>
      </c>
      <c r="C245" s="45" t="s">
        <v>133</v>
      </c>
      <c r="D245" s="50">
        <f>(5.7*6.35+1.2*5.7)*10.764</f>
        <v>463.22873999999996</v>
      </c>
      <c r="E245" s="50"/>
      <c r="F245" s="45">
        <v>0</v>
      </c>
      <c r="G245" s="45">
        <f t="shared" si="72"/>
        <v>463.22873999999996</v>
      </c>
      <c r="H245" s="45">
        <v>0</v>
      </c>
      <c r="I245" s="50">
        <f t="shared" si="73"/>
        <v>694.84310999999991</v>
      </c>
      <c r="J245" s="50"/>
      <c r="L245">
        <f t="shared" si="71"/>
        <v>43299.696959999994</v>
      </c>
    </row>
    <row r="246" spans="1:12" ht="15.5" x14ac:dyDescent="0.35">
      <c r="A246" s="45">
        <v>6</v>
      </c>
      <c r="B246" s="45" t="s">
        <v>210</v>
      </c>
      <c r="C246" s="45" t="s">
        <v>133</v>
      </c>
      <c r="D246" s="50">
        <f>(5.55*6.35+1.2*5.55)*10.764</f>
        <v>451.03850999999992</v>
      </c>
      <c r="E246" s="50"/>
      <c r="F246" s="45">
        <v>0</v>
      </c>
      <c r="G246" s="45">
        <f t="shared" si="72"/>
        <v>451.03850999999992</v>
      </c>
      <c r="H246" s="45">
        <v>0</v>
      </c>
      <c r="I246" s="50">
        <f t="shared" si="73"/>
        <v>676.5577649999999</v>
      </c>
      <c r="J246" s="50"/>
      <c r="L246">
        <f t="shared" si="71"/>
        <v>33157.425599999995</v>
      </c>
    </row>
    <row r="247" spans="1:12" ht="15.5" x14ac:dyDescent="0.35">
      <c r="A247" s="45">
        <v>7</v>
      </c>
      <c r="B247" s="45" t="s">
        <v>210</v>
      </c>
      <c r="C247" s="45" t="s">
        <v>133</v>
      </c>
      <c r="D247" s="50">
        <f>(4.25*6.35+1.2*4.25)*10.764</f>
        <v>345.38984999999997</v>
      </c>
      <c r="E247" s="50"/>
      <c r="F247" s="45">
        <v>0</v>
      </c>
      <c r="G247" s="45">
        <f t="shared" si="72"/>
        <v>345.38984999999997</v>
      </c>
      <c r="H247" s="45">
        <v>0</v>
      </c>
      <c r="I247" s="50">
        <f t="shared" si="73"/>
        <v>518.08477499999992</v>
      </c>
      <c r="J247" s="50"/>
      <c r="L247">
        <f t="shared" si="71"/>
        <v>35107.862399999998</v>
      </c>
    </row>
    <row r="248" spans="1:12" ht="15.5" x14ac:dyDescent="0.35">
      <c r="A248" s="45">
        <v>8</v>
      </c>
      <c r="B248" s="45" t="s">
        <v>210</v>
      </c>
      <c r="C248" s="45" t="s">
        <v>133</v>
      </c>
      <c r="D248" s="50">
        <f>(4.5*6.35+1.2*4.5)*10.764</f>
        <v>365.70690000000002</v>
      </c>
      <c r="E248" s="50"/>
      <c r="F248" s="45">
        <v>0</v>
      </c>
      <c r="G248" s="45">
        <f t="shared" si="72"/>
        <v>365.70690000000002</v>
      </c>
      <c r="H248" s="45">
        <v>0</v>
      </c>
      <c r="I248" s="50">
        <f t="shared" si="73"/>
        <v>548.56034999999997</v>
      </c>
      <c r="J248" s="50"/>
      <c r="L248">
        <f t="shared" si="71"/>
        <v>35107.862399999998</v>
      </c>
    </row>
    <row r="249" spans="1:12" ht="15.5" x14ac:dyDescent="0.35">
      <c r="A249" s="45">
        <v>9</v>
      </c>
      <c r="B249" s="45" t="s">
        <v>210</v>
      </c>
      <c r="C249" s="45" t="s">
        <v>133</v>
      </c>
      <c r="D249" s="50">
        <f>(4.5*6.35+1.2*4.5)*10.764</f>
        <v>365.70690000000002</v>
      </c>
      <c r="E249" s="50"/>
      <c r="F249" s="45">
        <v>0</v>
      </c>
      <c r="G249" s="45">
        <f t="shared" si="72"/>
        <v>365.70690000000002</v>
      </c>
      <c r="H249" s="45">
        <v>0</v>
      </c>
      <c r="I249" s="50">
        <f t="shared" si="73"/>
        <v>548.56034999999997</v>
      </c>
      <c r="J249" s="50"/>
      <c r="L249">
        <f t="shared" si="71"/>
        <v>45640.221119999987</v>
      </c>
    </row>
    <row r="250" spans="1:12" ht="15.5" x14ac:dyDescent="0.35">
      <c r="A250" s="45">
        <v>10</v>
      </c>
      <c r="B250" s="45" t="s">
        <v>210</v>
      </c>
      <c r="C250" s="45" t="s">
        <v>133</v>
      </c>
      <c r="D250" s="50">
        <f>(5.85*6.35+1.2*5.85)*10.764</f>
        <v>475.41896999999989</v>
      </c>
      <c r="E250" s="50"/>
      <c r="F250" s="45">
        <v>0</v>
      </c>
      <c r="G250" s="45">
        <f t="shared" si="72"/>
        <v>475.41896999999989</v>
      </c>
      <c r="H250" s="45">
        <v>0</v>
      </c>
      <c r="I250" s="50">
        <f t="shared" si="73"/>
        <v>713.1284549999998</v>
      </c>
      <c r="J250" s="50"/>
    </row>
    <row r="251" spans="1:12" ht="15.75" customHeight="1" x14ac:dyDescent="0.35">
      <c r="A251" s="62" t="s">
        <v>207</v>
      </c>
      <c r="B251" s="62"/>
      <c r="C251" s="62"/>
      <c r="D251" s="62"/>
      <c r="E251" s="62"/>
      <c r="F251" s="62"/>
      <c r="G251" s="62"/>
      <c r="H251" s="62"/>
      <c r="I251" s="62"/>
      <c r="J251" s="62"/>
      <c r="L251">
        <f t="shared" ref="L251:L260" si="74">4*G252*24</f>
        <v>45640.221119999987</v>
      </c>
    </row>
    <row r="252" spans="1:12" ht="15.75" customHeight="1" x14ac:dyDescent="0.35">
      <c r="A252" s="45">
        <v>1</v>
      </c>
      <c r="B252" s="45" t="s">
        <v>210</v>
      </c>
      <c r="C252" s="45" t="s">
        <v>133</v>
      </c>
      <c r="D252" s="50">
        <f>(5.85*6.35+1.2*5.85)*10.764</f>
        <v>475.41896999999989</v>
      </c>
      <c r="E252" s="50"/>
      <c r="F252" s="45">
        <v>0</v>
      </c>
      <c r="G252" s="45">
        <f t="shared" ref="G252:G261" si="75">D252+F252</f>
        <v>475.41896999999989</v>
      </c>
      <c r="H252" s="45">
        <v>0</v>
      </c>
      <c r="I252" s="50">
        <f>G252*1.5+H252</f>
        <v>713.1284549999998</v>
      </c>
      <c r="J252" s="50"/>
      <c r="L252">
        <f t="shared" si="74"/>
        <v>35107.862399999998</v>
      </c>
    </row>
    <row r="253" spans="1:12" ht="15.5" x14ac:dyDescent="0.35">
      <c r="A253" s="40">
        <v>2</v>
      </c>
      <c r="B253" s="9" t="s">
        <v>210</v>
      </c>
      <c r="C253" s="9" t="s">
        <v>133</v>
      </c>
      <c r="D253" s="57">
        <f>(4.5*6.35+1.2*4.5)*10.764</f>
        <v>365.70690000000002</v>
      </c>
      <c r="E253" s="58"/>
      <c r="F253" s="9">
        <v>0</v>
      </c>
      <c r="G253" s="9">
        <f t="shared" si="75"/>
        <v>365.70690000000002</v>
      </c>
      <c r="H253" s="9">
        <v>0</v>
      </c>
      <c r="I253" s="51">
        <f t="shared" ref="I253:I261" si="76">G253*1.5+H253</f>
        <v>548.56034999999997</v>
      </c>
      <c r="J253" s="53"/>
      <c r="L253">
        <f t="shared" si="74"/>
        <v>35107.862399999998</v>
      </c>
    </row>
    <row r="254" spans="1:12" ht="15.5" x14ac:dyDescent="0.35">
      <c r="A254" s="40">
        <v>3</v>
      </c>
      <c r="B254" s="9" t="s">
        <v>210</v>
      </c>
      <c r="C254" s="9" t="s">
        <v>133</v>
      </c>
      <c r="D254" s="57">
        <f>(4.5*6.35+1.2*4.5)*10.764</f>
        <v>365.70690000000002</v>
      </c>
      <c r="E254" s="58"/>
      <c r="F254" s="9">
        <v>0</v>
      </c>
      <c r="G254" s="9">
        <f t="shared" si="75"/>
        <v>365.70690000000002</v>
      </c>
      <c r="H254" s="9">
        <v>0</v>
      </c>
      <c r="I254" s="51">
        <f t="shared" si="76"/>
        <v>548.56034999999997</v>
      </c>
      <c r="J254" s="53"/>
      <c r="L254">
        <f t="shared" si="74"/>
        <v>33157.425599999995</v>
      </c>
    </row>
    <row r="255" spans="1:12" ht="15.5" x14ac:dyDescent="0.35">
      <c r="A255" s="40">
        <v>4</v>
      </c>
      <c r="B255" s="9" t="s">
        <v>210</v>
      </c>
      <c r="C255" s="9" t="s">
        <v>133</v>
      </c>
      <c r="D255" s="57">
        <f>(4.25*6.35+1.2*4.25)*10.764</f>
        <v>345.38984999999997</v>
      </c>
      <c r="E255" s="58"/>
      <c r="F255" s="9">
        <v>0</v>
      </c>
      <c r="G255" s="9">
        <f t="shared" si="75"/>
        <v>345.38984999999997</v>
      </c>
      <c r="H255" s="9">
        <v>0</v>
      </c>
      <c r="I255" s="51">
        <f t="shared" si="76"/>
        <v>518.08477499999992</v>
      </c>
      <c r="J255" s="53"/>
      <c r="L255">
        <f t="shared" si="74"/>
        <v>44469.959039999994</v>
      </c>
    </row>
    <row r="256" spans="1:12" ht="15.5" x14ac:dyDescent="0.35">
      <c r="A256" s="40">
        <v>5</v>
      </c>
      <c r="B256" s="9" t="s">
        <v>210</v>
      </c>
      <c r="C256" s="9" t="s">
        <v>133</v>
      </c>
      <c r="D256" s="57">
        <f>(5.7*6.35+1.2*5.7)*10.764</f>
        <v>463.22873999999996</v>
      </c>
      <c r="E256" s="58"/>
      <c r="F256" s="9">
        <v>0</v>
      </c>
      <c r="G256" s="9">
        <f t="shared" si="75"/>
        <v>463.22873999999996</v>
      </c>
      <c r="H256" s="9">
        <v>0</v>
      </c>
      <c r="I256" s="51">
        <f t="shared" si="76"/>
        <v>694.84310999999991</v>
      </c>
      <c r="J256" s="53"/>
      <c r="L256">
        <f t="shared" si="74"/>
        <v>43299.696959999994</v>
      </c>
    </row>
    <row r="257" spans="1:12" ht="15.5" x14ac:dyDescent="0.35">
      <c r="A257" s="40">
        <v>6</v>
      </c>
      <c r="B257" s="9" t="s">
        <v>210</v>
      </c>
      <c r="C257" s="9" t="s">
        <v>133</v>
      </c>
      <c r="D257" s="57">
        <f>(5.55*6.35+1.2*5.55)*10.764</f>
        <v>451.03850999999992</v>
      </c>
      <c r="E257" s="58"/>
      <c r="F257" s="9">
        <v>0</v>
      </c>
      <c r="G257" s="9">
        <f t="shared" si="75"/>
        <v>451.03850999999992</v>
      </c>
      <c r="H257" s="9">
        <v>0</v>
      </c>
      <c r="I257" s="51">
        <f t="shared" si="76"/>
        <v>676.5577649999999</v>
      </c>
      <c r="J257" s="53"/>
      <c r="L257">
        <f t="shared" si="74"/>
        <v>33157.425599999995</v>
      </c>
    </row>
    <row r="258" spans="1:12" ht="15.5" x14ac:dyDescent="0.35">
      <c r="A258" s="40">
        <v>7</v>
      </c>
      <c r="B258" s="9" t="s">
        <v>210</v>
      </c>
      <c r="C258" s="9" t="s">
        <v>133</v>
      </c>
      <c r="D258" s="57">
        <f>(4.25*6.35+1.2*4.25)*10.764</f>
        <v>345.38984999999997</v>
      </c>
      <c r="E258" s="58"/>
      <c r="F258" s="9">
        <v>0</v>
      </c>
      <c r="G258" s="9">
        <f t="shared" si="75"/>
        <v>345.38984999999997</v>
      </c>
      <c r="H258" s="9">
        <v>0</v>
      </c>
      <c r="I258" s="51">
        <f t="shared" si="76"/>
        <v>518.08477499999992</v>
      </c>
      <c r="J258" s="53"/>
      <c r="L258">
        <f t="shared" si="74"/>
        <v>35107.862399999998</v>
      </c>
    </row>
    <row r="259" spans="1:12" ht="15.5" x14ac:dyDescent="0.35">
      <c r="A259" s="40">
        <v>8</v>
      </c>
      <c r="B259" s="9" t="s">
        <v>210</v>
      </c>
      <c r="C259" s="9" t="s">
        <v>133</v>
      </c>
      <c r="D259" s="57">
        <f>(4.5*6.35+1.2*4.5)*10.764</f>
        <v>365.70690000000002</v>
      </c>
      <c r="E259" s="58"/>
      <c r="F259" s="9">
        <v>0</v>
      </c>
      <c r="G259" s="9">
        <f t="shared" si="75"/>
        <v>365.70690000000002</v>
      </c>
      <c r="H259" s="9">
        <v>0</v>
      </c>
      <c r="I259" s="51">
        <f t="shared" si="76"/>
        <v>548.56034999999997</v>
      </c>
      <c r="J259" s="53"/>
      <c r="L259">
        <f t="shared" si="74"/>
        <v>35107.862399999998</v>
      </c>
    </row>
    <row r="260" spans="1:12" ht="15.5" x14ac:dyDescent="0.35">
      <c r="A260" s="40">
        <v>9</v>
      </c>
      <c r="B260" s="9" t="s">
        <v>210</v>
      </c>
      <c r="C260" s="9" t="s">
        <v>133</v>
      </c>
      <c r="D260" s="57">
        <f>(4.5*6.35+1.2*4.5)*10.764</f>
        <v>365.70690000000002</v>
      </c>
      <c r="E260" s="58"/>
      <c r="F260" s="9">
        <v>0</v>
      </c>
      <c r="G260" s="9">
        <f t="shared" si="75"/>
        <v>365.70690000000002</v>
      </c>
      <c r="H260" s="9">
        <v>0</v>
      </c>
      <c r="I260" s="51">
        <f t="shared" si="76"/>
        <v>548.56034999999997</v>
      </c>
      <c r="J260" s="53"/>
      <c r="L260">
        <f t="shared" si="74"/>
        <v>45640.221119999987</v>
      </c>
    </row>
    <row r="261" spans="1:12" ht="15.5" x14ac:dyDescent="0.35">
      <c r="A261" s="40">
        <v>10</v>
      </c>
      <c r="B261" s="9" t="s">
        <v>210</v>
      </c>
      <c r="C261" s="9" t="s">
        <v>133</v>
      </c>
      <c r="D261" s="57">
        <f>(5.85*6.35+1.2*5.85)*10.764</f>
        <v>475.41896999999989</v>
      </c>
      <c r="E261" s="58"/>
      <c r="F261" s="9">
        <v>0</v>
      </c>
      <c r="G261" s="9">
        <f t="shared" si="75"/>
        <v>475.41896999999989</v>
      </c>
      <c r="H261" s="9">
        <v>0</v>
      </c>
      <c r="I261" s="51">
        <f t="shared" si="76"/>
        <v>713.1284549999998</v>
      </c>
      <c r="J261" s="53"/>
    </row>
    <row r="262" spans="1:12" ht="15" x14ac:dyDescent="0.35">
      <c r="A262" s="59" t="s">
        <v>163</v>
      </c>
      <c r="B262" s="60"/>
      <c r="C262" s="60"/>
      <c r="D262" s="60"/>
      <c r="E262" s="60"/>
      <c r="F262" s="60"/>
      <c r="G262" s="60"/>
      <c r="H262" s="60"/>
      <c r="I262" s="60"/>
      <c r="J262" s="61"/>
    </row>
    <row r="263" spans="1:12" ht="15" x14ac:dyDescent="0.35">
      <c r="A263" s="59" t="s">
        <v>134</v>
      </c>
      <c r="B263" s="60"/>
      <c r="C263" s="60"/>
      <c r="D263" s="60"/>
      <c r="E263" s="60"/>
      <c r="F263" s="60"/>
      <c r="G263" s="60"/>
      <c r="H263" s="60"/>
      <c r="I263" s="60"/>
      <c r="J263" s="61"/>
    </row>
    <row r="264" spans="1:12" ht="15.5" x14ac:dyDescent="0.35">
      <c r="A264" s="42">
        <v>1</v>
      </c>
      <c r="B264" s="9" t="s">
        <v>210</v>
      </c>
      <c r="C264" s="9" t="s">
        <v>135</v>
      </c>
      <c r="D264" s="57">
        <f>43.63*10.764</f>
        <v>469.63332000000003</v>
      </c>
      <c r="E264" s="58"/>
      <c r="F264" s="9">
        <f>2.21*10.764</f>
        <v>23.788439999999998</v>
      </c>
      <c r="G264" s="9">
        <f>D264+F264</f>
        <v>493.42176000000001</v>
      </c>
      <c r="H264" s="9">
        <v>0</v>
      </c>
      <c r="I264" s="51">
        <f>G264*1.45+H264</f>
        <v>715.46155199999998</v>
      </c>
      <c r="J264" s="53"/>
      <c r="L264">
        <f t="shared" ref="L264:L269" si="77">4*G265*24</f>
        <v>47368.488960000002</v>
      </c>
    </row>
    <row r="265" spans="1:12" ht="15.5" x14ac:dyDescent="0.35">
      <c r="A265" s="42">
        <v>2</v>
      </c>
      <c r="B265" s="9" t="s">
        <v>210</v>
      </c>
      <c r="C265" s="9" t="s">
        <v>135</v>
      </c>
      <c r="D265" s="57">
        <f>43.63*10.764</f>
        <v>469.63332000000003</v>
      </c>
      <c r="E265" s="58"/>
      <c r="F265" s="9">
        <f t="shared" ref="F265:F269" si="78">2.21*10.764</f>
        <v>23.788439999999998</v>
      </c>
      <c r="G265" s="9">
        <f t="shared" ref="G265:G269" si="79">D265+F265</f>
        <v>493.42176000000001</v>
      </c>
      <c r="H265" s="9">
        <v>0</v>
      </c>
      <c r="I265" s="51">
        <f t="shared" ref="I265:I269" si="80">G265*1.45+H265</f>
        <v>715.46155199999998</v>
      </c>
      <c r="J265" s="53"/>
      <c r="L265">
        <f t="shared" si="77"/>
        <v>67188.02687999999</v>
      </c>
    </row>
    <row r="266" spans="1:12" ht="15.5" x14ac:dyDescent="0.35">
      <c r="A266" s="42">
        <v>3</v>
      </c>
      <c r="B266" s="9" t="s">
        <v>210</v>
      </c>
      <c r="C266" s="9" t="s">
        <v>136</v>
      </c>
      <c r="D266" s="57">
        <f>59.61*10.764</f>
        <v>641.64203999999995</v>
      </c>
      <c r="E266" s="58"/>
      <c r="F266" s="9">
        <f>5.41*10.764</f>
        <v>58.233239999999995</v>
      </c>
      <c r="G266" s="9">
        <f t="shared" si="79"/>
        <v>699.87527999999998</v>
      </c>
      <c r="H266" s="9">
        <v>0</v>
      </c>
      <c r="I266" s="51">
        <f t="shared" si="80"/>
        <v>1014.8191559999999</v>
      </c>
      <c r="J266" s="53"/>
      <c r="L266">
        <f t="shared" si="77"/>
        <v>67188.02687999999</v>
      </c>
    </row>
    <row r="267" spans="1:12" ht="15.5" x14ac:dyDescent="0.35">
      <c r="A267" s="42">
        <v>4</v>
      </c>
      <c r="B267" s="9" t="s">
        <v>210</v>
      </c>
      <c r="C267" s="9" t="s">
        <v>136</v>
      </c>
      <c r="D267" s="57">
        <f>59.61*10.764</f>
        <v>641.64203999999995</v>
      </c>
      <c r="E267" s="58"/>
      <c r="F267" s="9">
        <f>5.41*10.764</f>
        <v>58.233239999999995</v>
      </c>
      <c r="G267" s="9">
        <f t="shared" si="79"/>
        <v>699.87527999999998</v>
      </c>
      <c r="H267" s="9">
        <v>0</v>
      </c>
      <c r="I267" s="51">
        <f t="shared" si="80"/>
        <v>1014.8191559999999</v>
      </c>
      <c r="J267" s="53"/>
      <c r="L267">
        <f t="shared" si="77"/>
        <v>44320.124159999992</v>
      </c>
    </row>
    <row r="268" spans="1:12" ht="15.5" x14ac:dyDescent="0.35">
      <c r="A268" s="42">
        <v>5</v>
      </c>
      <c r="B268" s="9" t="s">
        <v>210</v>
      </c>
      <c r="C268" s="9" t="s">
        <v>135</v>
      </c>
      <c r="D268" s="57">
        <f>40.68*10.764</f>
        <v>437.87951999999996</v>
      </c>
      <c r="E268" s="58"/>
      <c r="F268" s="9">
        <f t="shared" si="78"/>
        <v>23.788439999999998</v>
      </c>
      <c r="G268" s="9">
        <f t="shared" si="79"/>
        <v>461.66795999999994</v>
      </c>
      <c r="H268" s="9">
        <v>0</v>
      </c>
      <c r="I268" s="51">
        <f t="shared" si="80"/>
        <v>669.41854199999989</v>
      </c>
      <c r="J268" s="53"/>
      <c r="L268">
        <f t="shared" si="77"/>
        <v>44320.124159999992</v>
      </c>
    </row>
    <row r="269" spans="1:12" ht="15.5" x14ac:dyDescent="0.35">
      <c r="A269" s="42">
        <v>6</v>
      </c>
      <c r="B269" s="9" t="s">
        <v>210</v>
      </c>
      <c r="C269" s="9" t="s">
        <v>135</v>
      </c>
      <c r="D269" s="57">
        <f>40.68*10.764</f>
        <v>437.87951999999996</v>
      </c>
      <c r="E269" s="58"/>
      <c r="F269" s="9">
        <f t="shared" si="78"/>
        <v>23.788439999999998</v>
      </c>
      <c r="G269" s="9">
        <f t="shared" si="79"/>
        <v>461.66795999999994</v>
      </c>
      <c r="H269" s="9">
        <v>0</v>
      </c>
      <c r="I269" s="51">
        <f t="shared" si="80"/>
        <v>669.41854199999989</v>
      </c>
      <c r="J269" s="53"/>
      <c r="L269">
        <f t="shared" si="77"/>
        <v>0</v>
      </c>
    </row>
    <row r="270" spans="1:12" ht="15.75" customHeight="1" x14ac:dyDescent="0.35">
      <c r="A270" s="59" t="s">
        <v>138</v>
      </c>
      <c r="B270" s="60"/>
      <c r="C270" s="60"/>
      <c r="D270" s="60"/>
      <c r="E270" s="60"/>
      <c r="F270" s="60"/>
      <c r="G270" s="60"/>
      <c r="H270" s="60"/>
      <c r="I270" s="60"/>
      <c r="J270" s="61"/>
      <c r="L270">
        <f t="shared" ref="L270:L275" si="81">4*G271*24</f>
        <v>47895.494399999996</v>
      </c>
    </row>
    <row r="271" spans="1:12" ht="15.5" x14ac:dyDescent="0.35">
      <c r="A271" s="42">
        <v>1</v>
      </c>
      <c r="B271" s="9" t="s">
        <v>246</v>
      </c>
      <c r="C271" s="9" t="s">
        <v>135</v>
      </c>
      <c r="D271" s="57">
        <f>44.14*10.764</f>
        <v>475.12295999999998</v>
      </c>
      <c r="E271" s="58"/>
      <c r="F271" s="9">
        <f>2.21*10.764</f>
        <v>23.788439999999998</v>
      </c>
      <c r="G271" s="9">
        <f>D271+F271</f>
        <v>498.91139999999996</v>
      </c>
      <c r="H271" s="9">
        <f>4.93*10.764</f>
        <v>53.066519999999997</v>
      </c>
      <c r="I271" s="51">
        <f>G271*1.45+H271</f>
        <v>776.48804999999993</v>
      </c>
      <c r="J271" s="53"/>
      <c r="L271">
        <f t="shared" si="81"/>
        <v>47895.494399999996</v>
      </c>
    </row>
    <row r="272" spans="1:12" ht="15.5" x14ac:dyDescent="0.35">
      <c r="A272" s="42">
        <v>2</v>
      </c>
      <c r="B272" s="9" t="s">
        <v>246</v>
      </c>
      <c r="C272" s="9" t="s">
        <v>135</v>
      </c>
      <c r="D272" s="57">
        <f>44.14*10.764</f>
        <v>475.12295999999998</v>
      </c>
      <c r="E272" s="58"/>
      <c r="F272" s="9">
        <f t="shared" ref="F272" si="82">2.21*10.764</f>
        <v>23.788439999999998</v>
      </c>
      <c r="G272" s="9">
        <f t="shared" ref="G272:G276" si="83">D272+F272</f>
        <v>498.91139999999996</v>
      </c>
      <c r="H272" s="9">
        <f t="shared" ref="H272" si="84">4.93*10.764</f>
        <v>53.066519999999997</v>
      </c>
      <c r="I272" s="51">
        <f t="shared" ref="I272:I276" si="85">G272*1.45+H272</f>
        <v>776.48804999999993</v>
      </c>
      <c r="J272" s="53"/>
      <c r="L272">
        <f t="shared" si="81"/>
        <v>67653.03168</v>
      </c>
    </row>
    <row r="273" spans="1:12" ht="15.5" x14ac:dyDescent="0.35">
      <c r="A273" s="42">
        <v>3</v>
      </c>
      <c r="B273" s="9" t="s">
        <v>210</v>
      </c>
      <c r="C273" s="9" t="s">
        <v>136</v>
      </c>
      <c r="D273" s="57">
        <f>60.06*10.764</f>
        <v>646.48583999999994</v>
      </c>
      <c r="E273" s="58"/>
      <c r="F273" s="9">
        <f>5.41*10.764</f>
        <v>58.233239999999995</v>
      </c>
      <c r="G273" s="9">
        <f t="shared" si="83"/>
        <v>704.71907999999996</v>
      </c>
      <c r="H273" s="9">
        <f>4.95*10.764</f>
        <v>53.281799999999997</v>
      </c>
      <c r="I273" s="51">
        <f t="shared" si="85"/>
        <v>1075.124466</v>
      </c>
      <c r="J273" s="53"/>
      <c r="L273">
        <f t="shared" si="81"/>
        <v>67653.03168</v>
      </c>
    </row>
    <row r="274" spans="1:12" ht="15.5" x14ac:dyDescent="0.35">
      <c r="A274" s="42">
        <v>4</v>
      </c>
      <c r="B274" s="9" t="s">
        <v>210</v>
      </c>
      <c r="C274" s="9" t="s">
        <v>136</v>
      </c>
      <c r="D274" s="57">
        <f>60.06*10.764</f>
        <v>646.48583999999994</v>
      </c>
      <c r="E274" s="58"/>
      <c r="F274" s="9">
        <f>5.41*10.764</f>
        <v>58.233239999999995</v>
      </c>
      <c r="G274" s="9">
        <f t="shared" si="83"/>
        <v>704.71907999999996</v>
      </c>
      <c r="H274" s="9">
        <f t="shared" ref="H274" si="86">4.95*10.764</f>
        <v>53.281799999999997</v>
      </c>
      <c r="I274" s="51">
        <f t="shared" si="85"/>
        <v>1075.124466</v>
      </c>
      <c r="J274" s="53"/>
      <c r="L274">
        <f t="shared" si="81"/>
        <v>45146.79935999999</v>
      </c>
    </row>
    <row r="275" spans="1:12" ht="15.5" x14ac:dyDescent="0.35">
      <c r="A275" s="42">
        <v>5</v>
      </c>
      <c r="B275" s="9" t="s">
        <v>210</v>
      </c>
      <c r="C275" s="9" t="s">
        <v>135</v>
      </c>
      <c r="D275" s="57">
        <f>41.33*10.764</f>
        <v>444.87611999999996</v>
      </c>
      <c r="E275" s="58"/>
      <c r="F275" s="9">
        <f>2.36*10.764</f>
        <v>25.403039999999997</v>
      </c>
      <c r="G275" s="9">
        <f t="shared" si="83"/>
        <v>470.27915999999993</v>
      </c>
      <c r="H275" s="9">
        <f>5.4*10.764</f>
        <v>58.125599999999999</v>
      </c>
      <c r="I275" s="51">
        <f t="shared" si="85"/>
        <v>740.0303819999998</v>
      </c>
      <c r="J275" s="53"/>
      <c r="L275">
        <f t="shared" si="81"/>
        <v>45146.79935999999</v>
      </c>
    </row>
    <row r="276" spans="1:12" ht="15.5" x14ac:dyDescent="0.35">
      <c r="A276" s="42">
        <v>6</v>
      </c>
      <c r="B276" s="9" t="s">
        <v>210</v>
      </c>
      <c r="C276" s="9" t="s">
        <v>135</v>
      </c>
      <c r="D276" s="57">
        <f>41.33*10.764</f>
        <v>444.87611999999996</v>
      </c>
      <c r="E276" s="58"/>
      <c r="F276" s="9">
        <f>2.36*10.764</f>
        <v>25.403039999999997</v>
      </c>
      <c r="G276" s="9">
        <f t="shared" si="83"/>
        <v>470.27915999999993</v>
      </c>
      <c r="H276" s="9">
        <f>5.4*10.764</f>
        <v>58.125599999999999</v>
      </c>
      <c r="I276" s="51">
        <f t="shared" si="85"/>
        <v>740.0303819999998</v>
      </c>
      <c r="J276" s="53"/>
      <c r="L276" t="e">
        <f>4*#REF!*24</f>
        <v>#REF!</v>
      </c>
    </row>
    <row r="277" spans="1:12" ht="15.75" customHeight="1" x14ac:dyDescent="0.35">
      <c r="A277" s="59" t="s">
        <v>212</v>
      </c>
      <c r="B277" s="60"/>
      <c r="C277" s="60"/>
      <c r="D277" s="60"/>
      <c r="E277" s="60"/>
      <c r="F277" s="60"/>
      <c r="G277" s="60"/>
      <c r="H277" s="60"/>
      <c r="I277" s="60"/>
      <c r="J277" s="61"/>
      <c r="L277">
        <f t="shared" ref="L277:L282" si="87">4*G278*24</f>
        <v>47895.494399999996</v>
      </c>
    </row>
    <row r="278" spans="1:12" ht="15.75" customHeight="1" x14ac:dyDescent="0.35">
      <c r="A278" s="42">
        <v>1</v>
      </c>
      <c r="B278" s="9" t="s">
        <v>209</v>
      </c>
      <c r="C278" s="9" t="s">
        <v>135</v>
      </c>
      <c r="D278" s="57">
        <f>44.14*10.764</f>
        <v>475.12295999999998</v>
      </c>
      <c r="E278" s="58"/>
      <c r="F278" s="9">
        <f>2.21*10.764</f>
        <v>23.788439999999998</v>
      </c>
      <c r="G278" s="9">
        <f>D278+F278</f>
        <v>498.91139999999996</v>
      </c>
      <c r="H278" s="9">
        <f>4.93*10.764</f>
        <v>53.066519999999997</v>
      </c>
      <c r="I278" s="51">
        <f>G278*1.45+H278</f>
        <v>776.48804999999993</v>
      </c>
      <c r="J278" s="53"/>
      <c r="L278">
        <f t="shared" si="87"/>
        <v>52989.880319999997</v>
      </c>
    </row>
    <row r="279" spans="1:12" ht="15.5" x14ac:dyDescent="0.35">
      <c r="A279" s="42">
        <v>2</v>
      </c>
      <c r="B279" s="9" t="s">
        <v>209</v>
      </c>
      <c r="C279" s="9" t="s">
        <v>135</v>
      </c>
      <c r="D279" s="57">
        <f>44.14*10.764</f>
        <v>475.12295999999998</v>
      </c>
      <c r="E279" s="58"/>
      <c r="F279" s="9">
        <f>7.14*10.764</f>
        <v>76.854959999999991</v>
      </c>
      <c r="G279" s="9">
        <f t="shared" ref="G279:G280" si="88">D279+F279</f>
        <v>551.97791999999993</v>
      </c>
      <c r="H279" s="9">
        <f t="shared" ref="H279" si="89">4.93*10.764</f>
        <v>53.066519999999997</v>
      </c>
      <c r="I279" s="51">
        <f t="shared" ref="I279:I280" si="90">G279*1.45+H279</f>
        <v>853.43450399999983</v>
      </c>
      <c r="J279" s="53"/>
      <c r="L279">
        <f t="shared" si="87"/>
        <v>110743.47648000001</v>
      </c>
    </row>
    <row r="280" spans="1:12" ht="15.5" x14ac:dyDescent="0.35">
      <c r="A280" s="42">
        <v>3</v>
      </c>
      <c r="B280" s="9" t="s">
        <v>210</v>
      </c>
      <c r="C280" s="9" t="s">
        <v>213</v>
      </c>
      <c r="D280" s="57">
        <f>92.04*10.764</f>
        <v>990.71856000000002</v>
      </c>
      <c r="E280" s="58"/>
      <c r="F280" s="9">
        <f>15.13*10.764</f>
        <v>162.85932</v>
      </c>
      <c r="G280" s="9">
        <f t="shared" si="88"/>
        <v>1153.5778800000001</v>
      </c>
      <c r="H280" s="9">
        <f>4.95*10.764</f>
        <v>53.281799999999997</v>
      </c>
      <c r="I280" s="57">
        <f t="shared" si="90"/>
        <v>1725.969726</v>
      </c>
      <c r="J280" s="58"/>
      <c r="L280">
        <f t="shared" si="87"/>
        <v>0</v>
      </c>
    </row>
    <row r="281" spans="1:12" ht="15.5" x14ac:dyDescent="0.35">
      <c r="A281" s="42">
        <v>4</v>
      </c>
      <c r="B281" s="9" t="s">
        <v>214</v>
      </c>
      <c r="C281" s="51" t="s">
        <v>137</v>
      </c>
      <c r="D281" s="52"/>
      <c r="E281" s="52"/>
      <c r="F281" s="52"/>
      <c r="G281" s="52"/>
      <c r="H281" s="52"/>
      <c r="I281" s="52"/>
      <c r="J281" s="53"/>
      <c r="L281">
        <f t="shared" si="87"/>
        <v>45146.79935999999</v>
      </c>
    </row>
    <row r="282" spans="1:12" ht="15.5" x14ac:dyDescent="0.35">
      <c r="A282" s="42">
        <v>5</v>
      </c>
      <c r="B282" s="9" t="s">
        <v>209</v>
      </c>
      <c r="C282" s="9" t="s">
        <v>135</v>
      </c>
      <c r="D282" s="57">
        <f>41.33*10.764</f>
        <v>444.87611999999996</v>
      </c>
      <c r="E282" s="58"/>
      <c r="F282" s="9">
        <f>2.36*10.764</f>
        <v>25.403039999999997</v>
      </c>
      <c r="G282" s="9">
        <f t="shared" ref="G282:G283" si="91">D282+F282</f>
        <v>470.27915999999993</v>
      </c>
      <c r="H282" s="9">
        <f>5.4*10.764</f>
        <v>58.125599999999999</v>
      </c>
      <c r="I282" s="51">
        <f t="shared" ref="I282:I283" si="92">G282*1.45+H282</f>
        <v>740.0303819999998</v>
      </c>
      <c r="J282" s="53"/>
      <c r="L282">
        <f t="shared" si="87"/>
        <v>45146.79935999999</v>
      </c>
    </row>
    <row r="283" spans="1:12" ht="15.5" x14ac:dyDescent="0.35">
      <c r="A283" s="42">
        <v>6</v>
      </c>
      <c r="B283" s="9" t="s">
        <v>209</v>
      </c>
      <c r="C283" s="9" t="s">
        <v>135</v>
      </c>
      <c r="D283" s="57">
        <f>41.33*10.764</f>
        <v>444.87611999999996</v>
      </c>
      <c r="E283" s="58"/>
      <c r="F283" s="9">
        <f>2.36*10.764</f>
        <v>25.403039999999997</v>
      </c>
      <c r="G283" s="9">
        <f t="shared" si="91"/>
        <v>470.27915999999993</v>
      </c>
      <c r="H283" s="9">
        <f>5.4*10.764</f>
        <v>58.125599999999999</v>
      </c>
      <c r="I283" s="51">
        <f t="shared" si="92"/>
        <v>740.0303819999998</v>
      </c>
      <c r="J283" s="53"/>
      <c r="L283" t="e">
        <f>4*#REF!*24</f>
        <v>#REF!</v>
      </c>
    </row>
    <row r="284" spans="1:12" ht="15.75" customHeight="1" x14ac:dyDescent="0.35">
      <c r="A284" s="59" t="s">
        <v>208</v>
      </c>
      <c r="B284" s="60"/>
      <c r="C284" s="60"/>
      <c r="D284" s="60"/>
      <c r="E284" s="60"/>
      <c r="F284" s="60"/>
      <c r="G284" s="60"/>
      <c r="H284" s="60"/>
      <c r="I284" s="60"/>
      <c r="J284" s="61"/>
      <c r="L284">
        <f t="shared" ref="L284:L289" si="93">4*G285*24</f>
        <v>47895.494399999996</v>
      </c>
    </row>
    <row r="285" spans="1:12" ht="15.75" customHeight="1" x14ac:dyDescent="0.35">
      <c r="A285" s="40">
        <v>1</v>
      </c>
      <c r="B285" s="9" t="s">
        <v>246</v>
      </c>
      <c r="C285" s="9" t="s">
        <v>135</v>
      </c>
      <c r="D285" s="57">
        <f>44.14*10.764</f>
        <v>475.12295999999998</v>
      </c>
      <c r="E285" s="58"/>
      <c r="F285" s="9">
        <f>2.21*10.764</f>
        <v>23.788439999999998</v>
      </c>
      <c r="G285" s="9">
        <f>D285+F285</f>
        <v>498.91139999999996</v>
      </c>
      <c r="H285" s="9">
        <f>4.93*10.764</f>
        <v>53.066519999999997</v>
      </c>
      <c r="I285" s="51">
        <f>G285*1.45+H285</f>
        <v>776.48804999999993</v>
      </c>
      <c r="J285" s="53"/>
      <c r="L285">
        <f t="shared" si="93"/>
        <v>47895.494399999996</v>
      </c>
    </row>
    <row r="286" spans="1:12" ht="15.5" x14ac:dyDescent="0.35">
      <c r="A286" s="40">
        <v>2</v>
      </c>
      <c r="B286" s="9" t="s">
        <v>246</v>
      </c>
      <c r="C286" s="9" t="s">
        <v>135</v>
      </c>
      <c r="D286" s="57">
        <f>44.14*10.764</f>
        <v>475.12295999999998</v>
      </c>
      <c r="E286" s="58"/>
      <c r="F286" s="9">
        <f t="shared" ref="F286" si="94">2.21*10.764</f>
        <v>23.788439999999998</v>
      </c>
      <c r="G286" s="9">
        <f t="shared" ref="G286:G290" si="95">D286+F286</f>
        <v>498.91139999999996</v>
      </c>
      <c r="H286" s="9">
        <f t="shared" ref="H286" si="96">4.93*10.764</f>
        <v>53.066519999999997</v>
      </c>
      <c r="I286" s="51">
        <f t="shared" ref="I286:I290" si="97">G286*1.45+H286</f>
        <v>776.48804999999993</v>
      </c>
      <c r="J286" s="53"/>
      <c r="L286">
        <f t="shared" si="93"/>
        <v>67653.03168</v>
      </c>
    </row>
    <row r="287" spans="1:12" ht="15.5" x14ac:dyDescent="0.35">
      <c r="A287" s="40">
        <v>3</v>
      </c>
      <c r="B287" s="9" t="s">
        <v>246</v>
      </c>
      <c r="C287" s="9" t="s">
        <v>136</v>
      </c>
      <c r="D287" s="57">
        <f>60.06*10.764</f>
        <v>646.48583999999994</v>
      </c>
      <c r="E287" s="58"/>
      <c r="F287" s="9">
        <f>5.41*10.764</f>
        <v>58.233239999999995</v>
      </c>
      <c r="G287" s="9">
        <f t="shared" si="95"/>
        <v>704.71907999999996</v>
      </c>
      <c r="H287" s="9">
        <f>4.95*10.764</f>
        <v>53.281799999999997</v>
      </c>
      <c r="I287" s="51">
        <f t="shared" si="97"/>
        <v>1075.124466</v>
      </c>
      <c r="J287" s="53"/>
      <c r="L287">
        <f t="shared" si="93"/>
        <v>67653.03168</v>
      </c>
    </row>
    <row r="288" spans="1:12" ht="15.5" x14ac:dyDescent="0.35">
      <c r="A288" s="40">
        <v>4</v>
      </c>
      <c r="B288" s="9" t="s">
        <v>246</v>
      </c>
      <c r="C288" s="9" t="s">
        <v>136</v>
      </c>
      <c r="D288" s="57">
        <f>60.06*10.764</f>
        <v>646.48583999999994</v>
      </c>
      <c r="E288" s="58"/>
      <c r="F288" s="9">
        <f>5.41*10.764</f>
        <v>58.233239999999995</v>
      </c>
      <c r="G288" s="9">
        <f t="shared" si="95"/>
        <v>704.71907999999996</v>
      </c>
      <c r="H288" s="9">
        <f t="shared" ref="H288" si="98">4.95*10.764</f>
        <v>53.281799999999997</v>
      </c>
      <c r="I288" s="51">
        <f t="shared" si="97"/>
        <v>1075.124466</v>
      </c>
      <c r="J288" s="53"/>
      <c r="L288">
        <f t="shared" si="93"/>
        <v>45146.79935999999</v>
      </c>
    </row>
    <row r="289" spans="1:12" ht="15.5" x14ac:dyDescent="0.35">
      <c r="A289" s="40">
        <v>5</v>
      </c>
      <c r="B289" s="9" t="s">
        <v>246</v>
      </c>
      <c r="C289" s="9" t="s">
        <v>135</v>
      </c>
      <c r="D289" s="57">
        <f>41.33*10.764</f>
        <v>444.87611999999996</v>
      </c>
      <c r="E289" s="58"/>
      <c r="F289" s="9">
        <f>2.36*10.764</f>
        <v>25.403039999999997</v>
      </c>
      <c r="G289" s="9">
        <f t="shared" si="95"/>
        <v>470.27915999999993</v>
      </c>
      <c r="H289" s="9">
        <f>5.4*10.764</f>
        <v>58.125599999999999</v>
      </c>
      <c r="I289" s="51">
        <f t="shared" si="97"/>
        <v>740.0303819999998</v>
      </c>
      <c r="J289" s="53"/>
      <c r="L289">
        <f t="shared" si="93"/>
        <v>45146.79935999999</v>
      </c>
    </row>
    <row r="290" spans="1:12" ht="15.5" x14ac:dyDescent="0.35">
      <c r="A290" s="40">
        <v>6</v>
      </c>
      <c r="B290" s="9" t="s">
        <v>210</v>
      </c>
      <c r="C290" s="9" t="s">
        <v>135</v>
      </c>
      <c r="D290" s="57">
        <f>41.33*10.764</f>
        <v>444.87611999999996</v>
      </c>
      <c r="E290" s="58"/>
      <c r="F290" s="9">
        <f>2.36*10.764</f>
        <v>25.403039999999997</v>
      </c>
      <c r="G290" s="9">
        <f t="shared" si="95"/>
        <v>470.27915999999993</v>
      </c>
      <c r="H290" s="9">
        <f>5.4*10.764</f>
        <v>58.125599999999999</v>
      </c>
      <c r="I290" s="51">
        <f t="shared" si="97"/>
        <v>740.0303819999998</v>
      </c>
      <c r="J290" s="53"/>
      <c r="L290" t="e">
        <f>4*#REF!*24</f>
        <v>#REF!</v>
      </c>
    </row>
    <row r="291" spans="1:12" ht="15.75" customHeight="1" x14ac:dyDescent="0.35">
      <c r="A291" s="62" t="s">
        <v>211</v>
      </c>
      <c r="B291" s="62"/>
      <c r="C291" s="62"/>
      <c r="D291" s="62"/>
      <c r="E291" s="62"/>
      <c r="F291" s="62"/>
      <c r="G291" s="62"/>
      <c r="H291" s="62"/>
      <c r="I291" s="62"/>
      <c r="J291" s="62"/>
      <c r="L291">
        <f t="shared" ref="L291:L296" si="99">4*G292*24</f>
        <v>48019.495679999993</v>
      </c>
    </row>
    <row r="292" spans="1:12" ht="15.75" customHeight="1" x14ac:dyDescent="0.35">
      <c r="A292" s="45">
        <v>1</v>
      </c>
      <c r="B292" s="45" t="s">
        <v>210</v>
      </c>
      <c r="C292" s="45" t="s">
        <v>135</v>
      </c>
      <c r="D292" s="50">
        <f>44.26*10.764</f>
        <v>476.41463999999996</v>
      </c>
      <c r="E292" s="50"/>
      <c r="F292" s="45">
        <f>2.21*10.764</f>
        <v>23.788439999999998</v>
      </c>
      <c r="G292" s="45">
        <f>D292+F292</f>
        <v>500.20307999999994</v>
      </c>
      <c r="H292" s="45">
        <f>5.4*10.764</f>
        <v>58.125599999999999</v>
      </c>
      <c r="I292" s="50">
        <f>G292*1.45+H292</f>
        <v>783.42006599999991</v>
      </c>
      <c r="J292" s="50"/>
      <c r="L292">
        <f t="shared" si="99"/>
        <v>48019.495679999993</v>
      </c>
    </row>
    <row r="293" spans="1:12" ht="15.5" x14ac:dyDescent="0.35">
      <c r="A293" s="45">
        <v>2</v>
      </c>
      <c r="B293" s="45" t="s">
        <v>210</v>
      </c>
      <c r="C293" s="45" t="s">
        <v>135</v>
      </c>
      <c r="D293" s="50">
        <f>44.26*10.764</f>
        <v>476.41463999999996</v>
      </c>
      <c r="E293" s="50"/>
      <c r="F293" s="45">
        <f t="shared" ref="F293" si="100">2.21*10.764</f>
        <v>23.788439999999998</v>
      </c>
      <c r="G293" s="45">
        <f t="shared" ref="G293:G297" si="101">D293+F293</f>
        <v>500.20307999999994</v>
      </c>
      <c r="H293" s="45">
        <f t="shared" ref="H293:H297" si="102">5.4*10.764</f>
        <v>58.125599999999999</v>
      </c>
      <c r="I293" s="50">
        <f t="shared" ref="I293:I297" si="103">G293*1.45+H293</f>
        <v>783.42006599999991</v>
      </c>
      <c r="J293" s="50"/>
      <c r="L293">
        <f t="shared" si="99"/>
        <v>67828.700159999993</v>
      </c>
    </row>
    <row r="294" spans="1:12" ht="15.5" x14ac:dyDescent="0.35">
      <c r="A294" s="45">
        <v>3</v>
      </c>
      <c r="B294" s="45" t="s">
        <v>210</v>
      </c>
      <c r="C294" s="45" t="s">
        <v>136</v>
      </c>
      <c r="D294" s="50">
        <f>60.23*10.764</f>
        <v>648.31571999999994</v>
      </c>
      <c r="E294" s="50"/>
      <c r="F294" s="45">
        <f>5.41*10.764</f>
        <v>58.233239999999995</v>
      </c>
      <c r="G294" s="45">
        <f t="shared" si="101"/>
        <v>706.54895999999997</v>
      </c>
      <c r="H294" s="45">
        <f t="shared" si="102"/>
        <v>58.125599999999999</v>
      </c>
      <c r="I294" s="50">
        <f t="shared" si="103"/>
        <v>1082.621592</v>
      </c>
      <c r="J294" s="50"/>
      <c r="L294">
        <f t="shared" si="99"/>
        <v>67828.700159999993</v>
      </c>
    </row>
    <row r="295" spans="1:12" ht="15.5" x14ac:dyDescent="0.35">
      <c r="A295" s="45">
        <v>4</v>
      </c>
      <c r="B295" s="45" t="s">
        <v>210</v>
      </c>
      <c r="C295" s="45" t="s">
        <v>136</v>
      </c>
      <c r="D295" s="50">
        <f>60.23*10.764</f>
        <v>648.31571999999994</v>
      </c>
      <c r="E295" s="50"/>
      <c r="F295" s="45">
        <f>5.41*10.764</f>
        <v>58.233239999999995</v>
      </c>
      <c r="G295" s="45">
        <f t="shared" si="101"/>
        <v>706.54895999999997</v>
      </c>
      <c r="H295" s="45">
        <f t="shared" si="102"/>
        <v>58.125599999999999</v>
      </c>
      <c r="I295" s="50">
        <f t="shared" si="103"/>
        <v>1082.621592</v>
      </c>
      <c r="J295" s="50"/>
      <c r="L295">
        <f t="shared" si="99"/>
        <v>45146.79935999999</v>
      </c>
    </row>
    <row r="296" spans="1:12" ht="15.5" x14ac:dyDescent="0.35">
      <c r="A296" s="45">
        <v>5</v>
      </c>
      <c r="B296" s="45" t="s">
        <v>210</v>
      </c>
      <c r="C296" s="45" t="s">
        <v>135</v>
      </c>
      <c r="D296" s="50">
        <f>41.33*10.764</f>
        <v>444.87611999999996</v>
      </c>
      <c r="E296" s="50"/>
      <c r="F296" s="45">
        <f>2.36*10.764</f>
        <v>25.403039999999997</v>
      </c>
      <c r="G296" s="45">
        <f t="shared" si="101"/>
        <v>470.27915999999993</v>
      </c>
      <c r="H296" s="45">
        <f t="shared" si="102"/>
        <v>58.125599999999999</v>
      </c>
      <c r="I296" s="50">
        <f t="shared" si="103"/>
        <v>740.0303819999998</v>
      </c>
      <c r="J296" s="50"/>
      <c r="L296">
        <f t="shared" si="99"/>
        <v>45146.79935999999</v>
      </c>
    </row>
    <row r="297" spans="1:12" ht="15.5" x14ac:dyDescent="0.35">
      <c r="A297" s="45">
        <v>6</v>
      </c>
      <c r="B297" s="45" t="s">
        <v>210</v>
      </c>
      <c r="C297" s="45" t="s">
        <v>135</v>
      </c>
      <c r="D297" s="50">
        <f>41.33*10.764</f>
        <v>444.87611999999996</v>
      </c>
      <c r="E297" s="50"/>
      <c r="F297" s="45">
        <f>2.36*10.764</f>
        <v>25.403039999999997</v>
      </c>
      <c r="G297" s="45">
        <f t="shared" si="101"/>
        <v>470.27915999999993</v>
      </c>
      <c r="H297" s="45">
        <f t="shared" si="102"/>
        <v>58.125599999999999</v>
      </c>
      <c r="I297" s="50">
        <f t="shared" si="103"/>
        <v>740.0303819999998</v>
      </c>
      <c r="J297" s="50"/>
      <c r="L297" t="e">
        <f>4*#REF!*24</f>
        <v>#REF!</v>
      </c>
    </row>
    <row r="298" spans="1:12" ht="15.75" customHeight="1" x14ac:dyDescent="0.35">
      <c r="A298" s="62" t="s">
        <v>215</v>
      </c>
      <c r="B298" s="62"/>
      <c r="C298" s="62"/>
      <c r="D298" s="62"/>
      <c r="E298" s="62"/>
      <c r="F298" s="62"/>
      <c r="G298" s="62"/>
      <c r="H298" s="62"/>
      <c r="I298" s="62"/>
      <c r="J298" s="62"/>
      <c r="L298">
        <f t="shared" ref="L298:L303" si="104">4*G299*24</f>
        <v>47895.494399999996</v>
      </c>
    </row>
    <row r="299" spans="1:12" ht="15.75" customHeight="1" x14ac:dyDescent="0.35">
      <c r="A299" s="42">
        <v>1</v>
      </c>
      <c r="B299" s="9" t="s">
        <v>210</v>
      </c>
      <c r="C299" s="9" t="s">
        <v>135</v>
      </c>
      <c r="D299" s="57">
        <f>44.14*10.764</f>
        <v>475.12295999999998</v>
      </c>
      <c r="E299" s="58"/>
      <c r="F299" s="9">
        <f>2.21*10.764</f>
        <v>23.788439999999998</v>
      </c>
      <c r="G299" s="9">
        <f>D299+F299</f>
        <v>498.91139999999996</v>
      </c>
      <c r="H299" s="9">
        <f>4.93*10.764</f>
        <v>53.066519999999997</v>
      </c>
      <c r="I299" s="51">
        <f>G299*1.45+H299</f>
        <v>776.48804999999993</v>
      </c>
      <c r="J299" s="53"/>
      <c r="L299">
        <f t="shared" si="104"/>
        <v>47895.494399999996</v>
      </c>
    </row>
    <row r="300" spans="1:12" ht="15.5" x14ac:dyDescent="0.35">
      <c r="A300" s="42">
        <v>2</v>
      </c>
      <c r="B300" s="9" t="s">
        <v>210</v>
      </c>
      <c r="C300" s="9" t="s">
        <v>135</v>
      </c>
      <c r="D300" s="57">
        <f>44.14*10.764</f>
        <v>475.12295999999998</v>
      </c>
      <c r="E300" s="58"/>
      <c r="F300" s="9">
        <f t="shared" ref="F300" si="105">2.21*10.764</f>
        <v>23.788439999999998</v>
      </c>
      <c r="G300" s="9">
        <f t="shared" ref="G300:G301" si="106">D300+F300</f>
        <v>498.91139999999996</v>
      </c>
      <c r="H300" s="9">
        <f t="shared" ref="H300" si="107">4.93*10.764</f>
        <v>53.066519999999997</v>
      </c>
      <c r="I300" s="51">
        <f t="shared" ref="I300:I301" si="108">G300*1.45+H300</f>
        <v>776.48804999999993</v>
      </c>
      <c r="J300" s="53"/>
      <c r="L300">
        <f t="shared" si="104"/>
        <v>105700.75775999999</v>
      </c>
    </row>
    <row r="301" spans="1:12" ht="15.5" x14ac:dyDescent="0.35">
      <c r="A301" s="42">
        <v>3</v>
      </c>
      <c r="B301" s="9" t="s">
        <v>210</v>
      </c>
      <c r="C301" s="9" t="s">
        <v>213</v>
      </c>
      <c r="D301" s="57">
        <f>92.04*10.764</f>
        <v>990.71856000000002</v>
      </c>
      <c r="E301" s="58"/>
      <c r="F301" s="9">
        <f>10.25*10.764</f>
        <v>110.33099999999999</v>
      </c>
      <c r="G301" s="9">
        <f t="shared" si="106"/>
        <v>1101.0495599999999</v>
      </c>
      <c r="H301" s="9">
        <f>4.95*10.764</f>
        <v>53.281799999999997</v>
      </c>
      <c r="I301" s="57">
        <f t="shared" si="108"/>
        <v>1649.8036619999998</v>
      </c>
      <c r="J301" s="58"/>
      <c r="L301">
        <f t="shared" si="104"/>
        <v>0</v>
      </c>
    </row>
    <row r="302" spans="1:12" ht="15.5" x14ac:dyDescent="0.35">
      <c r="A302" s="42">
        <v>4</v>
      </c>
      <c r="B302" s="9" t="s">
        <v>214</v>
      </c>
      <c r="C302" s="57" t="s">
        <v>137</v>
      </c>
      <c r="D302" s="63"/>
      <c r="E302" s="63"/>
      <c r="F302" s="63"/>
      <c r="G302" s="63"/>
      <c r="H302" s="63"/>
      <c r="I302" s="63"/>
      <c r="J302" s="58"/>
      <c r="L302">
        <f t="shared" si="104"/>
        <v>45146.79935999999</v>
      </c>
    </row>
    <row r="303" spans="1:12" ht="15.5" x14ac:dyDescent="0.35">
      <c r="A303" s="42">
        <v>5</v>
      </c>
      <c r="B303" s="9" t="s">
        <v>210</v>
      </c>
      <c r="C303" s="9" t="s">
        <v>135</v>
      </c>
      <c r="D303" s="57">
        <f>41.33*10.764</f>
        <v>444.87611999999996</v>
      </c>
      <c r="E303" s="58"/>
      <c r="F303" s="9">
        <f>2.36*10.764</f>
        <v>25.403039999999997</v>
      </c>
      <c r="G303" s="9">
        <f t="shared" ref="G303:G304" si="109">D303+F303</f>
        <v>470.27915999999993</v>
      </c>
      <c r="H303" s="9">
        <f>5.4*10.764</f>
        <v>58.125599999999999</v>
      </c>
      <c r="I303" s="51">
        <f t="shared" ref="I303:I304" si="110">G303*1.45+H303</f>
        <v>740.0303819999998</v>
      </c>
      <c r="J303" s="53"/>
      <c r="L303">
        <f t="shared" si="104"/>
        <v>45146.79935999999</v>
      </c>
    </row>
    <row r="304" spans="1:12" ht="15.5" x14ac:dyDescent="0.35">
      <c r="A304" s="42">
        <v>6</v>
      </c>
      <c r="B304" s="9" t="s">
        <v>210</v>
      </c>
      <c r="C304" s="9" t="s">
        <v>135</v>
      </c>
      <c r="D304" s="57">
        <f>41.33*10.764</f>
        <v>444.87611999999996</v>
      </c>
      <c r="E304" s="58"/>
      <c r="F304" s="9">
        <f>2.36*10.764</f>
        <v>25.403039999999997</v>
      </c>
      <c r="G304" s="9">
        <f t="shared" si="109"/>
        <v>470.27915999999993</v>
      </c>
      <c r="H304" s="9">
        <f>5.4*10.764</f>
        <v>58.125599999999999</v>
      </c>
      <c r="I304" s="51">
        <f t="shared" si="110"/>
        <v>740.0303819999998</v>
      </c>
      <c r="J304" s="53"/>
      <c r="L304" t="e">
        <f>4*#REF!*24</f>
        <v>#REF!</v>
      </c>
    </row>
    <row r="305" spans="1:12" ht="15" x14ac:dyDescent="0.35">
      <c r="A305" s="59" t="s">
        <v>258</v>
      </c>
      <c r="B305" s="60"/>
      <c r="C305" s="60"/>
      <c r="D305" s="60"/>
      <c r="E305" s="60"/>
      <c r="F305" s="60"/>
      <c r="G305" s="60"/>
      <c r="H305" s="60"/>
      <c r="I305" s="60"/>
      <c r="J305" s="61"/>
    </row>
    <row r="306" spans="1:12" ht="15" customHeight="1" x14ac:dyDescent="0.35">
      <c r="A306" s="42">
        <v>1</v>
      </c>
      <c r="B306" s="9" t="s">
        <v>246</v>
      </c>
      <c r="C306" s="9" t="s">
        <v>135</v>
      </c>
      <c r="D306" s="57">
        <f>39.27*10.764</f>
        <v>422.70228000000003</v>
      </c>
      <c r="E306" s="58"/>
      <c r="F306" s="9">
        <f>(5.43+8.91)*10.764</f>
        <v>154.35575999999998</v>
      </c>
      <c r="G306" s="9">
        <f>D306+F306</f>
        <v>577.05804000000001</v>
      </c>
      <c r="H306" s="9">
        <v>0</v>
      </c>
      <c r="I306" s="51">
        <f>G306*1.45+H306</f>
        <v>836.73415799999998</v>
      </c>
      <c r="J306" s="53"/>
      <c r="L306">
        <f t="shared" ref="L306:L310" si="111">4*G307*24</f>
        <v>55397.571840000004</v>
      </c>
    </row>
    <row r="307" spans="1:12" ht="15.5" x14ac:dyDescent="0.35">
      <c r="A307" s="42">
        <v>2</v>
      </c>
      <c r="B307" s="9" t="s">
        <v>246</v>
      </c>
      <c r="C307" s="9" t="s">
        <v>135</v>
      </c>
      <c r="D307" s="57">
        <f>39.27*10.764</f>
        <v>422.70228000000003</v>
      </c>
      <c r="E307" s="58"/>
      <c r="F307" s="9">
        <f t="shared" ref="F307" si="112">(5.43+8.91)*10.764</f>
        <v>154.35575999999998</v>
      </c>
      <c r="G307" s="9">
        <f t="shared" ref="G307:G311" si="113">D307+F307</f>
        <v>577.05804000000001</v>
      </c>
      <c r="H307" s="9">
        <v>0</v>
      </c>
      <c r="I307" s="51">
        <f t="shared" ref="I307:I311" si="114">G307*1.45+H307</f>
        <v>836.73415799999998</v>
      </c>
      <c r="J307" s="53"/>
      <c r="L307">
        <f t="shared" si="111"/>
        <v>75227.44319999998</v>
      </c>
    </row>
    <row r="308" spans="1:12" ht="15.5" x14ac:dyDescent="0.35">
      <c r="A308" s="42">
        <v>3</v>
      </c>
      <c r="B308" s="9" t="s">
        <v>246</v>
      </c>
      <c r="C308" s="9" t="s">
        <v>136</v>
      </c>
      <c r="D308" s="57">
        <f>52.75*10.764</f>
        <v>567.80099999999993</v>
      </c>
      <c r="E308" s="58"/>
      <c r="F308" s="9">
        <f>(7.87+12.18)*10.764</f>
        <v>215.81819999999999</v>
      </c>
      <c r="G308" s="9">
        <f t="shared" si="113"/>
        <v>783.61919999999986</v>
      </c>
      <c r="H308" s="9">
        <v>0</v>
      </c>
      <c r="I308" s="51">
        <f t="shared" si="114"/>
        <v>1136.2478399999998</v>
      </c>
      <c r="J308" s="53"/>
      <c r="L308">
        <f t="shared" si="111"/>
        <v>75227.44319999998</v>
      </c>
    </row>
    <row r="309" spans="1:12" ht="15.5" x14ac:dyDescent="0.35">
      <c r="A309" s="42">
        <v>4</v>
      </c>
      <c r="B309" s="9" t="s">
        <v>246</v>
      </c>
      <c r="C309" s="9" t="s">
        <v>136</v>
      </c>
      <c r="D309" s="57">
        <f>52.75*10.764</f>
        <v>567.80099999999993</v>
      </c>
      <c r="E309" s="58"/>
      <c r="F309" s="9">
        <f>(7.87+12.18)*10.764</f>
        <v>215.81819999999999</v>
      </c>
      <c r="G309" s="9">
        <f t="shared" si="113"/>
        <v>783.61919999999986</v>
      </c>
      <c r="H309" s="9">
        <v>0</v>
      </c>
      <c r="I309" s="51">
        <f t="shared" si="114"/>
        <v>1136.2478399999998</v>
      </c>
      <c r="J309" s="53"/>
      <c r="L309">
        <f t="shared" si="111"/>
        <v>53237.882880000005</v>
      </c>
    </row>
    <row r="310" spans="1:12" ht="15.5" x14ac:dyDescent="0.35">
      <c r="A310" s="42">
        <v>5</v>
      </c>
      <c r="B310" s="9" t="s">
        <v>246</v>
      </c>
      <c r="C310" s="9" t="s">
        <v>135</v>
      </c>
      <c r="D310" s="57">
        <f>36.28*10.764</f>
        <v>390.51792</v>
      </c>
      <c r="E310" s="58"/>
      <c r="F310" s="9">
        <f>(5.46+9.78)*10.764</f>
        <v>164.04335999999998</v>
      </c>
      <c r="G310" s="9">
        <f t="shared" si="113"/>
        <v>554.56128000000001</v>
      </c>
      <c r="H310" s="9">
        <v>0</v>
      </c>
      <c r="I310" s="51">
        <f t="shared" si="114"/>
        <v>804.11385599999994</v>
      </c>
      <c r="J310" s="53"/>
      <c r="L310">
        <f t="shared" si="111"/>
        <v>53237.882880000005</v>
      </c>
    </row>
    <row r="311" spans="1:12" ht="15.5" x14ac:dyDescent="0.35">
      <c r="A311" s="42">
        <v>6</v>
      </c>
      <c r="B311" s="9" t="s">
        <v>246</v>
      </c>
      <c r="C311" s="9" t="s">
        <v>135</v>
      </c>
      <c r="D311" s="57">
        <f>36.28*10.764</f>
        <v>390.51792</v>
      </c>
      <c r="E311" s="58"/>
      <c r="F311" s="9">
        <f>(5.46+9.78)*10.764</f>
        <v>164.04335999999998</v>
      </c>
      <c r="G311" s="9">
        <f t="shared" si="113"/>
        <v>554.56128000000001</v>
      </c>
      <c r="H311" s="9">
        <v>0</v>
      </c>
      <c r="I311" s="51">
        <f t="shared" si="114"/>
        <v>804.11385599999994</v>
      </c>
      <c r="J311" s="53"/>
    </row>
    <row r="312" spans="1:12" ht="15" x14ac:dyDescent="0.35">
      <c r="A312" s="59" t="s">
        <v>259</v>
      </c>
      <c r="B312" s="60"/>
      <c r="C312" s="60"/>
      <c r="D312" s="60"/>
      <c r="E312" s="60"/>
      <c r="F312" s="60"/>
      <c r="G312" s="60"/>
      <c r="H312" s="60"/>
      <c r="I312" s="60"/>
      <c r="J312" s="61"/>
    </row>
    <row r="313" spans="1:12" ht="15" customHeight="1" x14ac:dyDescent="0.35">
      <c r="A313" s="42">
        <v>1</v>
      </c>
      <c r="B313" s="9" t="s">
        <v>210</v>
      </c>
      <c r="C313" s="9" t="s">
        <v>135</v>
      </c>
      <c r="D313" s="57">
        <f>39.27*10.764</f>
        <v>422.70228000000003</v>
      </c>
      <c r="E313" s="58"/>
      <c r="F313" s="9">
        <f>(5.43+8.91)*10.764</f>
        <v>154.35575999999998</v>
      </c>
      <c r="G313" s="9">
        <f>D313+F313</f>
        <v>577.05804000000001</v>
      </c>
      <c r="H313" s="9">
        <v>0</v>
      </c>
      <c r="I313" s="51">
        <f>G313*1.45+H313</f>
        <v>836.73415799999998</v>
      </c>
      <c r="J313" s="53"/>
      <c r="L313">
        <f t="shared" ref="L313:L317" si="115">4*G314*24</f>
        <v>55397.571840000004</v>
      </c>
    </row>
    <row r="314" spans="1:12" ht="15.5" x14ac:dyDescent="0.35">
      <c r="A314" s="42">
        <v>2</v>
      </c>
      <c r="B314" s="9" t="s">
        <v>210</v>
      </c>
      <c r="C314" s="9" t="s">
        <v>135</v>
      </c>
      <c r="D314" s="57">
        <f>39.27*10.764</f>
        <v>422.70228000000003</v>
      </c>
      <c r="E314" s="58"/>
      <c r="F314" s="9">
        <f t="shared" ref="F314" si="116">(5.43+8.91)*10.764</f>
        <v>154.35575999999998</v>
      </c>
      <c r="G314" s="9">
        <f t="shared" ref="G314:G318" si="117">D314+F314</f>
        <v>577.05804000000001</v>
      </c>
      <c r="H314" s="9">
        <v>0</v>
      </c>
      <c r="I314" s="51">
        <f t="shared" ref="I314:I318" si="118">G314*1.45+H314</f>
        <v>836.73415799999998</v>
      </c>
      <c r="J314" s="53"/>
      <c r="L314">
        <f t="shared" si="115"/>
        <v>75227.44319999998</v>
      </c>
    </row>
    <row r="315" spans="1:12" ht="15.5" x14ac:dyDescent="0.35">
      <c r="A315" s="42">
        <v>3</v>
      </c>
      <c r="B315" s="9" t="s">
        <v>210</v>
      </c>
      <c r="C315" s="9" t="s">
        <v>136</v>
      </c>
      <c r="D315" s="57">
        <f>52.75*10.764</f>
        <v>567.80099999999993</v>
      </c>
      <c r="E315" s="58"/>
      <c r="F315" s="9">
        <f>(7.87+12.18)*10.764</f>
        <v>215.81819999999999</v>
      </c>
      <c r="G315" s="9">
        <f t="shared" si="117"/>
        <v>783.61919999999986</v>
      </c>
      <c r="H315" s="9">
        <v>0</v>
      </c>
      <c r="I315" s="51">
        <f t="shared" si="118"/>
        <v>1136.2478399999998</v>
      </c>
      <c r="J315" s="53"/>
      <c r="L315">
        <f t="shared" si="115"/>
        <v>75227.44319999998</v>
      </c>
    </row>
    <row r="316" spans="1:12" ht="15.5" x14ac:dyDescent="0.35">
      <c r="A316" s="42">
        <v>4</v>
      </c>
      <c r="B316" s="9" t="s">
        <v>210</v>
      </c>
      <c r="C316" s="9" t="s">
        <v>136</v>
      </c>
      <c r="D316" s="57">
        <f>52.75*10.764</f>
        <v>567.80099999999993</v>
      </c>
      <c r="E316" s="58"/>
      <c r="F316" s="9">
        <f>(7.87+12.18)*10.764</f>
        <v>215.81819999999999</v>
      </c>
      <c r="G316" s="9">
        <f t="shared" si="117"/>
        <v>783.61919999999986</v>
      </c>
      <c r="H316" s="9">
        <v>0</v>
      </c>
      <c r="I316" s="51">
        <f t="shared" si="118"/>
        <v>1136.2478399999998</v>
      </c>
      <c r="J316" s="53"/>
      <c r="L316">
        <f t="shared" si="115"/>
        <v>53237.882880000005</v>
      </c>
    </row>
    <row r="317" spans="1:12" ht="15.5" x14ac:dyDescent="0.35">
      <c r="A317" s="42">
        <v>5</v>
      </c>
      <c r="B317" s="9" t="s">
        <v>210</v>
      </c>
      <c r="C317" s="9" t="s">
        <v>135</v>
      </c>
      <c r="D317" s="57">
        <f>36.28*10.764</f>
        <v>390.51792</v>
      </c>
      <c r="E317" s="58"/>
      <c r="F317" s="9">
        <f>(5.46+9.78)*10.764</f>
        <v>164.04335999999998</v>
      </c>
      <c r="G317" s="9">
        <f t="shared" si="117"/>
        <v>554.56128000000001</v>
      </c>
      <c r="H317" s="9">
        <v>0</v>
      </c>
      <c r="I317" s="51">
        <f t="shared" si="118"/>
        <v>804.11385599999994</v>
      </c>
      <c r="J317" s="53"/>
      <c r="L317">
        <f t="shared" si="115"/>
        <v>53237.882880000005</v>
      </c>
    </row>
    <row r="318" spans="1:12" ht="15.5" x14ac:dyDescent="0.35">
      <c r="A318" s="42">
        <v>6</v>
      </c>
      <c r="B318" s="9" t="s">
        <v>210</v>
      </c>
      <c r="C318" s="9" t="s">
        <v>135</v>
      </c>
      <c r="D318" s="57">
        <f>36.28*10.764</f>
        <v>390.51792</v>
      </c>
      <c r="E318" s="58"/>
      <c r="F318" s="9">
        <f>(5.46+9.78)*10.764</f>
        <v>164.04335999999998</v>
      </c>
      <c r="G318" s="9">
        <f t="shared" si="117"/>
        <v>554.56128000000001</v>
      </c>
      <c r="H318" s="9">
        <v>0</v>
      </c>
      <c r="I318" s="51">
        <f t="shared" si="118"/>
        <v>804.11385599999994</v>
      </c>
      <c r="J318" s="53"/>
    </row>
    <row r="319" spans="1:12" ht="15" x14ac:dyDescent="0.35">
      <c r="A319" s="59" t="s">
        <v>248</v>
      </c>
      <c r="B319" s="60"/>
      <c r="C319" s="60"/>
      <c r="D319" s="60"/>
      <c r="E319" s="60"/>
      <c r="F319" s="60"/>
      <c r="G319" s="60"/>
      <c r="H319" s="60"/>
      <c r="I319" s="60"/>
      <c r="J319" s="61"/>
    </row>
    <row r="320" spans="1:12" ht="15" customHeight="1" x14ac:dyDescent="0.35">
      <c r="A320" s="42">
        <v>1</v>
      </c>
      <c r="B320" s="9" t="s">
        <v>210</v>
      </c>
      <c r="C320" s="9" t="s">
        <v>135</v>
      </c>
      <c r="D320" s="57">
        <f>38.67*10.764</f>
        <v>416.24387999999999</v>
      </c>
      <c r="E320" s="58"/>
      <c r="F320" s="9">
        <f>(6.12+9.73)*10.764</f>
        <v>170.60939999999999</v>
      </c>
      <c r="G320" s="9">
        <f>D320+F320</f>
        <v>586.85328000000004</v>
      </c>
      <c r="H320" s="9">
        <v>0</v>
      </c>
      <c r="I320" s="51">
        <f>G320*1.45+H320</f>
        <v>850.93725600000005</v>
      </c>
      <c r="J320" s="53"/>
      <c r="L320">
        <f t="shared" ref="L320:L324" si="119">4*G321*24</f>
        <v>56337.914880000004</v>
      </c>
    </row>
    <row r="321" spans="1:12" ht="15.5" x14ac:dyDescent="0.35">
      <c r="A321" s="42">
        <v>2</v>
      </c>
      <c r="B321" s="9" t="s">
        <v>210</v>
      </c>
      <c r="C321" s="9" t="s">
        <v>135</v>
      </c>
      <c r="D321" s="57">
        <f>38.67*10.764</f>
        <v>416.24387999999999</v>
      </c>
      <c r="E321" s="58"/>
      <c r="F321" s="9">
        <f>(6.12+9.73)*10.764</f>
        <v>170.60939999999999</v>
      </c>
      <c r="G321" s="9">
        <f t="shared" ref="G321:G325" si="120">D321+F321</f>
        <v>586.85328000000004</v>
      </c>
      <c r="H321" s="9">
        <v>0</v>
      </c>
      <c r="I321" s="51">
        <f t="shared" ref="I321:I325" si="121">G321*1.45+H321</f>
        <v>850.93725600000005</v>
      </c>
      <c r="J321" s="53"/>
      <c r="L321">
        <f t="shared" si="119"/>
        <v>75857.78303999998</v>
      </c>
    </row>
    <row r="322" spans="1:12" ht="15.5" x14ac:dyDescent="0.35">
      <c r="A322" s="42">
        <v>3</v>
      </c>
      <c r="B322" s="9" t="s">
        <v>210</v>
      </c>
      <c r="C322" s="9" t="s">
        <v>136</v>
      </c>
      <c r="D322" s="57">
        <f>52.65*10.764</f>
        <v>566.7245999999999</v>
      </c>
      <c r="E322" s="58"/>
      <c r="F322" s="9">
        <f>(8.06+12.7)*10.764</f>
        <v>223.46063999999996</v>
      </c>
      <c r="G322" s="9">
        <f t="shared" si="120"/>
        <v>790.18523999999979</v>
      </c>
      <c r="H322" s="9">
        <v>0</v>
      </c>
      <c r="I322" s="51">
        <f t="shared" si="121"/>
        <v>1145.7685979999997</v>
      </c>
      <c r="J322" s="53"/>
      <c r="L322">
        <f t="shared" si="119"/>
        <v>75857.78303999998</v>
      </c>
    </row>
    <row r="323" spans="1:12" ht="15.5" x14ac:dyDescent="0.35">
      <c r="A323" s="42">
        <v>4</v>
      </c>
      <c r="B323" s="9" t="s">
        <v>210</v>
      </c>
      <c r="C323" s="9" t="s">
        <v>136</v>
      </c>
      <c r="D323" s="57">
        <f>52.65*10.764</f>
        <v>566.7245999999999</v>
      </c>
      <c r="E323" s="58"/>
      <c r="F323" s="9">
        <f>(8.06+12.7)*10.764</f>
        <v>223.46063999999996</v>
      </c>
      <c r="G323" s="9">
        <f t="shared" si="120"/>
        <v>790.18523999999979</v>
      </c>
      <c r="H323" s="9">
        <v>0</v>
      </c>
      <c r="I323" s="51">
        <f t="shared" si="121"/>
        <v>1145.7685979999997</v>
      </c>
      <c r="J323" s="53"/>
      <c r="L323">
        <f t="shared" si="119"/>
        <v>53186.215679999994</v>
      </c>
    </row>
    <row r="324" spans="1:12" ht="15.5" x14ac:dyDescent="0.35">
      <c r="A324" s="42">
        <v>5</v>
      </c>
      <c r="B324" s="9" t="s">
        <v>210</v>
      </c>
      <c r="C324" s="9" t="s">
        <v>135</v>
      </c>
      <c r="D324" s="57">
        <f>36.28*10.764</f>
        <v>390.51792</v>
      </c>
      <c r="E324" s="58"/>
      <c r="F324" s="9">
        <f>(5.67+9.52)*10.764</f>
        <v>163.50515999999999</v>
      </c>
      <c r="G324" s="9">
        <f t="shared" si="120"/>
        <v>554.02307999999994</v>
      </c>
      <c r="H324" s="9">
        <v>0</v>
      </c>
      <c r="I324" s="51">
        <f t="shared" si="121"/>
        <v>803.33346599999993</v>
      </c>
      <c r="J324" s="53"/>
      <c r="L324">
        <f t="shared" si="119"/>
        <v>53186.215679999994</v>
      </c>
    </row>
    <row r="325" spans="1:12" ht="15.5" x14ac:dyDescent="0.35">
      <c r="A325" s="42">
        <v>6</v>
      </c>
      <c r="B325" s="9" t="s">
        <v>210</v>
      </c>
      <c r="C325" s="9" t="s">
        <v>135</v>
      </c>
      <c r="D325" s="57">
        <f>36.28*10.764</f>
        <v>390.51792</v>
      </c>
      <c r="E325" s="58"/>
      <c r="F325" s="9">
        <f>(5.67+9.52)*10.764</f>
        <v>163.50515999999999</v>
      </c>
      <c r="G325" s="9">
        <f t="shared" si="120"/>
        <v>554.02307999999994</v>
      </c>
      <c r="H325" s="9">
        <v>0</v>
      </c>
      <c r="I325" s="51">
        <f t="shared" si="121"/>
        <v>803.33346599999993</v>
      </c>
      <c r="J325" s="53"/>
    </row>
    <row r="326" spans="1:12" ht="15" x14ac:dyDescent="0.35">
      <c r="A326" s="59" t="s">
        <v>249</v>
      </c>
      <c r="B326" s="60"/>
      <c r="C326" s="60"/>
      <c r="D326" s="60"/>
      <c r="E326" s="60"/>
      <c r="F326" s="60"/>
      <c r="G326" s="60"/>
      <c r="H326" s="60"/>
      <c r="I326" s="60"/>
      <c r="J326" s="61"/>
    </row>
    <row r="327" spans="1:12" ht="15" customHeight="1" x14ac:dyDescent="0.35">
      <c r="A327" s="42">
        <v>1</v>
      </c>
      <c r="B327" s="9" t="s">
        <v>210</v>
      </c>
      <c r="C327" s="9" t="s">
        <v>135</v>
      </c>
      <c r="D327" s="57">
        <f>39.27*10.764</f>
        <v>422.70228000000003</v>
      </c>
      <c r="E327" s="58"/>
      <c r="F327" s="9">
        <f>(5.43+8.91)*10.764</f>
        <v>154.35575999999998</v>
      </c>
      <c r="G327" s="9">
        <f>D327+F327</f>
        <v>577.05804000000001</v>
      </c>
      <c r="H327" s="9">
        <v>0</v>
      </c>
      <c r="I327" s="51">
        <f>G327*1.45+H327</f>
        <v>836.73415799999998</v>
      </c>
      <c r="J327" s="53"/>
      <c r="L327">
        <f t="shared" ref="L327:L331" si="122">4*G328*24</f>
        <v>55397.571840000004</v>
      </c>
    </row>
    <row r="328" spans="1:12" ht="15.5" x14ac:dyDescent="0.35">
      <c r="A328" s="42">
        <v>2</v>
      </c>
      <c r="B328" s="9" t="s">
        <v>210</v>
      </c>
      <c r="C328" s="9" t="s">
        <v>135</v>
      </c>
      <c r="D328" s="57">
        <f>39.27*10.764</f>
        <v>422.70228000000003</v>
      </c>
      <c r="E328" s="58"/>
      <c r="F328" s="9">
        <f t="shared" ref="F328" si="123">(5.43+8.91)*10.764</f>
        <v>154.35575999999998</v>
      </c>
      <c r="G328" s="9">
        <f t="shared" ref="G328:G329" si="124">D328+F328</f>
        <v>577.05804000000001</v>
      </c>
      <c r="H328" s="9">
        <v>0</v>
      </c>
      <c r="I328" s="51">
        <f t="shared" ref="I328:I329" si="125">G328*1.45+H328</f>
        <v>836.73415799999998</v>
      </c>
      <c r="J328" s="53"/>
      <c r="L328">
        <f t="shared" si="122"/>
        <v>115672.52735999998</v>
      </c>
    </row>
    <row r="329" spans="1:12" ht="15.5" x14ac:dyDescent="0.35">
      <c r="A329" s="42">
        <v>3</v>
      </c>
      <c r="B329" s="9" t="s">
        <v>210</v>
      </c>
      <c r="C329" s="9" t="s">
        <v>213</v>
      </c>
      <c r="D329" s="57">
        <f>82.6*10.764</f>
        <v>889.10639999999989</v>
      </c>
      <c r="E329" s="58"/>
      <c r="F329" s="9">
        <f>(10.49+18.85)*10.764</f>
        <v>315.81576000000001</v>
      </c>
      <c r="G329" s="9">
        <f t="shared" si="124"/>
        <v>1204.9221599999998</v>
      </c>
      <c r="H329" s="9">
        <v>0</v>
      </c>
      <c r="I329" s="51">
        <f t="shared" si="125"/>
        <v>1747.1371319999998</v>
      </c>
      <c r="J329" s="53"/>
      <c r="L329">
        <f t="shared" si="122"/>
        <v>0</v>
      </c>
    </row>
    <row r="330" spans="1:12" ht="15.5" x14ac:dyDescent="0.35">
      <c r="A330" s="42">
        <v>4</v>
      </c>
      <c r="B330" s="9" t="s">
        <v>214</v>
      </c>
      <c r="C330" s="57" t="s">
        <v>137</v>
      </c>
      <c r="D330" s="63"/>
      <c r="E330" s="63"/>
      <c r="F330" s="63"/>
      <c r="G330" s="63"/>
      <c r="H330" s="63"/>
      <c r="I330" s="63"/>
      <c r="J330" s="58"/>
      <c r="L330">
        <f t="shared" si="122"/>
        <v>53237.882880000005</v>
      </c>
    </row>
    <row r="331" spans="1:12" ht="15.5" x14ac:dyDescent="0.35">
      <c r="A331" s="42">
        <v>5</v>
      </c>
      <c r="B331" s="9" t="s">
        <v>210</v>
      </c>
      <c r="C331" s="9" t="s">
        <v>135</v>
      </c>
      <c r="D331" s="57">
        <f>36.28*10.764</f>
        <v>390.51792</v>
      </c>
      <c r="E331" s="58"/>
      <c r="F331" s="9">
        <f>(5.46+9.78)*10.764</f>
        <v>164.04335999999998</v>
      </c>
      <c r="G331" s="9">
        <f t="shared" ref="G331:G332" si="126">D331+F331</f>
        <v>554.56128000000001</v>
      </c>
      <c r="H331" s="9">
        <v>0</v>
      </c>
      <c r="I331" s="51">
        <f t="shared" ref="I331:I332" si="127">G331*1.45+H331</f>
        <v>804.11385599999994</v>
      </c>
      <c r="J331" s="53"/>
      <c r="L331">
        <f t="shared" si="122"/>
        <v>53237.882880000005</v>
      </c>
    </row>
    <row r="332" spans="1:12" ht="15.5" x14ac:dyDescent="0.35">
      <c r="A332" s="42">
        <v>6</v>
      </c>
      <c r="B332" s="9" t="s">
        <v>210</v>
      </c>
      <c r="C332" s="9" t="s">
        <v>135</v>
      </c>
      <c r="D332" s="57">
        <f>36.28*10.764</f>
        <v>390.51792</v>
      </c>
      <c r="E332" s="58"/>
      <c r="F332" s="9">
        <f>(5.46+9.78)*10.764</f>
        <v>164.04335999999998</v>
      </c>
      <c r="G332" s="9">
        <f t="shared" si="126"/>
        <v>554.56128000000001</v>
      </c>
      <c r="H332" s="9">
        <v>0</v>
      </c>
      <c r="I332" s="51">
        <f t="shared" si="127"/>
        <v>804.11385599999994</v>
      </c>
      <c r="J332" s="53"/>
    </row>
    <row r="333" spans="1:12" ht="15" x14ac:dyDescent="0.35">
      <c r="A333" s="59" t="s">
        <v>250</v>
      </c>
      <c r="B333" s="60"/>
      <c r="C333" s="60"/>
      <c r="D333" s="60"/>
      <c r="E333" s="60"/>
      <c r="F333" s="60"/>
      <c r="G333" s="60"/>
      <c r="H333" s="60"/>
      <c r="I333" s="60"/>
      <c r="J333" s="61"/>
    </row>
    <row r="334" spans="1:12" ht="15" customHeight="1" x14ac:dyDescent="0.35">
      <c r="A334" s="42">
        <v>1</v>
      </c>
      <c r="B334" s="9" t="s">
        <v>210</v>
      </c>
      <c r="C334" s="9" t="s">
        <v>135</v>
      </c>
      <c r="D334" s="57">
        <f>38.67*10.764</f>
        <v>416.24387999999999</v>
      </c>
      <c r="E334" s="58"/>
      <c r="F334" s="9">
        <f>(6.12+9.73)*10.764</f>
        <v>170.60939999999999</v>
      </c>
      <c r="G334" s="9">
        <f>D334+F334</f>
        <v>586.85328000000004</v>
      </c>
      <c r="H334" s="9">
        <v>0</v>
      </c>
      <c r="I334" s="51">
        <f>G334*1.45+H334</f>
        <v>850.93725600000005</v>
      </c>
      <c r="J334" s="53"/>
      <c r="L334">
        <f t="shared" ref="L334:L338" si="128">4*G335*24</f>
        <v>56337.914880000004</v>
      </c>
    </row>
    <row r="335" spans="1:12" ht="15.5" x14ac:dyDescent="0.35">
      <c r="A335" s="42">
        <v>2</v>
      </c>
      <c r="B335" s="9" t="s">
        <v>210</v>
      </c>
      <c r="C335" s="9" t="s">
        <v>135</v>
      </c>
      <c r="D335" s="57">
        <f>38.67*10.764</f>
        <v>416.24387999999999</v>
      </c>
      <c r="E335" s="58"/>
      <c r="F335" s="9">
        <f>(6.12+9.73)*10.764</f>
        <v>170.60939999999999</v>
      </c>
      <c r="G335" s="9">
        <f t="shared" ref="G335:G336" si="129">D335+F335</f>
        <v>586.85328000000004</v>
      </c>
      <c r="H335" s="9">
        <v>0</v>
      </c>
      <c r="I335" s="51">
        <f t="shared" ref="I335:I336" si="130">G335*1.45+H335</f>
        <v>850.93725600000005</v>
      </c>
      <c r="J335" s="53"/>
      <c r="L335">
        <f t="shared" si="128"/>
        <v>117191.54303999999</v>
      </c>
    </row>
    <row r="336" spans="1:12" ht="15.5" x14ac:dyDescent="0.35">
      <c r="A336" s="42">
        <v>3</v>
      </c>
      <c r="B336" s="9" t="s">
        <v>210</v>
      </c>
      <c r="C336" s="9" t="s">
        <v>213</v>
      </c>
      <c r="D336" s="57">
        <f>81.16*10.764</f>
        <v>873.60623999999996</v>
      </c>
      <c r="E336" s="58"/>
      <c r="F336" s="9">
        <f>(11.67+20.58)*10.764</f>
        <v>347.13899999999995</v>
      </c>
      <c r="G336" s="9">
        <f t="shared" si="129"/>
        <v>1220.74524</v>
      </c>
      <c r="H336" s="9">
        <v>0</v>
      </c>
      <c r="I336" s="51">
        <f t="shared" si="130"/>
        <v>1770.080598</v>
      </c>
      <c r="J336" s="53"/>
      <c r="L336">
        <f t="shared" si="128"/>
        <v>0</v>
      </c>
    </row>
    <row r="337" spans="1:12" ht="15.5" x14ac:dyDescent="0.35">
      <c r="A337" s="45">
        <v>4</v>
      </c>
      <c r="B337" s="45" t="s">
        <v>214</v>
      </c>
      <c r="C337" s="50" t="s">
        <v>137</v>
      </c>
      <c r="D337" s="50"/>
      <c r="E337" s="50"/>
      <c r="F337" s="50"/>
      <c r="G337" s="50"/>
      <c r="H337" s="50"/>
      <c r="I337" s="50"/>
      <c r="J337" s="50"/>
      <c r="L337">
        <f t="shared" si="128"/>
        <v>53186.215679999994</v>
      </c>
    </row>
    <row r="338" spans="1:12" ht="15.5" x14ac:dyDescent="0.35">
      <c r="A338" s="45">
        <v>5</v>
      </c>
      <c r="B338" s="45" t="s">
        <v>210</v>
      </c>
      <c r="C338" s="45" t="s">
        <v>135</v>
      </c>
      <c r="D338" s="50">
        <f>36.28*10.764</f>
        <v>390.51792</v>
      </c>
      <c r="E338" s="50"/>
      <c r="F338" s="45">
        <f>(5.67+9.52)*10.764</f>
        <v>163.50515999999999</v>
      </c>
      <c r="G338" s="45">
        <f t="shared" ref="G338:G339" si="131">D338+F338</f>
        <v>554.02307999999994</v>
      </c>
      <c r="H338" s="45">
        <v>0</v>
      </c>
      <c r="I338" s="50">
        <f t="shared" ref="I338:I339" si="132">G338*1.45+H338</f>
        <v>803.33346599999993</v>
      </c>
      <c r="J338" s="50"/>
      <c r="L338">
        <f t="shared" si="128"/>
        <v>53186.215679999994</v>
      </c>
    </row>
    <row r="339" spans="1:12" ht="15.5" x14ac:dyDescent="0.35">
      <c r="A339" s="45">
        <v>6</v>
      </c>
      <c r="B339" s="45" t="s">
        <v>210</v>
      </c>
      <c r="C339" s="45" t="s">
        <v>135</v>
      </c>
      <c r="D339" s="50">
        <f>36.28*10.764</f>
        <v>390.51792</v>
      </c>
      <c r="E339" s="50"/>
      <c r="F339" s="45">
        <f>(5.67+9.52)*10.764</f>
        <v>163.50515999999999</v>
      </c>
      <c r="G339" s="45">
        <f t="shared" si="131"/>
        <v>554.02307999999994</v>
      </c>
      <c r="H339" s="45">
        <v>0</v>
      </c>
      <c r="I339" s="50">
        <f t="shared" si="132"/>
        <v>803.33346599999993</v>
      </c>
      <c r="J339" s="50"/>
    </row>
    <row r="340" spans="1:12" ht="15" x14ac:dyDescent="0.35">
      <c r="A340" s="62" t="s">
        <v>260</v>
      </c>
      <c r="B340" s="62"/>
      <c r="C340" s="62"/>
      <c r="D340" s="62"/>
      <c r="E340" s="62"/>
      <c r="F340" s="62"/>
      <c r="G340" s="62"/>
      <c r="H340" s="62"/>
      <c r="I340" s="62"/>
      <c r="J340" s="62"/>
    </row>
    <row r="341" spans="1:12" ht="15" customHeight="1" x14ac:dyDescent="0.35">
      <c r="A341" s="45">
        <v>1</v>
      </c>
      <c r="B341" s="45" t="s">
        <v>214</v>
      </c>
      <c r="C341" s="50" t="s">
        <v>261</v>
      </c>
      <c r="D341" s="50"/>
      <c r="E341" s="50"/>
      <c r="F341" s="50"/>
      <c r="G341" s="50"/>
      <c r="H341" s="50"/>
      <c r="I341" s="50"/>
      <c r="J341" s="50"/>
      <c r="L341">
        <f t="shared" ref="L341:L345" si="133">4*G342*24</f>
        <v>0</v>
      </c>
    </row>
    <row r="342" spans="1:12" ht="15.5" x14ac:dyDescent="0.35">
      <c r="A342" s="45">
        <v>2</v>
      </c>
      <c r="B342" s="45" t="s">
        <v>214</v>
      </c>
      <c r="C342" s="50"/>
      <c r="D342" s="50"/>
      <c r="E342" s="50"/>
      <c r="F342" s="50"/>
      <c r="G342" s="50"/>
      <c r="H342" s="50"/>
      <c r="I342" s="50"/>
      <c r="J342" s="50"/>
      <c r="L342">
        <f t="shared" si="133"/>
        <v>75227.44319999998</v>
      </c>
    </row>
    <row r="343" spans="1:12" ht="15.5" x14ac:dyDescent="0.35">
      <c r="A343" s="45">
        <v>3</v>
      </c>
      <c r="B343" s="45" t="s">
        <v>210</v>
      </c>
      <c r="C343" s="45" t="s">
        <v>136</v>
      </c>
      <c r="D343" s="50">
        <f>52.75*10.764</f>
        <v>567.80099999999993</v>
      </c>
      <c r="E343" s="50"/>
      <c r="F343" s="45">
        <f>(7.87+12.18)*10.764</f>
        <v>215.81819999999999</v>
      </c>
      <c r="G343" s="45">
        <f t="shared" ref="G343:G346" si="134">D343+F343</f>
        <v>783.61919999999986</v>
      </c>
      <c r="H343" s="45">
        <v>0</v>
      </c>
      <c r="I343" s="50">
        <f t="shared" ref="I343:I346" si="135">G343*1.45+H343</f>
        <v>1136.2478399999998</v>
      </c>
      <c r="J343" s="50"/>
      <c r="L343">
        <f t="shared" si="133"/>
        <v>75227.44319999998</v>
      </c>
    </row>
    <row r="344" spans="1:12" ht="15.5" x14ac:dyDescent="0.35">
      <c r="A344" s="42">
        <v>4</v>
      </c>
      <c r="B344" s="9" t="s">
        <v>210</v>
      </c>
      <c r="C344" s="9" t="s">
        <v>136</v>
      </c>
      <c r="D344" s="57">
        <f>52.75*10.764</f>
        <v>567.80099999999993</v>
      </c>
      <c r="E344" s="58"/>
      <c r="F344" s="9">
        <f>(7.87+12.18)*10.764</f>
        <v>215.81819999999999</v>
      </c>
      <c r="G344" s="9">
        <f t="shared" si="134"/>
        <v>783.61919999999986</v>
      </c>
      <c r="H344" s="9">
        <v>0</v>
      </c>
      <c r="I344" s="51">
        <f t="shared" si="135"/>
        <v>1136.2478399999998</v>
      </c>
      <c r="J344" s="53"/>
      <c r="L344">
        <f t="shared" si="133"/>
        <v>53237.882880000005</v>
      </c>
    </row>
    <row r="345" spans="1:12" ht="15.5" x14ac:dyDescent="0.35">
      <c r="A345" s="42">
        <v>5</v>
      </c>
      <c r="B345" s="9" t="s">
        <v>210</v>
      </c>
      <c r="C345" s="9" t="s">
        <v>135</v>
      </c>
      <c r="D345" s="57">
        <f>36.28*10.764</f>
        <v>390.51792</v>
      </c>
      <c r="E345" s="58"/>
      <c r="F345" s="9">
        <f>(5.46+9.78)*10.764</f>
        <v>164.04335999999998</v>
      </c>
      <c r="G345" s="9">
        <f t="shared" si="134"/>
        <v>554.56128000000001</v>
      </c>
      <c r="H345" s="9">
        <v>0</v>
      </c>
      <c r="I345" s="51">
        <f t="shared" si="135"/>
        <v>804.11385599999994</v>
      </c>
      <c r="J345" s="53"/>
      <c r="L345">
        <f t="shared" si="133"/>
        <v>53237.882880000005</v>
      </c>
    </row>
    <row r="346" spans="1:12" ht="15.5" x14ac:dyDescent="0.35">
      <c r="A346" s="42">
        <v>6</v>
      </c>
      <c r="B346" s="9" t="s">
        <v>210</v>
      </c>
      <c r="C346" s="9" t="s">
        <v>135</v>
      </c>
      <c r="D346" s="57">
        <f>36.28*10.764</f>
        <v>390.51792</v>
      </c>
      <c r="E346" s="58"/>
      <c r="F346" s="9">
        <f>(5.46+9.78)*10.764</f>
        <v>164.04335999999998</v>
      </c>
      <c r="G346" s="9">
        <f t="shared" si="134"/>
        <v>554.56128000000001</v>
      </c>
      <c r="H346" s="9">
        <v>0</v>
      </c>
      <c r="I346" s="51">
        <f t="shared" si="135"/>
        <v>804.11385599999994</v>
      </c>
      <c r="J346" s="53"/>
    </row>
    <row r="347" spans="1:12" ht="15" x14ac:dyDescent="0.35">
      <c r="A347" s="59" t="s">
        <v>252</v>
      </c>
      <c r="B347" s="60"/>
      <c r="C347" s="60"/>
      <c r="D347" s="60"/>
      <c r="E347" s="60"/>
      <c r="F347" s="60"/>
      <c r="G347" s="60"/>
      <c r="H347" s="60"/>
      <c r="I347" s="60"/>
      <c r="J347" s="61"/>
    </row>
    <row r="348" spans="1:12" ht="15" customHeight="1" x14ac:dyDescent="0.35">
      <c r="A348" s="42">
        <v>1</v>
      </c>
      <c r="B348" s="9" t="s">
        <v>214</v>
      </c>
      <c r="C348" s="51" t="s">
        <v>262</v>
      </c>
      <c r="D348" s="52"/>
      <c r="E348" s="52"/>
      <c r="F348" s="52"/>
      <c r="G348" s="52"/>
      <c r="H348" s="52"/>
      <c r="I348" s="52"/>
      <c r="J348" s="53"/>
      <c r="L348">
        <f t="shared" ref="L348:L352" si="136">4*G349*24</f>
        <v>0</v>
      </c>
    </row>
    <row r="349" spans="1:12" ht="15.5" x14ac:dyDescent="0.35">
      <c r="A349" s="42">
        <v>2</v>
      </c>
      <c r="B349" s="9" t="s">
        <v>214</v>
      </c>
      <c r="C349" s="54"/>
      <c r="D349" s="55"/>
      <c r="E349" s="55"/>
      <c r="F349" s="55"/>
      <c r="G349" s="55"/>
      <c r="H349" s="55"/>
      <c r="I349" s="55"/>
      <c r="J349" s="56"/>
      <c r="L349">
        <f t="shared" si="136"/>
        <v>75857.78303999998</v>
      </c>
    </row>
    <row r="350" spans="1:12" ht="15.5" x14ac:dyDescent="0.35">
      <c r="A350" s="42">
        <v>3</v>
      </c>
      <c r="B350" s="9" t="s">
        <v>210</v>
      </c>
      <c r="C350" s="9" t="s">
        <v>136</v>
      </c>
      <c r="D350" s="57">
        <f>52.65*10.764</f>
        <v>566.7245999999999</v>
      </c>
      <c r="E350" s="58"/>
      <c r="F350" s="9">
        <f>(8.06+12.7)*10.764</f>
        <v>223.46063999999996</v>
      </c>
      <c r="G350" s="9">
        <f t="shared" ref="G350:G353" si="137">D350+F350</f>
        <v>790.18523999999979</v>
      </c>
      <c r="H350" s="9">
        <v>0</v>
      </c>
      <c r="I350" s="51">
        <f t="shared" ref="I350:I353" si="138">G350*1.45+H350</f>
        <v>1145.7685979999997</v>
      </c>
      <c r="J350" s="53"/>
      <c r="L350">
        <f t="shared" si="136"/>
        <v>75857.78303999998</v>
      </c>
    </row>
    <row r="351" spans="1:12" ht="15.5" x14ac:dyDescent="0.35">
      <c r="A351" s="42">
        <v>4</v>
      </c>
      <c r="B351" s="9" t="s">
        <v>210</v>
      </c>
      <c r="C351" s="9" t="s">
        <v>136</v>
      </c>
      <c r="D351" s="57">
        <f>52.65*10.764</f>
        <v>566.7245999999999</v>
      </c>
      <c r="E351" s="58"/>
      <c r="F351" s="9">
        <f>(8.06+12.7)*10.764</f>
        <v>223.46063999999996</v>
      </c>
      <c r="G351" s="9">
        <f t="shared" si="137"/>
        <v>790.18523999999979</v>
      </c>
      <c r="H351" s="9">
        <v>0</v>
      </c>
      <c r="I351" s="51">
        <f t="shared" si="138"/>
        <v>1145.7685979999997</v>
      </c>
      <c r="J351" s="53"/>
      <c r="L351">
        <f t="shared" si="136"/>
        <v>53186.215679999994</v>
      </c>
    </row>
    <row r="352" spans="1:12" ht="15.5" x14ac:dyDescent="0.35">
      <c r="A352" s="42">
        <v>5</v>
      </c>
      <c r="B352" s="9" t="s">
        <v>210</v>
      </c>
      <c r="C352" s="9" t="s">
        <v>135</v>
      </c>
      <c r="D352" s="57">
        <f>36.28*10.764</f>
        <v>390.51792</v>
      </c>
      <c r="E352" s="58"/>
      <c r="F352" s="9">
        <f>(5.67+9.52)*10.764</f>
        <v>163.50515999999999</v>
      </c>
      <c r="G352" s="9">
        <f t="shared" si="137"/>
        <v>554.02307999999994</v>
      </c>
      <c r="H352" s="9">
        <v>0</v>
      </c>
      <c r="I352" s="51">
        <f t="shared" si="138"/>
        <v>803.33346599999993</v>
      </c>
      <c r="J352" s="53"/>
      <c r="L352">
        <f t="shared" si="136"/>
        <v>53186.215679999994</v>
      </c>
    </row>
    <row r="353" spans="1:12" ht="15.5" x14ac:dyDescent="0.35">
      <c r="A353" s="42">
        <v>6</v>
      </c>
      <c r="B353" s="9" t="s">
        <v>210</v>
      </c>
      <c r="C353" s="9" t="s">
        <v>135</v>
      </c>
      <c r="D353" s="57">
        <f>36.28*10.764</f>
        <v>390.51792</v>
      </c>
      <c r="E353" s="58"/>
      <c r="F353" s="9">
        <f>(5.67+9.52)*10.764</f>
        <v>163.50515999999999</v>
      </c>
      <c r="G353" s="9">
        <f t="shared" si="137"/>
        <v>554.02307999999994</v>
      </c>
      <c r="H353" s="9">
        <v>0</v>
      </c>
      <c r="I353" s="51">
        <f t="shared" si="138"/>
        <v>803.33346599999993</v>
      </c>
      <c r="J353" s="53"/>
    </row>
    <row r="354" spans="1:12" ht="15" x14ac:dyDescent="0.35">
      <c r="A354" s="59" t="s">
        <v>253</v>
      </c>
      <c r="B354" s="60"/>
      <c r="C354" s="60"/>
      <c r="D354" s="60"/>
      <c r="E354" s="60"/>
      <c r="F354" s="60"/>
      <c r="G354" s="60"/>
      <c r="H354" s="60"/>
      <c r="I354" s="60"/>
      <c r="J354" s="61"/>
    </row>
    <row r="355" spans="1:12" ht="15" customHeight="1" x14ac:dyDescent="0.35">
      <c r="A355" s="42">
        <v>1</v>
      </c>
      <c r="B355" s="9" t="s">
        <v>214</v>
      </c>
      <c r="C355" s="51" t="s">
        <v>262</v>
      </c>
      <c r="D355" s="52"/>
      <c r="E355" s="52"/>
      <c r="F355" s="52"/>
      <c r="G355" s="52"/>
      <c r="H355" s="52"/>
      <c r="I355" s="52"/>
      <c r="J355" s="53"/>
      <c r="L355">
        <f t="shared" ref="L355:L359" si="139">4*G356*24</f>
        <v>0</v>
      </c>
    </row>
    <row r="356" spans="1:12" ht="15.5" x14ac:dyDescent="0.35">
      <c r="A356" s="42">
        <v>2</v>
      </c>
      <c r="B356" s="9" t="s">
        <v>214</v>
      </c>
      <c r="C356" s="54"/>
      <c r="D356" s="55"/>
      <c r="E356" s="55"/>
      <c r="F356" s="55"/>
      <c r="G356" s="55"/>
      <c r="H356" s="55"/>
      <c r="I356" s="55"/>
      <c r="J356" s="56"/>
      <c r="L356">
        <f t="shared" si="139"/>
        <v>75227.44319999998</v>
      </c>
    </row>
    <row r="357" spans="1:12" ht="15.5" x14ac:dyDescent="0.35">
      <c r="A357" s="42">
        <v>3</v>
      </c>
      <c r="B357" s="9" t="s">
        <v>210</v>
      </c>
      <c r="C357" s="9" t="s">
        <v>136</v>
      </c>
      <c r="D357" s="57">
        <f>52.75*10.764</f>
        <v>567.80099999999993</v>
      </c>
      <c r="E357" s="58"/>
      <c r="F357" s="9">
        <f>(7.87+12.18)*10.764</f>
        <v>215.81819999999999</v>
      </c>
      <c r="G357" s="9">
        <f t="shared" ref="G357:G360" si="140">D357+F357</f>
        <v>783.61919999999986</v>
      </c>
      <c r="H357" s="9">
        <v>0</v>
      </c>
      <c r="I357" s="51">
        <f t="shared" ref="I357:I360" si="141">G357*1.45+H357</f>
        <v>1136.2478399999998</v>
      </c>
      <c r="J357" s="53"/>
      <c r="L357">
        <f t="shared" si="139"/>
        <v>75227.44319999998</v>
      </c>
    </row>
    <row r="358" spans="1:12" ht="15.5" x14ac:dyDescent="0.35">
      <c r="A358" s="42">
        <v>4</v>
      </c>
      <c r="B358" s="9" t="s">
        <v>210</v>
      </c>
      <c r="C358" s="9" t="s">
        <v>136</v>
      </c>
      <c r="D358" s="57">
        <f>52.75*10.764</f>
        <v>567.80099999999993</v>
      </c>
      <c r="E358" s="58"/>
      <c r="F358" s="9">
        <f>(7.87+12.18)*10.764</f>
        <v>215.81819999999999</v>
      </c>
      <c r="G358" s="9">
        <f t="shared" si="140"/>
        <v>783.61919999999986</v>
      </c>
      <c r="H358" s="9">
        <v>0</v>
      </c>
      <c r="I358" s="51">
        <f t="shared" si="141"/>
        <v>1136.2478399999998</v>
      </c>
      <c r="J358" s="53"/>
      <c r="L358">
        <f t="shared" si="139"/>
        <v>53237.882880000005</v>
      </c>
    </row>
    <row r="359" spans="1:12" ht="15.5" x14ac:dyDescent="0.35">
      <c r="A359" s="42">
        <v>5</v>
      </c>
      <c r="B359" s="9" t="s">
        <v>210</v>
      </c>
      <c r="C359" s="9" t="s">
        <v>135</v>
      </c>
      <c r="D359" s="57">
        <f>36.28*10.764</f>
        <v>390.51792</v>
      </c>
      <c r="E359" s="58"/>
      <c r="F359" s="9">
        <f>(5.46+9.78)*10.764</f>
        <v>164.04335999999998</v>
      </c>
      <c r="G359" s="9">
        <f t="shared" si="140"/>
        <v>554.56128000000001</v>
      </c>
      <c r="H359" s="9">
        <v>0</v>
      </c>
      <c r="I359" s="51">
        <f t="shared" si="141"/>
        <v>804.11385599999994</v>
      </c>
      <c r="J359" s="53"/>
      <c r="L359">
        <f t="shared" si="139"/>
        <v>53237.882880000005</v>
      </c>
    </row>
    <row r="360" spans="1:12" ht="15.5" x14ac:dyDescent="0.35">
      <c r="A360" s="42">
        <v>6</v>
      </c>
      <c r="B360" s="9" t="s">
        <v>210</v>
      </c>
      <c r="C360" s="9" t="s">
        <v>135</v>
      </c>
      <c r="D360" s="57">
        <f>36.28*10.764</f>
        <v>390.51792</v>
      </c>
      <c r="E360" s="58"/>
      <c r="F360" s="9">
        <f>(5.46+9.78)*10.764</f>
        <v>164.04335999999998</v>
      </c>
      <c r="G360" s="9">
        <f t="shared" si="140"/>
        <v>554.56128000000001</v>
      </c>
      <c r="H360" s="9">
        <v>0</v>
      </c>
      <c r="I360" s="51">
        <f t="shared" si="141"/>
        <v>804.11385599999994</v>
      </c>
      <c r="J360" s="53"/>
    </row>
    <row r="361" spans="1:12" ht="15" x14ac:dyDescent="0.35">
      <c r="A361" s="59" t="s">
        <v>254</v>
      </c>
      <c r="B361" s="60"/>
      <c r="C361" s="60"/>
      <c r="D361" s="60"/>
      <c r="E361" s="60"/>
      <c r="F361" s="60"/>
      <c r="G361" s="60"/>
      <c r="H361" s="60"/>
      <c r="I361" s="60"/>
      <c r="J361" s="61"/>
    </row>
    <row r="362" spans="1:12" ht="15" customHeight="1" x14ac:dyDescent="0.35">
      <c r="A362" s="42">
        <v>1</v>
      </c>
      <c r="B362" s="9" t="s">
        <v>214</v>
      </c>
      <c r="C362" s="51" t="s">
        <v>262</v>
      </c>
      <c r="D362" s="52"/>
      <c r="E362" s="52"/>
      <c r="F362" s="52"/>
      <c r="G362" s="52"/>
      <c r="H362" s="52"/>
      <c r="I362" s="52"/>
      <c r="J362" s="53"/>
      <c r="L362">
        <f t="shared" ref="L362:L366" si="142">4*G363*24</f>
        <v>0</v>
      </c>
    </row>
    <row r="363" spans="1:12" ht="15.5" x14ac:dyDescent="0.35">
      <c r="A363" s="42">
        <v>2</v>
      </c>
      <c r="B363" s="9" t="s">
        <v>214</v>
      </c>
      <c r="C363" s="54"/>
      <c r="D363" s="55"/>
      <c r="E363" s="55"/>
      <c r="F363" s="55"/>
      <c r="G363" s="55"/>
      <c r="H363" s="55"/>
      <c r="I363" s="55"/>
      <c r="J363" s="56"/>
      <c r="L363">
        <f t="shared" si="142"/>
        <v>155321.93663999997</v>
      </c>
    </row>
    <row r="364" spans="1:12" ht="54.75" customHeight="1" x14ac:dyDescent="0.35">
      <c r="A364" s="42">
        <v>3</v>
      </c>
      <c r="B364" s="9" t="s">
        <v>210</v>
      </c>
      <c r="C364" s="9" t="s">
        <v>263</v>
      </c>
      <c r="D364" s="57">
        <f>105.96*10.764</f>
        <v>1140.5534399999999</v>
      </c>
      <c r="E364" s="58"/>
      <c r="F364" s="9">
        <f>(8.24+36.11)*10.764</f>
        <v>477.38339999999999</v>
      </c>
      <c r="G364" s="9">
        <f t="shared" ref="G364:G367" si="143">D364+F364</f>
        <v>1617.9368399999998</v>
      </c>
      <c r="H364" s="9">
        <v>0</v>
      </c>
      <c r="I364" s="51">
        <f t="shared" ref="I364:I367" si="144">G364*1.45+H364</f>
        <v>2346.0084179999999</v>
      </c>
      <c r="J364" s="53"/>
      <c r="L364">
        <f t="shared" si="142"/>
        <v>155321.93663999997</v>
      </c>
    </row>
    <row r="365" spans="1:12" ht="54.75" customHeight="1" x14ac:dyDescent="0.35">
      <c r="A365" s="42">
        <v>4</v>
      </c>
      <c r="B365" s="9" t="s">
        <v>210</v>
      </c>
      <c r="C365" s="9" t="s">
        <v>263</v>
      </c>
      <c r="D365" s="57">
        <f>108.59*10.764</f>
        <v>1168.86276</v>
      </c>
      <c r="E365" s="58"/>
      <c r="F365" s="9">
        <f>(5.6+36.12)*10.764</f>
        <v>449.07407999999998</v>
      </c>
      <c r="G365" s="9">
        <f t="shared" si="143"/>
        <v>1617.9368399999998</v>
      </c>
      <c r="H365" s="9">
        <v>0</v>
      </c>
      <c r="I365" s="51">
        <f t="shared" si="144"/>
        <v>2346.0084179999999</v>
      </c>
      <c r="J365" s="53"/>
      <c r="L365">
        <f t="shared" si="142"/>
        <v>53186.215679999994</v>
      </c>
    </row>
    <row r="366" spans="1:12" ht="15.5" x14ac:dyDescent="0.35">
      <c r="A366" s="42">
        <v>5</v>
      </c>
      <c r="B366" s="9" t="s">
        <v>210</v>
      </c>
      <c r="C366" s="9" t="s">
        <v>135</v>
      </c>
      <c r="D366" s="57">
        <f>36.28*10.764</f>
        <v>390.51792</v>
      </c>
      <c r="E366" s="58"/>
      <c r="F366" s="9">
        <f>(5.67+9.52)*10.764</f>
        <v>163.50515999999999</v>
      </c>
      <c r="G366" s="9">
        <f t="shared" si="143"/>
        <v>554.02307999999994</v>
      </c>
      <c r="H366" s="9">
        <v>0</v>
      </c>
      <c r="I366" s="51">
        <f t="shared" si="144"/>
        <v>803.33346599999993</v>
      </c>
      <c r="J366" s="53"/>
      <c r="L366">
        <f t="shared" si="142"/>
        <v>53186.215679999994</v>
      </c>
    </row>
    <row r="367" spans="1:12" ht="15.5" x14ac:dyDescent="0.35">
      <c r="A367" s="42">
        <v>6</v>
      </c>
      <c r="B367" s="9" t="s">
        <v>210</v>
      </c>
      <c r="C367" s="9" t="s">
        <v>135</v>
      </c>
      <c r="D367" s="57">
        <f>36.28*10.764</f>
        <v>390.51792</v>
      </c>
      <c r="E367" s="58"/>
      <c r="F367" s="9">
        <f>(5.67+9.52)*10.764</f>
        <v>163.50515999999999</v>
      </c>
      <c r="G367" s="9">
        <f t="shared" si="143"/>
        <v>554.02307999999994</v>
      </c>
      <c r="H367" s="9">
        <v>0</v>
      </c>
      <c r="I367" s="51">
        <f t="shared" si="144"/>
        <v>803.33346599999993</v>
      </c>
      <c r="J367" s="53"/>
    </row>
    <row r="368" spans="1:12" ht="15" x14ac:dyDescent="0.35">
      <c r="A368" s="59" t="s">
        <v>255</v>
      </c>
      <c r="B368" s="60"/>
      <c r="C368" s="60"/>
      <c r="D368" s="60"/>
      <c r="E368" s="60"/>
      <c r="F368" s="60"/>
      <c r="G368" s="60"/>
      <c r="H368" s="60"/>
      <c r="I368" s="60"/>
      <c r="J368" s="61"/>
    </row>
    <row r="369" spans="1:12" ht="15" customHeight="1" x14ac:dyDescent="0.35">
      <c r="A369" s="42">
        <v>1</v>
      </c>
      <c r="B369" s="9" t="s">
        <v>214</v>
      </c>
      <c r="C369" s="51" t="s">
        <v>262</v>
      </c>
      <c r="D369" s="52"/>
      <c r="E369" s="52"/>
      <c r="F369" s="52"/>
      <c r="G369" s="52"/>
      <c r="H369" s="52"/>
      <c r="I369" s="52"/>
      <c r="J369" s="53"/>
      <c r="L369">
        <f t="shared" ref="L369:L373" si="145">4*G370*24</f>
        <v>0</v>
      </c>
    </row>
    <row r="370" spans="1:12" ht="15.5" x14ac:dyDescent="0.35">
      <c r="A370" s="42">
        <v>2</v>
      </c>
      <c r="B370" s="9" t="s">
        <v>214</v>
      </c>
      <c r="C370" s="54"/>
      <c r="D370" s="55"/>
      <c r="E370" s="55"/>
      <c r="F370" s="55"/>
      <c r="G370" s="55"/>
      <c r="H370" s="55"/>
      <c r="I370" s="55"/>
      <c r="J370" s="56"/>
      <c r="L370">
        <f t="shared" si="145"/>
        <v>0</v>
      </c>
    </row>
    <row r="371" spans="1:12" ht="15.5" x14ac:dyDescent="0.35">
      <c r="A371" s="45">
        <v>3</v>
      </c>
      <c r="B371" s="45" t="s">
        <v>214</v>
      </c>
      <c r="C371" s="50" t="s">
        <v>256</v>
      </c>
      <c r="D371" s="50"/>
      <c r="E371" s="50"/>
      <c r="F371" s="50"/>
      <c r="G371" s="50"/>
      <c r="H371" s="50"/>
      <c r="I371" s="50"/>
      <c r="J371" s="50"/>
      <c r="L371">
        <f t="shared" si="145"/>
        <v>0</v>
      </c>
    </row>
    <row r="372" spans="1:12" ht="15.5" x14ac:dyDescent="0.35">
      <c r="A372" s="45">
        <v>4</v>
      </c>
      <c r="B372" s="45" t="s">
        <v>214</v>
      </c>
      <c r="C372" s="50" t="s">
        <v>257</v>
      </c>
      <c r="D372" s="50"/>
      <c r="E372" s="50"/>
      <c r="F372" s="50"/>
      <c r="G372" s="50"/>
      <c r="H372" s="50"/>
      <c r="I372" s="50"/>
      <c r="J372" s="50"/>
      <c r="L372">
        <f t="shared" si="145"/>
        <v>53237.882880000005</v>
      </c>
    </row>
    <row r="373" spans="1:12" ht="15.5" x14ac:dyDescent="0.35">
      <c r="A373" s="45">
        <v>5</v>
      </c>
      <c r="B373" s="45" t="s">
        <v>210</v>
      </c>
      <c r="C373" s="45" t="s">
        <v>135</v>
      </c>
      <c r="D373" s="50">
        <f>36.28*10.764</f>
        <v>390.51792</v>
      </c>
      <c r="E373" s="50"/>
      <c r="F373" s="45">
        <f>(5.46+9.78)*10.764</f>
        <v>164.04335999999998</v>
      </c>
      <c r="G373" s="45">
        <f t="shared" ref="G373:G374" si="146">D373+F373</f>
        <v>554.56128000000001</v>
      </c>
      <c r="H373" s="45">
        <v>0</v>
      </c>
      <c r="I373" s="50">
        <f t="shared" ref="I373:I374" si="147">G373*1.45+H373</f>
        <v>804.11385599999994</v>
      </c>
      <c r="J373" s="50"/>
      <c r="L373">
        <f t="shared" si="145"/>
        <v>53237.882880000005</v>
      </c>
    </row>
    <row r="374" spans="1:12" ht="15.5" x14ac:dyDescent="0.35">
      <c r="A374" s="45">
        <v>6</v>
      </c>
      <c r="B374" s="45" t="s">
        <v>210</v>
      </c>
      <c r="C374" s="45" t="s">
        <v>135</v>
      </c>
      <c r="D374" s="50">
        <f>36.28*10.764</f>
        <v>390.51792</v>
      </c>
      <c r="E374" s="50"/>
      <c r="F374" s="45">
        <f>(5.46+9.78)*10.764</f>
        <v>164.04335999999998</v>
      </c>
      <c r="G374" s="45">
        <f t="shared" si="146"/>
        <v>554.56128000000001</v>
      </c>
      <c r="H374" s="45">
        <v>0</v>
      </c>
      <c r="I374" s="50">
        <f t="shared" si="147"/>
        <v>804.11385599999994</v>
      </c>
      <c r="J374" s="50"/>
    </row>
    <row r="375" spans="1:12" ht="118.5" customHeight="1" x14ac:dyDescent="0.35">
      <c r="A375" s="170" t="s">
        <v>270</v>
      </c>
      <c r="B375" s="170"/>
      <c r="C375" s="170"/>
      <c r="D375" s="170"/>
      <c r="E375" s="170"/>
      <c r="F375" s="170"/>
      <c r="G375" s="170"/>
      <c r="H375" s="170"/>
      <c r="I375" s="170"/>
      <c r="J375" s="170"/>
      <c r="L375" t="s">
        <v>268</v>
      </c>
    </row>
    <row r="376" spans="1:12" x14ac:dyDescent="0.35">
      <c r="A376" s="171" t="s">
        <v>26</v>
      </c>
      <c r="B376" s="171"/>
      <c r="C376" s="171"/>
      <c r="D376" s="171"/>
      <c r="E376" s="171"/>
      <c r="F376" s="171"/>
      <c r="G376" s="171"/>
      <c r="H376" s="171"/>
      <c r="I376" s="171"/>
      <c r="J376" s="171"/>
    </row>
    <row r="377" spans="1:12" x14ac:dyDescent="0.35">
      <c r="A377" s="65" t="s">
        <v>32</v>
      </c>
      <c r="B377" s="66"/>
      <c r="C377" s="66"/>
      <c r="D377" s="66"/>
      <c r="E377" s="66"/>
      <c r="F377" s="66"/>
      <c r="G377" s="66"/>
      <c r="H377" s="66"/>
      <c r="I377" s="66"/>
      <c r="J377" s="67"/>
    </row>
    <row r="378" spans="1:12" x14ac:dyDescent="0.35">
      <c r="A378" s="167" t="s">
        <v>28</v>
      </c>
      <c r="B378" s="168"/>
      <c r="C378" s="168"/>
      <c r="D378" s="168"/>
      <c r="E378" s="168"/>
      <c r="F378" s="168"/>
      <c r="G378" s="168"/>
      <c r="H378" s="168"/>
      <c r="I378" s="168"/>
      <c r="J378" s="169"/>
    </row>
    <row r="379" spans="1:12" x14ac:dyDescent="0.35">
      <c r="A379" s="65" t="s">
        <v>37</v>
      </c>
      <c r="B379" s="77"/>
      <c r="C379" s="77"/>
      <c r="D379" s="77"/>
      <c r="E379" s="77"/>
      <c r="F379" s="77"/>
      <c r="G379" s="77"/>
      <c r="H379" s="77"/>
      <c r="I379" s="77"/>
      <c r="J379" s="78"/>
    </row>
    <row r="380" spans="1:12" ht="16.5" customHeight="1" x14ac:dyDescent="0.35">
      <c r="A380" s="108" t="s">
        <v>54</v>
      </c>
      <c r="B380" s="109"/>
      <c r="C380" s="109"/>
      <c r="D380" s="109"/>
      <c r="E380" s="109"/>
      <c r="F380" s="109"/>
      <c r="G380" s="109"/>
      <c r="H380" s="109"/>
      <c r="I380" s="109"/>
      <c r="J380" s="110"/>
    </row>
    <row r="381" spans="1:12" x14ac:dyDescent="0.35">
      <c r="A381" s="65" t="s">
        <v>38</v>
      </c>
      <c r="B381" s="77"/>
      <c r="C381" s="77"/>
      <c r="D381" s="77"/>
      <c r="E381" s="77"/>
      <c r="F381" s="77"/>
      <c r="G381" s="77"/>
      <c r="H381" s="77"/>
      <c r="I381" s="77"/>
      <c r="J381" s="78"/>
    </row>
    <row r="382" spans="1:12" x14ac:dyDescent="0.35">
      <c r="A382" s="65" t="s">
        <v>39</v>
      </c>
      <c r="B382" s="77"/>
      <c r="C382" s="77"/>
      <c r="D382" s="77"/>
      <c r="E382" s="77"/>
      <c r="F382" s="77"/>
      <c r="G382" s="77"/>
      <c r="H382" s="77"/>
      <c r="I382" s="77"/>
      <c r="J382" s="78"/>
    </row>
    <row r="383" spans="1:12" ht="30.75" customHeight="1" x14ac:dyDescent="0.35">
      <c r="A383" s="117" t="s">
        <v>40</v>
      </c>
      <c r="B383" s="118"/>
      <c r="C383" s="118"/>
      <c r="D383" s="118"/>
      <c r="E383" s="118"/>
      <c r="F383" s="118"/>
      <c r="G383" s="118"/>
      <c r="H383" s="118"/>
      <c r="I383" s="118"/>
      <c r="J383" s="119"/>
    </row>
    <row r="384" spans="1:12" ht="15" customHeight="1" x14ac:dyDescent="0.35">
      <c r="A384" s="150" t="s">
        <v>27</v>
      </c>
      <c r="B384" s="151"/>
      <c r="C384" s="151"/>
      <c r="D384" s="151"/>
      <c r="E384" s="151"/>
      <c r="F384" s="151"/>
      <c r="G384" s="151"/>
      <c r="H384" s="151"/>
      <c r="I384" s="151"/>
      <c r="J384" s="152"/>
    </row>
    <row r="385" spans="1:10" x14ac:dyDescent="0.35">
      <c r="A385" s="153"/>
      <c r="B385" s="154"/>
      <c r="C385" s="154"/>
      <c r="D385" s="154"/>
      <c r="E385" s="154"/>
      <c r="F385" s="154"/>
      <c r="G385" s="154"/>
      <c r="H385" s="154"/>
      <c r="I385" s="154"/>
      <c r="J385" s="155"/>
    </row>
    <row r="386" spans="1:10" x14ac:dyDescent="0.35">
      <c r="A386" s="153"/>
      <c r="B386" s="154"/>
      <c r="C386" s="154"/>
      <c r="D386" s="154"/>
      <c r="E386" s="154"/>
      <c r="F386" s="154"/>
      <c r="G386" s="154"/>
      <c r="H386" s="154"/>
      <c r="I386" s="154"/>
      <c r="J386" s="155"/>
    </row>
    <row r="387" spans="1:10" x14ac:dyDescent="0.35">
      <c r="A387" s="156"/>
      <c r="B387" s="157"/>
      <c r="C387" s="157"/>
      <c r="D387" s="157"/>
      <c r="E387" s="157"/>
      <c r="F387" s="157"/>
      <c r="G387" s="157"/>
      <c r="H387" s="157"/>
      <c r="I387" s="157"/>
      <c r="J387" s="158"/>
    </row>
    <row r="388" spans="1:10" x14ac:dyDescent="0.35">
      <c r="A388" s="38" t="s">
        <v>158</v>
      </c>
      <c r="B388" s="38"/>
      <c r="C388" s="38"/>
      <c r="D388" s="38" t="str">
        <f>F8</f>
        <v>The Cennet</v>
      </c>
      <c r="E388" s="38"/>
      <c r="F388" s="17"/>
    </row>
    <row r="423" spans="1:10" ht="15" customHeight="1" x14ac:dyDescent="0.35">
      <c r="A423" s="15"/>
      <c r="B423" s="14"/>
      <c r="C423" s="14"/>
      <c r="D423" s="14"/>
      <c r="E423" s="14"/>
      <c r="F423" s="14"/>
      <c r="G423" s="14"/>
      <c r="H423" s="14"/>
      <c r="I423" s="14"/>
      <c r="J423" s="14"/>
    </row>
    <row r="424" spans="1:10" x14ac:dyDescent="0.35">
      <c r="A424" s="15"/>
      <c r="B424" s="14"/>
      <c r="C424" s="14"/>
      <c r="D424" s="14"/>
      <c r="E424" s="14"/>
      <c r="F424" s="14"/>
      <c r="G424" s="14"/>
      <c r="H424" s="14"/>
      <c r="I424" s="14"/>
      <c r="J424" s="14"/>
    </row>
    <row r="425" spans="1:10" x14ac:dyDescent="0.35">
      <c r="A425" s="14"/>
      <c r="B425" s="14"/>
      <c r="C425" s="14"/>
      <c r="D425" s="14"/>
      <c r="E425" s="14"/>
      <c r="F425" s="14"/>
      <c r="G425" s="14"/>
      <c r="H425" s="14"/>
      <c r="I425" s="14"/>
      <c r="J425" s="14"/>
    </row>
    <row r="426" spans="1:10" x14ac:dyDescent="0.35">
      <c r="A426" s="14"/>
      <c r="B426" s="14"/>
      <c r="C426" s="14"/>
      <c r="D426" s="14"/>
      <c r="E426" s="14"/>
      <c r="F426" s="14"/>
      <c r="G426" s="14"/>
      <c r="H426" s="14"/>
      <c r="I426" s="14"/>
      <c r="J426" s="14"/>
    </row>
    <row r="434" spans="1:2" x14ac:dyDescent="0.35">
      <c r="A434" s="17" t="s">
        <v>159</v>
      </c>
      <c r="B434" s="17"/>
    </row>
  </sheetData>
  <mergeCells count="698">
    <mergeCell ref="A42:E42"/>
    <mergeCell ref="A34:J34"/>
    <mergeCell ref="A29:B29"/>
    <mergeCell ref="I131:J131"/>
    <mergeCell ref="D126:E126"/>
    <mergeCell ref="D128:E128"/>
    <mergeCell ref="I124:J124"/>
    <mergeCell ref="I125:J125"/>
    <mergeCell ref="I126:J126"/>
    <mergeCell ref="I127:J127"/>
    <mergeCell ref="I128:J128"/>
    <mergeCell ref="G107:J107"/>
    <mergeCell ref="G112:J112"/>
    <mergeCell ref="D108:F108"/>
    <mergeCell ref="G108:J108"/>
    <mergeCell ref="A123:J123"/>
    <mergeCell ref="D110:F110"/>
    <mergeCell ref="G110:J110"/>
    <mergeCell ref="D115:F115"/>
    <mergeCell ref="I132:J132"/>
    <mergeCell ref="I133:J133"/>
    <mergeCell ref="I134:J134"/>
    <mergeCell ref="I135:J135"/>
    <mergeCell ref="A270:J270"/>
    <mergeCell ref="D264:E264"/>
    <mergeCell ref="C33:J33"/>
    <mergeCell ref="A109:J109"/>
    <mergeCell ref="A110:B110"/>
    <mergeCell ref="D111:F111"/>
    <mergeCell ref="G111:J111"/>
    <mergeCell ref="D113:F113"/>
    <mergeCell ref="G113:J113"/>
    <mergeCell ref="A105:B105"/>
    <mergeCell ref="D105:F105"/>
    <mergeCell ref="G105:J105"/>
    <mergeCell ref="A99:F99"/>
    <mergeCell ref="G101:J101"/>
    <mergeCell ref="G98:J98"/>
    <mergeCell ref="A98:F98"/>
    <mergeCell ref="A47:B47"/>
    <mergeCell ref="C47:F47"/>
    <mergeCell ref="H47:J47"/>
    <mergeCell ref="D125:E125"/>
    <mergeCell ref="G115:J115"/>
    <mergeCell ref="A120:J120"/>
    <mergeCell ref="A121:J121"/>
    <mergeCell ref="D118:E118"/>
    <mergeCell ref="I129:J129"/>
    <mergeCell ref="D127:E127"/>
    <mergeCell ref="A298:J298"/>
    <mergeCell ref="D299:E299"/>
    <mergeCell ref="D300:E300"/>
    <mergeCell ref="D289:E289"/>
    <mergeCell ref="D290:E290"/>
    <mergeCell ref="D279:E279"/>
    <mergeCell ref="D280:E280"/>
    <mergeCell ref="D282:E282"/>
    <mergeCell ref="D283:E283"/>
    <mergeCell ref="C281:J281"/>
    <mergeCell ref="I282:J282"/>
    <mergeCell ref="I283:J283"/>
    <mergeCell ref="I285:J285"/>
    <mergeCell ref="I286:J286"/>
    <mergeCell ref="I287:J287"/>
    <mergeCell ref="I288:J288"/>
    <mergeCell ref="I289:J289"/>
    <mergeCell ref="I290:J290"/>
    <mergeCell ref="D301:E301"/>
    <mergeCell ref="D303:E303"/>
    <mergeCell ref="D304:E304"/>
    <mergeCell ref="A291:J291"/>
    <mergeCell ref="D292:E292"/>
    <mergeCell ref="D293:E293"/>
    <mergeCell ref="D294:E294"/>
    <mergeCell ref="D295:E295"/>
    <mergeCell ref="D296:E296"/>
    <mergeCell ref="D297:E297"/>
    <mergeCell ref="I292:J292"/>
    <mergeCell ref="I293:J293"/>
    <mergeCell ref="I294:J294"/>
    <mergeCell ref="I295:J295"/>
    <mergeCell ref="I296:J296"/>
    <mergeCell ref="I297:J297"/>
    <mergeCell ref="I299:J299"/>
    <mergeCell ref="I300:J300"/>
    <mergeCell ref="I301:J301"/>
    <mergeCell ref="C302:J302"/>
    <mergeCell ref="I303:J303"/>
    <mergeCell ref="I304:J304"/>
    <mergeCell ref="D269:E269"/>
    <mergeCell ref="A158:J158"/>
    <mergeCell ref="D159:E159"/>
    <mergeCell ref="A284:J284"/>
    <mergeCell ref="D285:E285"/>
    <mergeCell ref="D286:E286"/>
    <mergeCell ref="D287:E287"/>
    <mergeCell ref="D288:E288"/>
    <mergeCell ref="D274:E274"/>
    <mergeCell ref="D275:E275"/>
    <mergeCell ref="D268:E268"/>
    <mergeCell ref="D266:E266"/>
    <mergeCell ref="A263:J263"/>
    <mergeCell ref="D265:E265"/>
    <mergeCell ref="D233:E233"/>
    <mergeCell ref="D234:E234"/>
    <mergeCell ref="D230:E230"/>
    <mergeCell ref="D231:E231"/>
    <mergeCell ref="D255:E255"/>
    <mergeCell ref="D256:E256"/>
    <mergeCell ref="D257:E257"/>
    <mergeCell ref="D258:E258"/>
    <mergeCell ref="D259:E259"/>
    <mergeCell ref="D253:E253"/>
    <mergeCell ref="D132:E132"/>
    <mergeCell ref="D133:E133"/>
    <mergeCell ref="D235:E235"/>
    <mergeCell ref="D236:E236"/>
    <mergeCell ref="D154:E154"/>
    <mergeCell ref="D272:E272"/>
    <mergeCell ref="D273:E273"/>
    <mergeCell ref="D134:E134"/>
    <mergeCell ref="D271:E271"/>
    <mergeCell ref="A262:J262"/>
    <mergeCell ref="D267:E267"/>
    <mergeCell ref="D249:E249"/>
    <mergeCell ref="D250:E250"/>
    <mergeCell ref="D248:E248"/>
    <mergeCell ref="D142:E142"/>
    <mergeCell ref="D143:E143"/>
    <mergeCell ref="A137:J137"/>
    <mergeCell ref="D138:E138"/>
    <mergeCell ref="A144:J144"/>
    <mergeCell ref="D145:E145"/>
    <mergeCell ref="D146:E146"/>
    <mergeCell ref="D147:E147"/>
    <mergeCell ref="D139:E139"/>
    <mergeCell ref="D140:E140"/>
    <mergeCell ref="A7:E7"/>
    <mergeCell ref="F7:J7"/>
    <mergeCell ref="C27:D27"/>
    <mergeCell ref="E27:F27"/>
    <mergeCell ref="A17:B17"/>
    <mergeCell ref="C15:E15"/>
    <mergeCell ref="C16:E16"/>
    <mergeCell ref="C17:E17"/>
    <mergeCell ref="F17:G17"/>
    <mergeCell ref="F18:G18"/>
    <mergeCell ref="A24:E24"/>
    <mergeCell ref="F19:J20"/>
    <mergeCell ref="F15:G15"/>
    <mergeCell ref="H15:J15"/>
    <mergeCell ref="A9:E9"/>
    <mergeCell ref="F9:J9"/>
    <mergeCell ref="F10:J10"/>
    <mergeCell ref="C18:E18"/>
    <mergeCell ref="F24:J24"/>
    <mergeCell ref="I27:J27"/>
    <mergeCell ref="A12:E12"/>
    <mergeCell ref="A2:J2"/>
    <mergeCell ref="A3:E3"/>
    <mergeCell ref="F3:J3"/>
    <mergeCell ref="A4:E4"/>
    <mergeCell ref="F4:J4"/>
    <mergeCell ref="A6:E6"/>
    <mergeCell ref="F6:J6"/>
    <mergeCell ref="A5:E5"/>
    <mergeCell ref="F5:J5"/>
    <mergeCell ref="F26:J26"/>
    <mergeCell ref="C28:D28"/>
    <mergeCell ref="F23:J23"/>
    <mergeCell ref="A25:E25"/>
    <mergeCell ref="A26:E26"/>
    <mergeCell ref="F25:J25"/>
    <mergeCell ref="A23:E23"/>
    <mergeCell ref="A19:E20"/>
    <mergeCell ref="H18:J18"/>
    <mergeCell ref="A18:B18"/>
    <mergeCell ref="E28:F28"/>
    <mergeCell ref="G28:H28"/>
    <mergeCell ref="A28:B28"/>
    <mergeCell ref="A10:E10"/>
    <mergeCell ref="F8:J8"/>
    <mergeCell ref="H17:J17"/>
    <mergeCell ref="A15:B15"/>
    <mergeCell ref="A16:B16"/>
    <mergeCell ref="F16:G16"/>
    <mergeCell ref="H16:J16"/>
    <mergeCell ref="F12:J12"/>
    <mergeCell ref="A8:E8"/>
    <mergeCell ref="A13:E13"/>
    <mergeCell ref="F13:J13"/>
    <mergeCell ref="A93:F93"/>
    <mergeCell ref="G93:J93"/>
    <mergeCell ref="D81:E81"/>
    <mergeCell ref="A51:B51"/>
    <mergeCell ref="A65:B65"/>
    <mergeCell ref="D65:E65"/>
    <mergeCell ref="A45:B45"/>
    <mergeCell ref="F48:G48"/>
    <mergeCell ref="A46:B46"/>
    <mergeCell ref="C69:J69"/>
    <mergeCell ref="E70:F70"/>
    <mergeCell ref="I70:J70"/>
    <mergeCell ref="A71:B71"/>
    <mergeCell ref="C71:J71"/>
    <mergeCell ref="A49:J49"/>
    <mergeCell ref="C29:D29"/>
    <mergeCell ref="E29:F29"/>
    <mergeCell ref="A52:B52"/>
    <mergeCell ref="C52:J52"/>
    <mergeCell ref="D64:E64"/>
    <mergeCell ref="F58:G58"/>
    <mergeCell ref="A39:E39"/>
    <mergeCell ref="F39:J39"/>
    <mergeCell ref="F38:J38"/>
    <mergeCell ref="F37:J37"/>
    <mergeCell ref="D59:E59"/>
    <mergeCell ref="D63:E63"/>
    <mergeCell ref="A64:B64"/>
    <mergeCell ref="A30:J30"/>
    <mergeCell ref="A31:J31"/>
    <mergeCell ref="F40:J40"/>
    <mergeCell ref="A41:E41"/>
    <mergeCell ref="A38:E38"/>
    <mergeCell ref="A37:E37"/>
    <mergeCell ref="C32:J32"/>
    <mergeCell ref="A40:E40"/>
    <mergeCell ref="A32:B32"/>
    <mergeCell ref="I29:J29"/>
    <mergeCell ref="G29:H29"/>
    <mergeCell ref="D107:F107"/>
    <mergeCell ref="G92:J92"/>
    <mergeCell ref="A97:F97"/>
    <mergeCell ref="A54:J54"/>
    <mergeCell ref="G95:J95"/>
    <mergeCell ref="A50:C50"/>
    <mergeCell ref="D50:E50"/>
    <mergeCell ref="G97:J97"/>
    <mergeCell ref="G96:J96"/>
    <mergeCell ref="A95:F95"/>
    <mergeCell ref="A106:B106"/>
    <mergeCell ref="D106:F106"/>
    <mergeCell ref="G106:J106"/>
    <mergeCell ref="A94:F94"/>
    <mergeCell ref="G94:J94"/>
    <mergeCell ref="F50:G50"/>
    <mergeCell ref="D76:E76"/>
    <mergeCell ref="A77:B77"/>
    <mergeCell ref="D77:E77"/>
    <mergeCell ref="A78:B78"/>
    <mergeCell ref="D78:E78"/>
    <mergeCell ref="A66:B66"/>
    <mergeCell ref="D66:E66"/>
    <mergeCell ref="A67:B67"/>
    <mergeCell ref="A130:J130"/>
    <mergeCell ref="D131:E131"/>
    <mergeCell ref="A384:J387"/>
    <mergeCell ref="A103:F103"/>
    <mergeCell ref="G103:J103"/>
    <mergeCell ref="A116:J116"/>
    <mergeCell ref="A117:J117"/>
    <mergeCell ref="A380:J380"/>
    <mergeCell ref="A381:J381"/>
    <mergeCell ref="A382:J382"/>
    <mergeCell ref="A383:J383"/>
    <mergeCell ref="I118:J118"/>
    <mergeCell ref="D232:E232"/>
    <mergeCell ref="D135:E135"/>
    <mergeCell ref="D155:E155"/>
    <mergeCell ref="D152:E152"/>
    <mergeCell ref="D153:E153"/>
    <mergeCell ref="A377:J377"/>
    <mergeCell ref="A378:J378"/>
    <mergeCell ref="A375:J375"/>
    <mergeCell ref="A379:J379"/>
    <mergeCell ref="A376:J376"/>
    <mergeCell ref="D129:E129"/>
    <mergeCell ref="D136:E136"/>
    <mergeCell ref="A1:J1"/>
    <mergeCell ref="A53:E53"/>
    <mergeCell ref="F53:J53"/>
    <mergeCell ref="A11:E11"/>
    <mergeCell ref="F11:J11"/>
    <mergeCell ref="H44:J44"/>
    <mergeCell ref="H45:J45"/>
    <mergeCell ref="A43:J43"/>
    <mergeCell ref="D48:E48"/>
    <mergeCell ref="C45:F45"/>
    <mergeCell ref="C46:F46"/>
    <mergeCell ref="A48:C48"/>
    <mergeCell ref="H48:J48"/>
    <mergeCell ref="C44:F44"/>
    <mergeCell ref="A14:B14"/>
    <mergeCell ref="C14:J14"/>
    <mergeCell ref="A44:B44"/>
    <mergeCell ref="F42:J42"/>
    <mergeCell ref="F41:J41"/>
    <mergeCell ref="G27:H27"/>
    <mergeCell ref="A21:E22"/>
    <mergeCell ref="F21:J22"/>
    <mergeCell ref="A35:J36"/>
    <mergeCell ref="A33:B33"/>
    <mergeCell ref="I28:J28"/>
    <mergeCell ref="A27:B27"/>
    <mergeCell ref="A96:F96"/>
    <mergeCell ref="F72:G72"/>
    <mergeCell ref="A75:B75"/>
    <mergeCell ref="D75:E75"/>
    <mergeCell ref="A76:B76"/>
    <mergeCell ref="A83:J83"/>
    <mergeCell ref="A84:J90"/>
    <mergeCell ref="A91:J91"/>
    <mergeCell ref="A74:B74"/>
    <mergeCell ref="D74:E74"/>
    <mergeCell ref="A81:B81"/>
    <mergeCell ref="A82:B82"/>
    <mergeCell ref="D82:E82"/>
    <mergeCell ref="A79:B79"/>
    <mergeCell ref="D79:E79"/>
    <mergeCell ref="A80:B80"/>
    <mergeCell ref="H72:J72"/>
    <mergeCell ref="D80:E80"/>
    <mergeCell ref="D68:E68"/>
    <mergeCell ref="H50:J50"/>
    <mergeCell ref="H46:J46"/>
    <mergeCell ref="C51:J51"/>
    <mergeCell ref="D156:E156"/>
    <mergeCell ref="D157:E157"/>
    <mergeCell ref="D241:E241"/>
    <mergeCell ref="D252:E252"/>
    <mergeCell ref="A251:J251"/>
    <mergeCell ref="A229:J229"/>
    <mergeCell ref="D163:E163"/>
    <mergeCell ref="D164:E164"/>
    <mergeCell ref="D160:E160"/>
    <mergeCell ref="D161:E161"/>
    <mergeCell ref="A240:J240"/>
    <mergeCell ref="D237:E237"/>
    <mergeCell ref="D238:E238"/>
    <mergeCell ref="D239:E239"/>
    <mergeCell ref="D242:E242"/>
    <mergeCell ref="D246:E246"/>
    <mergeCell ref="D247:E247"/>
    <mergeCell ref="D243:E243"/>
    <mergeCell ref="D244:E244"/>
    <mergeCell ref="D245:E245"/>
    <mergeCell ref="I202:J202"/>
    <mergeCell ref="D203:E203"/>
    <mergeCell ref="I203:J203"/>
    <mergeCell ref="D204:E204"/>
    <mergeCell ref="A151:J151"/>
    <mergeCell ref="A55:B55"/>
    <mergeCell ref="C55:J55"/>
    <mergeCell ref="E56:F56"/>
    <mergeCell ref="I56:J56"/>
    <mergeCell ref="A57:B57"/>
    <mergeCell ref="C57:J57"/>
    <mergeCell ref="A58:B58"/>
    <mergeCell ref="D58:E58"/>
    <mergeCell ref="H58:J58"/>
    <mergeCell ref="H59:J68"/>
    <mergeCell ref="A60:B60"/>
    <mergeCell ref="D60:E60"/>
    <mergeCell ref="A61:B61"/>
    <mergeCell ref="D61:E61"/>
    <mergeCell ref="A62:B62"/>
    <mergeCell ref="D62:E62"/>
    <mergeCell ref="A63:B63"/>
    <mergeCell ref="F59:G68"/>
    <mergeCell ref="A73:B73"/>
    <mergeCell ref="A59:B59"/>
    <mergeCell ref="D67:E67"/>
    <mergeCell ref="A68:B68"/>
    <mergeCell ref="A69:B69"/>
    <mergeCell ref="D254:E254"/>
    <mergeCell ref="I254:J254"/>
    <mergeCell ref="D195:E195"/>
    <mergeCell ref="I195:J195"/>
    <mergeCell ref="D196:E196"/>
    <mergeCell ref="I196:J196"/>
    <mergeCell ref="D197:E197"/>
    <mergeCell ref="I197:J197"/>
    <mergeCell ref="D198:E198"/>
    <mergeCell ref="I198:J198"/>
    <mergeCell ref="D199:E199"/>
    <mergeCell ref="I199:J199"/>
    <mergeCell ref="A200:J200"/>
    <mergeCell ref="D201:E201"/>
    <mergeCell ref="I201:J201"/>
    <mergeCell ref="D202:E202"/>
    <mergeCell ref="I204:J204"/>
    <mergeCell ref="D205:E205"/>
    <mergeCell ref="I205:J205"/>
    <mergeCell ref="D206:E206"/>
    <mergeCell ref="I206:J206"/>
    <mergeCell ref="A207:J207"/>
    <mergeCell ref="D208:E208"/>
    <mergeCell ref="D211:E211"/>
    <mergeCell ref="D260:E260"/>
    <mergeCell ref="D261:E261"/>
    <mergeCell ref="I136:J136"/>
    <mergeCell ref="I138:J138"/>
    <mergeCell ref="I139:J139"/>
    <mergeCell ref="I140:J140"/>
    <mergeCell ref="I142:J142"/>
    <mergeCell ref="I143:J143"/>
    <mergeCell ref="C141:J141"/>
    <mergeCell ref="I145:J145"/>
    <mergeCell ref="I146:J146"/>
    <mergeCell ref="I147:J147"/>
    <mergeCell ref="I148:J148"/>
    <mergeCell ref="I149:J149"/>
    <mergeCell ref="I150:J150"/>
    <mergeCell ref="I159:J159"/>
    <mergeCell ref="I160:J160"/>
    <mergeCell ref="I161:J161"/>
    <mergeCell ref="C162:J162"/>
    <mergeCell ref="D148:E148"/>
    <mergeCell ref="D149:E149"/>
    <mergeCell ref="D150:E150"/>
    <mergeCell ref="I252:J252"/>
    <mergeCell ref="I253:J253"/>
    <mergeCell ref="A119:J119"/>
    <mergeCell ref="A122:J122"/>
    <mergeCell ref="A115:B115"/>
    <mergeCell ref="D124:E124"/>
    <mergeCell ref="A72:B72"/>
    <mergeCell ref="D72:E72"/>
    <mergeCell ref="A92:F92"/>
    <mergeCell ref="D114:F114"/>
    <mergeCell ref="G114:J114"/>
    <mergeCell ref="D112:F112"/>
    <mergeCell ref="A111:A112"/>
    <mergeCell ref="A113:A114"/>
    <mergeCell ref="G99:J99"/>
    <mergeCell ref="A104:J104"/>
    <mergeCell ref="A102:F102"/>
    <mergeCell ref="G102:J102"/>
    <mergeCell ref="A100:F100"/>
    <mergeCell ref="G100:J100"/>
    <mergeCell ref="A101:F101"/>
    <mergeCell ref="A108:B108"/>
    <mergeCell ref="A107:B107"/>
    <mergeCell ref="D73:E73"/>
    <mergeCell ref="F73:G82"/>
    <mergeCell ref="H73:J82"/>
    <mergeCell ref="I264:J264"/>
    <mergeCell ref="I265:J265"/>
    <mergeCell ref="I266:J266"/>
    <mergeCell ref="I267:J267"/>
    <mergeCell ref="I268:J268"/>
    <mergeCell ref="I269:J269"/>
    <mergeCell ref="I230:J230"/>
    <mergeCell ref="I231:J231"/>
    <mergeCell ref="I232:J232"/>
    <mergeCell ref="I233:J233"/>
    <mergeCell ref="I234:J234"/>
    <mergeCell ref="I235:J235"/>
    <mergeCell ref="I236:J236"/>
    <mergeCell ref="I237:J237"/>
    <mergeCell ref="I238:J238"/>
    <mergeCell ref="I239:J239"/>
    <mergeCell ref="I241:J241"/>
    <mergeCell ref="I242:J242"/>
    <mergeCell ref="I243:J243"/>
    <mergeCell ref="I244:J244"/>
    <mergeCell ref="I245:J245"/>
    <mergeCell ref="I246:J246"/>
    <mergeCell ref="I249:J249"/>
    <mergeCell ref="I250:J250"/>
    <mergeCell ref="I255:J255"/>
    <mergeCell ref="I256:J256"/>
    <mergeCell ref="I163:J163"/>
    <mergeCell ref="I164:J164"/>
    <mergeCell ref="A228:J228"/>
    <mergeCell ref="I257:J257"/>
    <mergeCell ref="I258:J258"/>
    <mergeCell ref="I259:J259"/>
    <mergeCell ref="I260:J260"/>
    <mergeCell ref="D180:E180"/>
    <mergeCell ref="I180:J180"/>
    <mergeCell ref="D181:E181"/>
    <mergeCell ref="I181:J181"/>
    <mergeCell ref="D182:E182"/>
    <mergeCell ref="I182:J182"/>
    <mergeCell ref="D184:E184"/>
    <mergeCell ref="I184:J184"/>
    <mergeCell ref="D185:E185"/>
    <mergeCell ref="I185:J185"/>
    <mergeCell ref="C183:J183"/>
    <mergeCell ref="C190:J190"/>
    <mergeCell ref="A193:J193"/>
    <mergeCell ref="D194:E194"/>
    <mergeCell ref="I194:J194"/>
    <mergeCell ref="I261:J261"/>
    <mergeCell ref="I152:J152"/>
    <mergeCell ref="I153:J153"/>
    <mergeCell ref="I154:J154"/>
    <mergeCell ref="I155:J155"/>
    <mergeCell ref="I156:J156"/>
    <mergeCell ref="I157:J157"/>
    <mergeCell ref="A186:J186"/>
    <mergeCell ref="D187:E187"/>
    <mergeCell ref="I187:J187"/>
    <mergeCell ref="D188:E188"/>
    <mergeCell ref="I188:J188"/>
    <mergeCell ref="D189:E189"/>
    <mergeCell ref="I189:J189"/>
    <mergeCell ref="D191:E191"/>
    <mergeCell ref="I191:J191"/>
    <mergeCell ref="D192:E192"/>
    <mergeCell ref="I192:J192"/>
    <mergeCell ref="I247:J247"/>
    <mergeCell ref="I248:J248"/>
    <mergeCell ref="I177:J177"/>
    <mergeCell ref="D178:E178"/>
    <mergeCell ref="I178:J178"/>
    <mergeCell ref="A179:J179"/>
    <mergeCell ref="I271:J271"/>
    <mergeCell ref="I272:J272"/>
    <mergeCell ref="I273:J273"/>
    <mergeCell ref="I274:J274"/>
    <mergeCell ref="I275:J275"/>
    <mergeCell ref="I276:J276"/>
    <mergeCell ref="I278:J278"/>
    <mergeCell ref="I279:J279"/>
    <mergeCell ref="I280:J280"/>
    <mergeCell ref="A277:J277"/>
    <mergeCell ref="D278:E278"/>
    <mergeCell ref="D276:E276"/>
    <mergeCell ref="A165:J165"/>
    <mergeCell ref="D166:E166"/>
    <mergeCell ref="I166:J166"/>
    <mergeCell ref="D167:E167"/>
    <mergeCell ref="I167:J167"/>
    <mergeCell ref="D168:E168"/>
    <mergeCell ref="I168:J168"/>
    <mergeCell ref="D169:E169"/>
    <mergeCell ref="I169:J169"/>
    <mergeCell ref="D170:E170"/>
    <mergeCell ref="I170:J170"/>
    <mergeCell ref="D171:E171"/>
    <mergeCell ref="I171:J171"/>
    <mergeCell ref="A172:J172"/>
    <mergeCell ref="D173:E173"/>
    <mergeCell ref="I173:J173"/>
    <mergeCell ref="D174:E174"/>
    <mergeCell ref="I174:J174"/>
    <mergeCell ref="D175:E175"/>
    <mergeCell ref="I175:J175"/>
    <mergeCell ref="D176:E176"/>
    <mergeCell ref="I176:J176"/>
    <mergeCell ref="D177:E177"/>
    <mergeCell ref="I208:J208"/>
    <mergeCell ref="D209:E209"/>
    <mergeCell ref="I209:J209"/>
    <mergeCell ref="D210:E210"/>
    <mergeCell ref="I210:J210"/>
    <mergeCell ref="I211:J211"/>
    <mergeCell ref="D212:E212"/>
    <mergeCell ref="I212:J212"/>
    <mergeCell ref="D213:E213"/>
    <mergeCell ref="I213:J213"/>
    <mergeCell ref="A214:J214"/>
    <mergeCell ref="D215:E215"/>
    <mergeCell ref="I215:J215"/>
    <mergeCell ref="D216:E216"/>
    <mergeCell ref="I216:J216"/>
    <mergeCell ref="D217:E217"/>
    <mergeCell ref="I217:J217"/>
    <mergeCell ref="D223:E223"/>
    <mergeCell ref="I223:J223"/>
    <mergeCell ref="D226:E226"/>
    <mergeCell ref="I226:J226"/>
    <mergeCell ref="D227:E227"/>
    <mergeCell ref="I227:J227"/>
    <mergeCell ref="C224:J224"/>
    <mergeCell ref="C225:J225"/>
    <mergeCell ref="D218:E218"/>
    <mergeCell ref="I218:J218"/>
    <mergeCell ref="D219:E219"/>
    <mergeCell ref="I219:J219"/>
    <mergeCell ref="D220:E220"/>
    <mergeCell ref="I220:J220"/>
    <mergeCell ref="A221:J221"/>
    <mergeCell ref="D222:E222"/>
    <mergeCell ref="I222:J222"/>
    <mergeCell ref="A305:J305"/>
    <mergeCell ref="D306:E306"/>
    <mergeCell ref="I306:J306"/>
    <mergeCell ref="D307:E307"/>
    <mergeCell ref="I307:J307"/>
    <mergeCell ref="D308:E308"/>
    <mergeCell ref="I308:J308"/>
    <mergeCell ref="D309:E309"/>
    <mergeCell ref="I309:J309"/>
    <mergeCell ref="D310:E310"/>
    <mergeCell ref="I310:J310"/>
    <mergeCell ref="D311:E311"/>
    <mergeCell ref="I311:J311"/>
    <mergeCell ref="A312:J312"/>
    <mergeCell ref="D313:E313"/>
    <mergeCell ref="I313:J313"/>
    <mergeCell ref="D314:E314"/>
    <mergeCell ref="I314:J314"/>
    <mergeCell ref="D315:E315"/>
    <mergeCell ref="I315:J315"/>
    <mergeCell ref="D316:E316"/>
    <mergeCell ref="I316:J316"/>
    <mergeCell ref="D317:E317"/>
    <mergeCell ref="I317:J317"/>
    <mergeCell ref="D318:E318"/>
    <mergeCell ref="I318:J318"/>
    <mergeCell ref="A319:J319"/>
    <mergeCell ref="D320:E320"/>
    <mergeCell ref="I320:J320"/>
    <mergeCell ref="D321:E321"/>
    <mergeCell ref="I321:J321"/>
    <mergeCell ref="D322:E322"/>
    <mergeCell ref="I322:J322"/>
    <mergeCell ref="D323:E323"/>
    <mergeCell ref="I323:J323"/>
    <mergeCell ref="D324:E324"/>
    <mergeCell ref="I324:J324"/>
    <mergeCell ref="D325:E325"/>
    <mergeCell ref="I325:J325"/>
    <mergeCell ref="A326:J326"/>
    <mergeCell ref="D327:E327"/>
    <mergeCell ref="I327:J327"/>
    <mergeCell ref="D328:E328"/>
    <mergeCell ref="I328:J328"/>
    <mergeCell ref="D329:E329"/>
    <mergeCell ref="I329:J329"/>
    <mergeCell ref="D336:E336"/>
    <mergeCell ref="I336:J336"/>
    <mergeCell ref="C337:J337"/>
    <mergeCell ref="D338:E338"/>
    <mergeCell ref="I338:J338"/>
    <mergeCell ref="D339:E339"/>
    <mergeCell ref="I339:J339"/>
    <mergeCell ref="A340:J340"/>
    <mergeCell ref="C330:J330"/>
    <mergeCell ref="D331:E331"/>
    <mergeCell ref="I331:J331"/>
    <mergeCell ref="D332:E332"/>
    <mergeCell ref="I332:J332"/>
    <mergeCell ref="A333:J333"/>
    <mergeCell ref="D334:E334"/>
    <mergeCell ref="I334:J334"/>
    <mergeCell ref="D335:E335"/>
    <mergeCell ref="I335:J335"/>
    <mergeCell ref="A347:J347"/>
    <mergeCell ref="D350:E350"/>
    <mergeCell ref="I350:J350"/>
    <mergeCell ref="D351:E351"/>
    <mergeCell ref="I351:J351"/>
    <mergeCell ref="D343:E343"/>
    <mergeCell ref="I343:J343"/>
    <mergeCell ref="D344:E344"/>
    <mergeCell ref="I344:J344"/>
    <mergeCell ref="D345:E345"/>
    <mergeCell ref="I345:J345"/>
    <mergeCell ref="D346:E346"/>
    <mergeCell ref="I346:J346"/>
    <mergeCell ref="D359:E359"/>
    <mergeCell ref="I359:J359"/>
    <mergeCell ref="D360:E360"/>
    <mergeCell ref="I360:J360"/>
    <mergeCell ref="A361:J361"/>
    <mergeCell ref="D352:E352"/>
    <mergeCell ref="I352:J352"/>
    <mergeCell ref="D353:E353"/>
    <mergeCell ref="I353:J353"/>
    <mergeCell ref="A354:J354"/>
    <mergeCell ref="D373:E373"/>
    <mergeCell ref="I373:J373"/>
    <mergeCell ref="D374:E374"/>
    <mergeCell ref="I374:J374"/>
    <mergeCell ref="C341:J342"/>
    <mergeCell ref="C348:J349"/>
    <mergeCell ref="C355:J356"/>
    <mergeCell ref="C362:J363"/>
    <mergeCell ref="C369:J370"/>
    <mergeCell ref="D367:E367"/>
    <mergeCell ref="I367:J367"/>
    <mergeCell ref="A368:J368"/>
    <mergeCell ref="C371:J371"/>
    <mergeCell ref="C372:J372"/>
    <mergeCell ref="D364:E364"/>
    <mergeCell ref="I364:J364"/>
    <mergeCell ref="D365:E365"/>
    <mergeCell ref="I365:J365"/>
    <mergeCell ref="D366:E366"/>
    <mergeCell ref="I366:J366"/>
    <mergeCell ref="D357:E357"/>
    <mergeCell ref="I357:J357"/>
    <mergeCell ref="D358:E358"/>
    <mergeCell ref="I358:J358"/>
  </mergeCells>
  <phoneticPr fontId="0" type="noConversion"/>
  <hyperlinks>
    <hyperlink ref="C33" r:id="rId1"/>
  </hyperlinks>
  <pageMargins left="0.39370078740157483" right="0.39370078740157483" top="0.78740157480314965" bottom="0.78740157480314965" header="0.31496062992125984" footer="0.31496062992125984"/>
  <pageSetup scale="97" fitToHeight="0" orientation="portrait" r:id="rId2"/>
  <headerFooter>
    <oddHeader>&amp;C&amp;G</oddHeader>
    <oddFooter>&amp;L&amp;"Times New Roman,Bold"Ref No: &amp;F&amp;C&amp;G&amp;R&amp;P</oddFooter>
  </headerFooter>
  <rowBreaks count="3" manualBreakCount="3">
    <brk id="68" max="16383" man="1"/>
    <brk id="387" max="16383" man="1"/>
    <brk id="43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8" sqref="C18"/>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109</v>
      </c>
      <c r="B2" s="10" t="s">
        <v>129</v>
      </c>
      <c r="C2" s="10">
        <v>7</v>
      </c>
    </row>
    <row r="3" spans="1:15" x14ac:dyDescent="0.35">
      <c r="B3" t="s">
        <v>110</v>
      </c>
      <c r="C3" t="s">
        <v>111</v>
      </c>
    </row>
    <row r="4" spans="1:15" x14ac:dyDescent="0.35">
      <c r="A4" t="s">
        <v>112</v>
      </c>
      <c r="B4" s="4">
        <v>10</v>
      </c>
      <c r="C4" s="4">
        <v>10</v>
      </c>
      <c r="E4">
        <f>(100/B4)*C4</f>
        <v>100</v>
      </c>
    </row>
    <row r="5" spans="1:15" x14ac:dyDescent="0.35">
      <c r="A5" t="s">
        <v>113</v>
      </c>
      <c r="B5" t="s">
        <v>114</v>
      </c>
      <c r="C5" t="s">
        <v>115</v>
      </c>
      <c r="E5">
        <f>(100/B6)*C6</f>
        <v>0</v>
      </c>
      <c r="I5" s="4" t="s">
        <v>116</v>
      </c>
      <c r="J5" s="4" t="s">
        <v>117</v>
      </c>
      <c r="K5" s="4" t="s">
        <v>118</v>
      </c>
      <c r="L5" s="4" t="s">
        <v>36</v>
      </c>
      <c r="M5" s="4" t="s">
        <v>42</v>
      </c>
      <c r="N5" s="4" t="s">
        <v>119</v>
      </c>
      <c r="O5" s="4" t="s">
        <v>43</v>
      </c>
    </row>
    <row r="6" spans="1:15" x14ac:dyDescent="0.35">
      <c r="B6" s="4">
        <f>C2+1</f>
        <v>8</v>
      </c>
      <c r="C6" s="4">
        <v>0</v>
      </c>
      <c r="E6">
        <f>(100/B8)*C8</f>
        <v>0</v>
      </c>
      <c r="F6" s="11" t="s">
        <v>120</v>
      </c>
      <c r="I6" s="11">
        <f>C4</f>
        <v>10</v>
      </c>
      <c r="J6" s="11">
        <f>40/B6*C6</f>
        <v>0</v>
      </c>
      <c r="K6" s="11">
        <f>15/B8*C8</f>
        <v>0</v>
      </c>
      <c r="L6" s="11">
        <f>10/B10*C10</f>
        <v>0</v>
      </c>
      <c r="M6" s="11">
        <f>10/B12*C12</f>
        <v>0</v>
      </c>
      <c r="N6" s="11">
        <f>5/B14*C14</f>
        <v>0</v>
      </c>
      <c r="O6" s="11">
        <f>5/B16*C16</f>
        <v>0</v>
      </c>
    </row>
    <row r="7" spans="1:15" x14ac:dyDescent="0.35">
      <c r="A7" t="s">
        <v>121</v>
      </c>
      <c r="B7" t="s">
        <v>122</v>
      </c>
      <c r="C7" t="s">
        <v>123</v>
      </c>
      <c r="E7">
        <f>(100/B10)*C10</f>
        <v>0</v>
      </c>
      <c r="F7" s="4" t="s">
        <v>124</v>
      </c>
      <c r="G7" s="4"/>
      <c r="H7" s="4"/>
      <c r="I7" s="4">
        <f>I6+20</f>
        <v>30</v>
      </c>
      <c r="J7" s="4">
        <f>30/B6*C6</f>
        <v>0</v>
      </c>
      <c r="K7" s="4">
        <f>15/B8*C8</f>
        <v>0</v>
      </c>
      <c r="L7" s="4">
        <f>10/B10*C10</f>
        <v>0</v>
      </c>
      <c r="M7" s="4">
        <f>5/B12*C12</f>
        <v>0</v>
      </c>
      <c r="N7" s="4">
        <f>5/B14*C14</f>
        <v>0</v>
      </c>
      <c r="O7" s="4">
        <f>5/B16*C16</f>
        <v>0</v>
      </c>
    </row>
    <row r="8" spans="1:15" x14ac:dyDescent="0.35">
      <c r="B8" s="4">
        <f>C2+1</f>
        <v>8</v>
      </c>
      <c r="C8" s="4">
        <v>0</v>
      </c>
      <c r="E8">
        <f>(100/B12)*C12</f>
        <v>0</v>
      </c>
    </row>
    <row r="9" spans="1:15" x14ac:dyDescent="0.35">
      <c r="A9" t="s">
        <v>125</v>
      </c>
      <c r="B9" t="s">
        <v>122</v>
      </c>
      <c r="C9" t="s">
        <v>123</v>
      </c>
      <c r="E9">
        <f>(100/B14)*C14</f>
        <v>0</v>
      </c>
    </row>
    <row r="10" spans="1:15" x14ac:dyDescent="0.35">
      <c r="B10" s="4">
        <f>C2+1</f>
        <v>8</v>
      </c>
      <c r="C10" s="4">
        <v>0</v>
      </c>
      <c r="E10">
        <f>(100/B16)*C16</f>
        <v>0</v>
      </c>
    </row>
    <row r="11" spans="1:15" x14ac:dyDescent="0.35">
      <c r="A11" t="s">
        <v>42</v>
      </c>
      <c r="B11" t="s">
        <v>122</v>
      </c>
      <c r="C11" t="s">
        <v>123</v>
      </c>
    </row>
    <row r="12" spans="1:15" x14ac:dyDescent="0.35">
      <c r="B12" s="4">
        <f>C2+1</f>
        <v>8</v>
      </c>
      <c r="C12" s="4">
        <v>0</v>
      </c>
      <c r="F12" s="4"/>
      <c r="G12" s="4" t="s">
        <v>120</v>
      </c>
      <c r="H12" s="4" t="s">
        <v>126</v>
      </c>
      <c r="L12" t="s">
        <v>127</v>
      </c>
    </row>
    <row r="13" spans="1:15" ht="31.5" customHeight="1" x14ac:dyDescent="0.35">
      <c r="A13" s="12" t="s">
        <v>119</v>
      </c>
      <c r="B13" t="s">
        <v>122</v>
      </c>
      <c r="C13" t="s">
        <v>123</v>
      </c>
      <c r="F13" s="4" t="s">
        <v>34</v>
      </c>
      <c r="G13" s="4">
        <f>I6</f>
        <v>10</v>
      </c>
      <c r="H13" s="4">
        <f>I7</f>
        <v>30</v>
      </c>
      <c r="L13" t="s">
        <v>127</v>
      </c>
    </row>
    <row r="14" spans="1:15" x14ac:dyDescent="0.35">
      <c r="B14" s="4">
        <f>C2+1</f>
        <v>8</v>
      </c>
      <c r="C14" s="4">
        <v>0</v>
      </c>
      <c r="F14" s="4" t="s">
        <v>35</v>
      </c>
      <c r="G14" s="4">
        <f>J6</f>
        <v>0</v>
      </c>
      <c r="H14" s="4">
        <f>J7</f>
        <v>0</v>
      </c>
    </row>
    <row r="15" spans="1:15" x14ac:dyDescent="0.35">
      <c r="A15" t="s">
        <v>43</v>
      </c>
      <c r="B15" t="s">
        <v>122</v>
      </c>
      <c r="C15" t="s">
        <v>123</v>
      </c>
      <c r="F15" s="4" t="s">
        <v>118</v>
      </c>
      <c r="G15" s="4">
        <f>K6</f>
        <v>0</v>
      </c>
      <c r="H15" s="4">
        <f>K7</f>
        <v>0</v>
      </c>
    </row>
    <row r="16" spans="1:15" x14ac:dyDescent="0.35">
      <c r="B16" s="4">
        <f>C2+1</f>
        <v>8</v>
      </c>
      <c r="C16" s="4">
        <v>0</v>
      </c>
      <c r="F16" s="4" t="s">
        <v>36</v>
      </c>
      <c r="G16" s="4">
        <f>L6</f>
        <v>0</v>
      </c>
      <c r="H16" s="4">
        <f>L7</f>
        <v>0</v>
      </c>
    </row>
    <row r="17" spans="6:8" x14ac:dyDescent="0.35">
      <c r="F17" s="4" t="s">
        <v>42</v>
      </c>
      <c r="G17" s="4">
        <f>M6</f>
        <v>0</v>
      </c>
      <c r="H17" s="4">
        <f>M7</f>
        <v>0</v>
      </c>
    </row>
    <row r="18" spans="6:8" ht="29.25" customHeight="1" x14ac:dyDescent="0.35">
      <c r="F18" s="13" t="s">
        <v>119</v>
      </c>
      <c r="G18" s="4">
        <f>N6</f>
        <v>0</v>
      </c>
      <c r="H18" s="4">
        <f>N7</f>
        <v>0</v>
      </c>
    </row>
    <row r="19" spans="6:8" x14ac:dyDescent="0.35">
      <c r="F19" s="4" t="s">
        <v>43</v>
      </c>
      <c r="G19" s="4">
        <f>O6</f>
        <v>0</v>
      </c>
      <c r="H19" s="4">
        <f>O7</f>
        <v>0</v>
      </c>
    </row>
    <row r="20" spans="6:8" x14ac:dyDescent="0.35">
      <c r="F20" s="4" t="s">
        <v>128</v>
      </c>
      <c r="G20" s="4">
        <f>G13+G14+G15+G16+G17+G18+G19</f>
        <v>10</v>
      </c>
      <c r="H20" s="4">
        <f>H13+H14+H15+H16+H17+H18+H19</f>
        <v>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E9" sqref="E9"/>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109</v>
      </c>
      <c r="B2" s="10" t="s">
        <v>129</v>
      </c>
      <c r="C2" s="10">
        <v>7</v>
      </c>
    </row>
    <row r="3" spans="1:15" x14ac:dyDescent="0.35">
      <c r="B3" t="s">
        <v>110</v>
      </c>
      <c r="C3" t="s">
        <v>111</v>
      </c>
    </row>
    <row r="4" spans="1:15" x14ac:dyDescent="0.35">
      <c r="A4" t="s">
        <v>112</v>
      </c>
      <c r="B4" s="4">
        <v>10</v>
      </c>
      <c r="C4" s="4">
        <v>10</v>
      </c>
      <c r="E4">
        <f>(100/B4)*C4</f>
        <v>100</v>
      </c>
    </row>
    <row r="5" spans="1:15" x14ac:dyDescent="0.35">
      <c r="A5" t="s">
        <v>113</v>
      </c>
      <c r="B5" t="s">
        <v>114</v>
      </c>
      <c r="C5" t="s">
        <v>115</v>
      </c>
      <c r="E5" s="16">
        <f>(100/B6)*C6</f>
        <v>37.5</v>
      </c>
      <c r="I5" s="4" t="s">
        <v>116</v>
      </c>
      <c r="J5" s="4" t="s">
        <v>117</v>
      </c>
      <c r="K5" s="4" t="s">
        <v>118</v>
      </c>
      <c r="L5" s="4" t="s">
        <v>36</v>
      </c>
      <c r="M5" s="4" t="s">
        <v>42</v>
      </c>
      <c r="N5" s="4" t="s">
        <v>119</v>
      </c>
      <c r="O5" s="4" t="s">
        <v>43</v>
      </c>
    </row>
    <row r="6" spans="1:15" x14ac:dyDescent="0.35">
      <c r="B6" s="4">
        <f>C2+1</f>
        <v>8</v>
      </c>
      <c r="C6" s="4">
        <v>3</v>
      </c>
      <c r="E6" s="16">
        <f>(100/B8)*C8</f>
        <v>12.5</v>
      </c>
      <c r="F6" s="11" t="s">
        <v>120</v>
      </c>
      <c r="I6" s="11">
        <f>C4</f>
        <v>10</v>
      </c>
      <c r="J6" s="11">
        <f>40/B6*C6</f>
        <v>15</v>
      </c>
      <c r="K6" s="11">
        <f>15/B8*C8</f>
        <v>1.875</v>
      </c>
      <c r="L6" s="11">
        <f>10/B10*C10</f>
        <v>0</v>
      </c>
      <c r="M6" s="11">
        <f>10/B12*C12</f>
        <v>0</v>
      </c>
      <c r="N6" s="11">
        <f>5/B14*C14</f>
        <v>0</v>
      </c>
      <c r="O6" s="11">
        <f>5/B16*C16</f>
        <v>0</v>
      </c>
    </row>
    <row r="7" spans="1:15" x14ac:dyDescent="0.35">
      <c r="A7" t="s">
        <v>121</v>
      </c>
      <c r="B7" t="s">
        <v>122</v>
      </c>
      <c r="C7" t="s">
        <v>123</v>
      </c>
      <c r="E7">
        <f>(100/B10)*C10</f>
        <v>0</v>
      </c>
      <c r="F7" s="4" t="s">
        <v>124</v>
      </c>
      <c r="G7" s="4"/>
      <c r="H7" s="4"/>
      <c r="I7" s="4">
        <f>I6+20</f>
        <v>30</v>
      </c>
      <c r="J7" s="4">
        <f>30/B6*C6</f>
        <v>11.25</v>
      </c>
      <c r="K7" s="4">
        <f>15/B8*C8</f>
        <v>1.875</v>
      </c>
      <c r="L7" s="4">
        <f>10/B10*C10</f>
        <v>0</v>
      </c>
      <c r="M7" s="4">
        <f>5/B12*C12</f>
        <v>0</v>
      </c>
      <c r="N7" s="4">
        <f>5/B14*C14</f>
        <v>0</v>
      </c>
      <c r="O7" s="4">
        <f>5/B16*C16</f>
        <v>0</v>
      </c>
    </row>
    <row r="8" spans="1:15" x14ac:dyDescent="0.35">
      <c r="B8" s="4">
        <f>C2+1</f>
        <v>8</v>
      </c>
      <c r="C8" s="4">
        <v>1</v>
      </c>
      <c r="E8">
        <f>(100/B12)*C12</f>
        <v>0</v>
      </c>
    </row>
    <row r="9" spans="1:15" x14ac:dyDescent="0.35">
      <c r="A9" t="s">
        <v>125</v>
      </c>
      <c r="B9" t="s">
        <v>122</v>
      </c>
      <c r="C9" t="s">
        <v>123</v>
      </c>
      <c r="E9">
        <f>(100/B14)*C14</f>
        <v>0</v>
      </c>
    </row>
    <row r="10" spans="1:15" x14ac:dyDescent="0.35">
      <c r="B10" s="4">
        <f>C2+1</f>
        <v>8</v>
      </c>
      <c r="C10" s="4">
        <v>0</v>
      </c>
      <c r="E10">
        <f>(100/B16)*C16</f>
        <v>0</v>
      </c>
    </row>
    <row r="11" spans="1:15" x14ac:dyDescent="0.35">
      <c r="A11" t="s">
        <v>42</v>
      </c>
      <c r="B11" t="s">
        <v>122</v>
      </c>
      <c r="C11" t="s">
        <v>123</v>
      </c>
    </row>
    <row r="12" spans="1:15" x14ac:dyDescent="0.35">
      <c r="B12" s="4">
        <f>C2+1</f>
        <v>8</v>
      </c>
      <c r="C12" s="4">
        <v>0</v>
      </c>
      <c r="F12" s="4"/>
      <c r="G12" s="4" t="s">
        <v>120</v>
      </c>
      <c r="H12" s="4" t="s">
        <v>126</v>
      </c>
      <c r="L12" t="s">
        <v>127</v>
      </c>
    </row>
    <row r="13" spans="1:15" ht="31.5" customHeight="1" x14ac:dyDescent="0.35">
      <c r="A13" s="12" t="s">
        <v>119</v>
      </c>
      <c r="B13" t="s">
        <v>122</v>
      </c>
      <c r="C13" t="s">
        <v>123</v>
      </c>
      <c r="F13" s="4" t="s">
        <v>34</v>
      </c>
      <c r="G13" s="4">
        <f>I6</f>
        <v>10</v>
      </c>
      <c r="H13" s="4">
        <f>I7</f>
        <v>30</v>
      </c>
      <c r="L13" t="s">
        <v>127</v>
      </c>
    </row>
    <row r="14" spans="1:15" x14ac:dyDescent="0.35">
      <c r="B14" s="4">
        <f>C2+1</f>
        <v>8</v>
      </c>
      <c r="C14" s="4">
        <v>0</v>
      </c>
      <c r="F14" s="4" t="s">
        <v>35</v>
      </c>
      <c r="G14" s="4">
        <f>J6</f>
        <v>15</v>
      </c>
      <c r="H14" s="4">
        <f>J7</f>
        <v>11.25</v>
      </c>
    </row>
    <row r="15" spans="1:15" x14ac:dyDescent="0.35">
      <c r="A15" t="s">
        <v>43</v>
      </c>
      <c r="B15" t="s">
        <v>122</v>
      </c>
      <c r="C15" t="s">
        <v>123</v>
      </c>
      <c r="F15" s="4" t="s">
        <v>118</v>
      </c>
      <c r="G15" s="4">
        <f>K6</f>
        <v>1.875</v>
      </c>
      <c r="H15" s="4">
        <f>K7</f>
        <v>1.875</v>
      </c>
    </row>
    <row r="16" spans="1:15" x14ac:dyDescent="0.35">
      <c r="B16" s="4">
        <f>C2+1</f>
        <v>8</v>
      </c>
      <c r="C16" s="4">
        <v>0</v>
      </c>
      <c r="F16" s="4" t="s">
        <v>36</v>
      </c>
      <c r="G16" s="4">
        <f>L6</f>
        <v>0</v>
      </c>
      <c r="H16" s="4">
        <f>L7</f>
        <v>0</v>
      </c>
    </row>
    <row r="17" spans="6:8" x14ac:dyDescent="0.35">
      <c r="F17" s="4" t="s">
        <v>42</v>
      </c>
      <c r="G17" s="4">
        <f>M6</f>
        <v>0</v>
      </c>
      <c r="H17" s="4">
        <f>M7</f>
        <v>0</v>
      </c>
    </row>
    <row r="18" spans="6:8" ht="29.25" customHeight="1" x14ac:dyDescent="0.35">
      <c r="F18" s="13" t="s">
        <v>119</v>
      </c>
      <c r="G18" s="4">
        <f>N6</f>
        <v>0</v>
      </c>
      <c r="H18" s="4">
        <f>N7</f>
        <v>0</v>
      </c>
    </row>
    <row r="19" spans="6:8" x14ac:dyDescent="0.35">
      <c r="F19" s="4" t="s">
        <v>43</v>
      </c>
      <c r="G19" s="4">
        <f>O6</f>
        <v>0</v>
      </c>
      <c r="H19" s="4">
        <f>O7</f>
        <v>0</v>
      </c>
    </row>
    <row r="20" spans="6:8" x14ac:dyDescent="0.35">
      <c r="F20" s="4" t="s">
        <v>128</v>
      </c>
      <c r="G20" s="4">
        <f>G13+G14+G15+G16+G17+G18+G19</f>
        <v>26.875</v>
      </c>
      <c r="H20" s="4">
        <f>H13+H14+H15+H16+H17+H18+H19</f>
        <v>43.125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Q17" sqref="Q17"/>
    </sheetView>
  </sheetViews>
  <sheetFormatPr defaultRowHeight="14.5" x14ac:dyDescent="0.35"/>
  <sheetData>
    <row r="2" spans="2:13" x14ac:dyDescent="0.35">
      <c r="C2" s="7" t="s">
        <v>93</v>
      </c>
      <c r="D2" s="213"/>
      <c r="E2" s="213"/>
    </row>
    <row r="3" spans="2:13" x14ac:dyDescent="0.35">
      <c r="E3" s="6"/>
      <c r="F3" s="6"/>
      <c r="G3" s="6"/>
      <c r="H3" s="6"/>
      <c r="I3" s="6"/>
      <c r="J3" s="6"/>
    </row>
    <row r="4" spans="2:13" x14ac:dyDescent="0.35">
      <c r="B4" s="7" t="s">
        <v>94</v>
      </c>
      <c r="C4" s="5" t="s">
        <v>74</v>
      </c>
      <c r="D4" s="214" t="s">
        <v>75</v>
      </c>
      <c r="E4" s="214"/>
      <c r="F4" s="214"/>
      <c r="G4" s="8"/>
      <c r="H4" s="214" t="s">
        <v>76</v>
      </c>
      <c r="I4" s="214"/>
      <c r="J4" s="214"/>
      <c r="K4" s="214" t="s">
        <v>77</v>
      </c>
      <c r="L4" s="214"/>
      <c r="M4" s="214"/>
    </row>
    <row r="5" spans="2:13" x14ac:dyDescent="0.35">
      <c r="B5" s="7">
        <v>1</v>
      </c>
      <c r="C5" s="5"/>
      <c r="D5" s="5" t="s">
        <v>78</v>
      </c>
      <c r="E5" s="5" t="s">
        <v>79</v>
      </c>
      <c r="F5" s="5" t="s">
        <v>80</v>
      </c>
      <c r="G5" s="5"/>
      <c r="H5" s="5" t="s">
        <v>78</v>
      </c>
      <c r="I5" s="5" t="s">
        <v>79</v>
      </c>
      <c r="J5" s="5" t="s">
        <v>80</v>
      </c>
      <c r="K5" s="5" t="s">
        <v>78</v>
      </c>
      <c r="L5" s="5" t="s">
        <v>79</v>
      </c>
      <c r="M5" s="5" t="s">
        <v>80</v>
      </c>
    </row>
    <row r="6" spans="2:13" x14ac:dyDescent="0.35">
      <c r="C6" s="4" t="s">
        <v>81</v>
      </c>
      <c r="D6" s="4"/>
      <c r="E6" s="4"/>
      <c r="F6" s="4">
        <f>D6*E6</f>
        <v>0</v>
      </c>
      <c r="G6" s="4" t="s">
        <v>96</v>
      </c>
      <c r="H6" s="4"/>
      <c r="I6" s="4"/>
      <c r="J6" s="4">
        <f>H6*I6</f>
        <v>0</v>
      </c>
      <c r="K6" s="4"/>
      <c r="L6" s="4"/>
      <c r="M6" s="4">
        <f>K6*L6</f>
        <v>0</v>
      </c>
    </row>
    <row r="7" spans="2:13" x14ac:dyDescent="0.35">
      <c r="C7" s="4"/>
      <c r="D7" s="4"/>
      <c r="E7" s="4"/>
      <c r="F7" s="4">
        <f t="shared" ref="F7:F33" si="0">D7*E7</f>
        <v>0</v>
      </c>
      <c r="G7" s="4" t="s">
        <v>97</v>
      </c>
      <c r="H7" s="4"/>
      <c r="I7" s="4"/>
      <c r="J7" s="4">
        <f t="shared" ref="J7:J29" si="1">H7*I7</f>
        <v>0</v>
      </c>
      <c r="K7" s="4"/>
      <c r="L7" s="4"/>
      <c r="M7" s="4">
        <f t="shared" ref="M7:M29" si="2">K7*L7</f>
        <v>0</v>
      </c>
    </row>
    <row r="8" spans="2:13" x14ac:dyDescent="0.35">
      <c r="C8" s="4"/>
      <c r="D8" s="4"/>
      <c r="E8" s="4"/>
      <c r="F8" s="4">
        <f t="shared" si="0"/>
        <v>0</v>
      </c>
      <c r="G8" s="4"/>
      <c r="H8" s="4"/>
      <c r="I8" s="4"/>
      <c r="J8" s="4">
        <f t="shared" si="1"/>
        <v>0</v>
      </c>
      <c r="K8" s="4"/>
      <c r="L8" s="4"/>
      <c r="M8" s="4">
        <f t="shared" si="2"/>
        <v>0</v>
      </c>
    </row>
    <row r="9" spans="2:13" x14ac:dyDescent="0.35">
      <c r="C9" s="4" t="s">
        <v>84</v>
      </c>
      <c r="D9" s="4"/>
      <c r="E9" s="4"/>
      <c r="F9" s="4">
        <f t="shared" si="0"/>
        <v>0</v>
      </c>
      <c r="G9" s="4" t="s">
        <v>96</v>
      </c>
      <c r="H9" s="4"/>
      <c r="I9" s="4"/>
      <c r="J9" s="4">
        <f t="shared" si="1"/>
        <v>0</v>
      </c>
      <c r="K9" s="4"/>
      <c r="L9" s="4"/>
      <c r="M9" s="4">
        <f t="shared" si="2"/>
        <v>0</v>
      </c>
    </row>
    <row r="10" spans="2:13" x14ac:dyDescent="0.35">
      <c r="C10" s="4"/>
      <c r="D10" s="4"/>
      <c r="E10" s="4"/>
      <c r="F10" s="4">
        <f t="shared" si="0"/>
        <v>0</v>
      </c>
      <c r="G10" s="4" t="s">
        <v>97</v>
      </c>
      <c r="H10" s="4"/>
      <c r="I10" s="4"/>
      <c r="J10" s="4">
        <f t="shared" si="1"/>
        <v>0</v>
      </c>
      <c r="K10" s="4"/>
      <c r="L10" s="4"/>
      <c r="M10" s="4">
        <f t="shared" si="2"/>
        <v>0</v>
      </c>
    </row>
    <row r="11" spans="2:13" x14ac:dyDescent="0.35">
      <c r="C11" s="4"/>
      <c r="D11" s="4"/>
      <c r="E11" s="4"/>
      <c r="F11" s="4">
        <f t="shared" si="0"/>
        <v>0</v>
      </c>
      <c r="G11" s="4"/>
      <c r="H11" s="4"/>
      <c r="I11" s="4"/>
      <c r="J11" s="4">
        <f t="shared" si="1"/>
        <v>0</v>
      </c>
      <c r="K11" s="4"/>
      <c r="L11" s="4"/>
      <c r="M11" s="4">
        <f t="shared" si="2"/>
        <v>0</v>
      </c>
    </row>
    <row r="12" spans="2:13" x14ac:dyDescent="0.35">
      <c r="C12" s="4"/>
      <c r="D12" s="4"/>
      <c r="E12" s="4"/>
      <c r="F12" s="4">
        <f t="shared" si="0"/>
        <v>0</v>
      </c>
      <c r="G12" s="4"/>
      <c r="H12" s="4"/>
      <c r="I12" s="4"/>
      <c r="J12" s="4">
        <f t="shared" si="1"/>
        <v>0</v>
      </c>
      <c r="K12" s="4"/>
      <c r="L12" s="4"/>
      <c r="M12" s="4">
        <f t="shared" si="2"/>
        <v>0</v>
      </c>
    </row>
    <row r="13" spans="2:13" x14ac:dyDescent="0.35">
      <c r="C13" s="4" t="s">
        <v>82</v>
      </c>
      <c r="D13" s="4"/>
      <c r="E13" s="4"/>
      <c r="F13" s="4">
        <f t="shared" si="0"/>
        <v>0</v>
      </c>
      <c r="G13" s="4" t="s">
        <v>96</v>
      </c>
      <c r="H13" s="4"/>
      <c r="I13" s="4"/>
      <c r="J13" s="4">
        <f t="shared" si="1"/>
        <v>0</v>
      </c>
      <c r="K13" s="4"/>
      <c r="L13" s="4"/>
      <c r="M13" s="4">
        <f t="shared" si="2"/>
        <v>0</v>
      </c>
    </row>
    <row r="14" spans="2:13" x14ac:dyDescent="0.35">
      <c r="C14" s="4"/>
      <c r="D14" s="4"/>
      <c r="E14" s="4"/>
      <c r="F14" s="4">
        <f t="shared" si="0"/>
        <v>0</v>
      </c>
      <c r="G14" s="4" t="s">
        <v>97</v>
      </c>
      <c r="H14" s="4"/>
      <c r="I14" s="4"/>
      <c r="J14" s="4">
        <f t="shared" si="1"/>
        <v>0</v>
      </c>
      <c r="K14" s="4"/>
      <c r="L14" s="4"/>
      <c r="M14" s="4">
        <f t="shared" si="2"/>
        <v>0</v>
      </c>
    </row>
    <row r="15" spans="2:13" x14ac:dyDescent="0.35">
      <c r="C15" s="4"/>
      <c r="D15" s="4"/>
      <c r="E15" s="4"/>
      <c r="F15" s="4">
        <f t="shared" si="0"/>
        <v>0</v>
      </c>
      <c r="G15" s="4"/>
      <c r="H15" s="4"/>
      <c r="I15" s="4"/>
      <c r="J15" s="4">
        <f t="shared" si="1"/>
        <v>0</v>
      </c>
      <c r="K15" s="4"/>
      <c r="L15" s="4"/>
      <c r="M15" s="4">
        <f t="shared" si="2"/>
        <v>0</v>
      </c>
    </row>
    <row r="16" spans="2:13" x14ac:dyDescent="0.35">
      <c r="C16" s="4"/>
      <c r="D16" s="4"/>
      <c r="E16" s="4"/>
      <c r="F16" s="4">
        <f t="shared" si="0"/>
        <v>0</v>
      </c>
      <c r="G16" s="4"/>
      <c r="H16" s="4"/>
      <c r="I16" s="4"/>
      <c r="J16" s="4">
        <f t="shared" si="1"/>
        <v>0</v>
      </c>
      <c r="K16" s="4"/>
      <c r="L16" s="4"/>
      <c r="M16" s="4">
        <f t="shared" si="2"/>
        <v>0</v>
      </c>
    </row>
    <row r="17" spans="3:13" x14ac:dyDescent="0.35">
      <c r="C17" s="4" t="s">
        <v>83</v>
      </c>
      <c r="D17" s="4"/>
      <c r="E17" s="4"/>
      <c r="F17" s="4">
        <f t="shared" si="0"/>
        <v>0</v>
      </c>
      <c r="G17" s="4" t="s">
        <v>96</v>
      </c>
      <c r="H17" s="4"/>
      <c r="I17" s="4"/>
      <c r="J17" s="4">
        <f t="shared" si="1"/>
        <v>0</v>
      </c>
      <c r="K17" s="4"/>
      <c r="L17" s="4"/>
      <c r="M17" s="4">
        <f t="shared" si="2"/>
        <v>0</v>
      </c>
    </row>
    <row r="18" spans="3:13" x14ac:dyDescent="0.35">
      <c r="C18" s="4"/>
      <c r="D18" s="4"/>
      <c r="E18" s="4"/>
      <c r="F18" s="4">
        <f t="shared" si="0"/>
        <v>0</v>
      </c>
      <c r="G18" s="4" t="s">
        <v>97</v>
      </c>
      <c r="H18" s="4"/>
      <c r="I18" s="4"/>
      <c r="J18" s="4">
        <f t="shared" si="1"/>
        <v>0</v>
      </c>
      <c r="K18" s="4"/>
      <c r="L18" s="4"/>
      <c r="M18" s="4">
        <f t="shared" si="2"/>
        <v>0</v>
      </c>
    </row>
    <row r="19" spans="3:13" x14ac:dyDescent="0.35">
      <c r="C19" s="4"/>
      <c r="D19" s="4"/>
      <c r="E19" s="4"/>
      <c r="F19" s="4">
        <f t="shared" si="0"/>
        <v>0</v>
      </c>
      <c r="G19" s="4"/>
      <c r="H19" s="4"/>
      <c r="I19" s="4"/>
      <c r="J19" s="4">
        <f t="shared" si="1"/>
        <v>0</v>
      </c>
      <c r="K19" s="4"/>
      <c r="L19" s="4"/>
      <c r="M19" s="4">
        <f t="shared" si="2"/>
        <v>0</v>
      </c>
    </row>
    <row r="20" spans="3:13" x14ac:dyDescent="0.35">
      <c r="C20" s="4" t="s">
        <v>83</v>
      </c>
      <c r="D20" s="4"/>
      <c r="E20" s="4"/>
      <c r="F20" s="4">
        <f t="shared" si="0"/>
        <v>0</v>
      </c>
      <c r="G20" s="4" t="s">
        <v>96</v>
      </c>
      <c r="H20" s="4"/>
      <c r="I20" s="4"/>
      <c r="J20" s="4">
        <f t="shared" si="1"/>
        <v>0</v>
      </c>
      <c r="K20" s="4"/>
      <c r="L20" s="4"/>
      <c r="M20" s="4">
        <f t="shared" si="2"/>
        <v>0</v>
      </c>
    </row>
    <row r="21" spans="3:13" x14ac:dyDescent="0.35">
      <c r="C21" s="4"/>
      <c r="D21" s="4"/>
      <c r="E21" s="4"/>
      <c r="F21" s="4">
        <f t="shared" si="0"/>
        <v>0</v>
      </c>
      <c r="G21" s="4" t="s">
        <v>97</v>
      </c>
      <c r="H21" s="4"/>
      <c r="I21" s="4"/>
      <c r="J21" s="4">
        <f t="shared" si="1"/>
        <v>0</v>
      </c>
      <c r="K21" s="4"/>
      <c r="L21" s="4"/>
      <c r="M21" s="4">
        <f t="shared" si="2"/>
        <v>0</v>
      </c>
    </row>
    <row r="22" spans="3:13" x14ac:dyDescent="0.35">
      <c r="C22" s="4"/>
      <c r="D22" s="4"/>
      <c r="E22" s="4"/>
      <c r="F22" s="4">
        <f t="shared" si="0"/>
        <v>0</v>
      </c>
      <c r="G22" s="4"/>
      <c r="H22" s="4"/>
      <c r="I22" s="4"/>
      <c r="J22" s="4">
        <f t="shared" si="1"/>
        <v>0</v>
      </c>
      <c r="K22" s="4"/>
      <c r="L22" s="4"/>
      <c r="M22" s="4">
        <f t="shared" si="2"/>
        <v>0</v>
      </c>
    </row>
    <row r="23" spans="3:13" x14ac:dyDescent="0.35">
      <c r="C23" s="4" t="s">
        <v>89</v>
      </c>
      <c r="D23" s="4"/>
      <c r="E23" s="4"/>
      <c r="F23" s="4">
        <f t="shared" si="0"/>
        <v>0</v>
      </c>
      <c r="G23" s="4" t="s">
        <v>98</v>
      </c>
      <c r="H23" s="4"/>
      <c r="I23" s="4"/>
      <c r="J23" s="4">
        <f t="shared" si="1"/>
        <v>0</v>
      </c>
      <c r="K23" s="4"/>
      <c r="L23" s="4"/>
      <c r="M23" s="4">
        <f t="shared" si="2"/>
        <v>0</v>
      </c>
    </row>
    <row r="24" spans="3:13" x14ac:dyDescent="0.35">
      <c r="C24" s="4" t="s">
        <v>90</v>
      </c>
      <c r="D24" s="4"/>
      <c r="E24" s="4"/>
      <c r="F24" s="4">
        <f t="shared" si="0"/>
        <v>0</v>
      </c>
      <c r="G24" s="4" t="s">
        <v>98</v>
      </c>
      <c r="H24" s="4"/>
      <c r="I24" s="4"/>
      <c r="J24" s="4">
        <f t="shared" si="1"/>
        <v>0</v>
      </c>
      <c r="K24" s="4"/>
      <c r="L24" s="4"/>
      <c r="M24" s="4">
        <f t="shared" si="2"/>
        <v>0</v>
      </c>
    </row>
    <row r="25" spans="3:13" x14ac:dyDescent="0.35">
      <c r="C25" s="4" t="s">
        <v>91</v>
      </c>
      <c r="D25" s="4"/>
      <c r="E25" s="4"/>
      <c r="F25" s="4">
        <f t="shared" si="0"/>
        <v>0</v>
      </c>
      <c r="G25" s="4" t="s">
        <v>98</v>
      </c>
      <c r="H25" s="4"/>
      <c r="I25" s="4"/>
      <c r="J25" s="4">
        <f t="shared" si="1"/>
        <v>0</v>
      </c>
      <c r="K25" s="4"/>
      <c r="L25" s="4"/>
      <c r="M25" s="4">
        <f t="shared" si="2"/>
        <v>0</v>
      </c>
    </row>
    <row r="26" spans="3:13" x14ac:dyDescent="0.35">
      <c r="C26" s="4"/>
      <c r="D26" s="4"/>
      <c r="E26" s="4"/>
      <c r="F26" s="4">
        <f t="shared" si="0"/>
        <v>0</v>
      </c>
      <c r="G26" s="4"/>
      <c r="H26" s="4"/>
      <c r="I26" s="4"/>
      <c r="J26" s="4">
        <f t="shared" si="1"/>
        <v>0</v>
      </c>
      <c r="K26" s="4"/>
      <c r="L26" s="4"/>
      <c r="M26" s="4">
        <f t="shared" si="2"/>
        <v>0</v>
      </c>
    </row>
    <row r="27" spans="3:13" x14ac:dyDescent="0.35">
      <c r="C27" s="4" t="s">
        <v>85</v>
      </c>
      <c r="D27" s="4"/>
      <c r="E27" s="4"/>
      <c r="F27" s="4">
        <f t="shared" si="0"/>
        <v>0</v>
      </c>
      <c r="G27" s="4"/>
      <c r="H27" s="4"/>
      <c r="I27" s="4"/>
      <c r="J27" s="4">
        <f t="shared" si="1"/>
        <v>0</v>
      </c>
      <c r="K27" s="4"/>
      <c r="L27" s="4"/>
      <c r="M27" s="4">
        <f t="shared" si="2"/>
        <v>0</v>
      </c>
    </row>
    <row r="28" spans="3:13" x14ac:dyDescent="0.35">
      <c r="C28" s="4" t="s">
        <v>86</v>
      </c>
      <c r="D28" s="4"/>
      <c r="E28" s="4"/>
      <c r="F28" s="4">
        <f t="shared" si="0"/>
        <v>0</v>
      </c>
      <c r="G28" s="4"/>
      <c r="H28" s="4"/>
      <c r="I28" s="4"/>
      <c r="J28" s="4">
        <f t="shared" si="1"/>
        <v>0</v>
      </c>
      <c r="K28" s="4"/>
      <c r="L28" s="4"/>
      <c r="M28" s="4">
        <f t="shared" si="2"/>
        <v>0</v>
      </c>
    </row>
    <row r="29" spans="3:13" x14ac:dyDescent="0.35">
      <c r="C29" s="4" t="s">
        <v>87</v>
      </c>
      <c r="D29" s="4"/>
      <c r="E29" s="4"/>
      <c r="F29" s="4">
        <f t="shared" si="0"/>
        <v>0</v>
      </c>
      <c r="G29" s="4"/>
      <c r="H29" s="4"/>
      <c r="I29" s="4"/>
      <c r="J29" s="4">
        <f t="shared" si="1"/>
        <v>0</v>
      </c>
      <c r="K29" s="4"/>
      <c r="L29" s="4"/>
      <c r="M29" s="4">
        <f t="shared" si="2"/>
        <v>0</v>
      </c>
    </row>
    <row r="30" spans="3:13" x14ac:dyDescent="0.35">
      <c r="C30" s="4" t="s">
        <v>88</v>
      </c>
      <c r="D30" s="4"/>
      <c r="E30" s="4"/>
      <c r="F30" s="4">
        <f t="shared" si="0"/>
        <v>0</v>
      </c>
      <c r="G30" s="4"/>
      <c r="H30" s="4"/>
      <c r="I30" s="4"/>
      <c r="J30" s="4">
        <f>H30*I30</f>
        <v>0</v>
      </c>
      <c r="K30" s="4"/>
      <c r="L30" s="4"/>
      <c r="M30" s="4">
        <f>K30*L30</f>
        <v>0</v>
      </c>
    </row>
    <row r="31" spans="3:13" x14ac:dyDescent="0.35">
      <c r="C31" s="4"/>
      <c r="D31" s="4"/>
      <c r="E31" s="4"/>
      <c r="F31" s="4">
        <f t="shared" si="0"/>
        <v>0</v>
      </c>
      <c r="G31" s="4"/>
      <c r="H31" s="4"/>
      <c r="I31" s="4"/>
      <c r="J31" s="4">
        <f>H31*I31</f>
        <v>0</v>
      </c>
      <c r="K31" s="4"/>
      <c r="L31" s="4"/>
      <c r="M31" s="4">
        <f>K31*L31</f>
        <v>0</v>
      </c>
    </row>
    <row r="32" spans="3:13" x14ac:dyDescent="0.35">
      <c r="C32" s="4"/>
      <c r="D32" s="4"/>
      <c r="E32" s="4"/>
      <c r="F32" s="4">
        <f t="shared" si="0"/>
        <v>0</v>
      </c>
      <c r="G32" s="4"/>
      <c r="H32" s="4"/>
      <c r="I32" s="4"/>
      <c r="J32" s="4">
        <f>H32*I32</f>
        <v>0</v>
      </c>
      <c r="K32" s="4"/>
      <c r="L32" s="4"/>
      <c r="M32" s="4">
        <f>K32*L32</f>
        <v>0</v>
      </c>
    </row>
    <row r="33" spans="3:13" x14ac:dyDescent="0.35">
      <c r="C33" s="4"/>
      <c r="D33" s="4"/>
      <c r="E33" s="4"/>
      <c r="F33" s="4">
        <f t="shared" si="0"/>
        <v>0</v>
      </c>
      <c r="G33" s="4"/>
      <c r="H33" s="4"/>
      <c r="I33" s="4"/>
      <c r="J33" s="4">
        <f>H33*I33</f>
        <v>0</v>
      </c>
      <c r="K33" s="4"/>
      <c r="L33" s="4"/>
      <c r="M33" s="4">
        <f>K33*L33</f>
        <v>0</v>
      </c>
    </row>
    <row r="34" spans="3:13" x14ac:dyDescent="0.35">
      <c r="C34" s="4" t="s">
        <v>92</v>
      </c>
      <c r="D34" s="4"/>
      <c r="E34" s="4">
        <f>F34*10.764</f>
        <v>0</v>
      </c>
      <c r="F34" s="4">
        <f>SUM(F6:F33)</f>
        <v>0</v>
      </c>
      <c r="G34" s="4"/>
      <c r="H34" s="4"/>
      <c r="I34" s="4">
        <f>J34*10.764</f>
        <v>0</v>
      </c>
      <c r="J34" s="4">
        <f>SUM(J6:J33)</f>
        <v>0</v>
      </c>
      <c r="K34" s="4"/>
      <c r="L34" s="4">
        <f>M34*10.764</f>
        <v>0</v>
      </c>
      <c r="M34" s="4">
        <f>SUM(M6:M33)</f>
        <v>0</v>
      </c>
    </row>
  </sheetData>
  <mergeCells count="4">
    <mergeCell ref="D2:E2"/>
    <mergeCell ref="D4:F4"/>
    <mergeCell ref="H4:J4"/>
    <mergeCell ref="K4: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4.5" x14ac:dyDescent="0.35"/>
  <sheetData>
    <row r="3" spans="2:13" x14ac:dyDescent="0.35">
      <c r="C3" s="7" t="s">
        <v>93</v>
      </c>
      <c r="D3" s="213"/>
      <c r="E3" s="213"/>
    </row>
    <row r="4" spans="2:13" x14ac:dyDescent="0.35">
      <c r="E4" s="6"/>
      <c r="F4" s="6"/>
      <c r="G4" s="6"/>
      <c r="H4" s="6"/>
      <c r="I4" s="6"/>
      <c r="J4" s="6"/>
    </row>
    <row r="5" spans="2:13" x14ac:dyDescent="0.35">
      <c r="B5" s="7" t="s">
        <v>94</v>
      </c>
      <c r="C5" s="5" t="s">
        <v>74</v>
      </c>
      <c r="D5" s="214" t="s">
        <v>75</v>
      </c>
      <c r="E5" s="214"/>
      <c r="F5" s="214"/>
      <c r="G5" s="8"/>
      <c r="H5" s="214" t="s">
        <v>76</v>
      </c>
      <c r="I5" s="214"/>
      <c r="J5" s="214"/>
      <c r="K5" s="214" t="s">
        <v>77</v>
      </c>
      <c r="L5" s="214"/>
      <c r="M5" s="214"/>
    </row>
    <row r="6" spans="2:13" x14ac:dyDescent="0.35">
      <c r="B6" s="7">
        <v>1</v>
      </c>
      <c r="C6" s="5"/>
      <c r="D6" s="5" t="s">
        <v>78</v>
      </c>
      <c r="E6" s="5" t="s">
        <v>79</v>
      </c>
      <c r="F6" s="5" t="s">
        <v>80</v>
      </c>
      <c r="G6" s="5"/>
      <c r="H6" s="5" t="s">
        <v>78</v>
      </c>
      <c r="I6" s="5" t="s">
        <v>79</v>
      </c>
      <c r="J6" s="5" t="s">
        <v>80</v>
      </c>
      <c r="K6" s="5" t="s">
        <v>78</v>
      </c>
      <c r="L6" s="5" t="s">
        <v>79</v>
      </c>
      <c r="M6" s="5" t="s">
        <v>80</v>
      </c>
    </row>
    <row r="7" spans="2:13" x14ac:dyDescent="0.35">
      <c r="C7" s="4" t="s">
        <v>81</v>
      </c>
      <c r="D7" s="4"/>
      <c r="E7" s="4"/>
      <c r="F7" s="4">
        <f>D7*E7</f>
        <v>0</v>
      </c>
      <c r="G7" s="4" t="s">
        <v>96</v>
      </c>
      <c r="H7" s="4"/>
      <c r="I7" s="4"/>
      <c r="J7" s="4">
        <f>H7*I7</f>
        <v>0</v>
      </c>
      <c r="K7" s="4"/>
      <c r="L7" s="4"/>
      <c r="M7" s="4">
        <f>K7*L7</f>
        <v>0</v>
      </c>
    </row>
    <row r="8" spans="2:13" x14ac:dyDescent="0.35">
      <c r="C8" s="4"/>
      <c r="D8" s="4"/>
      <c r="E8" s="4"/>
      <c r="F8" s="4">
        <f t="shared" ref="F8:F34" si="0">D8*E8</f>
        <v>0</v>
      </c>
      <c r="G8" s="4" t="s">
        <v>97</v>
      </c>
      <c r="H8" s="4"/>
      <c r="I8" s="4"/>
      <c r="J8" s="4">
        <f t="shared" ref="J8:J34" si="1">H8*I8</f>
        <v>0</v>
      </c>
      <c r="K8" s="4"/>
      <c r="L8" s="4"/>
      <c r="M8" s="4">
        <f t="shared" ref="M8:M34" si="2">K8*L8</f>
        <v>0</v>
      </c>
    </row>
    <row r="9" spans="2:13" x14ac:dyDescent="0.35">
      <c r="C9" s="4"/>
      <c r="D9" s="4"/>
      <c r="E9" s="4"/>
      <c r="F9" s="4">
        <f t="shared" si="0"/>
        <v>0</v>
      </c>
      <c r="G9" s="4"/>
      <c r="H9" s="4"/>
      <c r="I9" s="4"/>
      <c r="J9" s="4">
        <f t="shared" si="1"/>
        <v>0</v>
      </c>
      <c r="K9" s="4"/>
      <c r="L9" s="4"/>
      <c r="M9" s="4">
        <f t="shared" si="2"/>
        <v>0</v>
      </c>
    </row>
    <row r="10" spans="2:13" x14ac:dyDescent="0.35">
      <c r="C10" s="4" t="s">
        <v>84</v>
      </c>
      <c r="D10" s="4"/>
      <c r="E10" s="4"/>
      <c r="F10" s="4">
        <f t="shared" si="0"/>
        <v>0</v>
      </c>
      <c r="G10" s="4" t="s">
        <v>96</v>
      </c>
      <c r="H10" s="4"/>
      <c r="I10" s="4"/>
      <c r="J10" s="4">
        <f t="shared" si="1"/>
        <v>0</v>
      </c>
      <c r="K10" s="4"/>
      <c r="L10" s="4"/>
      <c r="M10" s="4">
        <f t="shared" si="2"/>
        <v>0</v>
      </c>
    </row>
    <row r="11" spans="2:13" x14ac:dyDescent="0.35">
      <c r="C11" s="4"/>
      <c r="D11" s="4"/>
      <c r="E11" s="4"/>
      <c r="F11" s="4">
        <f t="shared" si="0"/>
        <v>0</v>
      </c>
      <c r="G11" s="4" t="s">
        <v>97</v>
      </c>
      <c r="H11" s="4"/>
      <c r="I11" s="4"/>
      <c r="J11" s="4">
        <f t="shared" si="1"/>
        <v>0</v>
      </c>
      <c r="K11" s="4"/>
      <c r="L11" s="4"/>
      <c r="M11" s="4">
        <f t="shared" si="2"/>
        <v>0</v>
      </c>
    </row>
    <row r="12" spans="2:13" x14ac:dyDescent="0.35">
      <c r="C12" s="4"/>
      <c r="D12" s="4"/>
      <c r="E12" s="4"/>
      <c r="F12" s="4">
        <f t="shared" si="0"/>
        <v>0</v>
      </c>
      <c r="G12" s="4"/>
      <c r="H12" s="4"/>
      <c r="I12" s="4"/>
      <c r="J12" s="4">
        <f t="shared" si="1"/>
        <v>0</v>
      </c>
      <c r="K12" s="4"/>
      <c r="L12" s="4"/>
      <c r="M12" s="4">
        <f t="shared" si="2"/>
        <v>0</v>
      </c>
    </row>
    <row r="13" spans="2:13" x14ac:dyDescent="0.35">
      <c r="C13" s="4"/>
      <c r="D13" s="4"/>
      <c r="E13" s="4"/>
      <c r="F13" s="4">
        <f t="shared" si="0"/>
        <v>0</v>
      </c>
      <c r="G13" s="4"/>
      <c r="H13" s="4"/>
      <c r="I13" s="4"/>
      <c r="J13" s="4">
        <f t="shared" si="1"/>
        <v>0</v>
      </c>
      <c r="K13" s="4"/>
      <c r="L13" s="4"/>
      <c r="M13" s="4">
        <f t="shared" si="2"/>
        <v>0</v>
      </c>
    </row>
    <row r="14" spans="2:13" x14ac:dyDescent="0.35">
      <c r="C14" s="4" t="s">
        <v>82</v>
      </c>
      <c r="D14" s="4"/>
      <c r="E14" s="4"/>
      <c r="F14" s="4">
        <f t="shared" si="0"/>
        <v>0</v>
      </c>
      <c r="G14" s="4" t="s">
        <v>96</v>
      </c>
      <c r="H14" s="4"/>
      <c r="I14" s="4"/>
      <c r="J14" s="4">
        <f t="shared" si="1"/>
        <v>0</v>
      </c>
      <c r="K14" s="4"/>
      <c r="L14" s="4"/>
      <c r="M14" s="4">
        <f t="shared" si="2"/>
        <v>0</v>
      </c>
    </row>
    <row r="15" spans="2:13" x14ac:dyDescent="0.35">
      <c r="C15" s="4"/>
      <c r="D15" s="4"/>
      <c r="E15" s="4"/>
      <c r="F15" s="4">
        <f t="shared" si="0"/>
        <v>0</v>
      </c>
      <c r="G15" s="4" t="s">
        <v>97</v>
      </c>
      <c r="H15" s="4"/>
      <c r="I15" s="4"/>
      <c r="J15" s="4">
        <f t="shared" si="1"/>
        <v>0</v>
      </c>
      <c r="K15" s="4"/>
      <c r="L15" s="4"/>
      <c r="M15" s="4">
        <f t="shared" si="2"/>
        <v>0</v>
      </c>
    </row>
    <row r="16" spans="2:13" x14ac:dyDescent="0.35">
      <c r="C16" s="4"/>
      <c r="D16" s="4"/>
      <c r="E16" s="4"/>
      <c r="F16" s="4">
        <f t="shared" si="0"/>
        <v>0</v>
      </c>
      <c r="G16" s="4"/>
      <c r="H16" s="4"/>
      <c r="I16" s="4"/>
      <c r="J16" s="4">
        <f t="shared" si="1"/>
        <v>0</v>
      </c>
      <c r="K16" s="4"/>
      <c r="L16" s="4"/>
      <c r="M16" s="4">
        <f t="shared" si="2"/>
        <v>0</v>
      </c>
    </row>
    <row r="17" spans="3:13" x14ac:dyDescent="0.35">
      <c r="C17" s="4"/>
      <c r="D17" s="4"/>
      <c r="E17" s="4"/>
      <c r="F17" s="4">
        <f t="shared" si="0"/>
        <v>0</v>
      </c>
      <c r="G17" s="4"/>
      <c r="H17" s="4"/>
      <c r="I17" s="4"/>
      <c r="J17" s="4">
        <f t="shared" si="1"/>
        <v>0</v>
      </c>
      <c r="K17" s="4"/>
      <c r="L17" s="4"/>
      <c r="M17" s="4">
        <f t="shared" si="2"/>
        <v>0</v>
      </c>
    </row>
    <row r="18" spans="3:13" x14ac:dyDescent="0.35">
      <c r="C18" s="4" t="s">
        <v>83</v>
      </c>
      <c r="D18" s="4"/>
      <c r="E18" s="4"/>
      <c r="F18" s="4">
        <f t="shared" si="0"/>
        <v>0</v>
      </c>
      <c r="G18" s="4" t="s">
        <v>96</v>
      </c>
      <c r="H18" s="4"/>
      <c r="I18" s="4"/>
      <c r="J18" s="4">
        <f t="shared" si="1"/>
        <v>0</v>
      </c>
      <c r="K18" s="4"/>
      <c r="L18" s="4"/>
      <c r="M18" s="4">
        <f t="shared" si="2"/>
        <v>0</v>
      </c>
    </row>
    <row r="19" spans="3:13" x14ac:dyDescent="0.35">
      <c r="C19" s="4"/>
      <c r="D19" s="4"/>
      <c r="E19" s="4"/>
      <c r="F19" s="4">
        <f t="shared" si="0"/>
        <v>0</v>
      </c>
      <c r="G19" s="4" t="s">
        <v>97</v>
      </c>
      <c r="H19" s="4"/>
      <c r="I19" s="4"/>
      <c r="J19" s="4">
        <f t="shared" si="1"/>
        <v>0</v>
      </c>
      <c r="K19" s="4"/>
      <c r="L19" s="4"/>
      <c r="M19" s="4">
        <f t="shared" si="2"/>
        <v>0</v>
      </c>
    </row>
    <row r="20" spans="3:13" x14ac:dyDescent="0.35">
      <c r="C20" s="4"/>
      <c r="D20" s="4"/>
      <c r="E20" s="4"/>
      <c r="F20" s="4">
        <f t="shared" si="0"/>
        <v>0</v>
      </c>
      <c r="G20" s="4"/>
      <c r="H20" s="4"/>
      <c r="I20" s="4"/>
      <c r="J20" s="4">
        <f t="shared" si="1"/>
        <v>0</v>
      </c>
      <c r="K20" s="4"/>
      <c r="L20" s="4"/>
      <c r="M20" s="4">
        <f t="shared" si="2"/>
        <v>0</v>
      </c>
    </row>
    <row r="21" spans="3:13" x14ac:dyDescent="0.35">
      <c r="C21" s="4" t="s">
        <v>83</v>
      </c>
      <c r="D21" s="4"/>
      <c r="E21" s="4"/>
      <c r="F21" s="4">
        <f t="shared" si="0"/>
        <v>0</v>
      </c>
      <c r="G21" s="4" t="s">
        <v>96</v>
      </c>
      <c r="H21" s="4"/>
      <c r="I21" s="4"/>
      <c r="J21" s="4">
        <f t="shared" si="1"/>
        <v>0</v>
      </c>
      <c r="K21" s="4"/>
      <c r="L21" s="4"/>
      <c r="M21" s="4">
        <f t="shared" si="2"/>
        <v>0</v>
      </c>
    </row>
    <row r="22" spans="3:13" x14ac:dyDescent="0.35">
      <c r="C22" s="4"/>
      <c r="D22" s="4"/>
      <c r="E22" s="4"/>
      <c r="F22" s="4">
        <f t="shared" si="0"/>
        <v>0</v>
      </c>
      <c r="G22" s="4" t="s">
        <v>97</v>
      </c>
      <c r="H22" s="4"/>
      <c r="I22" s="4"/>
      <c r="J22" s="4">
        <f t="shared" si="1"/>
        <v>0</v>
      </c>
      <c r="K22" s="4"/>
      <c r="L22" s="4"/>
      <c r="M22" s="4">
        <f t="shared" si="2"/>
        <v>0</v>
      </c>
    </row>
    <row r="23" spans="3:13" x14ac:dyDescent="0.35">
      <c r="C23" s="4"/>
      <c r="D23" s="4"/>
      <c r="E23" s="4"/>
      <c r="F23" s="4">
        <f t="shared" si="0"/>
        <v>0</v>
      </c>
      <c r="G23" s="4"/>
      <c r="H23" s="4"/>
      <c r="I23" s="4"/>
      <c r="J23" s="4">
        <f t="shared" si="1"/>
        <v>0</v>
      </c>
      <c r="K23" s="4"/>
      <c r="L23" s="4"/>
      <c r="M23" s="4">
        <f t="shared" si="2"/>
        <v>0</v>
      </c>
    </row>
    <row r="24" spans="3:13" x14ac:dyDescent="0.35">
      <c r="C24" s="4" t="s">
        <v>89</v>
      </c>
      <c r="D24" s="4"/>
      <c r="E24" s="4"/>
      <c r="F24" s="4">
        <f t="shared" si="0"/>
        <v>0</v>
      </c>
      <c r="G24" s="4" t="s">
        <v>98</v>
      </c>
      <c r="H24" s="4"/>
      <c r="I24" s="4"/>
      <c r="J24" s="4">
        <f t="shared" si="1"/>
        <v>0</v>
      </c>
      <c r="K24" s="4"/>
      <c r="L24" s="4"/>
      <c r="M24" s="4">
        <f t="shared" si="2"/>
        <v>0</v>
      </c>
    </row>
    <row r="25" spans="3:13" x14ac:dyDescent="0.35">
      <c r="C25" s="4" t="s">
        <v>90</v>
      </c>
      <c r="D25" s="4"/>
      <c r="E25" s="4"/>
      <c r="F25" s="4">
        <f t="shared" si="0"/>
        <v>0</v>
      </c>
      <c r="G25" s="4" t="s">
        <v>98</v>
      </c>
      <c r="H25" s="4"/>
      <c r="I25" s="4"/>
      <c r="J25" s="4">
        <f t="shared" si="1"/>
        <v>0</v>
      </c>
      <c r="K25" s="4"/>
      <c r="L25" s="4"/>
      <c r="M25" s="4">
        <f t="shared" si="2"/>
        <v>0</v>
      </c>
    </row>
    <row r="26" spans="3:13" x14ac:dyDescent="0.35">
      <c r="C26" s="4" t="s">
        <v>91</v>
      </c>
      <c r="D26" s="4"/>
      <c r="E26" s="4"/>
      <c r="F26" s="4">
        <f t="shared" si="0"/>
        <v>0</v>
      </c>
      <c r="G26" s="4" t="s">
        <v>98</v>
      </c>
      <c r="H26" s="4"/>
      <c r="I26" s="4"/>
      <c r="J26" s="4">
        <f t="shared" si="1"/>
        <v>0</v>
      </c>
      <c r="K26" s="4"/>
      <c r="L26" s="4"/>
      <c r="M26" s="4">
        <f t="shared" si="2"/>
        <v>0</v>
      </c>
    </row>
    <row r="27" spans="3:13" x14ac:dyDescent="0.35">
      <c r="C27" s="4"/>
      <c r="D27" s="4"/>
      <c r="E27" s="4"/>
      <c r="F27" s="4">
        <f t="shared" si="0"/>
        <v>0</v>
      </c>
      <c r="G27" s="4"/>
      <c r="H27" s="4"/>
      <c r="I27" s="4"/>
      <c r="J27" s="4">
        <f t="shared" si="1"/>
        <v>0</v>
      </c>
      <c r="K27" s="4"/>
      <c r="L27" s="4"/>
      <c r="M27" s="4">
        <f t="shared" si="2"/>
        <v>0</v>
      </c>
    </row>
    <row r="28" spans="3:13" x14ac:dyDescent="0.35">
      <c r="C28" s="4" t="s">
        <v>85</v>
      </c>
      <c r="D28" s="4"/>
      <c r="E28" s="4"/>
      <c r="F28" s="4">
        <f t="shared" si="0"/>
        <v>0</v>
      </c>
      <c r="G28" s="4"/>
      <c r="H28" s="4"/>
      <c r="I28" s="4"/>
      <c r="J28" s="4">
        <f t="shared" si="1"/>
        <v>0</v>
      </c>
      <c r="K28" s="4"/>
      <c r="L28" s="4"/>
      <c r="M28" s="4">
        <f t="shared" si="2"/>
        <v>0</v>
      </c>
    </row>
    <row r="29" spans="3:13" x14ac:dyDescent="0.35">
      <c r="C29" s="4" t="s">
        <v>86</v>
      </c>
      <c r="D29" s="4"/>
      <c r="E29" s="4"/>
      <c r="F29" s="4">
        <f t="shared" si="0"/>
        <v>0</v>
      </c>
      <c r="G29" s="4"/>
      <c r="H29" s="4"/>
      <c r="I29" s="4"/>
      <c r="J29" s="4">
        <f t="shared" si="1"/>
        <v>0</v>
      </c>
      <c r="K29" s="4"/>
      <c r="L29" s="4"/>
      <c r="M29" s="4">
        <f t="shared" si="2"/>
        <v>0</v>
      </c>
    </row>
    <row r="30" spans="3:13" x14ac:dyDescent="0.35">
      <c r="C30" s="4" t="s">
        <v>87</v>
      </c>
      <c r="D30" s="4"/>
      <c r="E30" s="4"/>
      <c r="F30" s="4">
        <f t="shared" si="0"/>
        <v>0</v>
      </c>
      <c r="G30" s="4"/>
      <c r="H30" s="4"/>
      <c r="I30" s="4"/>
      <c r="J30" s="4">
        <f t="shared" si="1"/>
        <v>0</v>
      </c>
      <c r="K30" s="4"/>
      <c r="L30" s="4"/>
      <c r="M30" s="4">
        <f t="shared" si="2"/>
        <v>0</v>
      </c>
    </row>
    <row r="31" spans="3:13" x14ac:dyDescent="0.35">
      <c r="C31" s="4" t="s">
        <v>88</v>
      </c>
      <c r="D31" s="4"/>
      <c r="E31" s="4"/>
      <c r="F31" s="4">
        <f t="shared" si="0"/>
        <v>0</v>
      </c>
      <c r="G31" s="4"/>
      <c r="H31" s="4"/>
      <c r="I31" s="4"/>
      <c r="J31" s="4">
        <f t="shared" si="1"/>
        <v>0</v>
      </c>
      <c r="K31" s="4"/>
      <c r="L31" s="4"/>
      <c r="M31" s="4">
        <f t="shared" si="2"/>
        <v>0</v>
      </c>
    </row>
    <row r="32" spans="3:13" x14ac:dyDescent="0.35">
      <c r="C32" s="4"/>
      <c r="D32" s="4"/>
      <c r="E32" s="4"/>
      <c r="F32" s="4">
        <f t="shared" si="0"/>
        <v>0</v>
      </c>
      <c r="G32" s="4"/>
      <c r="H32" s="4"/>
      <c r="I32" s="4"/>
      <c r="J32" s="4">
        <f t="shared" si="1"/>
        <v>0</v>
      </c>
      <c r="K32" s="4"/>
      <c r="L32" s="4"/>
      <c r="M32" s="4">
        <f t="shared" si="2"/>
        <v>0</v>
      </c>
    </row>
    <row r="33" spans="3:13" x14ac:dyDescent="0.35">
      <c r="C33" s="4"/>
      <c r="D33" s="4"/>
      <c r="E33" s="4"/>
      <c r="F33" s="4">
        <f t="shared" si="0"/>
        <v>0</v>
      </c>
      <c r="G33" s="4"/>
      <c r="H33" s="4"/>
      <c r="I33" s="4"/>
      <c r="J33" s="4">
        <f t="shared" si="1"/>
        <v>0</v>
      </c>
      <c r="K33" s="4"/>
      <c r="L33" s="4"/>
      <c r="M33" s="4">
        <f t="shared" si="2"/>
        <v>0</v>
      </c>
    </row>
    <row r="34" spans="3:13" x14ac:dyDescent="0.35">
      <c r="C34" s="4"/>
      <c r="D34" s="4"/>
      <c r="E34" s="4"/>
      <c r="F34" s="4">
        <f t="shared" si="0"/>
        <v>0</v>
      </c>
      <c r="G34" s="4"/>
      <c r="H34" s="4"/>
      <c r="I34" s="4"/>
      <c r="J34" s="4">
        <f t="shared" si="1"/>
        <v>0</v>
      </c>
      <c r="K34" s="4"/>
      <c r="L34" s="4"/>
      <c r="M34" s="4">
        <f t="shared" si="2"/>
        <v>0</v>
      </c>
    </row>
    <row r="35" spans="3:13" x14ac:dyDescent="0.35">
      <c r="C35" s="4" t="s">
        <v>92</v>
      </c>
      <c r="D35" s="4"/>
      <c r="E35" s="4">
        <f>F35*10.764</f>
        <v>0</v>
      </c>
      <c r="F35" s="4">
        <f>SUM(F7:F34)</f>
        <v>0</v>
      </c>
      <c r="G35" s="4"/>
      <c r="H35" s="4"/>
      <c r="I35" s="4">
        <f>J35*10.764</f>
        <v>0</v>
      </c>
      <c r="J35" s="4">
        <f>SUM(J7:J34)</f>
        <v>0</v>
      </c>
      <c r="K35" s="4"/>
      <c r="L35" s="4">
        <f>M35*10.764</f>
        <v>0</v>
      </c>
      <c r="M35" s="4">
        <f>SUM(M7:M34)</f>
        <v>0</v>
      </c>
    </row>
  </sheetData>
  <mergeCells count="4">
    <mergeCell ref="D3:E3"/>
    <mergeCell ref="D5:F5"/>
    <mergeCell ref="H5:J5"/>
    <mergeCell ref="K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4.5" x14ac:dyDescent="0.35"/>
  <sheetData>
    <row r="3" spans="3:14" x14ac:dyDescent="0.35">
      <c r="D3" s="7" t="s">
        <v>93</v>
      </c>
      <c r="E3" s="213"/>
      <c r="F3" s="213"/>
    </row>
    <row r="4" spans="3:14" x14ac:dyDescent="0.35">
      <c r="F4" s="6"/>
      <c r="G4" s="6"/>
      <c r="H4" s="6"/>
      <c r="I4" s="6"/>
      <c r="J4" s="6"/>
      <c r="K4" s="6"/>
    </row>
    <row r="5" spans="3:14" x14ac:dyDescent="0.35">
      <c r="C5" s="7" t="s">
        <v>94</v>
      </c>
      <c r="D5" s="5" t="s">
        <v>74</v>
      </c>
      <c r="E5" s="214" t="s">
        <v>75</v>
      </c>
      <c r="F5" s="214"/>
      <c r="G5" s="214"/>
      <c r="H5" s="8"/>
      <c r="I5" s="214" t="s">
        <v>76</v>
      </c>
      <c r="J5" s="214"/>
      <c r="K5" s="214"/>
      <c r="L5" s="214" t="s">
        <v>77</v>
      </c>
      <c r="M5" s="214"/>
      <c r="N5" s="214"/>
    </row>
    <row r="6" spans="3:14" x14ac:dyDescent="0.35">
      <c r="C6" s="7">
        <v>1</v>
      </c>
      <c r="D6" s="5"/>
      <c r="E6" s="5" t="s">
        <v>78</v>
      </c>
      <c r="F6" s="5" t="s">
        <v>79</v>
      </c>
      <c r="G6" s="5" t="s">
        <v>80</v>
      </c>
      <c r="H6" s="5"/>
      <c r="I6" s="5" t="s">
        <v>78</v>
      </c>
      <c r="J6" s="5" t="s">
        <v>79</v>
      </c>
      <c r="K6" s="5" t="s">
        <v>80</v>
      </c>
      <c r="L6" s="5" t="s">
        <v>78</v>
      </c>
      <c r="M6" s="5" t="s">
        <v>79</v>
      </c>
      <c r="N6" s="5" t="s">
        <v>80</v>
      </c>
    </row>
    <row r="7" spans="3:14" x14ac:dyDescent="0.35">
      <c r="D7" s="4" t="s">
        <v>81</v>
      </c>
      <c r="E7" s="4"/>
      <c r="F7" s="4"/>
      <c r="G7" s="4">
        <f>E7*F7</f>
        <v>0</v>
      </c>
      <c r="H7" s="4" t="s">
        <v>96</v>
      </c>
      <c r="I7" s="4"/>
      <c r="J7" s="4"/>
      <c r="K7" s="4">
        <f>I7*J7</f>
        <v>0</v>
      </c>
      <c r="L7" s="4"/>
      <c r="M7" s="4"/>
      <c r="N7" s="4">
        <f>L7*M7</f>
        <v>0</v>
      </c>
    </row>
    <row r="8" spans="3:14" x14ac:dyDescent="0.35">
      <c r="D8" s="4"/>
      <c r="E8" s="4"/>
      <c r="F8" s="4"/>
      <c r="G8" s="4">
        <f t="shared" ref="G8:G34" si="0">E8*F8</f>
        <v>0</v>
      </c>
      <c r="H8" s="4" t="s">
        <v>97</v>
      </c>
      <c r="I8" s="4"/>
      <c r="J8" s="4"/>
      <c r="K8" s="4">
        <f t="shared" ref="K8:K34" si="1">I8*J8</f>
        <v>0</v>
      </c>
      <c r="L8" s="4"/>
      <c r="M8" s="4"/>
      <c r="N8" s="4">
        <f t="shared" ref="N8:N34" si="2">L8*M8</f>
        <v>0</v>
      </c>
    </row>
    <row r="9" spans="3:14" x14ac:dyDescent="0.35">
      <c r="D9" s="4"/>
      <c r="E9" s="4"/>
      <c r="F9" s="4"/>
      <c r="G9" s="4">
        <f t="shared" si="0"/>
        <v>0</v>
      </c>
      <c r="H9" s="4"/>
      <c r="I9" s="4"/>
      <c r="J9" s="4"/>
      <c r="K9" s="4">
        <f t="shared" si="1"/>
        <v>0</v>
      </c>
      <c r="L9" s="4"/>
      <c r="M9" s="4"/>
      <c r="N9" s="4">
        <f t="shared" si="2"/>
        <v>0</v>
      </c>
    </row>
    <row r="10" spans="3:14" x14ac:dyDescent="0.35">
      <c r="D10" s="4" t="s">
        <v>84</v>
      </c>
      <c r="E10" s="4"/>
      <c r="F10" s="4"/>
      <c r="G10" s="4">
        <f t="shared" si="0"/>
        <v>0</v>
      </c>
      <c r="H10" s="4" t="s">
        <v>96</v>
      </c>
      <c r="I10" s="4"/>
      <c r="J10" s="4"/>
      <c r="K10" s="4">
        <f t="shared" si="1"/>
        <v>0</v>
      </c>
      <c r="L10" s="4"/>
      <c r="M10" s="4"/>
      <c r="N10" s="4">
        <f t="shared" si="2"/>
        <v>0</v>
      </c>
    </row>
    <row r="11" spans="3:14" x14ac:dyDescent="0.35">
      <c r="D11" s="4"/>
      <c r="E11" s="4"/>
      <c r="F11" s="4"/>
      <c r="G11" s="4">
        <f t="shared" si="0"/>
        <v>0</v>
      </c>
      <c r="H11" s="4" t="s">
        <v>97</v>
      </c>
      <c r="I11" s="4"/>
      <c r="J11" s="4"/>
      <c r="K11" s="4">
        <f t="shared" si="1"/>
        <v>0</v>
      </c>
      <c r="L11" s="4"/>
      <c r="M11" s="4"/>
      <c r="N11" s="4">
        <f t="shared" si="2"/>
        <v>0</v>
      </c>
    </row>
    <row r="12" spans="3:14" x14ac:dyDescent="0.35">
      <c r="D12" s="4"/>
      <c r="E12" s="4"/>
      <c r="F12" s="4"/>
      <c r="G12" s="4">
        <f t="shared" si="0"/>
        <v>0</v>
      </c>
      <c r="H12" s="4"/>
      <c r="I12" s="4"/>
      <c r="J12" s="4"/>
      <c r="K12" s="4">
        <f t="shared" si="1"/>
        <v>0</v>
      </c>
      <c r="L12" s="4"/>
      <c r="M12" s="4"/>
      <c r="N12" s="4">
        <f t="shared" si="2"/>
        <v>0</v>
      </c>
    </row>
    <row r="13" spans="3:14" x14ac:dyDescent="0.35">
      <c r="D13" s="4"/>
      <c r="E13" s="4"/>
      <c r="F13" s="4"/>
      <c r="G13" s="4">
        <f t="shared" si="0"/>
        <v>0</v>
      </c>
      <c r="H13" s="4"/>
      <c r="I13" s="4"/>
      <c r="J13" s="4"/>
      <c r="K13" s="4">
        <f t="shared" si="1"/>
        <v>0</v>
      </c>
      <c r="L13" s="4"/>
      <c r="M13" s="4"/>
      <c r="N13" s="4">
        <f t="shared" si="2"/>
        <v>0</v>
      </c>
    </row>
    <row r="14" spans="3:14" x14ac:dyDescent="0.35">
      <c r="D14" s="4" t="s">
        <v>82</v>
      </c>
      <c r="E14" s="4"/>
      <c r="F14" s="4"/>
      <c r="G14" s="4">
        <f t="shared" si="0"/>
        <v>0</v>
      </c>
      <c r="H14" s="4" t="s">
        <v>96</v>
      </c>
      <c r="I14" s="4"/>
      <c r="J14" s="4"/>
      <c r="K14" s="4">
        <f t="shared" si="1"/>
        <v>0</v>
      </c>
      <c r="L14" s="4"/>
      <c r="M14" s="4"/>
      <c r="N14" s="4">
        <f t="shared" si="2"/>
        <v>0</v>
      </c>
    </row>
    <row r="15" spans="3:14" x14ac:dyDescent="0.35">
      <c r="D15" s="4"/>
      <c r="E15" s="4"/>
      <c r="F15" s="4"/>
      <c r="G15" s="4">
        <f t="shared" si="0"/>
        <v>0</v>
      </c>
      <c r="H15" s="4" t="s">
        <v>97</v>
      </c>
      <c r="I15" s="4"/>
      <c r="J15" s="4"/>
      <c r="K15" s="4">
        <f t="shared" si="1"/>
        <v>0</v>
      </c>
      <c r="L15" s="4"/>
      <c r="M15" s="4"/>
      <c r="N15" s="4">
        <f t="shared" si="2"/>
        <v>0</v>
      </c>
    </row>
    <row r="16" spans="3:14" x14ac:dyDescent="0.35">
      <c r="D16" s="4"/>
      <c r="E16" s="4"/>
      <c r="F16" s="4"/>
      <c r="G16" s="4">
        <f t="shared" si="0"/>
        <v>0</v>
      </c>
      <c r="H16" s="4"/>
      <c r="I16" s="4"/>
      <c r="J16" s="4"/>
      <c r="K16" s="4">
        <f t="shared" si="1"/>
        <v>0</v>
      </c>
      <c r="L16" s="4"/>
      <c r="M16" s="4"/>
      <c r="N16" s="4">
        <f t="shared" si="2"/>
        <v>0</v>
      </c>
    </row>
    <row r="17" spans="4:14" x14ac:dyDescent="0.35">
      <c r="D17" s="4"/>
      <c r="E17" s="4"/>
      <c r="F17" s="4"/>
      <c r="G17" s="4">
        <f t="shared" si="0"/>
        <v>0</v>
      </c>
      <c r="H17" s="4"/>
      <c r="I17" s="4"/>
      <c r="J17" s="4"/>
      <c r="K17" s="4">
        <f t="shared" si="1"/>
        <v>0</v>
      </c>
      <c r="L17" s="4"/>
      <c r="M17" s="4"/>
      <c r="N17" s="4">
        <f t="shared" si="2"/>
        <v>0</v>
      </c>
    </row>
    <row r="18" spans="4:14" x14ac:dyDescent="0.35">
      <c r="D18" s="4" t="s">
        <v>83</v>
      </c>
      <c r="E18" s="4"/>
      <c r="F18" s="4"/>
      <c r="G18" s="4">
        <f t="shared" si="0"/>
        <v>0</v>
      </c>
      <c r="H18" s="4" t="s">
        <v>96</v>
      </c>
      <c r="I18" s="4"/>
      <c r="J18" s="4"/>
      <c r="K18" s="4">
        <f t="shared" si="1"/>
        <v>0</v>
      </c>
      <c r="L18" s="4"/>
      <c r="M18" s="4"/>
      <c r="N18" s="4">
        <f t="shared" si="2"/>
        <v>0</v>
      </c>
    </row>
    <row r="19" spans="4:14" x14ac:dyDescent="0.35">
      <c r="D19" s="4"/>
      <c r="E19" s="4"/>
      <c r="F19" s="4"/>
      <c r="G19" s="4">
        <f t="shared" si="0"/>
        <v>0</v>
      </c>
      <c r="H19" s="4" t="s">
        <v>97</v>
      </c>
      <c r="I19" s="4"/>
      <c r="J19" s="4"/>
      <c r="K19" s="4">
        <f t="shared" si="1"/>
        <v>0</v>
      </c>
      <c r="L19" s="4"/>
      <c r="M19" s="4"/>
      <c r="N19" s="4">
        <f t="shared" si="2"/>
        <v>0</v>
      </c>
    </row>
    <row r="20" spans="4:14" x14ac:dyDescent="0.35">
      <c r="D20" s="4"/>
      <c r="E20" s="4"/>
      <c r="F20" s="4"/>
      <c r="G20" s="4">
        <f t="shared" si="0"/>
        <v>0</v>
      </c>
      <c r="H20" s="4"/>
      <c r="I20" s="4"/>
      <c r="J20" s="4"/>
      <c r="K20" s="4">
        <f t="shared" si="1"/>
        <v>0</v>
      </c>
      <c r="L20" s="4"/>
      <c r="M20" s="4"/>
      <c r="N20" s="4">
        <f t="shared" si="2"/>
        <v>0</v>
      </c>
    </row>
    <row r="21" spans="4:14" x14ac:dyDescent="0.35">
      <c r="D21" s="4" t="s">
        <v>83</v>
      </c>
      <c r="E21" s="4"/>
      <c r="F21" s="4"/>
      <c r="G21" s="4">
        <f t="shared" si="0"/>
        <v>0</v>
      </c>
      <c r="H21" s="4" t="s">
        <v>96</v>
      </c>
      <c r="I21" s="4"/>
      <c r="J21" s="4"/>
      <c r="K21" s="4">
        <f t="shared" si="1"/>
        <v>0</v>
      </c>
      <c r="L21" s="4"/>
      <c r="M21" s="4"/>
      <c r="N21" s="4">
        <f t="shared" si="2"/>
        <v>0</v>
      </c>
    </row>
    <row r="22" spans="4:14" x14ac:dyDescent="0.35">
      <c r="D22" s="4"/>
      <c r="E22" s="4"/>
      <c r="F22" s="4"/>
      <c r="G22" s="4">
        <f t="shared" si="0"/>
        <v>0</v>
      </c>
      <c r="H22" s="4" t="s">
        <v>97</v>
      </c>
      <c r="I22" s="4"/>
      <c r="J22" s="4"/>
      <c r="K22" s="4">
        <f t="shared" si="1"/>
        <v>0</v>
      </c>
      <c r="L22" s="4"/>
      <c r="M22" s="4"/>
      <c r="N22" s="4">
        <f t="shared" si="2"/>
        <v>0</v>
      </c>
    </row>
    <row r="23" spans="4:14" x14ac:dyDescent="0.35">
      <c r="D23" s="4"/>
      <c r="E23" s="4"/>
      <c r="F23" s="4"/>
      <c r="G23" s="4">
        <f t="shared" si="0"/>
        <v>0</v>
      </c>
      <c r="H23" s="4"/>
      <c r="I23" s="4"/>
      <c r="J23" s="4"/>
      <c r="K23" s="4">
        <f t="shared" si="1"/>
        <v>0</v>
      </c>
      <c r="L23" s="4"/>
      <c r="M23" s="4"/>
      <c r="N23" s="4">
        <f t="shared" si="2"/>
        <v>0</v>
      </c>
    </row>
    <row r="24" spans="4:14" x14ac:dyDescent="0.35">
      <c r="D24" s="4" t="s">
        <v>89</v>
      </c>
      <c r="E24" s="4"/>
      <c r="F24" s="4"/>
      <c r="G24" s="4">
        <f t="shared" si="0"/>
        <v>0</v>
      </c>
      <c r="H24" s="4" t="s">
        <v>98</v>
      </c>
      <c r="I24" s="4"/>
      <c r="J24" s="4"/>
      <c r="K24" s="4">
        <f t="shared" si="1"/>
        <v>0</v>
      </c>
      <c r="L24" s="4"/>
      <c r="M24" s="4"/>
      <c r="N24" s="4">
        <f t="shared" si="2"/>
        <v>0</v>
      </c>
    </row>
    <row r="25" spans="4:14" x14ac:dyDescent="0.35">
      <c r="D25" s="4" t="s">
        <v>90</v>
      </c>
      <c r="E25" s="4"/>
      <c r="F25" s="4"/>
      <c r="G25" s="4">
        <f t="shared" si="0"/>
        <v>0</v>
      </c>
      <c r="H25" s="4" t="s">
        <v>98</v>
      </c>
      <c r="I25" s="4"/>
      <c r="J25" s="4"/>
      <c r="K25" s="4">
        <f t="shared" si="1"/>
        <v>0</v>
      </c>
      <c r="L25" s="4"/>
      <c r="M25" s="4"/>
      <c r="N25" s="4">
        <f t="shared" si="2"/>
        <v>0</v>
      </c>
    </row>
    <row r="26" spans="4:14" x14ac:dyDescent="0.35">
      <c r="D26" s="4" t="s">
        <v>91</v>
      </c>
      <c r="E26" s="4"/>
      <c r="F26" s="4"/>
      <c r="G26" s="4">
        <f t="shared" si="0"/>
        <v>0</v>
      </c>
      <c r="H26" s="4" t="s">
        <v>98</v>
      </c>
      <c r="I26" s="4"/>
      <c r="J26" s="4"/>
      <c r="K26" s="4">
        <f t="shared" si="1"/>
        <v>0</v>
      </c>
      <c r="L26" s="4"/>
      <c r="M26" s="4"/>
      <c r="N26" s="4">
        <f t="shared" si="2"/>
        <v>0</v>
      </c>
    </row>
    <row r="27" spans="4:14" x14ac:dyDescent="0.35">
      <c r="D27" s="4"/>
      <c r="E27" s="4"/>
      <c r="F27" s="4"/>
      <c r="G27" s="4">
        <f t="shared" si="0"/>
        <v>0</v>
      </c>
      <c r="H27" s="4"/>
      <c r="I27" s="4"/>
      <c r="J27" s="4"/>
      <c r="K27" s="4">
        <f t="shared" si="1"/>
        <v>0</v>
      </c>
      <c r="L27" s="4"/>
      <c r="M27" s="4"/>
      <c r="N27" s="4">
        <f t="shared" si="2"/>
        <v>0</v>
      </c>
    </row>
    <row r="28" spans="4:14" x14ac:dyDescent="0.35">
      <c r="D28" s="4" t="s">
        <v>85</v>
      </c>
      <c r="E28" s="4"/>
      <c r="F28" s="4"/>
      <c r="G28" s="4">
        <f t="shared" si="0"/>
        <v>0</v>
      </c>
      <c r="H28" s="4"/>
      <c r="I28" s="4"/>
      <c r="J28" s="4"/>
      <c r="K28" s="4">
        <f t="shared" si="1"/>
        <v>0</v>
      </c>
      <c r="L28" s="4"/>
      <c r="M28" s="4"/>
      <c r="N28" s="4">
        <f t="shared" si="2"/>
        <v>0</v>
      </c>
    </row>
    <row r="29" spans="4:14" x14ac:dyDescent="0.35">
      <c r="D29" s="4" t="s">
        <v>86</v>
      </c>
      <c r="E29" s="4"/>
      <c r="F29" s="4"/>
      <c r="G29" s="4">
        <f t="shared" si="0"/>
        <v>0</v>
      </c>
      <c r="H29" s="4"/>
      <c r="I29" s="4"/>
      <c r="J29" s="4"/>
      <c r="K29" s="4">
        <f t="shared" si="1"/>
        <v>0</v>
      </c>
      <c r="L29" s="4"/>
      <c r="M29" s="4"/>
      <c r="N29" s="4">
        <f t="shared" si="2"/>
        <v>0</v>
      </c>
    </row>
    <row r="30" spans="4:14" x14ac:dyDescent="0.35">
      <c r="D30" s="4" t="s">
        <v>87</v>
      </c>
      <c r="E30" s="4"/>
      <c r="F30" s="4"/>
      <c r="G30" s="4">
        <f t="shared" si="0"/>
        <v>0</v>
      </c>
      <c r="H30" s="4"/>
      <c r="I30" s="4"/>
      <c r="J30" s="4"/>
      <c r="K30" s="4">
        <f t="shared" si="1"/>
        <v>0</v>
      </c>
      <c r="L30" s="4"/>
      <c r="M30" s="4"/>
      <c r="N30" s="4">
        <f t="shared" si="2"/>
        <v>0</v>
      </c>
    </row>
    <row r="31" spans="4:14" x14ac:dyDescent="0.35">
      <c r="D31" s="4" t="s">
        <v>88</v>
      </c>
      <c r="E31" s="4"/>
      <c r="F31" s="4"/>
      <c r="G31" s="4">
        <f t="shared" si="0"/>
        <v>0</v>
      </c>
      <c r="H31" s="4"/>
      <c r="I31" s="4"/>
      <c r="J31" s="4"/>
      <c r="K31" s="4">
        <f t="shared" si="1"/>
        <v>0</v>
      </c>
      <c r="L31" s="4"/>
      <c r="M31" s="4"/>
      <c r="N31" s="4">
        <f t="shared" si="2"/>
        <v>0</v>
      </c>
    </row>
    <row r="32" spans="4:14" x14ac:dyDescent="0.35">
      <c r="D32" s="4"/>
      <c r="E32" s="4"/>
      <c r="F32" s="4"/>
      <c r="G32" s="4">
        <f t="shared" si="0"/>
        <v>0</v>
      </c>
      <c r="H32" s="4"/>
      <c r="I32" s="4"/>
      <c r="J32" s="4"/>
      <c r="K32" s="4">
        <f t="shared" si="1"/>
        <v>0</v>
      </c>
      <c r="L32" s="4"/>
      <c r="M32" s="4"/>
      <c r="N32" s="4">
        <f t="shared" si="2"/>
        <v>0</v>
      </c>
    </row>
    <row r="33" spans="4:14" x14ac:dyDescent="0.35">
      <c r="D33" s="4"/>
      <c r="E33" s="4"/>
      <c r="F33" s="4"/>
      <c r="G33" s="4">
        <f t="shared" si="0"/>
        <v>0</v>
      </c>
      <c r="H33" s="4"/>
      <c r="I33" s="4"/>
      <c r="J33" s="4"/>
      <c r="K33" s="4">
        <f t="shared" si="1"/>
        <v>0</v>
      </c>
      <c r="L33" s="4"/>
      <c r="M33" s="4"/>
      <c r="N33" s="4">
        <f t="shared" si="2"/>
        <v>0</v>
      </c>
    </row>
    <row r="34" spans="4:14" x14ac:dyDescent="0.35">
      <c r="D34" s="4"/>
      <c r="E34" s="4"/>
      <c r="F34" s="4"/>
      <c r="G34" s="4">
        <f t="shared" si="0"/>
        <v>0</v>
      </c>
      <c r="H34" s="4"/>
      <c r="I34" s="4"/>
      <c r="J34" s="4"/>
      <c r="K34" s="4">
        <f t="shared" si="1"/>
        <v>0</v>
      </c>
      <c r="L34" s="4"/>
      <c r="M34" s="4"/>
      <c r="N34" s="4">
        <f t="shared" si="2"/>
        <v>0</v>
      </c>
    </row>
    <row r="35" spans="4:14" x14ac:dyDescent="0.35">
      <c r="D35" s="4" t="s">
        <v>92</v>
      </c>
      <c r="E35" s="4"/>
      <c r="F35" s="4">
        <f>G35*10.764</f>
        <v>0</v>
      </c>
      <c r="G35" s="4">
        <f>SUM(G7:G34)</f>
        <v>0</v>
      </c>
      <c r="H35" s="4"/>
      <c r="I35" s="4"/>
      <c r="J35" s="4">
        <f>K35*10.764</f>
        <v>0</v>
      </c>
      <c r="K35" s="4">
        <f>SUM(K7:K34)</f>
        <v>0</v>
      </c>
      <c r="L35" s="4"/>
      <c r="M35" s="4">
        <f>N35*10.764</f>
        <v>0</v>
      </c>
      <c r="N35" s="4">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Sheet1</vt:lpstr>
      <vt:lpstr>A%</vt:lpstr>
      <vt:lpstr>B%</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2025-06-26T12:16:21Z</cp:lastPrinted>
  <dcterms:created xsi:type="dcterms:W3CDTF">2013-11-23T05:32:33Z</dcterms:created>
  <dcterms:modified xsi:type="dcterms:W3CDTF">2025-09-19T07:40:49Z</dcterms:modified>
</cp:coreProperties>
</file>