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Sept 2025\19-09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Research" sheetId="4" r:id="rId3"/>
  </sheets>
  <definedNames>
    <definedName name="_xlnm.Print_Area" localSheetId="0">Report!$A$1:$H$379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95" i="1" l="1"/>
  <c r="I55" i="1" l="1"/>
  <c r="I56" i="1" l="1"/>
  <c r="J54" i="1" l="1"/>
  <c r="I54" i="1"/>
  <c r="A175" i="1" l="1"/>
  <c r="A171" i="1"/>
  <c r="A167" i="1"/>
  <c r="A162" i="1"/>
  <c r="A157" i="1"/>
  <c r="A152" i="1"/>
  <c r="A142" i="1"/>
  <c r="A137" i="1"/>
  <c r="A132" i="1"/>
  <c r="E132" i="1"/>
  <c r="D176" i="1"/>
  <c r="I168" i="1"/>
  <c r="I172" i="1"/>
  <c r="J172" i="1"/>
  <c r="D172" i="1"/>
  <c r="D168" i="1"/>
  <c r="E168" i="1"/>
  <c r="E144" i="1"/>
  <c r="E143" i="1"/>
  <c r="D144" i="1"/>
  <c r="D143" i="1"/>
  <c r="D141" i="1"/>
  <c r="A147" i="1"/>
  <c r="E131" i="1"/>
  <c r="D119" i="1"/>
  <c r="I115" i="1"/>
  <c r="C101" i="1" l="1"/>
  <c r="E101" i="1"/>
  <c r="D175" i="1"/>
  <c r="F175" i="1" s="1"/>
  <c r="D174" i="1"/>
  <c r="F174" i="1" s="1"/>
  <c r="D171" i="1"/>
  <c r="F171" i="1" s="1"/>
  <c r="D170" i="1"/>
  <c r="F170" i="1" s="1"/>
  <c r="F168" i="1"/>
  <c r="D167" i="1"/>
  <c r="F167" i="1" s="1"/>
  <c r="G166" i="1"/>
  <c r="D166" i="1"/>
  <c r="F166" i="1" s="1"/>
  <c r="F172" i="1"/>
  <c r="G170" i="1"/>
  <c r="F176" i="1"/>
  <c r="G174" i="1"/>
  <c r="D164" i="1"/>
  <c r="F164" i="1" s="1"/>
  <c r="D163" i="1"/>
  <c r="F163" i="1" s="1"/>
  <c r="D162" i="1"/>
  <c r="F162" i="1" s="1"/>
  <c r="D161" i="1"/>
  <c r="D159" i="1"/>
  <c r="D158" i="1"/>
  <c r="D157" i="1"/>
  <c r="D156" i="1"/>
  <c r="D154" i="1"/>
  <c r="F154" i="1" s="1"/>
  <c r="D153" i="1"/>
  <c r="F153" i="1" s="1"/>
  <c r="D152" i="1"/>
  <c r="F152" i="1" s="1"/>
  <c r="G151" i="1"/>
  <c r="D151" i="1"/>
  <c r="F151" i="1" s="1"/>
  <c r="D147" i="1"/>
  <c r="D146" i="1"/>
  <c r="D142" i="1"/>
  <c r="J140" i="1"/>
  <c r="D137" i="1"/>
  <c r="D136" i="1"/>
  <c r="D132" i="1"/>
  <c r="D131" i="1"/>
  <c r="F119" i="1"/>
  <c r="G101" i="1" s="1"/>
  <c r="D113" i="1"/>
  <c r="E42" i="1"/>
  <c r="I42" i="1"/>
  <c r="L151" i="1" l="1"/>
  <c r="D148" i="1"/>
  <c r="D149" i="1"/>
  <c r="C105" i="1" l="1"/>
  <c r="C106" i="1" s="1"/>
  <c r="E105" i="1"/>
  <c r="E106" i="1" s="1"/>
  <c r="P127" i="1"/>
  <c r="N127" i="1"/>
  <c r="O127" i="1"/>
  <c r="L127" i="1"/>
  <c r="D118" i="1"/>
  <c r="D117" i="1"/>
  <c r="D116" i="1"/>
  <c r="D115" i="1"/>
  <c r="D114" i="1"/>
  <c r="K113" i="1"/>
  <c r="J110" i="1"/>
  <c r="E100" i="1" l="1"/>
  <c r="E102" i="1" s="1"/>
  <c r="E107" i="1" s="1"/>
  <c r="A179" i="1" l="1"/>
  <c r="A180" i="1" s="1"/>
  <c r="A181" i="1" s="1"/>
  <c r="A182" i="1" s="1"/>
  <c r="A183" i="1" s="1"/>
  <c r="A184" i="1" s="1"/>
  <c r="A185" i="1" s="1"/>
  <c r="A186" i="1" s="1"/>
  <c r="I132" i="1"/>
  <c r="A189" i="1" l="1"/>
  <c r="A190" i="1" s="1"/>
  <c r="A191" i="1" s="1"/>
  <c r="A192" i="1" s="1"/>
  <c r="A193" i="1" s="1"/>
  <c r="A194" i="1" s="1"/>
  <c r="A187" i="1"/>
  <c r="I127" i="1"/>
  <c r="J139" i="1"/>
  <c r="K139" i="1"/>
  <c r="I139" i="1"/>
  <c r="F136" i="1"/>
  <c r="K127" i="1"/>
  <c r="K128" i="1"/>
  <c r="J128" i="1"/>
  <c r="I128" i="1"/>
  <c r="J127" i="1"/>
  <c r="I109" i="1"/>
  <c r="J112" i="1"/>
  <c r="I112" i="1"/>
  <c r="I110" i="1"/>
  <c r="G121" i="1"/>
  <c r="G161" i="1"/>
  <c r="F161" i="1"/>
  <c r="F157" i="1"/>
  <c r="G156" i="1"/>
  <c r="F156" i="1"/>
  <c r="G136" i="1"/>
  <c r="F118" i="1"/>
  <c r="F117" i="1"/>
  <c r="C100" i="1"/>
  <c r="C102" i="1" s="1"/>
  <c r="C107" i="1" s="1"/>
  <c r="I43" i="1"/>
  <c r="F158" i="1" l="1"/>
  <c r="F159" i="1"/>
  <c r="F149" i="1"/>
  <c r="F148" i="1"/>
  <c r="Z12" i="1"/>
  <c r="I14" i="1"/>
  <c r="F131" i="1" l="1"/>
  <c r="F113" i="1"/>
  <c r="E43" i="1" l="1"/>
  <c r="E44" i="1" s="1"/>
  <c r="C15" i="1" l="1"/>
  <c r="E30" i="1" l="1"/>
  <c r="F132" i="1" l="1"/>
  <c r="G131" i="1"/>
  <c r="F97" i="1" l="1"/>
  <c r="F114" i="1" l="1"/>
  <c r="F115" i="1"/>
  <c r="F116" i="1"/>
  <c r="G100" i="1" l="1"/>
  <c r="G102" i="1" s="1"/>
  <c r="B179" i="1"/>
  <c r="F147" i="1" l="1"/>
  <c r="F146" i="1"/>
  <c r="F144" i="1"/>
  <c r="F143" i="1"/>
  <c r="F142" i="1"/>
  <c r="F141" i="1"/>
  <c r="F137" i="1"/>
  <c r="G105" i="1" l="1"/>
  <c r="G106" i="1" s="1"/>
  <c r="B180" i="1"/>
  <c r="G107" i="1" l="1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08" i="1"/>
  <c r="G146" i="1"/>
  <c r="G141" i="1"/>
  <c r="A114" i="1"/>
  <c r="A115" i="1" s="1"/>
  <c r="A116" i="1" s="1"/>
  <c r="A117" i="1" s="1"/>
  <c r="A118" i="1" s="1"/>
  <c r="G113" i="1"/>
  <c r="C70" i="1"/>
  <c r="B71" i="1" s="1"/>
  <c r="D59" i="1"/>
  <c r="G50" i="1"/>
  <c r="C50" i="1"/>
  <c r="E27" i="1"/>
  <c r="E25" i="1"/>
  <c r="E7" i="1"/>
  <c r="E3" i="1"/>
  <c r="D64" i="1" l="1"/>
  <c r="H71" i="1"/>
  <c r="D83" i="1" l="1"/>
  <c r="D81" i="1"/>
  <c r="D80" i="1"/>
  <c r="D77" i="1"/>
  <c r="D79" i="1"/>
  <c r="J72" i="1"/>
  <c r="J73" i="1" s="1"/>
  <c r="J78" i="1" s="1"/>
  <c r="D82" i="1"/>
  <c r="J66" i="1"/>
  <c r="J68" i="1" s="1"/>
  <c r="D78" i="1"/>
  <c r="J70" i="1"/>
  <c r="J71" i="1"/>
  <c r="C74" i="1" s="1"/>
  <c r="D74" i="1" s="1"/>
  <c r="J69" i="1"/>
  <c r="J74" i="1"/>
  <c r="J75" i="1" s="1"/>
  <c r="J76" i="1" s="1"/>
  <c r="J77" i="1" s="1"/>
  <c r="D76" i="1"/>
  <c r="J79" i="1" l="1"/>
  <c r="C75" i="1" s="1"/>
  <c r="G74" i="1" s="1"/>
  <c r="D68" i="1" s="1"/>
  <c r="D69" i="1" s="1"/>
  <c r="J67" i="1" l="1"/>
  <c r="D75" i="1"/>
  <c r="I67" i="1" s="1"/>
  <c r="I68" i="1" s="1"/>
  <c r="E74" i="1"/>
  <c r="F69" i="1"/>
  <c r="I66" i="1" l="1"/>
  <c r="C72" i="1" s="1"/>
</calcChain>
</file>

<file path=xl/comments1.xml><?xml version="1.0" encoding="utf-8"?>
<comments xmlns="http://schemas.openxmlformats.org/spreadsheetml/2006/main">
  <authors>
    <author>Sachin</author>
    <author>SACHIN</author>
  </authors>
  <commentList>
    <comment ref="E11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C56" authorId="1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Height from AMSL</t>
        </r>
      </text>
    </comment>
    <comment ref="D59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<sst xmlns="http://schemas.openxmlformats.org/spreadsheetml/2006/main" count="460" uniqueCount="323">
  <si>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</si>
  <si>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</si>
  <si>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</si>
  <si>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</si>
  <si>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</si>
  <si>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</si>
  <si>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</si>
  <si>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</si>
  <si>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</si>
  <si>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</si>
  <si>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</si>
  <si>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</si>
  <si>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</si>
  <si>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</si>
  <si>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</si>
  <si>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</si>
  <si>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</si>
  <si>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</si>
  <si>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</si>
  <si>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</si>
  <si>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</si>
  <si>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</si>
  <si>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</si>
  <si>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</si>
  <si>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</si>
  <si>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</si>
  <si>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</si>
  <si>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</si>
  <si>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</si>
  <si>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</si>
  <si>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</si>
  <si>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</si>
  <si>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</si>
  <si>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</si>
  <si>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</si>
  <si>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</si>
  <si>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</si>
  <si>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</si>
  <si>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</si>
  <si>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</si>
  <si>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</si>
  <si>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</si>
  <si>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</si>
  <si>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</si>
  <si>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</si>
  <si>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</si>
  <si>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</si>
  <si>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</si>
  <si>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</si>
  <si>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</si>
  <si>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</si>
  <si>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</si>
  <si>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</si>
  <si>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</si>
  <si>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</si>
  <si>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</si>
  <si>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</si>
  <si>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</si>
  <si>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</si>
  <si>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</si>
  <si>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</si>
  <si>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</si>
  <si>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</si>
  <si>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</si>
  <si>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</si>
  <si>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</si>
  <si>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</si>
  <si>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</si>
  <si>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</si>
  <si>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</si>
  <si>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</si>
  <si>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</si>
  <si>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</si>
  <si>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</si>
  <si>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</si>
  <si>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</si>
  <si>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</si>
  <si>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</si>
  <si>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</si>
  <si>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</si>
  <si>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</si>
  <si>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</si>
  <si>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</si>
  <si>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</si>
  <si>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</si>
  <si>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</si>
  <si>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</si>
  <si>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</si>
  <si>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</si>
  <si>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</si>
  <si>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</si>
  <si>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</si>
  <si>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</si>
  <si>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</si>
  <si>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</si>
  <si>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</si>
  <si>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</si>
  <si>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</si>
  <si>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</si>
  <si>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</si>
  <si>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</si>
  <si>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</si>
  <si>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</si>
  <si>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</si>
  <si>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</si>
  <si>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</si>
  <si>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</si>
  <si>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</si>
  <si>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</si>
  <si>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</si>
  <si>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</si>
  <si>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</si>
  <si>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</si>
  <si>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</si>
  <si>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</si>
  <si>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</si>
  <si>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</si>
  <si>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</si>
  <si>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</si>
  <si>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</si>
  <si>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</si>
  <si>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</si>
  <si>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</si>
  <si>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</si>
  <si>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</si>
  <si>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</si>
  <si>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</si>
  <si>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</si>
  <si>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</si>
  <si>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</si>
  <si>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</si>
  <si>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</si>
  <si>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</si>
  <si>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</si>
  <si>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</si>
  <si>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</si>
  <si>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</si>
  <si>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</si>
  <si>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</si>
  <si>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</si>
  <si>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</si>
  <si>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</si>
  <si>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</si>
  <si>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</si>
  <si>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</si>
  <si>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</si>
  <si>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</si>
  <si>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</si>
  <si>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</si>
  <si>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</si>
  <si>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</si>
  <si>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</si>
  <si>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</si>
  <si>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</si>
  <si>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</si>
  <si>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</si>
  <si>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</si>
  <si>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</si>
  <si>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</si>
  <si>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</si>
  <si>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</si>
  <si>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</si>
  <si>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</si>
  <si>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</si>
  <si>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</si>
  <si>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</si>
  <si>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</si>
  <si>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</si>
  <si>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Approved Plans, CC, Sale Plans, Builder Saleable Area, Cost Sheet, Airport Noc, Railway Noc, OC</t>
  </si>
  <si>
    <t>Name / No of the Existing Building</t>
  </si>
  <si>
    <t>Mumbai</t>
  </si>
  <si>
    <t>As per Layout</t>
  </si>
  <si>
    <t xml:space="preserve">Details of Residential &amp; Commercials in Building   </t>
  </si>
  <si>
    <t>Floor Rise Rate from    Floor</t>
  </si>
  <si>
    <t>Shop No. (Sale Plan)</t>
  </si>
  <si>
    <t>Flat No. (Sale Plan)</t>
  </si>
  <si>
    <t xml:space="preserve">Thane </t>
  </si>
  <si>
    <t>Thane</t>
  </si>
  <si>
    <t>Shahpur</t>
  </si>
  <si>
    <t>Kalyan</t>
  </si>
  <si>
    <t>Bhiwandi</t>
  </si>
  <si>
    <t>Ulhasnagar</t>
  </si>
  <si>
    <t>Ambernath</t>
  </si>
  <si>
    <t>Murbad</t>
  </si>
  <si>
    <t>Mokhada</t>
  </si>
  <si>
    <t>Talasari</t>
  </si>
  <si>
    <t>Palghar</t>
  </si>
  <si>
    <t>Vasai</t>
  </si>
  <si>
    <t>Vikramgad</t>
  </si>
  <si>
    <t>Dahanu</t>
  </si>
  <si>
    <t>Wada</t>
  </si>
  <si>
    <t>Raigad</t>
  </si>
  <si>
    <t>Alibag</t>
  </si>
  <si>
    <t>Panvel</t>
  </si>
  <si>
    <t>Uran</t>
  </si>
  <si>
    <t>Karjat</t>
  </si>
  <si>
    <t>Khalapur</t>
  </si>
  <si>
    <t>Pen</t>
  </si>
  <si>
    <t>Sudhagad</t>
  </si>
  <si>
    <t>Mahad</t>
  </si>
  <si>
    <t>Roha</t>
  </si>
  <si>
    <t>Mangaon</t>
  </si>
  <si>
    <t>Poladpur</t>
  </si>
  <si>
    <t>Mahasala</t>
  </si>
  <si>
    <t>Shriwardhan</t>
  </si>
  <si>
    <t>Murud</t>
  </si>
  <si>
    <t>Andheri</t>
  </si>
  <si>
    <t>Borivali</t>
  </si>
  <si>
    <t>Kurla</t>
  </si>
  <si>
    <t>Pune</t>
  </si>
  <si>
    <t>Pune City</t>
  </si>
  <si>
    <t>Khed</t>
  </si>
  <si>
    <t>Baramati</t>
  </si>
  <si>
    <t>Junnar</t>
  </si>
  <si>
    <t>Shirur</t>
  </si>
  <si>
    <t>Indapur</t>
  </si>
  <si>
    <t>Daund</t>
  </si>
  <si>
    <t>Mawal</t>
  </si>
  <si>
    <t>Ambegaon</t>
  </si>
  <si>
    <t>Purandhar</t>
  </si>
  <si>
    <t>Bhor</t>
  </si>
  <si>
    <t>Mulshi</t>
  </si>
  <si>
    <t>Velhe</t>
  </si>
  <si>
    <t>Haveli</t>
  </si>
  <si>
    <t>Approved Plans, CC</t>
  </si>
  <si>
    <t>Approved Plans, CC, Sale Plans</t>
  </si>
  <si>
    <t>Approved Plans, CC, Sale Plans, Builder Saleable Area</t>
  </si>
  <si>
    <t>Approved Plans, CC, Sale Plans, Builder Saleable Area, Cost Sheet,</t>
  </si>
  <si>
    <t>Approved Plans, CC, Builder Saleable Area,</t>
  </si>
  <si>
    <t>Commencement-CC No</t>
  </si>
  <si>
    <t xml:space="preserve">Valid Up to: 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</si>
  <si>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Times New Roman"/>
        <family val="1"/>
      </rPr>
      <t xml:space="preserve">                                               </t>
    </r>
  </si>
  <si>
    <t>Axis Sanpada</t>
  </si>
  <si>
    <t>Aramus Ventures LLP</t>
  </si>
  <si>
    <t>The Domus Prive</t>
  </si>
  <si>
    <t>19.020778,73.014393</t>
  </si>
  <si>
    <t>https://goo.gl/maps/BoyvmvM9q3YQGNQt7</t>
  </si>
  <si>
    <t>P51700049114</t>
  </si>
  <si>
    <t>Plot No</t>
  </si>
  <si>
    <t>Internal Road</t>
  </si>
  <si>
    <t>Nerul</t>
  </si>
  <si>
    <t>Seawoods West</t>
  </si>
  <si>
    <t>Sai Sadan</t>
  </si>
  <si>
    <t>15.00 M. Wide Road</t>
  </si>
  <si>
    <t>Golden Sand CH</t>
  </si>
  <si>
    <t>Aramus Realty LLP</t>
  </si>
  <si>
    <t xml:space="preserve">As per RERA - 31/12/2026 </t>
  </si>
  <si>
    <t>Plot No 08</t>
  </si>
  <si>
    <t>Plot No 21</t>
  </si>
  <si>
    <t>Plot No 23</t>
  </si>
  <si>
    <t>Shop</t>
  </si>
  <si>
    <t>1st Floor For Commercial &amp; Driver Room</t>
  </si>
  <si>
    <t>2BHK</t>
  </si>
  <si>
    <t>3rd to 6th Floor</t>
  </si>
  <si>
    <t>14th Floor</t>
  </si>
  <si>
    <t>2nd Floor For Residential &amp; Parking Tower</t>
  </si>
  <si>
    <t>-</t>
  </si>
  <si>
    <t>NRV/A-17208</t>
  </si>
  <si>
    <t>600 M from Seawoods Darave Railway Station</t>
  </si>
  <si>
    <t>Terrace</t>
  </si>
  <si>
    <t>N. Terrace</t>
  </si>
  <si>
    <t>Parking Tower</t>
  </si>
  <si>
    <t>Gross Carpet area = Gross + Terrace+ Kitchen &amp; Bed Chajja (Considered As balcony)</t>
  </si>
  <si>
    <t xml:space="preserve">Terrace = Total terrace including Terrace attached to living </t>
  </si>
  <si>
    <t>22, Sector No. 40</t>
  </si>
  <si>
    <t>Remark No.  10</t>
  </si>
  <si>
    <t>As per the floor plan, the terrace is mentioned in all flats. but as per the sale plan, instead of a terrace area, a balcony is constructing for all flats.</t>
  </si>
  <si>
    <t>Ground Floor For Entrance Lobby, Commercial, Society Office, Pump Room, Fire Control Room &amp; Parking</t>
  </si>
  <si>
    <t>=</t>
  </si>
  <si>
    <t>https://housing.com/in/buy/projects/page/293311-aramus-the-domus-prive-by-aramus-realty-llp-in-nerul</t>
  </si>
  <si>
    <t>As per the floor plan, the terrace is mentioned in all flats. but as per the site visit, instead of a terrace area, a balcony is being constructed for all flats.</t>
  </si>
  <si>
    <t>Robotic Parking</t>
  </si>
  <si>
    <t>Gr + 1st to 19th Floor</t>
  </si>
  <si>
    <t>Sai Sadan/The Domus</t>
  </si>
  <si>
    <t>Mayur Ranvare</t>
  </si>
  <si>
    <t>Rate 500+ by smith verbal  On 31/03/2025</t>
  </si>
  <si>
    <t>Recommended Rates of the Property have been revised on 31/03/2025.</t>
  </si>
  <si>
    <t>Construction work is in process at the time of Visit. Internal visit not allowed.</t>
  </si>
  <si>
    <t>NRV/A-2598</t>
  </si>
  <si>
    <t>NMMC/TPO/ABP/2598/2024</t>
  </si>
  <si>
    <t>Office</t>
  </si>
  <si>
    <t>7th Floor (Refuge Balcony At Midlanding of Stairecase)</t>
  </si>
  <si>
    <t>8th to 11th &amp; 13th Floor</t>
  </si>
  <si>
    <t>12th Floor (Refuge Balcony At Midlanding of Stairecase)</t>
  </si>
  <si>
    <t>15th Floor</t>
  </si>
  <si>
    <t>16th Floor</t>
  </si>
  <si>
    <t>17th Floor</t>
  </si>
  <si>
    <t>18th Floor</t>
  </si>
  <si>
    <t>3BHK</t>
  </si>
  <si>
    <t>Total</t>
  </si>
  <si>
    <t>Flats - 55, Shops - 06, Office - 01</t>
  </si>
  <si>
    <t>Navi Mumbai Municipal Corporation (NMMC)</t>
  </si>
  <si>
    <t>Gr + 1st to 18th Floor</t>
  </si>
  <si>
    <t>Gr + 1st to 18th Floor 
(Residential Units = 55, Shop Units = 06 &amp; Office = 01)</t>
  </si>
  <si>
    <t>Office
Duplex With 1st Floor</t>
  </si>
  <si>
    <t>Offce Duplex With Ground Floor</t>
  </si>
  <si>
    <t>We considered Gross carpet area = Net carpet + Enclose balcony + Balcony Area</t>
  </si>
  <si>
    <t>3 + 4</t>
  </si>
  <si>
    <t xml:space="preserve">As per the approved floor plan, Flat no. 3 &amp; 4 are merged into single unit on 16th, 17th &amp; 18th floor. </t>
  </si>
  <si>
    <t>We have updated Airport Noc from AAI Portal on 21/06/2025</t>
  </si>
  <si>
    <t xml:space="preserve">Valid upto Dated </t>
  </si>
  <si>
    <t>NAVI/WEST/B/081821/571365</t>
  </si>
  <si>
    <t>Site Elevation (AMSL) = 6.14M
Permissible Top Elevation (AMSL) = 67.87M</t>
  </si>
  <si>
    <t>Vitrified tiles flooring, Granite Kitchen Platform, Decorative
Entrance, Robotic Parking, Lift etc.</t>
  </si>
  <si>
    <t xml:space="preserve">Airport Noc No.
Valid Up to: </t>
  </si>
  <si>
    <t>Mr. Rohit 8097203650</t>
  </si>
  <si>
    <t>Not As per proposed floor</t>
  </si>
  <si>
    <t>We have updated revised approved plans &amp; CC On 23/06/2025</t>
  </si>
  <si>
    <t>We have referred approved plans from RERA site on 23/06/2025</t>
  </si>
  <si>
    <t>Approved Plans, CC &amp; Cost Sheet, Fire Noc</t>
  </si>
  <si>
    <t xml:space="preserve">Fire Noc No
Valid Up to: </t>
  </si>
  <si>
    <t>Gr + 1st to 18th Floor (Height =59.07 Mtrs)</t>
  </si>
  <si>
    <t>Fire/HO/VASHI/4605/2023</t>
  </si>
  <si>
    <t>Building Details Floor Wise</t>
  </si>
  <si>
    <t xml:space="preserve">which is also refered airport noc.
</t>
  </si>
  <si>
    <t>We have updated Fire Noc on 23/06/2025.</t>
  </si>
  <si>
    <t>As per the approved plan dated dtd.22/07/2024, the building has reached its maximum height of 61.55 m. (Upto OHT) also referred with Airport NOC.</t>
  </si>
  <si>
    <t>We have updated Airport Noc from AAI Portal on 23/06/2025</t>
  </si>
  <si>
    <t>When proposed G +19
Required Revised Airport NOC</t>
  </si>
  <si>
    <t>Building Proposed Floor 19, 
when buidling  is ready  g+ 18 then these remark will delete.</t>
  </si>
  <si>
    <t>As per the approved floor plan dtd.22/07/2024, the building height is 61.55 Mtrs (Upto OHT), which is reached up to his maximum height limit of 61.73 Mtrs with reference to the airport NOC.</t>
  </si>
  <si>
    <t>Pooja Kawale</t>
  </si>
  <si>
    <t>Please provide revised CC &amp; approved floor plans.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</si>
</sst>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0.000"/>
  </numFmts>
  <fonts count="32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FF0000"/>
      <name val="Times New Roman"/>
      <family val="1"/>
    </font>
    <font>
      <b/>
      <sz val="22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234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20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3" xfId="8" applyFont="1" applyFill="1" applyBorder="1" applyAlignment="1" applyProtection="1">
      <alignment horizontal="center" vertical="top" wrapText="1"/>
      <protection locked="0"/>
    </xf>
    <xf numFmtId="0" fontId="18" fillId="0" borderId="0" xfId="0" applyFont="1" applyProtection="1">
      <protection hidden="1"/>
    </xf>
    <xf numFmtId="0" fontId="18" fillId="0" borderId="8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4" fillId="0" borderId="0" xfId="1" applyFont="1"/>
    <xf numFmtId="0" fontId="7" fillId="0" borderId="7" xfId="1" applyFont="1" applyBorder="1"/>
    <xf numFmtId="0" fontId="18" fillId="0" borderId="7" xfId="0" applyFont="1" applyBorder="1" applyProtection="1">
      <protection hidden="1"/>
    </xf>
    <xf numFmtId="1" fontId="0" fillId="0" borderId="7" xfId="0" applyNumberFormat="1" applyBorder="1"/>
    <xf numFmtId="1" fontId="0" fillId="0" borderId="7" xfId="0" applyNumberFormat="1" applyBorder="1" applyAlignment="1">
      <alignment horizontal="right"/>
    </xf>
    <xf numFmtId="1" fontId="0" fillId="0" borderId="9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25" fillId="2" borderId="24" xfId="0" applyFont="1" applyFill="1" applyBorder="1"/>
    <xf numFmtId="0" fontId="26" fillId="0" borderId="25" xfId="0" applyFont="1" applyBorder="1"/>
    <xf numFmtId="0" fontId="26" fillId="0" borderId="1" xfId="0" applyFont="1" applyBorder="1"/>
    <xf numFmtId="0" fontId="26" fillId="0" borderId="4" xfId="0" applyFont="1" applyBorder="1"/>
    <xf numFmtId="0" fontId="12" fillId="0" borderId="1" xfId="1" applyFont="1" applyBorder="1" applyAlignment="1" applyProtection="1">
      <alignment horizontal="center" vertical="top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0" borderId="0" xfId="1" applyFont="1" applyAlignment="1"/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12" fillId="0" borderId="1" xfId="1" applyNumberFormat="1" applyFont="1" applyBorder="1" applyAlignment="1" applyProtection="1">
      <alignment horizontal="center" vertical="center" wrapText="1"/>
      <protection locked="0"/>
    </xf>
    <xf numFmtId="2" fontId="7" fillId="0" borderId="0" xfId="1" applyNumberFormat="1" applyFont="1" applyAlignment="1">
      <alignment horizontal="center" vertical="center"/>
    </xf>
    <xf numFmtId="0" fontId="15" fillId="0" borderId="0" xfId="1" applyFont="1" applyAlignment="1">
      <alignment horizontal="center" vertical="center"/>
    </xf>
    <xf numFmtId="168" fontId="7" fillId="0" borderId="0" xfId="1" applyNumberFormat="1" applyFont="1" applyAlignment="1">
      <alignment horizontal="center" vertical="center"/>
    </xf>
    <xf numFmtId="1" fontId="30" fillId="0" borderId="0" xfId="1" applyNumberFormat="1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1" fontId="7" fillId="0" borderId="1" xfId="1" applyNumberFormat="1" applyFont="1" applyBorder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4" xfId="1" applyFont="1" applyBorder="1" applyAlignment="1" applyProtection="1">
      <alignment vertical="top"/>
      <protection locked="0"/>
    </xf>
    <xf numFmtId="0" fontId="6" fillId="0" borderId="15" xfId="1" applyFont="1" applyBorder="1" applyAlignment="1" applyProtection="1">
      <alignment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wrapText="1"/>
    </xf>
    <xf numFmtId="0" fontId="12" fillId="0" borderId="1" xfId="1" applyFont="1" applyBorder="1" applyAlignment="1" applyProtection="1">
      <alignment vertical="top" wrapText="1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0" fontId="17" fillId="0" borderId="22" xfId="1" applyFont="1" applyBorder="1" applyAlignment="1">
      <alignment horizontal="center" wrapText="1"/>
    </xf>
    <xf numFmtId="0" fontId="17" fillId="0" borderId="0" xfId="1" applyFont="1" applyAlignment="1">
      <alignment horizontal="center" wrapText="1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6" xfId="1" applyFont="1" applyBorder="1" applyAlignment="1" applyProtection="1">
      <alignment horizontal="left" vertical="top" wrapText="1"/>
      <protection locked="0"/>
    </xf>
    <xf numFmtId="14" fontId="6" fillId="0" borderId="5" xfId="1" applyNumberFormat="1" applyFont="1" applyBorder="1" applyAlignment="1" applyProtection="1">
      <alignment horizontal="left" vertical="top" wrapText="1"/>
      <protection locked="0"/>
    </xf>
    <xf numFmtId="14" fontId="6" fillId="0" borderId="6" xfId="1" applyNumberFormat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/>
      <protection locked="0"/>
    </xf>
    <xf numFmtId="0" fontId="6" fillId="0" borderId="16" xfId="1" applyFont="1" applyBorder="1" applyAlignment="1" applyProtection="1">
      <alignment horizontal="left" vertical="top"/>
      <protection locked="0"/>
    </xf>
    <xf numFmtId="0" fontId="6" fillId="0" borderId="17" xfId="1" applyFont="1" applyBorder="1" applyAlignment="1" applyProtection="1">
      <alignment horizontal="left" vertical="top"/>
      <protection locked="0"/>
    </xf>
    <xf numFmtId="1" fontId="10" fillId="0" borderId="1" xfId="0" applyNumberFormat="1" applyFont="1" applyBorder="1" applyAlignment="1" applyProtection="1">
      <alignment vertical="top" wrapText="1"/>
      <protection locked="0"/>
    </xf>
    <xf numFmtId="0" fontId="31" fillId="0" borderId="22" xfId="1" applyFont="1" applyBorder="1" applyAlignment="1">
      <alignment horizontal="left" wrapText="1"/>
    </xf>
    <xf numFmtId="0" fontId="31" fillId="0" borderId="0" xfId="1" applyFont="1" applyBorder="1" applyAlignment="1">
      <alignment horizontal="left" wrapText="1"/>
    </xf>
    <xf numFmtId="1" fontId="17" fillId="0" borderId="1" xfId="0" applyNumberFormat="1" applyFont="1" applyBorder="1" applyAlignment="1" applyProtection="1">
      <alignment vertical="top" wrapText="1"/>
      <protection locked="0"/>
    </xf>
    <xf numFmtId="0" fontId="12" fillId="0" borderId="5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12" fillId="0" borderId="6" xfId="1" applyFont="1" applyBorder="1" applyAlignment="1" applyProtection="1">
      <alignment horizontal="left" vertical="top" wrapText="1"/>
      <protection locked="0"/>
    </xf>
    <xf numFmtId="14" fontId="12" fillId="0" borderId="5" xfId="1" applyNumberFormat="1" applyFont="1" applyBorder="1" applyAlignment="1" applyProtection="1">
      <alignment horizontal="left" vertical="top" wrapText="1"/>
      <protection locked="0"/>
    </xf>
    <xf numFmtId="14" fontId="12" fillId="0" borderId="6" xfId="1" applyNumberFormat="1" applyFont="1" applyBorder="1" applyAlignment="1" applyProtection="1">
      <alignment horizontal="left" vertical="top" wrapText="1"/>
      <protection locked="0"/>
    </xf>
    <xf numFmtId="0" fontId="12" fillId="0" borderId="14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/>
      <protection locked="0"/>
    </xf>
    <xf numFmtId="0" fontId="12" fillId="0" borderId="16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" fontId="6" fillId="0" borderId="2" xfId="0" applyNumberFormat="1" applyFont="1" applyBorder="1" applyAlignment="1" applyProtection="1">
      <alignment horizontal="center" vertical="center" wrapText="1"/>
      <protection locked="0"/>
    </xf>
    <xf numFmtId="1" fontId="7" fillId="0" borderId="2" xfId="0" applyNumberFormat="1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8" fillId="0" borderId="18" xfId="1" applyNumberFormat="1" applyFont="1" applyBorder="1" applyAlignment="1" applyProtection="1">
      <alignment horizontal="center" vertical="center" wrapText="1"/>
      <protection locked="0"/>
    </xf>
    <xf numFmtId="1" fontId="8" fillId="0" borderId="6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0" xfId="1" applyNumberFormat="1" applyFont="1" applyBorder="1" applyAlignment="1" applyProtection="1">
      <alignment horizontal="center" vertical="center" wrapText="1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1" fontId="6" fillId="0" borderId="6" xfId="1" applyNumberFormat="1" applyFont="1" applyBorder="1" applyAlignment="1" applyProtection="1">
      <alignment horizontal="center" vertical="center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30" fillId="0" borderId="22" xfId="1" applyNumberFormat="1" applyFont="1" applyBorder="1" applyAlignment="1">
      <alignment horizontal="center" vertical="center" wrapText="1"/>
    </xf>
    <xf numFmtId="0" fontId="27" fillId="0" borderId="0" xfId="10" applyAlignment="1">
      <alignment horizontal="center" vertical="center"/>
    </xf>
    <xf numFmtId="1" fontId="6" fillId="0" borderId="14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5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2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0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3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6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6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7" xfId="1" applyNumberFormat="1" applyFont="1" applyFill="1" applyBorder="1" applyAlignment="1" applyProtection="1">
      <alignment horizontal="center" vertical="center" wrapText="1"/>
      <protection locked="0"/>
    </xf>
    <xf numFmtId="1" fontId="13" fillId="0" borderId="5" xfId="0" applyNumberFormat="1" applyFont="1" applyBorder="1" applyAlignment="1" applyProtection="1">
      <alignment vertical="top" wrapText="1"/>
      <protection locked="0"/>
    </xf>
    <xf numFmtId="1" fontId="13" fillId="0" borderId="18" xfId="0" applyNumberFormat="1" applyFont="1" applyBorder="1" applyAlignment="1" applyProtection="1">
      <alignment vertical="top" wrapText="1"/>
      <protection locked="0"/>
    </xf>
    <xf numFmtId="1" fontId="13" fillId="0" borderId="6" xfId="0" applyNumberFormat="1" applyFont="1" applyBorder="1" applyAlignment="1" applyProtection="1">
      <alignment vertical="top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6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18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67" fontId="7" fillId="0" borderId="1" xfId="9" applyNumberFormat="1" applyFont="1" applyFill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/>
      <protection locked="0"/>
    </xf>
    <xf numFmtId="0" fontId="12" fillId="0" borderId="6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3" fillId="0" borderId="10" xfId="1" applyFont="1" applyBorder="1" applyAlignment="1" applyProtection="1">
      <alignment horizontal="left" vertical="top" wrapText="1"/>
      <protection locked="0"/>
    </xf>
    <xf numFmtId="0" fontId="13" fillId="0" borderId="11" xfId="1" applyFont="1" applyBorder="1" applyAlignment="1" applyProtection="1">
      <alignment horizontal="left" vertical="top" wrapText="1"/>
      <protection locked="0"/>
    </xf>
    <xf numFmtId="0" fontId="13" fillId="0" borderId="20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17" fillId="0" borderId="22" xfId="1" applyFont="1" applyBorder="1" applyAlignment="1">
      <alignment horizontal="center"/>
    </xf>
    <xf numFmtId="0" fontId="17" fillId="0" borderId="0" xfId="1" applyFont="1" applyBorder="1" applyAlignment="1">
      <alignment horizontal="center"/>
    </xf>
    <xf numFmtId="0" fontId="7" fillId="0" borderId="22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8" fillId="0" borderId="16" xfId="1" applyFont="1" applyBorder="1" applyAlignment="1" applyProtection="1">
      <alignment horizontal="left" vertical="top" wrapText="1"/>
      <protection locked="0"/>
    </xf>
    <xf numFmtId="0" fontId="8" fillId="0" borderId="17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6" xfId="1" applyFont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8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6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1" fontId="8" fillId="0" borderId="18" xfId="0" applyNumberFormat="1" applyFont="1" applyBorder="1" applyAlignment="1" applyProtection="1">
      <alignment vertical="top" wrapText="1"/>
      <protection locked="0"/>
    </xf>
    <xf numFmtId="1" fontId="8" fillId="0" borderId="6" xfId="0" applyNumberFormat="1" applyFont="1" applyBorder="1" applyAlignment="1" applyProtection="1">
      <alignment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center" wrapText="1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9" xfId="1" applyFont="1" applyBorder="1" applyAlignment="1" applyProtection="1">
      <alignment horizontal="left" vertical="top" wrapText="1"/>
      <protection locked="0"/>
    </xf>
    <xf numFmtId="0" fontId="13" fillId="0" borderId="1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0" fontId="8" fillId="0" borderId="6" xfId="1" applyFont="1" applyBorder="1" applyAlignment="1" applyProtection="1">
      <alignment horizontal="left" vertical="top"/>
      <protection locked="0"/>
    </xf>
    <xf numFmtId="164" fontId="12" fillId="0" borderId="1" xfId="1" applyNumberFormat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3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27" fillId="0" borderId="1" xfId="10" applyFill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0" fontId="13" fillId="0" borderId="18" xfId="1" applyFont="1" applyBorder="1" applyAlignment="1" applyProtection="1">
      <alignment horizontal="left" vertical="top"/>
      <protection locked="0"/>
    </xf>
    <xf numFmtId="0" fontId="13" fillId="0" borderId="6" xfId="1" applyFont="1" applyBorder="1" applyAlignment="1" applyProtection="1">
      <alignment horizontal="left" vertical="top"/>
      <protection locked="0"/>
    </xf>
    <xf numFmtId="0" fontId="9" fillId="0" borderId="1" xfId="5" applyFont="1" applyBorder="1" applyAlignment="1">
      <alignment horizontal="left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9" fontId="8" fillId="0" borderId="1" xfId="8" applyFont="1" applyFill="1" applyBorder="1" applyAlignment="1" applyProtection="1">
      <alignment horizontal="center" vertical="top" wrapText="1"/>
      <protection locked="0"/>
    </xf>
    <xf numFmtId="1" fontId="13" fillId="0" borderId="1" xfId="1" applyNumberFormat="1" applyFont="1" applyBorder="1" applyAlignment="1" applyProtection="1">
      <alignment horizontal="center" vertical="center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705978</xdr:colOff>
      <xdr:row>108</xdr:row>
      <xdr:rowOff>0</xdr:rowOff>
    </xdr:from>
    <xdr:to>
      <xdr:col>15</xdr:col>
      <xdr:colOff>655124</xdr:colOff>
      <xdr:row>121</xdr:row>
      <xdr:rowOff>65579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25860" y="23241000"/>
          <a:ext cx="3916028" cy="3607758"/>
        </a:xfrm>
        <a:prstGeom prst="rect">
          <a:avLst/>
        </a:prstGeom>
      </xdr:spPr>
    </xdr:pic>
    <xdr:clientData/>
  </xdr:twoCellAnchor>
  <xdr:oneCellAnchor>
    <xdr:from>
      <xdr:col>1</xdr:col>
      <xdr:colOff>686853</xdr:colOff>
      <xdr:row>270</xdr:row>
      <xdr:rowOff>68689</xdr:rowOff>
    </xdr:from>
    <xdr:ext cx="3732747" cy="4248834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8853" y="56123314"/>
          <a:ext cx="3732747" cy="4248834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oneCellAnchor>
    <xdr:from>
      <xdr:col>2</xdr:col>
      <xdr:colOff>92425</xdr:colOff>
      <xdr:row>251</xdr:row>
      <xdr:rowOff>180661</xdr:rowOff>
    </xdr:from>
    <xdr:ext cx="3196885" cy="3543614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54525" y="52434811"/>
          <a:ext cx="3196885" cy="3543614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  <xdr:twoCellAnchor>
    <xdr:from>
      <xdr:col>2</xdr:col>
      <xdr:colOff>114140</xdr:colOff>
      <xdr:row>314</xdr:row>
      <xdr:rowOff>92362</xdr:rowOff>
    </xdr:from>
    <xdr:to>
      <xdr:col>6</xdr:col>
      <xdr:colOff>132618</xdr:colOff>
      <xdr:row>335</xdr:row>
      <xdr:rowOff>12700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1752440" y="64481362"/>
          <a:ext cx="3536378" cy="4054188"/>
          <a:chOff x="1702666" y="4098805"/>
          <a:chExt cx="3867150" cy="4924425"/>
        </a:xfrm>
      </xdr:grpSpPr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702666" y="4098805"/>
            <a:ext cx="3867150" cy="4924425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21" name="Rectangle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200400" y="7689850"/>
            <a:ext cx="992039" cy="425450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IN"/>
          </a:p>
        </xdr:txBody>
      </xdr:sp>
      <xdr:sp macro="" textlink="">
        <xdr:nvSpPr>
          <xdr:cNvPr id="22" name="Rectangle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150319" y="4248150"/>
            <a:ext cx="1092200" cy="533400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IN"/>
          </a:p>
        </xdr:txBody>
      </xdr:sp>
      <xdr:sp macro="" textlink="">
        <xdr:nvSpPr>
          <xdr:cNvPr id="23" name="TextBox 8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 txBox="1"/>
        </xdr:nvSpPr>
        <xdr:spPr>
          <a:xfrm>
            <a:off x="2041556" y="4098805"/>
            <a:ext cx="1030654" cy="42773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IN">
                <a:solidFill>
                  <a:srgbClr val="FF0000"/>
                </a:solidFill>
              </a:rPr>
              <a:t>Terrace</a:t>
            </a:r>
          </a:p>
        </xdr:txBody>
      </xdr:sp>
      <xdr:sp macro="" textlink="">
        <xdr:nvSpPr>
          <xdr:cNvPr id="24" name="TextBox 9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 txBox="1"/>
        </xdr:nvSpPr>
        <xdr:spPr>
          <a:xfrm>
            <a:off x="2329262" y="8109981"/>
            <a:ext cx="1034339" cy="42773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>
                <a:solidFill>
                  <a:srgbClr val="FF0000"/>
                </a:solidFill>
              </a:rPr>
              <a:t>Terrace</a:t>
            </a:r>
          </a:p>
        </xdr:txBody>
      </xdr:sp>
    </xdr:grpSp>
    <xdr:clientData/>
  </xdr:twoCellAnchor>
  <xdr:twoCellAnchor>
    <xdr:from>
      <xdr:col>1</xdr:col>
      <xdr:colOff>547321</xdr:colOff>
      <xdr:row>295</xdr:row>
      <xdr:rowOff>62279</xdr:rowOff>
    </xdr:from>
    <xdr:to>
      <xdr:col>6</xdr:col>
      <xdr:colOff>447390</xdr:colOff>
      <xdr:row>313</xdr:row>
      <xdr:rowOff>101394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pSpPr/>
      </xdr:nvGrpSpPr>
      <xdr:grpSpPr>
        <a:xfrm>
          <a:off x="1347421" y="60711129"/>
          <a:ext cx="4256169" cy="3582415"/>
          <a:chOff x="1335747" y="310011"/>
          <a:chExt cx="4354839" cy="3600000"/>
        </a:xfrm>
      </xdr:grpSpPr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335747" y="310011"/>
            <a:ext cx="4354839" cy="36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8" name="Rectangle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2639683" y="2311879"/>
            <a:ext cx="1552756" cy="690114"/>
          </a:xfrm>
          <a:prstGeom prst="rect">
            <a:avLst/>
          </a:prstGeom>
          <a:noFill/>
          <a:ln w="571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IN"/>
          </a:p>
        </xdr:txBody>
      </xdr:sp>
      <xdr:sp macro="" textlink="">
        <xdr:nvSpPr>
          <xdr:cNvPr id="19" name="TextBox 10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 txBox="1"/>
        </xdr:nvSpPr>
        <xdr:spPr>
          <a:xfrm>
            <a:off x="2099540" y="3060175"/>
            <a:ext cx="971336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>
                <a:solidFill>
                  <a:srgbClr val="FF0000"/>
                </a:solidFill>
              </a:rPr>
              <a:t>Terrace</a:t>
            </a:r>
          </a:p>
        </xdr:txBody>
      </xdr:sp>
    </xdr:grpSp>
    <xdr:clientData/>
  </xdr:twoCellAnchor>
  <xdr:twoCellAnchor>
    <xdr:from>
      <xdr:col>0</xdr:col>
      <xdr:colOff>302558</xdr:colOff>
      <xdr:row>337</xdr:row>
      <xdr:rowOff>74131</xdr:rowOff>
    </xdr:from>
    <xdr:to>
      <xdr:col>7</xdr:col>
      <xdr:colOff>414618</xdr:colOff>
      <xdr:row>377</xdr:row>
      <xdr:rowOff>33618</xdr:rowOff>
    </xdr:to>
    <xdr:grpSp>
      <xdr:nvGrpSpPr>
        <xdr:cNvPr id="59" name="Group 58"/>
        <xdr:cNvGrpSpPr/>
      </xdr:nvGrpSpPr>
      <xdr:grpSpPr>
        <a:xfrm>
          <a:off x="302558" y="68990681"/>
          <a:ext cx="6068360" cy="7833487"/>
          <a:chOff x="336176" y="68911867"/>
          <a:chExt cx="5880171" cy="9604034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45335" y="68911867"/>
            <a:ext cx="5042455" cy="4037577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8" name="Picture 57"/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336176" y="73122623"/>
            <a:ext cx="5880171" cy="5393278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</xdr:grpSp>
    <xdr:clientData/>
  </xdr:twoCellAnchor>
  <xdr:twoCellAnchor>
    <xdr:from>
      <xdr:col>3</xdr:col>
      <xdr:colOff>180095</xdr:colOff>
      <xdr:row>364</xdr:row>
      <xdr:rowOff>40489</xdr:rowOff>
    </xdr:from>
    <xdr:to>
      <xdr:col>4</xdr:col>
      <xdr:colOff>452548</xdr:colOff>
      <xdr:row>372</xdr:row>
      <xdr:rowOff>17323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 rot="19020253">
          <a:off x="2589360" y="74167401"/>
          <a:ext cx="1213747" cy="1590481"/>
        </a:xfrm>
        <a:prstGeom prst="rect">
          <a:avLst/>
        </a:prstGeom>
        <a:noFill/>
        <a:ln w="5715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IN"/>
        </a:p>
      </xdr:txBody>
    </xdr:sp>
    <xdr:clientData/>
  </xdr:twoCellAnchor>
  <xdr:twoCellAnchor editAs="oneCell">
    <xdr:from>
      <xdr:col>8</xdr:col>
      <xdr:colOff>634813</xdr:colOff>
      <xdr:row>57</xdr:row>
      <xdr:rowOff>145675</xdr:rowOff>
    </xdr:from>
    <xdr:to>
      <xdr:col>13</xdr:col>
      <xdr:colOff>110488</xdr:colOff>
      <xdr:row>60</xdr:row>
      <xdr:rowOff>111891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8A3F96-DE46-4300-9893-BC5B3BD9C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45163" y="13252075"/>
          <a:ext cx="3600000" cy="566292"/>
        </a:xfrm>
        <a:prstGeom prst="rect">
          <a:avLst/>
        </a:prstGeom>
      </xdr:spPr>
    </xdr:pic>
    <xdr:clientData/>
  </xdr:twoCellAnchor>
  <xdr:twoCellAnchor editAs="oneCell">
    <xdr:from>
      <xdr:col>8</xdr:col>
      <xdr:colOff>754156</xdr:colOff>
      <xdr:row>58</xdr:row>
      <xdr:rowOff>79563</xdr:rowOff>
    </xdr:from>
    <xdr:to>
      <xdr:col>14</xdr:col>
      <xdr:colOff>109390</xdr:colOff>
      <xdr:row>62</xdr:row>
      <xdr:rowOff>85641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9C67D5-AB63-467C-8C96-0B5C56DFF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5627" y="13470592"/>
          <a:ext cx="4330645" cy="812901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43</xdr:row>
      <xdr:rowOff>123825</xdr:rowOff>
    </xdr:from>
    <xdr:to>
      <xdr:col>11</xdr:col>
      <xdr:colOff>374925</xdr:colOff>
      <xdr:row>51</xdr:row>
      <xdr:rowOff>152827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F6F2A8-A925-4983-A54D-BAAA75F5D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734175" y="9544050"/>
          <a:ext cx="2880000" cy="1857802"/>
        </a:xfrm>
        <a:prstGeom prst="rect">
          <a:avLst/>
        </a:prstGeom>
      </xdr:spPr>
    </xdr:pic>
    <xdr:clientData/>
  </xdr:twoCellAnchor>
  <xdr:twoCellAnchor editAs="oneCell">
    <xdr:from>
      <xdr:col>8</xdr:col>
      <xdr:colOff>445274</xdr:colOff>
      <xdr:row>101</xdr:row>
      <xdr:rowOff>4803</xdr:rowOff>
    </xdr:from>
    <xdr:to>
      <xdr:col>15</xdr:col>
      <xdr:colOff>221602</xdr:colOff>
      <xdr:row>109</xdr:row>
      <xdr:rowOff>490330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43A1EBC-BDFB-416E-B3AD-8C51BE9C6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4738" y="20606017"/>
          <a:ext cx="5396078" cy="2089676"/>
        </a:xfrm>
        <a:prstGeom prst="rect">
          <a:avLst/>
        </a:prstGeom>
      </xdr:spPr>
    </xdr:pic>
    <xdr:clientData/>
  </xdr:twoCellAnchor>
  <xdr:twoCellAnchor editAs="oneCell">
    <xdr:from>
      <xdr:col>8</xdr:col>
      <xdr:colOff>396688</xdr:colOff>
      <xdr:row>126</xdr:row>
      <xdr:rowOff>94690</xdr:rowOff>
    </xdr:from>
    <xdr:to>
      <xdr:col>15</xdr:col>
      <xdr:colOff>173016</xdr:colOff>
      <xdr:row>127</xdr:row>
      <xdr:rowOff>235736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2E42356-7978-478D-901F-5D0C5B34F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08159" y="26865543"/>
          <a:ext cx="5412886" cy="342750"/>
        </a:xfrm>
        <a:prstGeom prst="rect">
          <a:avLst/>
        </a:prstGeom>
      </xdr:spPr>
    </xdr:pic>
    <xdr:clientData/>
  </xdr:twoCellAnchor>
  <xdr:twoCellAnchor editAs="oneCell">
    <xdr:from>
      <xdr:col>8</xdr:col>
      <xdr:colOff>456080</xdr:colOff>
      <xdr:row>135</xdr:row>
      <xdr:rowOff>90768</xdr:rowOff>
    </xdr:from>
    <xdr:to>
      <xdr:col>15</xdr:col>
      <xdr:colOff>232408</xdr:colOff>
      <xdr:row>137</xdr:row>
      <xdr:rowOff>25434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5D5DEC3-4579-460F-8A90-568B0D4E1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67551" y="28676974"/>
          <a:ext cx="5412886" cy="338077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140</xdr:row>
      <xdr:rowOff>161926</xdr:rowOff>
    </xdr:from>
    <xdr:to>
      <xdr:col>14</xdr:col>
      <xdr:colOff>532725</xdr:colOff>
      <xdr:row>143</xdr:row>
      <xdr:rowOff>156892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3607E56-91B6-4A4D-8C58-647D18147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705600" y="28698826"/>
          <a:ext cx="5400000" cy="595041"/>
        </a:xfrm>
        <a:prstGeom prst="rect">
          <a:avLst/>
        </a:prstGeom>
      </xdr:spPr>
    </xdr:pic>
    <xdr:clientData/>
  </xdr:twoCellAnchor>
  <xdr:oneCellAnchor>
    <xdr:from>
      <xdr:col>8</xdr:col>
      <xdr:colOff>95250</xdr:colOff>
      <xdr:row>145</xdr:row>
      <xdr:rowOff>161926</xdr:rowOff>
    </xdr:from>
    <xdr:ext cx="5400000" cy="595041"/>
    <xdr:pic>
      <xdr:nvPicPr>
        <xdr:cNvPr id="55" name="Picture 54">
          <a:extLst>
            <a:ext uri="{FF2B5EF4-FFF2-40B4-BE49-F238E27FC236}">
              <a16:creationId xmlns:a16="http://schemas.microsoft.com/office/drawing/2014/main" id="{B627C7BF-B721-4D8F-B6DB-F11E8FCBA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705600" y="28698826"/>
          <a:ext cx="5400000" cy="595041"/>
        </a:xfrm>
        <a:prstGeom prst="rect">
          <a:avLst/>
        </a:prstGeom>
      </xdr:spPr>
    </xdr:pic>
    <xdr:clientData/>
  </xdr:oneCellAnchor>
  <xdr:twoCellAnchor editAs="oneCell">
    <xdr:from>
      <xdr:col>8</xdr:col>
      <xdr:colOff>133350</xdr:colOff>
      <xdr:row>151</xdr:row>
      <xdr:rowOff>76200</xdr:rowOff>
    </xdr:from>
    <xdr:to>
      <xdr:col>14</xdr:col>
      <xdr:colOff>570825</xdr:colOff>
      <xdr:row>153</xdr:row>
      <xdr:rowOff>172447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260B97-C709-4C6F-9BE0-11E28405E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743700" y="31813500"/>
          <a:ext cx="5400000" cy="496296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156</xdr:row>
      <xdr:rowOff>47625</xdr:rowOff>
    </xdr:from>
    <xdr:to>
      <xdr:col>14</xdr:col>
      <xdr:colOff>627975</xdr:colOff>
      <xdr:row>158</xdr:row>
      <xdr:rowOff>143189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3ADACC3-542E-4848-90DB-9C610AD98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800850" y="31784925"/>
          <a:ext cx="5400000" cy="495616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161</xdr:row>
      <xdr:rowOff>152400</xdr:rowOff>
    </xdr:from>
    <xdr:to>
      <xdr:col>15</xdr:col>
      <xdr:colOff>8850</xdr:colOff>
      <xdr:row>163</xdr:row>
      <xdr:rowOff>100978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FD01A1C-E7BA-4FFC-8688-1923473BC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838950" y="32889825"/>
          <a:ext cx="5400000" cy="348626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165</xdr:row>
      <xdr:rowOff>47625</xdr:rowOff>
    </xdr:from>
    <xdr:to>
      <xdr:col>14</xdr:col>
      <xdr:colOff>589875</xdr:colOff>
      <xdr:row>167</xdr:row>
      <xdr:rowOff>26913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402529B0-CDAD-40AF-B289-B58DAAE42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762750" y="33585150"/>
          <a:ext cx="5400000" cy="379339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169</xdr:row>
      <xdr:rowOff>47626</xdr:rowOff>
    </xdr:from>
    <xdr:to>
      <xdr:col>14</xdr:col>
      <xdr:colOff>561300</xdr:colOff>
      <xdr:row>170</xdr:row>
      <xdr:rowOff>165248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1501678B-FED6-4B57-9360-35AA5AA0D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734175" y="34385251"/>
          <a:ext cx="5400000" cy="317647"/>
        </a:xfrm>
        <a:prstGeom prst="rect">
          <a:avLst/>
        </a:prstGeom>
      </xdr:spPr>
    </xdr:pic>
    <xdr:clientData/>
  </xdr:twoCellAnchor>
  <xdr:twoCellAnchor editAs="oneCell">
    <xdr:from>
      <xdr:col>8</xdr:col>
      <xdr:colOff>447675</xdr:colOff>
      <xdr:row>61</xdr:row>
      <xdr:rowOff>361950</xdr:rowOff>
    </xdr:from>
    <xdr:to>
      <xdr:col>12</xdr:col>
      <xdr:colOff>657720</xdr:colOff>
      <xdr:row>63</xdr:row>
      <xdr:rowOff>117706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99B3CFD8-980E-4484-9CD9-38C6EBD68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058025" y="13611225"/>
          <a:ext cx="3543795" cy="314369"/>
        </a:xfrm>
        <a:prstGeom prst="rect">
          <a:avLst/>
        </a:prstGeom>
      </xdr:spPr>
    </xdr:pic>
    <xdr:clientData/>
  </xdr:twoCellAnchor>
  <xdr:twoCellAnchor editAs="oneCell">
    <xdr:from>
      <xdr:col>8</xdr:col>
      <xdr:colOff>1131792</xdr:colOff>
      <xdr:row>45</xdr:row>
      <xdr:rowOff>93090</xdr:rowOff>
    </xdr:from>
    <xdr:to>
      <xdr:col>20</xdr:col>
      <xdr:colOff>223298</xdr:colOff>
      <xdr:row>61</xdr:row>
      <xdr:rowOff>80210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731256" y="10039911"/>
          <a:ext cx="7936149" cy="4096478"/>
        </a:xfrm>
        <a:prstGeom prst="rect">
          <a:avLst/>
        </a:prstGeom>
      </xdr:spPr>
    </xdr:pic>
    <xdr:clientData/>
  </xdr:twoCellAnchor>
  <xdr:twoCellAnchor editAs="oneCell">
    <xdr:from>
      <xdr:col>20</xdr:col>
      <xdr:colOff>142875</xdr:colOff>
      <xdr:row>26</xdr:row>
      <xdr:rowOff>119063</xdr:rowOff>
    </xdr:from>
    <xdr:to>
      <xdr:col>31</xdr:col>
      <xdr:colOff>285750</xdr:colOff>
      <xdr:row>68</xdr:row>
      <xdr:rowOff>47626</xdr:rowOff>
    </xdr:to>
    <xdr:pic>
      <xdr:nvPicPr>
        <xdr:cNvPr id="43" name="Picture 42" descr="https://vsjcllp.vsjadon.com/upload/insp-238138-845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2438" y="6024563"/>
          <a:ext cx="6953250" cy="883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208</xdr:row>
      <xdr:rowOff>107950</xdr:rowOff>
    </xdr:from>
    <xdr:to>
      <xdr:col>7</xdr:col>
      <xdr:colOff>698601</xdr:colOff>
      <xdr:row>248</xdr:row>
      <xdr:rowOff>126696</xdr:rowOff>
    </xdr:to>
    <xdr:grpSp>
      <xdr:nvGrpSpPr>
        <xdr:cNvPr id="2" name="Group 1"/>
        <xdr:cNvGrpSpPr/>
      </xdr:nvGrpSpPr>
      <xdr:grpSpPr>
        <a:xfrm>
          <a:off x="190500" y="43630850"/>
          <a:ext cx="6464401" cy="7892746"/>
          <a:chOff x="190500" y="43414950"/>
          <a:chExt cx="6464401" cy="7892746"/>
        </a:xfrm>
      </xdr:grpSpPr>
      <xdr:pic>
        <xdr:nvPicPr>
          <xdr:cNvPr id="44" name="Picture 43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08310" y="49147696"/>
            <a:ext cx="162506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5" name="Picture 44"/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93494" y="43414950"/>
            <a:ext cx="205841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6" name="Picture 45"/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96488" y="46281323"/>
            <a:ext cx="205841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7" name="Picture 46"/>
          <xdr:cNvPicPr>
            <a:picLocks noChangeAspect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96488" y="43414950"/>
            <a:ext cx="205841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8" name="Picture 47"/>
          <xdr:cNvPicPr>
            <a:picLocks noChangeAspect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0500" y="46281323"/>
            <a:ext cx="205841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9" name="Picture 48"/>
          <xdr:cNvPicPr>
            <a:picLocks noChangeAspect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93493" y="46281323"/>
            <a:ext cx="205841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0" name="Picture 49"/>
          <xdr:cNvPicPr>
            <a:picLocks noChangeAspect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45417" y="49147696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1" name="Picture 50"/>
          <xdr:cNvPicPr>
            <a:picLocks noChangeAspect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0500" y="43414950"/>
            <a:ext cx="205841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comments" Target="../comments1.xml"/><Relationship Id="rId2" Type="http://schemas.openxmlformats.org/officeDocument/2006/relationships/hyperlink" Target="https://housing.com/in/buy/projects/page/293311-aramus-the-domus-prive-by-aramus-realty-llp-in-nerul" TargetMode="External"/><Relationship Id="rId1" Type="http://schemas.openxmlformats.org/officeDocument/2006/relationships/hyperlink" Target="https://goo.gl/maps/BoyvmvM9q3YQGNQt7" TargetMode="External"/><Relationship Id="rId6" Type="http://schemas.openxmlformats.org/officeDocument/2006/relationships/vmlDrawing" Target="../drawings/vmlDrawing2.v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AC337"/>
  <sheetViews>
    <sheetView tabSelected="1" view="pageBreakPreview" zoomScaleNormal="100" zoomScaleSheetLayoutView="100" zoomScalePageLayoutView="85" workbookViewId="0">
      <selection activeCell="E9" sqref="E9:H9"/>
    </sheetView>
  </sheetViews>
  <sheetFormatPr defaultColWidth="9.1796875" defaultRowHeight="15.5" x14ac:dyDescent="0.35"/>
  <cols>
    <col min="1" max="1" width="11.453125" style="38" customWidth="1"/>
    <col min="2" max="2" width="12" style="38" customWidth="1"/>
    <col min="3" max="3" width="12.7265625" style="38" customWidth="1"/>
    <col min="4" max="4" width="14.1796875" style="38" customWidth="1"/>
    <col min="5" max="6" width="11.7265625" style="38" customWidth="1"/>
    <col min="7" max="7" width="11.453125" style="38" customWidth="1"/>
    <col min="8" max="8" width="14" style="38" customWidth="1"/>
    <col min="9" max="9" width="17.453125" style="19" customWidth="1"/>
    <col min="10" max="10" width="11.453125" style="19" customWidth="1"/>
    <col min="11" max="11" width="10.54296875" style="19" bestFit="1" customWidth="1"/>
    <col min="12" max="12" width="10.54296875" style="19" customWidth="1"/>
    <col min="13" max="13" width="11.81640625" style="19" customWidth="1"/>
    <col min="14" max="14" width="12.54296875" style="19" customWidth="1"/>
    <col min="15" max="15" width="9.81640625" style="19" customWidth="1"/>
    <col min="16" max="16" width="11.7265625" style="19" customWidth="1"/>
    <col min="17" max="247" width="9.1796875" style="19"/>
    <col min="248" max="248" width="8.7265625" style="19" customWidth="1"/>
    <col min="249" max="249" width="9.81640625" style="19" customWidth="1"/>
    <col min="250" max="250" width="14.453125" style="19" customWidth="1"/>
    <col min="251" max="251" width="7.26953125" style="19" customWidth="1"/>
    <col min="252" max="252" width="5.54296875" style="19" customWidth="1"/>
    <col min="253" max="253" width="9" style="19" customWidth="1"/>
    <col min="254" max="255" width="9.81640625" style="19" customWidth="1"/>
    <col min="256" max="256" width="11.1796875" style="19" customWidth="1"/>
    <col min="257" max="257" width="2.81640625" style="19" customWidth="1"/>
    <col min="258" max="258" width="3.54296875" style="19" customWidth="1"/>
    <col min="259" max="503" width="9.1796875" style="19"/>
    <col min="504" max="504" width="8.7265625" style="19" customWidth="1"/>
    <col min="505" max="505" width="9.81640625" style="19" customWidth="1"/>
    <col min="506" max="506" width="14.453125" style="19" customWidth="1"/>
    <col min="507" max="507" width="7.26953125" style="19" customWidth="1"/>
    <col min="508" max="508" width="5.54296875" style="19" customWidth="1"/>
    <col min="509" max="509" width="9" style="19" customWidth="1"/>
    <col min="510" max="511" width="9.81640625" style="19" customWidth="1"/>
    <col min="512" max="512" width="11.1796875" style="19" customWidth="1"/>
    <col min="513" max="513" width="2.81640625" style="19" customWidth="1"/>
    <col min="514" max="514" width="3.54296875" style="19" customWidth="1"/>
    <col min="515" max="759" width="9.1796875" style="19"/>
    <col min="760" max="760" width="8.7265625" style="19" customWidth="1"/>
    <col min="761" max="761" width="9.81640625" style="19" customWidth="1"/>
    <col min="762" max="762" width="14.453125" style="19" customWidth="1"/>
    <col min="763" max="763" width="7.26953125" style="19" customWidth="1"/>
    <col min="764" max="764" width="5.54296875" style="19" customWidth="1"/>
    <col min="765" max="765" width="9" style="19" customWidth="1"/>
    <col min="766" max="767" width="9.81640625" style="19" customWidth="1"/>
    <col min="768" max="768" width="11.1796875" style="19" customWidth="1"/>
    <col min="769" max="769" width="2.81640625" style="19" customWidth="1"/>
    <col min="770" max="770" width="3.54296875" style="19" customWidth="1"/>
    <col min="771" max="1015" width="9.1796875" style="19"/>
    <col min="1016" max="1016" width="8.7265625" style="19" customWidth="1"/>
    <col min="1017" max="1017" width="9.81640625" style="19" customWidth="1"/>
    <col min="1018" max="1018" width="14.453125" style="19" customWidth="1"/>
    <col min="1019" max="1019" width="7.26953125" style="19" customWidth="1"/>
    <col min="1020" max="1020" width="5.54296875" style="19" customWidth="1"/>
    <col min="1021" max="1021" width="9" style="19" customWidth="1"/>
    <col min="1022" max="1023" width="9.81640625" style="19" customWidth="1"/>
    <col min="1024" max="1024" width="11.1796875" style="19" customWidth="1"/>
    <col min="1025" max="1025" width="2.81640625" style="19" customWidth="1"/>
    <col min="1026" max="1026" width="3.54296875" style="19" customWidth="1"/>
    <col min="1027" max="1271" width="9.1796875" style="19"/>
    <col min="1272" max="1272" width="8.7265625" style="19" customWidth="1"/>
    <col min="1273" max="1273" width="9.81640625" style="19" customWidth="1"/>
    <col min="1274" max="1274" width="14.453125" style="19" customWidth="1"/>
    <col min="1275" max="1275" width="7.26953125" style="19" customWidth="1"/>
    <col min="1276" max="1276" width="5.54296875" style="19" customWidth="1"/>
    <col min="1277" max="1277" width="9" style="19" customWidth="1"/>
    <col min="1278" max="1279" width="9.81640625" style="19" customWidth="1"/>
    <col min="1280" max="1280" width="11.1796875" style="19" customWidth="1"/>
    <col min="1281" max="1281" width="2.81640625" style="19" customWidth="1"/>
    <col min="1282" max="1282" width="3.54296875" style="19" customWidth="1"/>
    <col min="1283" max="1527" width="9.1796875" style="19"/>
    <col min="1528" max="1528" width="8.7265625" style="19" customWidth="1"/>
    <col min="1529" max="1529" width="9.81640625" style="19" customWidth="1"/>
    <col min="1530" max="1530" width="14.453125" style="19" customWidth="1"/>
    <col min="1531" max="1531" width="7.26953125" style="19" customWidth="1"/>
    <col min="1532" max="1532" width="5.54296875" style="19" customWidth="1"/>
    <col min="1533" max="1533" width="9" style="19" customWidth="1"/>
    <col min="1534" max="1535" width="9.81640625" style="19" customWidth="1"/>
    <col min="1536" max="1536" width="11.1796875" style="19" customWidth="1"/>
    <col min="1537" max="1537" width="2.81640625" style="19" customWidth="1"/>
    <col min="1538" max="1538" width="3.54296875" style="19" customWidth="1"/>
    <col min="1539" max="1783" width="9.1796875" style="19"/>
    <col min="1784" max="1784" width="8.7265625" style="19" customWidth="1"/>
    <col min="1785" max="1785" width="9.81640625" style="19" customWidth="1"/>
    <col min="1786" max="1786" width="14.453125" style="19" customWidth="1"/>
    <col min="1787" max="1787" width="7.26953125" style="19" customWidth="1"/>
    <col min="1788" max="1788" width="5.54296875" style="19" customWidth="1"/>
    <col min="1789" max="1789" width="9" style="19" customWidth="1"/>
    <col min="1790" max="1791" width="9.81640625" style="19" customWidth="1"/>
    <col min="1792" max="1792" width="11.1796875" style="19" customWidth="1"/>
    <col min="1793" max="1793" width="2.81640625" style="19" customWidth="1"/>
    <col min="1794" max="1794" width="3.54296875" style="19" customWidth="1"/>
    <col min="1795" max="2039" width="9.1796875" style="19"/>
    <col min="2040" max="2040" width="8.7265625" style="19" customWidth="1"/>
    <col min="2041" max="2041" width="9.81640625" style="19" customWidth="1"/>
    <col min="2042" max="2042" width="14.453125" style="19" customWidth="1"/>
    <col min="2043" max="2043" width="7.26953125" style="19" customWidth="1"/>
    <col min="2044" max="2044" width="5.54296875" style="19" customWidth="1"/>
    <col min="2045" max="2045" width="9" style="19" customWidth="1"/>
    <col min="2046" max="2047" width="9.81640625" style="19" customWidth="1"/>
    <col min="2048" max="2048" width="11.1796875" style="19" customWidth="1"/>
    <col min="2049" max="2049" width="2.81640625" style="19" customWidth="1"/>
    <col min="2050" max="2050" width="3.54296875" style="19" customWidth="1"/>
    <col min="2051" max="2295" width="9.1796875" style="19"/>
    <col min="2296" max="2296" width="8.7265625" style="19" customWidth="1"/>
    <col min="2297" max="2297" width="9.81640625" style="19" customWidth="1"/>
    <col min="2298" max="2298" width="14.453125" style="19" customWidth="1"/>
    <col min="2299" max="2299" width="7.26953125" style="19" customWidth="1"/>
    <col min="2300" max="2300" width="5.54296875" style="19" customWidth="1"/>
    <col min="2301" max="2301" width="9" style="19" customWidth="1"/>
    <col min="2302" max="2303" width="9.81640625" style="19" customWidth="1"/>
    <col min="2304" max="2304" width="11.1796875" style="19" customWidth="1"/>
    <col min="2305" max="2305" width="2.81640625" style="19" customWidth="1"/>
    <col min="2306" max="2306" width="3.54296875" style="19" customWidth="1"/>
    <col min="2307" max="2551" width="9.1796875" style="19"/>
    <col min="2552" max="2552" width="8.7265625" style="19" customWidth="1"/>
    <col min="2553" max="2553" width="9.81640625" style="19" customWidth="1"/>
    <col min="2554" max="2554" width="14.453125" style="19" customWidth="1"/>
    <col min="2555" max="2555" width="7.26953125" style="19" customWidth="1"/>
    <col min="2556" max="2556" width="5.54296875" style="19" customWidth="1"/>
    <col min="2557" max="2557" width="9" style="19" customWidth="1"/>
    <col min="2558" max="2559" width="9.81640625" style="19" customWidth="1"/>
    <col min="2560" max="2560" width="11.1796875" style="19" customWidth="1"/>
    <col min="2561" max="2561" width="2.81640625" style="19" customWidth="1"/>
    <col min="2562" max="2562" width="3.54296875" style="19" customWidth="1"/>
    <col min="2563" max="2807" width="9.1796875" style="19"/>
    <col min="2808" max="2808" width="8.7265625" style="19" customWidth="1"/>
    <col min="2809" max="2809" width="9.81640625" style="19" customWidth="1"/>
    <col min="2810" max="2810" width="14.453125" style="19" customWidth="1"/>
    <col min="2811" max="2811" width="7.26953125" style="19" customWidth="1"/>
    <col min="2812" max="2812" width="5.54296875" style="19" customWidth="1"/>
    <col min="2813" max="2813" width="9" style="19" customWidth="1"/>
    <col min="2814" max="2815" width="9.81640625" style="19" customWidth="1"/>
    <col min="2816" max="2816" width="11.1796875" style="19" customWidth="1"/>
    <col min="2817" max="2817" width="2.81640625" style="19" customWidth="1"/>
    <col min="2818" max="2818" width="3.54296875" style="19" customWidth="1"/>
    <col min="2819" max="3063" width="9.1796875" style="19"/>
    <col min="3064" max="3064" width="8.7265625" style="19" customWidth="1"/>
    <col min="3065" max="3065" width="9.81640625" style="19" customWidth="1"/>
    <col min="3066" max="3066" width="14.453125" style="19" customWidth="1"/>
    <col min="3067" max="3067" width="7.26953125" style="19" customWidth="1"/>
    <col min="3068" max="3068" width="5.54296875" style="19" customWidth="1"/>
    <col min="3069" max="3069" width="9" style="19" customWidth="1"/>
    <col min="3070" max="3071" width="9.81640625" style="19" customWidth="1"/>
    <col min="3072" max="3072" width="11.1796875" style="19" customWidth="1"/>
    <col min="3073" max="3073" width="2.81640625" style="19" customWidth="1"/>
    <col min="3074" max="3074" width="3.54296875" style="19" customWidth="1"/>
    <col min="3075" max="3319" width="9.1796875" style="19"/>
    <col min="3320" max="3320" width="8.7265625" style="19" customWidth="1"/>
    <col min="3321" max="3321" width="9.81640625" style="19" customWidth="1"/>
    <col min="3322" max="3322" width="14.453125" style="19" customWidth="1"/>
    <col min="3323" max="3323" width="7.26953125" style="19" customWidth="1"/>
    <col min="3324" max="3324" width="5.54296875" style="19" customWidth="1"/>
    <col min="3325" max="3325" width="9" style="19" customWidth="1"/>
    <col min="3326" max="3327" width="9.81640625" style="19" customWidth="1"/>
    <col min="3328" max="3328" width="11.1796875" style="19" customWidth="1"/>
    <col min="3329" max="3329" width="2.81640625" style="19" customWidth="1"/>
    <col min="3330" max="3330" width="3.54296875" style="19" customWidth="1"/>
    <col min="3331" max="3575" width="9.1796875" style="19"/>
    <col min="3576" max="3576" width="8.7265625" style="19" customWidth="1"/>
    <col min="3577" max="3577" width="9.81640625" style="19" customWidth="1"/>
    <col min="3578" max="3578" width="14.453125" style="19" customWidth="1"/>
    <col min="3579" max="3579" width="7.26953125" style="19" customWidth="1"/>
    <col min="3580" max="3580" width="5.54296875" style="19" customWidth="1"/>
    <col min="3581" max="3581" width="9" style="19" customWidth="1"/>
    <col min="3582" max="3583" width="9.81640625" style="19" customWidth="1"/>
    <col min="3584" max="3584" width="11.1796875" style="19" customWidth="1"/>
    <col min="3585" max="3585" width="2.81640625" style="19" customWidth="1"/>
    <col min="3586" max="3586" width="3.54296875" style="19" customWidth="1"/>
    <col min="3587" max="3831" width="9.1796875" style="19"/>
    <col min="3832" max="3832" width="8.7265625" style="19" customWidth="1"/>
    <col min="3833" max="3833" width="9.81640625" style="19" customWidth="1"/>
    <col min="3834" max="3834" width="14.453125" style="19" customWidth="1"/>
    <col min="3835" max="3835" width="7.26953125" style="19" customWidth="1"/>
    <col min="3836" max="3836" width="5.54296875" style="19" customWidth="1"/>
    <col min="3837" max="3837" width="9" style="19" customWidth="1"/>
    <col min="3838" max="3839" width="9.81640625" style="19" customWidth="1"/>
    <col min="3840" max="3840" width="11.1796875" style="19" customWidth="1"/>
    <col min="3841" max="3841" width="2.81640625" style="19" customWidth="1"/>
    <col min="3842" max="3842" width="3.54296875" style="19" customWidth="1"/>
    <col min="3843" max="4087" width="9.1796875" style="19"/>
    <col min="4088" max="4088" width="8.7265625" style="19" customWidth="1"/>
    <col min="4089" max="4089" width="9.81640625" style="19" customWidth="1"/>
    <col min="4090" max="4090" width="14.453125" style="19" customWidth="1"/>
    <col min="4091" max="4091" width="7.26953125" style="19" customWidth="1"/>
    <col min="4092" max="4092" width="5.54296875" style="19" customWidth="1"/>
    <col min="4093" max="4093" width="9" style="19" customWidth="1"/>
    <col min="4094" max="4095" width="9.81640625" style="19" customWidth="1"/>
    <col min="4096" max="4096" width="11.1796875" style="19" customWidth="1"/>
    <col min="4097" max="4097" width="2.81640625" style="19" customWidth="1"/>
    <col min="4098" max="4098" width="3.54296875" style="19" customWidth="1"/>
    <col min="4099" max="4343" width="9.1796875" style="19"/>
    <col min="4344" max="4344" width="8.7265625" style="19" customWidth="1"/>
    <col min="4345" max="4345" width="9.81640625" style="19" customWidth="1"/>
    <col min="4346" max="4346" width="14.453125" style="19" customWidth="1"/>
    <col min="4347" max="4347" width="7.26953125" style="19" customWidth="1"/>
    <col min="4348" max="4348" width="5.54296875" style="19" customWidth="1"/>
    <col min="4349" max="4349" width="9" style="19" customWidth="1"/>
    <col min="4350" max="4351" width="9.81640625" style="19" customWidth="1"/>
    <col min="4352" max="4352" width="11.1796875" style="19" customWidth="1"/>
    <col min="4353" max="4353" width="2.81640625" style="19" customWidth="1"/>
    <col min="4354" max="4354" width="3.54296875" style="19" customWidth="1"/>
    <col min="4355" max="4599" width="9.1796875" style="19"/>
    <col min="4600" max="4600" width="8.7265625" style="19" customWidth="1"/>
    <col min="4601" max="4601" width="9.81640625" style="19" customWidth="1"/>
    <col min="4602" max="4602" width="14.453125" style="19" customWidth="1"/>
    <col min="4603" max="4603" width="7.26953125" style="19" customWidth="1"/>
    <col min="4604" max="4604" width="5.54296875" style="19" customWidth="1"/>
    <col min="4605" max="4605" width="9" style="19" customWidth="1"/>
    <col min="4606" max="4607" width="9.81640625" style="19" customWidth="1"/>
    <col min="4608" max="4608" width="11.1796875" style="19" customWidth="1"/>
    <col min="4609" max="4609" width="2.81640625" style="19" customWidth="1"/>
    <col min="4610" max="4610" width="3.54296875" style="19" customWidth="1"/>
    <col min="4611" max="4855" width="9.1796875" style="19"/>
    <col min="4856" max="4856" width="8.7265625" style="19" customWidth="1"/>
    <col min="4857" max="4857" width="9.81640625" style="19" customWidth="1"/>
    <col min="4858" max="4858" width="14.453125" style="19" customWidth="1"/>
    <col min="4859" max="4859" width="7.26953125" style="19" customWidth="1"/>
    <col min="4860" max="4860" width="5.54296875" style="19" customWidth="1"/>
    <col min="4861" max="4861" width="9" style="19" customWidth="1"/>
    <col min="4862" max="4863" width="9.81640625" style="19" customWidth="1"/>
    <col min="4864" max="4864" width="11.1796875" style="19" customWidth="1"/>
    <col min="4865" max="4865" width="2.81640625" style="19" customWidth="1"/>
    <col min="4866" max="4866" width="3.54296875" style="19" customWidth="1"/>
    <col min="4867" max="5111" width="9.1796875" style="19"/>
    <col min="5112" max="5112" width="8.7265625" style="19" customWidth="1"/>
    <col min="5113" max="5113" width="9.81640625" style="19" customWidth="1"/>
    <col min="5114" max="5114" width="14.453125" style="19" customWidth="1"/>
    <col min="5115" max="5115" width="7.26953125" style="19" customWidth="1"/>
    <col min="5116" max="5116" width="5.54296875" style="19" customWidth="1"/>
    <col min="5117" max="5117" width="9" style="19" customWidth="1"/>
    <col min="5118" max="5119" width="9.81640625" style="19" customWidth="1"/>
    <col min="5120" max="5120" width="11.1796875" style="19" customWidth="1"/>
    <col min="5121" max="5121" width="2.81640625" style="19" customWidth="1"/>
    <col min="5122" max="5122" width="3.54296875" style="19" customWidth="1"/>
    <col min="5123" max="5367" width="9.1796875" style="19"/>
    <col min="5368" max="5368" width="8.7265625" style="19" customWidth="1"/>
    <col min="5369" max="5369" width="9.81640625" style="19" customWidth="1"/>
    <col min="5370" max="5370" width="14.453125" style="19" customWidth="1"/>
    <col min="5371" max="5371" width="7.26953125" style="19" customWidth="1"/>
    <col min="5372" max="5372" width="5.54296875" style="19" customWidth="1"/>
    <col min="5373" max="5373" width="9" style="19" customWidth="1"/>
    <col min="5374" max="5375" width="9.81640625" style="19" customWidth="1"/>
    <col min="5376" max="5376" width="11.1796875" style="19" customWidth="1"/>
    <col min="5377" max="5377" width="2.81640625" style="19" customWidth="1"/>
    <col min="5378" max="5378" width="3.54296875" style="19" customWidth="1"/>
    <col min="5379" max="5623" width="9.1796875" style="19"/>
    <col min="5624" max="5624" width="8.7265625" style="19" customWidth="1"/>
    <col min="5625" max="5625" width="9.81640625" style="19" customWidth="1"/>
    <col min="5626" max="5626" width="14.453125" style="19" customWidth="1"/>
    <col min="5627" max="5627" width="7.26953125" style="19" customWidth="1"/>
    <col min="5628" max="5628" width="5.54296875" style="19" customWidth="1"/>
    <col min="5629" max="5629" width="9" style="19" customWidth="1"/>
    <col min="5630" max="5631" width="9.81640625" style="19" customWidth="1"/>
    <col min="5632" max="5632" width="11.1796875" style="19" customWidth="1"/>
    <col min="5633" max="5633" width="2.81640625" style="19" customWidth="1"/>
    <col min="5634" max="5634" width="3.54296875" style="19" customWidth="1"/>
    <col min="5635" max="5879" width="9.1796875" style="19"/>
    <col min="5880" max="5880" width="8.7265625" style="19" customWidth="1"/>
    <col min="5881" max="5881" width="9.81640625" style="19" customWidth="1"/>
    <col min="5882" max="5882" width="14.453125" style="19" customWidth="1"/>
    <col min="5883" max="5883" width="7.26953125" style="19" customWidth="1"/>
    <col min="5884" max="5884" width="5.54296875" style="19" customWidth="1"/>
    <col min="5885" max="5885" width="9" style="19" customWidth="1"/>
    <col min="5886" max="5887" width="9.81640625" style="19" customWidth="1"/>
    <col min="5888" max="5888" width="11.1796875" style="19" customWidth="1"/>
    <col min="5889" max="5889" width="2.81640625" style="19" customWidth="1"/>
    <col min="5890" max="5890" width="3.54296875" style="19" customWidth="1"/>
    <col min="5891" max="6135" width="9.1796875" style="19"/>
    <col min="6136" max="6136" width="8.7265625" style="19" customWidth="1"/>
    <col min="6137" max="6137" width="9.81640625" style="19" customWidth="1"/>
    <col min="6138" max="6138" width="14.453125" style="19" customWidth="1"/>
    <col min="6139" max="6139" width="7.26953125" style="19" customWidth="1"/>
    <col min="6140" max="6140" width="5.54296875" style="19" customWidth="1"/>
    <col min="6141" max="6141" width="9" style="19" customWidth="1"/>
    <col min="6142" max="6143" width="9.81640625" style="19" customWidth="1"/>
    <col min="6144" max="6144" width="11.1796875" style="19" customWidth="1"/>
    <col min="6145" max="6145" width="2.81640625" style="19" customWidth="1"/>
    <col min="6146" max="6146" width="3.54296875" style="19" customWidth="1"/>
    <col min="6147" max="6391" width="9.1796875" style="19"/>
    <col min="6392" max="6392" width="8.7265625" style="19" customWidth="1"/>
    <col min="6393" max="6393" width="9.81640625" style="19" customWidth="1"/>
    <col min="6394" max="6394" width="14.453125" style="19" customWidth="1"/>
    <col min="6395" max="6395" width="7.26953125" style="19" customWidth="1"/>
    <col min="6396" max="6396" width="5.54296875" style="19" customWidth="1"/>
    <col min="6397" max="6397" width="9" style="19" customWidth="1"/>
    <col min="6398" max="6399" width="9.81640625" style="19" customWidth="1"/>
    <col min="6400" max="6400" width="11.1796875" style="19" customWidth="1"/>
    <col min="6401" max="6401" width="2.81640625" style="19" customWidth="1"/>
    <col min="6402" max="6402" width="3.54296875" style="19" customWidth="1"/>
    <col min="6403" max="6647" width="9.1796875" style="19"/>
    <col min="6648" max="6648" width="8.7265625" style="19" customWidth="1"/>
    <col min="6649" max="6649" width="9.81640625" style="19" customWidth="1"/>
    <col min="6650" max="6650" width="14.453125" style="19" customWidth="1"/>
    <col min="6651" max="6651" width="7.26953125" style="19" customWidth="1"/>
    <col min="6652" max="6652" width="5.54296875" style="19" customWidth="1"/>
    <col min="6653" max="6653" width="9" style="19" customWidth="1"/>
    <col min="6654" max="6655" width="9.81640625" style="19" customWidth="1"/>
    <col min="6656" max="6656" width="11.1796875" style="19" customWidth="1"/>
    <col min="6657" max="6657" width="2.81640625" style="19" customWidth="1"/>
    <col min="6658" max="6658" width="3.54296875" style="19" customWidth="1"/>
    <col min="6659" max="6903" width="9.1796875" style="19"/>
    <col min="6904" max="6904" width="8.7265625" style="19" customWidth="1"/>
    <col min="6905" max="6905" width="9.81640625" style="19" customWidth="1"/>
    <col min="6906" max="6906" width="14.453125" style="19" customWidth="1"/>
    <col min="6907" max="6907" width="7.26953125" style="19" customWidth="1"/>
    <col min="6908" max="6908" width="5.54296875" style="19" customWidth="1"/>
    <col min="6909" max="6909" width="9" style="19" customWidth="1"/>
    <col min="6910" max="6911" width="9.81640625" style="19" customWidth="1"/>
    <col min="6912" max="6912" width="11.1796875" style="19" customWidth="1"/>
    <col min="6913" max="6913" width="2.81640625" style="19" customWidth="1"/>
    <col min="6914" max="6914" width="3.54296875" style="19" customWidth="1"/>
    <col min="6915" max="7159" width="9.1796875" style="19"/>
    <col min="7160" max="7160" width="8.7265625" style="19" customWidth="1"/>
    <col min="7161" max="7161" width="9.81640625" style="19" customWidth="1"/>
    <col min="7162" max="7162" width="14.453125" style="19" customWidth="1"/>
    <col min="7163" max="7163" width="7.26953125" style="19" customWidth="1"/>
    <col min="7164" max="7164" width="5.54296875" style="19" customWidth="1"/>
    <col min="7165" max="7165" width="9" style="19" customWidth="1"/>
    <col min="7166" max="7167" width="9.81640625" style="19" customWidth="1"/>
    <col min="7168" max="7168" width="11.1796875" style="19" customWidth="1"/>
    <col min="7169" max="7169" width="2.81640625" style="19" customWidth="1"/>
    <col min="7170" max="7170" width="3.54296875" style="19" customWidth="1"/>
    <col min="7171" max="7415" width="9.1796875" style="19"/>
    <col min="7416" max="7416" width="8.7265625" style="19" customWidth="1"/>
    <col min="7417" max="7417" width="9.81640625" style="19" customWidth="1"/>
    <col min="7418" max="7418" width="14.453125" style="19" customWidth="1"/>
    <col min="7419" max="7419" width="7.26953125" style="19" customWidth="1"/>
    <col min="7420" max="7420" width="5.54296875" style="19" customWidth="1"/>
    <col min="7421" max="7421" width="9" style="19" customWidth="1"/>
    <col min="7422" max="7423" width="9.81640625" style="19" customWidth="1"/>
    <col min="7424" max="7424" width="11.1796875" style="19" customWidth="1"/>
    <col min="7425" max="7425" width="2.81640625" style="19" customWidth="1"/>
    <col min="7426" max="7426" width="3.54296875" style="19" customWidth="1"/>
    <col min="7427" max="7671" width="9.1796875" style="19"/>
    <col min="7672" max="7672" width="8.7265625" style="19" customWidth="1"/>
    <col min="7673" max="7673" width="9.81640625" style="19" customWidth="1"/>
    <col min="7674" max="7674" width="14.453125" style="19" customWidth="1"/>
    <col min="7675" max="7675" width="7.26953125" style="19" customWidth="1"/>
    <col min="7676" max="7676" width="5.54296875" style="19" customWidth="1"/>
    <col min="7677" max="7677" width="9" style="19" customWidth="1"/>
    <col min="7678" max="7679" width="9.81640625" style="19" customWidth="1"/>
    <col min="7680" max="7680" width="11.1796875" style="19" customWidth="1"/>
    <col min="7681" max="7681" width="2.81640625" style="19" customWidth="1"/>
    <col min="7682" max="7682" width="3.54296875" style="19" customWidth="1"/>
    <col min="7683" max="7927" width="9.1796875" style="19"/>
    <col min="7928" max="7928" width="8.7265625" style="19" customWidth="1"/>
    <col min="7929" max="7929" width="9.81640625" style="19" customWidth="1"/>
    <col min="7930" max="7930" width="14.453125" style="19" customWidth="1"/>
    <col min="7931" max="7931" width="7.26953125" style="19" customWidth="1"/>
    <col min="7932" max="7932" width="5.54296875" style="19" customWidth="1"/>
    <col min="7933" max="7933" width="9" style="19" customWidth="1"/>
    <col min="7934" max="7935" width="9.81640625" style="19" customWidth="1"/>
    <col min="7936" max="7936" width="11.1796875" style="19" customWidth="1"/>
    <col min="7937" max="7937" width="2.81640625" style="19" customWidth="1"/>
    <col min="7938" max="7938" width="3.54296875" style="19" customWidth="1"/>
    <col min="7939" max="8183" width="9.1796875" style="19"/>
    <col min="8184" max="8184" width="8.7265625" style="19" customWidth="1"/>
    <col min="8185" max="8185" width="9.81640625" style="19" customWidth="1"/>
    <col min="8186" max="8186" width="14.453125" style="19" customWidth="1"/>
    <col min="8187" max="8187" width="7.26953125" style="19" customWidth="1"/>
    <col min="8188" max="8188" width="5.54296875" style="19" customWidth="1"/>
    <col min="8189" max="8189" width="9" style="19" customWidth="1"/>
    <col min="8190" max="8191" width="9.81640625" style="19" customWidth="1"/>
    <col min="8192" max="8192" width="11.1796875" style="19" customWidth="1"/>
    <col min="8193" max="8193" width="2.81640625" style="19" customWidth="1"/>
    <col min="8194" max="8194" width="3.54296875" style="19" customWidth="1"/>
    <col min="8195" max="8439" width="9.1796875" style="19"/>
    <col min="8440" max="8440" width="8.7265625" style="19" customWidth="1"/>
    <col min="8441" max="8441" width="9.81640625" style="19" customWidth="1"/>
    <col min="8442" max="8442" width="14.453125" style="19" customWidth="1"/>
    <col min="8443" max="8443" width="7.26953125" style="19" customWidth="1"/>
    <col min="8444" max="8444" width="5.54296875" style="19" customWidth="1"/>
    <col min="8445" max="8445" width="9" style="19" customWidth="1"/>
    <col min="8446" max="8447" width="9.81640625" style="19" customWidth="1"/>
    <col min="8448" max="8448" width="11.1796875" style="19" customWidth="1"/>
    <col min="8449" max="8449" width="2.81640625" style="19" customWidth="1"/>
    <col min="8450" max="8450" width="3.54296875" style="19" customWidth="1"/>
    <col min="8451" max="8695" width="9.1796875" style="19"/>
    <col min="8696" max="8696" width="8.7265625" style="19" customWidth="1"/>
    <col min="8697" max="8697" width="9.81640625" style="19" customWidth="1"/>
    <col min="8698" max="8698" width="14.453125" style="19" customWidth="1"/>
    <col min="8699" max="8699" width="7.26953125" style="19" customWidth="1"/>
    <col min="8700" max="8700" width="5.54296875" style="19" customWidth="1"/>
    <col min="8701" max="8701" width="9" style="19" customWidth="1"/>
    <col min="8702" max="8703" width="9.81640625" style="19" customWidth="1"/>
    <col min="8704" max="8704" width="11.1796875" style="19" customWidth="1"/>
    <col min="8705" max="8705" width="2.81640625" style="19" customWidth="1"/>
    <col min="8706" max="8706" width="3.54296875" style="19" customWidth="1"/>
    <col min="8707" max="8951" width="9.1796875" style="19"/>
    <col min="8952" max="8952" width="8.7265625" style="19" customWidth="1"/>
    <col min="8953" max="8953" width="9.81640625" style="19" customWidth="1"/>
    <col min="8954" max="8954" width="14.453125" style="19" customWidth="1"/>
    <col min="8955" max="8955" width="7.26953125" style="19" customWidth="1"/>
    <col min="8956" max="8956" width="5.54296875" style="19" customWidth="1"/>
    <col min="8957" max="8957" width="9" style="19" customWidth="1"/>
    <col min="8958" max="8959" width="9.81640625" style="19" customWidth="1"/>
    <col min="8960" max="8960" width="11.1796875" style="19" customWidth="1"/>
    <col min="8961" max="8961" width="2.81640625" style="19" customWidth="1"/>
    <col min="8962" max="8962" width="3.54296875" style="19" customWidth="1"/>
    <col min="8963" max="9207" width="9.1796875" style="19"/>
    <col min="9208" max="9208" width="8.7265625" style="19" customWidth="1"/>
    <col min="9209" max="9209" width="9.81640625" style="19" customWidth="1"/>
    <col min="9210" max="9210" width="14.453125" style="19" customWidth="1"/>
    <col min="9211" max="9211" width="7.26953125" style="19" customWidth="1"/>
    <col min="9212" max="9212" width="5.54296875" style="19" customWidth="1"/>
    <col min="9213" max="9213" width="9" style="19" customWidth="1"/>
    <col min="9214" max="9215" width="9.81640625" style="19" customWidth="1"/>
    <col min="9216" max="9216" width="11.1796875" style="19" customWidth="1"/>
    <col min="9217" max="9217" width="2.81640625" style="19" customWidth="1"/>
    <col min="9218" max="9218" width="3.54296875" style="19" customWidth="1"/>
    <col min="9219" max="9463" width="9.1796875" style="19"/>
    <col min="9464" max="9464" width="8.7265625" style="19" customWidth="1"/>
    <col min="9465" max="9465" width="9.81640625" style="19" customWidth="1"/>
    <col min="9466" max="9466" width="14.453125" style="19" customWidth="1"/>
    <col min="9467" max="9467" width="7.26953125" style="19" customWidth="1"/>
    <col min="9468" max="9468" width="5.54296875" style="19" customWidth="1"/>
    <col min="9469" max="9469" width="9" style="19" customWidth="1"/>
    <col min="9470" max="9471" width="9.81640625" style="19" customWidth="1"/>
    <col min="9472" max="9472" width="11.1796875" style="19" customWidth="1"/>
    <col min="9473" max="9473" width="2.81640625" style="19" customWidth="1"/>
    <col min="9474" max="9474" width="3.54296875" style="19" customWidth="1"/>
    <col min="9475" max="9719" width="9.1796875" style="19"/>
    <col min="9720" max="9720" width="8.7265625" style="19" customWidth="1"/>
    <col min="9721" max="9721" width="9.81640625" style="19" customWidth="1"/>
    <col min="9722" max="9722" width="14.453125" style="19" customWidth="1"/>
    <col min="9723" max="9723" width="7.26953125" style="19" customWidth="1"/>
    <col min="9724" max="9724" width="5.54296875" style="19" customWidth="1"/>
    <col min="9725" max="9725" width="9" style="19" customWidth="1"/>
    <col min="9726" max="9727" width="9.81640625" style="19" customWidth="1"/>
    <col min="9728" max="9728" width="11.1796875" style="19" customWidth="1"/>
    <col min="9729" max="9729" width="2.81640625" style="19" customWidth="1"/>
    <col min="9730" max="9730" width="3.54296875" style="19" customWidth="1"/>
    <col min="9731" max="9975" width="9.1796875" style="19"/>
    <col min="9976" max="9976" width="8.7265625" style="19" customWidth="1"/>
    <col min="9977" max="9977" width="9.81640625" style="19" customWidth="1"/>
    <col min="9978" max="9978" width="14.453125" style="19" customWidth="1"/>
    <col min="9979" max="9979" width="7.26953125" style="19" customWidth="1"/>
    <col min="9980" max="9980" width="5.54296875" style="19" customWidth="1"/>
    <col min="9981" max="9981" width="9" style="19" customWidth="1"/>
    <col min="9982" max="9983" width="9.81640625" style="19" customWidth="1"/>
    <col min="9984" max="9984" width="11.1796875" style="19" customWidth="1"/>
    <col min="9985" max="9985" width="2.81640625" style="19" customWidth="1"/>
    <col min="9986" max="9986" width="3.54296875" style="19" customWidth="1"/>
    <col min="9987" max="10231" width="9.1796875" style="19"/>
    <col min="10232" max="10232" width="8.7265625" style="19" customWidth="1"/>
    <col min="10233" max="10233" width="9.81640625" style="19" customWidth="1"/>
    <col min="10234" max="10234" width="14.453125" style="19" customWidth="1"/>
    <col min="10235" max="10235" width="7.26953125" style="19" customWidth="1"/>
    <col min="10236" max="10236" width="5.54296875" style="19" customWidth="1"/>
    <col min="10237" max="10237" width="9" style="19" customWidth="1"/>
    <col min="10238" max="10239" width="9.81640625" style="19" customWidth="1"/>
    <col min="10240" max="10240" width="11.1796875" style="19" customWidth="1"/>
    <col min="10241" max="10241" width="2.81640625" style="19" customWidth="1"/>
    <col min="10242" max="10242" width="3.54296875" style="19" customWidth="1"/>
    <col min="10243" max="10487" width="9.1796875" style="19"/>
    <col min="10488" max="10488" width="8.7265625" style="19" customWidth="1"/>
    <col min="10489" max="10489" width="9.81640625" style="19" customWidth="1"/>
    <col min="10490" max="10490" width="14.453125" style="19" customWidth="1"/>
    <col min="10491" max="10491" width="7.26953125" style="19" customWidth="1"/>
    <col min="10492" max="10492" width="5.54296875" style="19" customWidth="1"/>
    <col min="10493" max="10493" width="9" style="19" customWidth="1"/>
    <col min="10494" max="10495" width="9.81640625" style="19" customWidth="1"/>
    <col min="10496" max="10496" width="11.1796875" style="19" customWidth="1"/>
    <col min="10497" max="10497" width="2.81640625" style="19" customWidth="1"/>
    <col min="10498" max="10498" width="3.54296875" style="19" customWidth="1"/>
    <col min="10499" max="10743" width="9.1796875" style="19"/>
    <col min="10744" max="10744" width="8.7265625" style="19" customWidth="1"/>
    <col min="10745" max="10745" width="9.81640625" style="19" customWidth="1"/>
    <col min="10746" max="10746" width="14.453125" style="19" customWidth="1"/>
    <col min="10747" max="10747" width="7.26953125" style="19" customWidth="1"/>
    <col min="10748" max="10748" width="5.54296875" style="19" customWidth="1"/>
    <col min="10749" max="10749" width="9" style="19" customWidth="1"/>
    <col min="10750" max="10751" width="9.81640625" style="19" customWidth="1"/>
    <col min="10752" max="10752" width="11.1796875" style="19" customWidth="1"/>
    <col min="10753" max="10753" width="2.81640625" style="19" customWidth="1"/>
    <col min="10754" max="10754" width="3.54296875" style="19" customWidth="1"/>
    <col min="10755" max="10999" width="9.1796875" style="19"/>
    <col min="11000" max="11000" width="8.7265625" style="19" customWidth="1"/>
    <col min="11001" max="11001" width="9.81640625" style="19" customWidth="1"/>
    <col min="11002" max="11002" width="14.453125" style="19" customWidth="1"/>
    <col min="11003" max="11003" width="7.26953125" style="19" customWidth="1"/>
    <col min="11004" max="11004" width="5.54296875" style="19" customWidth="1"/>
    <col min="11005" max="11005" width="9" style="19" customWidth="1"/>
    <col min="11006" max="11007" width="9.81640625" style="19" customWidth="1"/>
    <col min="11008" max="11008" width="11.1796875" style="19" customWidth="1"/>
    <col min="11009" max="11009" width="2.81640625" style="19" customWidth="1"/>
    <col min="11010" max="11010" width="3.54296875" style="19" customWidth="1"/>
    <col min="11011" max="11255" width="9.1796875" style="19"/>
    <col min="11256" max="11256" width="8.7265625" style="19" customWidth="1"/>
    <col min="11257" max="11257" width="9.81640625" style="19" customWidth="1"/>
    <col min="11258" max="11258" width="14.453125" style="19" customWidth="1"/>
    <col min="11259" max="11259" width="7.26953125" style="19" customWidth="1"/>
    <col min="11260" max="11260" width="5.54296875" style="19" customWidth="1"/>
    <col min="11261" max="11261" width="9" style="19" customWidth="1"/>
    <col min="11262" max="11263" width="9.81640625" style="19" customWidth="1"/>
    <col min="11264" max="11264" width="11.1796875" style="19" customWidth="1"/>
    <col min="11265" max="11265" width="2.81640625" style="19" customWidth="1"/>
    <col min="11266" max="11266" width="3.54296875" style="19" customWidth="1"/>
    <col min="11267" max="11511" width="9.1796875" style="19"/>
    <col min="11512" max="11512" width="8.7265625" style="19" customWidth="1"/>
    <col min="11513" max="11513" width="9.81640625" style="19" customWidth="1"/>
    <col min="11514" max="11514" width="14.453125" style="19" customWidth="1"/>
    <col min="11515" max="11515" width="7.26953125" style="19" customWidth="1"/>
    <col min="11516" max="11516" width="5.54296875" style="19" customWidth="1"/>
    <col min="11517" max="11517" width="9" style="19" customWidth="1"/>
    <col min="11518" max="11519" width="9.81640625" style="19" customWidth="1"/>
    <col min="11520" max="11520" width="11.1796875" style="19" customWidth="1"/>
    <col min="11521" max="11521" width="2.81640625" style="19" customWidth="1"/>
    <col min="11522" max="11522" width="3.54296875" style="19" customWidth="1"/>
    <col min="11523" max="11767" width="9.1796875" style="19"/>
    <col min="11768" max="11768" width="8.7265625" style="19" customWidth="1"/>
    <col min="11769" max="11769" width="9.81640625" style="19" customWidth="1"/>
    <col min="11770" max="11770" width="14.453125" style="19" customWidth="1"/>
    <col min="11771" max="11771" width="7.26953125" style="19" customWidth="1"/>
    <col min="11772" max="11772" width="5.54296875" style="19" customWidth="1"/>
    <col min="11773" max="11773" width="9" style="19" customWidth="1"/>
    <col min="11774" max="11775" width="9.81640625" style="19" customWidth="1"/>
    <col min="11776" max="11776" width="11.1796875" style="19" customWidth="1"/>
    <col min="11777" max="11777" width="2.81640625" style="19" customWidth="1"/>
    <col min="11778" max="11778" width="3.54296875" style="19" customWidth="1"/>
    <col min="11779" max="12023" width="9.1796875" style="19"/>
    <col min="12024" max="12024" width="8.7265625" style="19" customWidth="1"/>
    <col min="12025" max="12025" width="9.81640625" style="19" customWidth="1"/>
    <col min="12026" max="12026" width="14.453125" style="19" customWidth="1"/>
    <col min="12027" max="12027" width="7.26953125" style="19" customWidth="1"/>
    <col min="12028" max="12028" width="5.54296875" style="19" customWidth="1"/>
    <col min="12029" max="12029" width="9" style="19" customWidth="1"/>
    <col min="12030" max="12031" width="9.81640625" style="19" customWidth="1"/>
    <col min="12032" max="12032" width="11.1796875" style="19" customWidth="1"/>
    <col min="12033" max="12033" width="2.81640625" style="19" customWidth="1"/>
    <col min="12034" max="12034" width="3.54296875" style="19" customWidth="1"/>
    <col min="12035" max="12279" width="9.1796875" style="19"/>
    <col min="12280" max="12280" width="8.7265625" style="19" customWidth="1"/>
    <col min="12281" max="12281" width="9.81640625" style="19" customWidth="1"/>
    <col min="12282" max="12282" width="14.453125" style="19" customWidth="1"/>
    <col min="12283" max="12283" width="7.26953125" style="19" customWidth="1"/>
    <col min="12284" max="12284" width="5.54296875" style="19" customWidth="1"/>
    <col min="12285" max="12285" width="9" style="19" customWidth="1"/>
    <col min="12286" max="12287" width="9.81640625" style="19" customWidth="1"/>
    <col min="12288" max="12288" width="11.1796875" style="19" customWidth="1"/>
    <col min="12289" max="12289" width="2.81640625" style="19" customWidth="1"/>
    <col min="12290" max="12290" width="3.54296875" style="19" customWidth="1"/>
    <col min="12291" max="12535" width="9.1796875" style="19"/>
    <col min="12536" max="12536" width="8.7265625" style="19" customWidth="1"/>
    <col min="12537" max="12537" width="9.81640625" style="19" customWidth="1"/>
    <col min="12538" max="12538" width="14.453125" style="19" customWidth="1"/>
    <col min="12539" max="12539" width="7.26953125" style="19" customWidth="1"/>
    <col min="12540" max="12540" width="5.54296875" style="19" customWidth="1"/>
    <col min="12541" max="12541" width="9" style="19" customWidth="1"/>
    <col min="12542" max="12543" width="9.81640625" style="19" customWidth="1"/>
    <col min="12544" max="12544" width="11.1796875" style="19" customWidth="1"/>
    <col min="12545" max="12545" width="2.81640625" style="19" customWidth="1"/>
    <col min="12546" max="12546" width="3.54296875" style="19" customWidth="1"/>
    <col min="12547" max="12791" width="9.1796875" style="19"/>
    <col min="12792" max="12792" width="8.7265625" style="19" customWidth="1"/>
    <col min="12793" max="12793" width="9.81640625" style="19" customWidth="1"/>
    <col min="12794" max="12794" width="14.453125" style="19" customWidth="1"/>
    <col min="12795" max="12795" width="7.26953125" style="19" customWidth="1"/>
    <col min="12796" max="12796" width="5.54296875" style="19" customWidth="1"/>
    <col min="12797" max="12797" width="9" style="19" customWidth="1"/>
    <col min="12798" max="12799" width="9.81640625" style="19" customWidth="1"/>
    <col min="12800" max="12800" width="11.1796875" style="19" customWidth="1"/>
    <col min="12801" max="12801" width="2.81640625" style="19" customWidth="1"/>
    <col min="12802" max="12802" width="3.54296875" style="19" customWidth="1"/>
    <col min="12803" max="13047" width="9.1796875" style="19"/>
    <col min="13048" max="13048" width="8.7265625" style="19" customWidth="1"/>
    <col min="13049" max="13049" width="9.81640625" style="19" customWidth="1"/>
    <col min="13050" max="13050" width="14.453125" style="19" customWidth="1"/>
    <col min="13051" max="13051" width="7.26953125" style="19" customWidth="1"/>
    <col min="13052" max="13052" width="5.54296875" style="19" customWidth="1"/>
    <col min="13053" max="13053" width="9" style="19" customWidth="1"/>
    <col min="13054" max="13055" width="9.81640625" style="19" customWidth="1"/>
    <col min="13056" max="13056" width="11.1796875" style="19" customWidth="1"/>
    <col min="13057" max="13057" width="2.81640625" style="19" customWidth="1"/>
    <col min="13058" max="13058" width="3.54296875" style="19" customWidth="1"/>
    <col min="13059" max="13303" width="9.1796875" style="19"/>
    <col min="13304" max="13304" width="8.7265625" style="19" customWidth="1"/>
    <col min="13305" max="13305" width="9.81640625" style="19" customWidth="1"/>
    <col min="13306" max="13306" width="14.453125" style="19" customWidth="1"/>
    <col min="13307" max="13307" width="7.26953125" style="19" customWidth="1"/>
    <col min="13308" max="13308" width="5.54296875" style="19" customWidth="1"/>
    <col min="13309" max="13309" width="9" style="19" customWidth="1"/>
    <col min="13310" max="13311" width="9.81640625" style="19" customWidth="1"/>
    <col min="13312" max="13312" width="11.1796875" style="19" customWidth="1"/>
    <col min="13313" max="13313" width="2.81640625" style="19" customWidth="1"/>
    <col min="13314" max="13314" width="3.54296875" style="19" customWidth="1"/>
    <col min="13315" max="13559" width="9.1796875" style="19"/>
    <col min="13560" max="13560" width="8.7265625" style="19" customWidth="1"/>
    <col min="13561" max="13561" width="9.81640625" style="19" customWidth="1"/>
    <col min="13562" max="13562" width="14.453125" style="19" customWidth="1"/>
    <col min="13563" max="13563" width="7.26953125" style="19" customWidth="1"/>
    <col min="13564" max="13564" width="5.54296875" style="19" customWidth="1"/>
    <col min="13565" max="13565" width="9" style="19" customWidth="1"/>
    <col min="13566" max="13567" width="9.81640625" style="19" customWidth="1"/>
    <col min="13568" max="13568" width="11.1796875" style="19" customWidth="1"/>
    <col min="13569" max="13569" width="2.81640625" style="19" customWidth="1"/>
    <col min="13570" max="13570" width="3.54296875" style="19" customWidth="1"/>
    <col min="13571" max="13815" width="9.1796875" style="19"/>
    <col min="13816" max="13816" width="8.7265625" style="19" customWidth="1"/>
    <col min="13817" max="13817" width="9.81640625" style="19" customWidth="1"/>
    <col min="13818" max="13818" width="14.453125" style="19" customWidth="1"/>
    <col min="13819" max="13819" width="7.26953125" style="19" customWidth="1"/>
    <col min="13820" max="13820" width="5.54296875" style="19" customWidth="1"/>
    <col min="13821" max="13821" width="9" style="19" customWidth="1"/>
    <col min="13822" max="13823" width="9.81640625" style="19" customWidth="1"/>
    <col min="13824" max="13824" width="11.1796875" style="19" customWidth="1"/>
    <col min="13825" max="13825" width="2.81640625" style="19" customWidth="1"/>
    <col min="13826" max="13826" width="3.54296875" style="19" customWidth="1"/>
    <col min="13827" max="14071" width="9.1796875" style="19"/>
    <col min="14072" max="14072" width="8.7265625" style="19" customWidth="1"/>
    <col min="14073" max="14073" width="9.81640625" style="19" customWidth="1"/>
    <col min="14074" max="14074" width="14.453125" style="19" customWidth="1"/>
    <col min="14075" max="14075" width="7.26953125" style="19" customWidth="1"/>
    <col min="14076" max="14076" width="5.54296875" style="19" customWidth="1"/>
    <col min="14077" max="14077" width="9" style="19" customWidth="1"/>
    <col min="14078" max="14079" width="9.81640625" style="19" customWidth="1"/>
    <col min="14080" max="14080" width="11.1796875" style="19" customWidth="1"/>
    <col min="14081" max="14081" width="2.81640625" style="19" customWidth="1"/>
    <col min="14082" max="14082" width="3.54296875" style="19" customWidth="1"/>
    <col min="14083" max="14327" width="9.1796875" style="19"/>
    <col min="14328" max="14328" width="8.7265625" style="19" customWidth="1"/>
    <col min="14329" max="14329" width="9.81640625" style="19" customWidth="1"/>
    <col min="14330" max="14330" width="14.453125" style="19" customWidth="1"/>
    <col min="14331" max="14331" width="7.26953125" style="19" customWidth="1"/>
    <col min="14332" max="14332" width="5.54296875" style="19" customWidth="1"/>
    <col min="14333" max="14333" width="9" style="19" customWidth="1"/>
    <col min="14334" max="14335" width="9.81640625" style="19" customWidth="1"/>
    <col min="14336" max="14336" width="11.1796875" style="19" customWidth="1"/>
    <col min="14337" max="14337" width="2.81640625" style="19" customWidth="1"/>
    <col min="14338" max="14338" width="3.54296875" style="19" customWidth="1"/>
    <col min="14339" max="14583" width="9.1796875" style="19"/>
    <col min="14584" max="14584" width="8.7265625" style="19" customWidth="1"/>
    <col min="14585" max="14585" width="9.81640625" style="19" customWidth="1"/>
    <col min="14586" max="14586" width="14.453125" style="19" customWidth="1"/>
    <col min="14587" max="14587" width="7.26953125" style="19" customWidth="1"/>
    <col min="14588" max="14588" width="5.54296875" style="19" customWidth="1"/>
    <col min="14589" max="14589" width="9" style="19" customWidth="1"/>
    <col min="14590" max="14591" width="9.81640625" style="19" customWidth="1"/>
    <col min="14592" max="14592" width="11.1796875" style="19" customWidth="1"/>
    <col min="14593" max="14593" width="2.81640625" style="19" customWidth="1"/>
    <col min="14594" max="14594" width="3.54296875" style="19" customWidth="1"/>
    <col min="14595" max="14839" width="9.1796875" style="19"/>
    <col min="14840" max="14840" width="8.7265625" style="19" customWidth="1"/>
    <col min="14841" max="14841" width="9.81640625" style="19" customWidth="1"/>
    <col min="14842" max="14842" width="14.453125" style="19" customWidth="1"/>
    <col min="14843" max="14843" width="7.26953125" style="19" customWidth="1"/>
    <col min="14844" max="14844" width="5.54296875" style="19" customWidth="1"/>
    <col min="14845" max="14845" width="9" style="19" customWidth="1"/>
    <col min="14846" max="14847" width="9.81640625" style="19" customWidth="1"/>
    <col min="14848" max="14848" width="11.1796875" style="19" customWidth="1"/>
    <col min="14849" max="14849" width="2.81640625" style="19" customWidth="1"/>
    <col min="14850" max="14850" width="3.54296875" style="19" customWidth="1"/>
    <col min="14851" max="15095" width="9.1796875" style="19"/>
    <col min="15096" max="15096" width="8.7265625" style="19" customWidth="1"/>
    <col min="15097" max="15097" width="9.81640625" style="19" customWidth="1"/>
    <col min="15098" max="15098" width="14.453125" style="19" customWidth="1"/>
    <col min="15099" max="15099" width="7.26953125" style="19" customWidth="1"/>
    <col min="15100" max="15100" width="5.54296875" style="19" customWidth="1"/>
    <col min="15101" max="15101" width="9" style="19" customWidth="1"/>
    <col min="15102" max="15103" width="9.81640625" style="19" customWidth="1"/>
    <col min="15104" max="15104" width="11.1796875" style="19" customWidth="1"/>
    <col min="15105" max="15105" width="2.81640625" style="19" customWidth="1"/>
    <col min="15106" max="15106" width="3.54296875" style="19" customWidth="1"/>
    <col min="15107" max="15351" width="9.1796875" style="19"/>
    <col min="15352" max="15352" width="8.7265625" style="19" customWidth="1"/>
    <col min="15353" max="15353" width="9.81640625" style="19" customWidth="1"/>
    <col min="15354" max="15354" width="14.453125" style="19" customWidth="1"/>
    <col min="15355" max="15355" width="7.26953125" style="19" customWidth="1"/>
    <col min="15356" max="15356" width="5.54296875" style="19" customWidth="1"/>
    <col min="15357" max="15357" width="9" style="19" customWidth="1"/>
    <col min="15358" max="15359" width="9.81640625" style="19" customWidth="1"/>
    <col min="15360" max="15360" width="11.1796875" style="19" customWidth="1"/>
    <col min="15361" max="15361" width="2.81640625" style="19" customWidth="1"/>
    <col min="15362" max="15362" width="3.54296875" style="19" customWidth="1"/>
    <col min="15363" max="15607" width="9.1796875" style="19"/>
    <col min="15608" max="15608" width="8.7265625" style="19" customWidth="1"/>
    <col min="15609" max="15609" width="9.81640625" style="19" customWidth="1"/>
    <col min="15610" max="15610" width="14.453125" style="19" customWidth="1"/>
    <col min="15611" max="15611" width="7.26953125" style="19" customWidth="1"/>
    <col min="15612" max="15612" width="5.54296875" style="19" customWidth="1"/>
    <col min="15613" max="15613" width="9" style="19" customWidth="1"/>
    <col min="15614" max="15615" width="9.81640625" style="19" customWidth="1"/>
    <col min="15616" max="15616" width="11.1796875" style="19" customWidth="1"/>
    <col min="15617" max="15617" width="2.81640625" style="19" customWidth="1"/>
    <col min="15618" max="15618" width="3.54296875" style="19" customWidth="1"/>
    <col min="15619" max="15863" width="9.1796875" style="19"/>
    <col min="15864" max="15864" width="8.7265625" style="19" customWidth="1"/>
    <col min="15865" max="15865" width="9.81640625" style="19" customWidth="1"/>
    <col min="15866" max="15866" width="14.453125" style="19" customWidth="1"/>
    <col min="15867" max="15867" width="7.26953125" style="19" customWidth="1"/>
    <col min="15868" max="15868" width="5.54296875" style="19" customWidth="1"/>
    <col min="15869" max="15869" width="9" style="19" customWidth="1"/>
    <col min="15870" max="15871" width="9.81640625" style="19" customWidth="1"/>
    <col min="15872" max="15872" width="11.1796875" style="19" customWidth="1"/>
    <col min="15873" max="15873" width="2.81640625" style="19" customWidth="1"/>
    <col min="15874" max="15874" width="3.54296875" style="19" customWidth="1"/>
    <col min="15875" max="16119" width="9.1796875" style="19"/>
    <col min="16120" max="16120" width="8.7265625" style="19" customWidth="1"/>
    <col min="16121" max="16121" width="9.81640625" style="19" customWidth="1"/>
    <col min="16122" max="16122" width="14.453125" style="19" customWidth="1"/>
    <col min="16123" max="16123" width="7.26953125" style="19" customWidth="1"/>
    <col min="16124" max="16124" width="5.54296875" style="19" customWidth="1"/>
    <col min="16125" max="16125" width="9" style="19" customWidth="1"/>
    <col min="16126" max="16127" width="9.81640625" style="19" customWidth="1"/>
    <col min="16128" max="16128" width="11.1796875" style="19" customWidth="1"/>
    <col min="16129" max="16129" width="2.81640625" style="19" customWidth="1"/>
    <col min="16130" max="16130" width="3.54296875" style="19" customWidth="1"/>
    <col min="16131" max="16384" width="9.1796875" style="19"/>
  </cols>
  <sheetData>
    <row r="1" spans="1:26" ht="46.5" customHeight="1" x14ac:dyDescent="0.35">
      <c r="A1" s="210" t="s">
        <v>163</v>
      </c>
      <c r="B1" s="210"/>
      <c r="C1" s="210"/>
      <c r="D1" s="210"/>
      <c r="E1" s="210"/>
      <c r="F1" s="210"/>
      <c r="G1" s="210"/>
      <c r="H1" s="210"/>
    </row>
    <row r="2" spans="1:26" ht="16.5" customHeight="1" x14ac:dyDescent="0.35">
      <c r="A2" s="141" t="s">
        <v>0</v>
      </c>
      <c r="B2" s="141"/>
      <c r="C2" s="141"/>
      <c r="D2" s="141"/>
      <c r="E2" s="141"/>
      <c r="F2" s="141"/>
      <c r="G2" s="141"/>
      <c r="H2" s="141"/>
      <c r="I2" s="171"/>
      <c r="J2" s="172"/>
      <c r="K2" s="172"/>
      <c r="L2" s="172"/>
      <c r="M2" s="172"/>
      <c r="N2" s="50"/>
      <c r="O2" s="50"/>
    </row>
    <row r="3" spans="1:26" x14ac:dyDescent="0.35">
      <c r="A3" s="158" t="s">
        <v>1</v>
      </c>
      <c r="B3" s="158"/>
      <c r="C3" s="158"/>
      <c r="D3" s="158"/>
      <c r="E3" s="158" t="str">
        <f ca="1">TEXT(TODAY(),"DD/MM/YYYY")</f>
        <v>19/09/2025</v>
      </c>
      <c r="F3" s="158"/>
      <c r="G3" s="158"/>
      <c r="H3" s="158"/>
    </row>
    <row r="4" spans="1:26" ht="15" customHeight="1" x14ac:dyDescent="0.35">
      <c r="A4" s="158" t="s">
        <v>2</v>
      </c>
      <c r="B4" s="158"/>
      <c r="C4" s="158"/>
      <c r="D4" s="158"/>
      <c r="E4" s="158" t="s">
        <v>232</v>
      </c>
      <c r="F4" s="158"/>
      <c r="G4" s="158"/>
      <c r="H4" s="158"/>
    </row>
    <row r="5" spans="1:26" x14ac:dyDescent="0.35">
      <c r="A5" s="158" t="s">
        <v>3</v>
      </c>
      <c r="B5" s="158"/>
      <c r="C5" s="158"/>
      <c r="D5" s="158"/>
      <c r="E5" s="211">
        <v>45909</v>
      </c>
      <c r="F5" s="158"/>
      <c r="G5" s="158"/>
      <c r="H5" s="158"/>
    </row>
    <row r="6" spans="1:26" ht="16.5" customHeight="1" x14ac:dyDescent="0.35">
      <c r="A6" s="158" t="s">
        <v>4</v>
      </c>
      <c r="B6" s="158"/>
      <c r="C6" s="158"/>
      <c r="D6" s="158"/>
      <c r="E6" s="158" t="s">
        <v>233</v>
      </c>
      <c r="F6" s="158"/>
      <c r="G6" s="158"/>
      <c r="H6" s="158"/>
    </row>
    <row r="7" spans="1:26" ht="15" customHeight="1" x14ac:dyDescent="0.35">
      <c r="A7" s="158" t="s">
        <v>5</v>
      </c>
      <c r="B7" s="158"/>
      <c r="C7" s="158"/>
      <c r="D7" s="158"/>
      <c r="E7" s="158" t="str">
        <f>E6</f>
        <v>Aramus Ventures LLP</v>
      </c>
      <c r="F7" s="158"/>
      <c r="G7" s="158"/>
      <c r="H7" s="158"/>
    </row>
    <row r="8" spans="1:26" x14ac:dyDescent="0.35">
      <c r="A8" s="158" t="s">
        <v>6</v>
      </c>
      <c r="B8" s="158"/>
      <c r="C8" s="158"/>
      <c r="D8" s="158"/>
      <c r="E8" s="201" t="s">
        <v>234</v>
      </c>
      <c r="F8" s="201"/>
      <c r="G8" s="201"/>
      <c r="H8" s="201"/>
    </row>
    <row r="9" spans="1:26" x14ac:dyDescent="0.35">
      <c r="A9" s="158" t="s">
        <v>166</v>
      </c>
      <c r="B9" s="158"/>
      <c r="C9" s="158"/>
      <c r="D9" s="158"/>
      <c r="E9" s="158" t="s">
        <v>305</v>
      </c>
      <c r="F9" s="158"/>
      <c r="G9" s="158"/>
      <c r="H9" s="158"/>
    </row>
    <row r="10" spans="1:26" hidden="1" x14ac:dyDescent="0.35">
      <c r="A10" s="158" t="s">
        <v>167</v>
      </c>
      <c r="B10" s="158"/>
      <c r="C10" s="158"/>
      <c r="D10" s="158"/>
      <c r="E10" s="158" t="s">
        <v>305</v>
      </c>
      <c r="F10" s="158"/>
      <c r="G10" s="158"/>
      <c r="H10" s="158"/>
      <c r="I10" s="20"/>
    </row>
    <row r="11" spans="1:26" x14ac:dyDescent="0.35">
      <c r="A11" s="158" t="s">
        <v>7</v>
      </c>
      <c r="B11" s="158"/>
      <c r="C11" s="158"/>
      <c r="D11" s="158"/>
      <c r="E11" s="158" t="s">
        <v>121</v>
      </c>
      <c r="F11" s="158"/>
      <c r="G11" s="158"/>
      <c r="H11" s="158"/>
    </row>
    <row r="12" spans="1:26" x14ac:dyDescent="0.35">
      <c r="A12" s="158" t="s">
        <v>169</v>
      </c>
      <c r="B12" s="158"/>
      <c r="C12" s="158"/>
      <c r="D12" s="158"/>
      <c r="E12" s="158" t="s">
        <v>29</v>
      </c>
      <c r="F12" s="158"/>
      <c r="G12" s="158"/>
      <c r="H12" s="158"/>
      <c r="S12" s="49" t="s">
        <v>176</v>
      </c>
      <c r="T12" s="49" t="s">
        <v>186</v>
      </c>
      <c r="U12" s="49" t="s">
        <v>170</v>
      </c>
      <c r="V12" s="49" t="s">
        <v>191</v>
      </c>
      <c r="W12" s="49" t="s">
        <v>209</v>
      </c>
      <c r="X12"/>
      <c r="Y12" t="s">
        <v>191</v>
      </c>
      <c r="Z12" t="e">
        <f ca="1">OFFSET($S$12,1,MATCH($G19,$S$12:$W$12,0)-1,15,1)</f>
        <v>#VALUE!</v>
      </c>
    </row>
    <row r="13" spans="1:26" x14ac:dyDescent="0.35">
      <c r="A13" s="145" t="s">
        <v>8</v>
      </c>
      <c r="B13" s="145"/>
      <c r="C13" s="145"/>
      <c r="D13" s="145"/>
      <c r="E13" s="99" t="s">
        <v>309</v>
      </c>
      <c r="F13" s="99"/>
      <c r="G13" s="99"/>
      <c r="H13" s="99"/>
      <c r="S13" s="49" t="s">
        <v>177</v>
      </c>
      <c r="T13" s="49" t="s">
        <v>184</v>
      </c>
      <c r="U13" s="49" t="s">
        <v>206</v>
      </c>
      <c r="V13" s="49" t="s">
        <v>192</v>
      </c>
      <c r="W13" s="49" t="s">
        <v>210</v>
      </c>
      <c r="X13"/>
      <c r="Y13"/>
      <c r="Z13"/>
    </row>
    <row r="14" spans="1:26" x14ac:dyDescent="0.35">
      <c r="A14" s="145" t="s">
        <v>9</v>
      </c>
      <c r="B14" s="145"/>
      <c r="C14" s="145"/>
      <c r="D14" s="145"/>
      <c r="E14" s="99" t="s">
        <v>237</v>
      </c>
      <c r="F14" s="158"/>
      <c r="G14" s="158"/>
      <c r="H14" s="158"/>
      <c r="I14" s="173" t="e">
        <f ca="1">OFFSET($D$4,1,MATCH($J12,$D$4:$H$4,0)-1,15,1)</f>
        <v>#N/A</v>
      </c>
      <c r="J14" s="174"/>
      <c r="K14" s="174"/>
      <c r="L14" s="174"/>
      <c r="M14" s="174"/>
      <c r="N14" s="174"/>
      <c r="O14" s="174"/>
      <c r="P14" s="174"/>
      <c r="S14" s="49" t="s">
        <v>178</v>
      </c>
      <c r="T14" s="49" t="s">
        <v>185</v>
      </c>
      <c r="U14" s="49" t="s">
        <v>207</v>
      </c>
      <c r="V14" s="49" t="s">
        <v>193</v>
      </c>
      <c r="W14" s="49" t="s">
        <v>223</v>
      </c>
      <c r="X14"/>
      <c r="Y14"/>
      <c r="Z14"/>
    </row>
    <row r="15" spans="1:26" ht="31.5" customHeight="1" x14ac:dyDescent="0.35">
      <c r="A15" s="168" t="s">
        <v>10</v>
      </c>
      <c r="B15" s="168"/>
      <c r="C15" s="168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The Domus Prive, Plot No.22, Sector No. 40, near Sai Sadan/The Domus, Internal Road, Nerul, Nerul, Seawoods West, Thane, Thane  - 400706.</v>
      </c>
      <c r="D15" s="168"/>
      <c r="E15" s="168"/>
      <c r="F15" s="168"/>
      <c r="G15" s="168"/>
      <c r="H15" s="168"/>
      <c r="S15" s="49" t="s">
        <v>179</v>
      </c>
      <c r="T15" s="49" t="s">
        <v>187</v>
      </c>
      <c r="U15" s="49" t="s">
        <v>208</v>
      </c>
      <c r="V15" s="49" t="s">
        <v>194</v>
      </c>
      <c r="W15" s="49" t="s">
        <v>211</v>
      </c>
      <c r="X15"/>
      <c r="Y15"/>
      <c r="Z15"/>
    </row>
    <row r="16" spans="1:26" x14ac:dyDescent="0.35">
      <c r="A16" s="99" t="s">
        <v>238</v>
      </c>
      <c r="B16" s="99"/>
      <c r="C16" s="209" t="s">
        <v>264</v>
      </c>
      <c r="D16" s="209"/>
      <c r="E16" s="209"/>
      <c r="F16" s="209"/>
      <c r="G16" s="209"/>
      <c r="H16" s="209"/>
      <c r="S16" s="49" t="s">
        <v>180</v>
      </c>
      <c r="T16" s="49" t="s">
        <v>188</v>
      </c>
      <c r="U16" s="49"/>
      <c r="V16" s="49" t="s">
        <v>195</v>
      </c>
      <c r="W16" s="49" t="s">
        <v>212</v>
      </c>
      <c r="X16"/>
      <c r="Y16"/>
      <c r="Z16"/>
    </row>
    <row r="17" spans="1:26" ht="15.75" customHeight="1" x14ac:dyDescent="0.35">
      <c r="A17" s="99" t="s">
        <v>161</v>
      </c>
      <c r="B17" s="99"/>
      <c r="C17" s="99" t="s">
        <v>240</v>
      </c>
      <c r="D17" s="99"/>
      <c r="E17" s="99"/>
      <c r="F17" s="99"/>
      <c r="G17" s="99"/>
      <c r="H17" s="99"/>
      <c r="S17" s="49" t="s">
        <v>181</v>
      </c>
      <c r="T17" s="49" t="s">
        <v>186</v>
      </c>
      <c r="U17" s="49"/>
      <c r="V17" s="49" t="s">
        <v>196</v>
      </c>
      <c r="W17" s="49" t="s">
        <v>213</v>
      </c>
      <c r="X17"/>
      <c r="Y17"/>
      <c r="Z17"/>
    </row>
    <row r="18" spans="1:26" ht="15.75" customHeight="1" x14ac:dyDescent="0.35">
      <c r="A18" s="168" t="s">
        <v>11</v>
      </c>
      <c r="B18" s="168"/>
      <c r="C18" s="158" t="s">
        <v>239</v>
      </c>
      <c r="D18" s="158"/>
      <c r="E18" s="168" t="s">
        <v>72</v>
      </c>
      <c r="F18" s="168"/>
      <c r="G18" s="99" t="s">
        <v>240</v>
      </c>
      <c r="H18" s="99"/>
      <c r="S18" s="49" t="s">
        <v>182</v>
      </c>
      <c r="T18" s="49" t="s">
        <v>189</v>
      </c>
      <c r="U18" s="49"/>
      <c r="V18" s="49" t="s">
        <v>197</v>
      </c>
      <c r="W18" s="49" t="s">
        <v>214</v>
      </c>
      <c r="X18"/>
      <c r="Y18"/>
      <c r="Z18"/>
    </row>
    <row r="19" spans="1:26" x14ac:dyDescent="0.35">
      <c r="A19" s="158" t="s">
        <v>13</v>
      </c>
      <c r="B19" s="158"/>
      <c r="C19" s="99" t="s">
        <v>241</v>
      </c>
      <c r="D19" s="99"/>
      <c r="E19" s="99" t="s">
        <v>12</v>
      </c>
      <c r="F19" s="99"/>
      <c r="G19" s="212" t="s">
        <v>176</v>
      </c>
      <c r="H19" s="212"/>
      <c r="S19" s="49" t="s">
        <v>183</v>
      </c>
      <c r="T19" s="49" t="s">
        <v>190</v>
      </c>
      <c r="U19" s="49"/>
      <c r="V19" s="49" t="s">
        <v>198</v>
      </c>
      <c r="W19" s="49" t="s">
        <v>215</v>
      </c>
      <c r="X19"/>
      <c r="Y19"/>
      <c r="Z19"/>
    </row>
    <row r="20" spans="1:26" x14ac:dyDescent="0.35">
      <c r="A20" s="158" t="s">
        <v>73</v>
      </c>
      <c r="B20" s="158"/>
      <c r="C20" s="99" t="s">
        <v>177</v>
      </c>
      <c r="D20" s="99"/>
      <c r="E20" s="99" t="s">
        <v>14</v>
      </c>
      <c r="F20" s="99"/>
      <c r="G20" s="99">
        <v>400706</v>
      </c>
      <c r="H20" s="99"/>
      <c r="S20" s="49"/>
      <c r="T20" s="49"/>
      <c r="U20" s="49"/>
      <c r="V20" s="49" t="s">
        <v>199</v>
      </c>
      <c r="W20" s="49" t="s">
        <v>216</v>
      </c>
      <c r="X20"/>
      <c r="Y20"/>
      <c r="Z20"/>
    </row>
    <row r="21" spans="1:26" ht="33.75" customHeight="1" x14ac:dyDescent="0.35">
      <c r="A21" s="158" t="s">
        <v>122</v>
      </c>
      <c r="B21" s="158"/>
      <c r="C21" s="99" t="s">
        <v>273</v>
      </c>
      <c r="D21" s="99"/>
      <c r="E21" s="99" t="s">
        <v>15</v>
      </c>
      <c r="F21" s="99"/>
      <c r="G21" s="99" t="s">
        <v>258</v>
      </c>
      <c r="H21" s="99"/>
      <c r="S21" s="49"/>
      <c r="T21" s="49"/>
      <c r="U21" s="49"/>
      <c r="V21" s="49" t="s">
        <v>200</v>
      </c>
      <c r="W21" s="49" t="s">
        <v>217</v>
      </c>
      <c r="X21"/>
      <c r="Y21"/>
      <c r="Z21"/>
    </row>
    <row r="22" spans="1:26" ht="15" customHeight="1" x14ac:dyDescent="0.35">
      <c r="A22" s="168" t="s">
        <v>75</v>
      </c>
      <c r="B22" s="168"/>
      <c r="C22" s="168"/>
      <c r="D22" s="168"/>
      <c r="E22" s="158" t="s">
        <v>16</v>
      </c>
      <c r="F22" s="158"/>
      <c r="G22" s="158"/>
      <c r="H22" s="158"/>
      <c r="S22" s="49"/>
      <c r="T22" s="49"/>
      <c r="U22" s="49"/>
      <c r="V22" s="49" t="s">
        <v>201</v>
      </c>
      <c r="W22" s="49" t="s">
        <v>218</v>
      </c>
      <c r="X22"/>
      <c r="Y22"/>
      <c r="Z22"/>
    </row>
    <row r="23" spans="1:26" ht="18.75" customHeight="1" x14ac:dyDescent="0.35">
      <c r="A23" s="168"/>
      <c r="B23" s="168"/>
      <c r="C23" s="168"/>
      <c r="D23" s="168"/>
      <c r="E23" s="158"/>
      <c r="F23" s="158"/>
      <c r="G23" s="158"/>
      <c r="H23" s="158"/>
      <c r="S23" s="49"/>
      <c r="T23" s="49"/>
      <c r="U23" s="49"/>
      <c r="V23" s="49" t="s">
        <v>202</v>
      </c>
      <c r="W23" s="49" t="s">
        <v>219</v>
      </c>
      <c r="X23"/>
      <c r="Y23"/>
      <c r="Z23"/>
    </row>
    <row r="24" spans="1:26" ht="15" customHeight="1" x14ac:dyDescent="0.35">
      <c r="A24" s="168" t="s">
        <v>17</v>
      </c>
      <c r="B24" s="168"/>
      <c r="C24" s="168"/>
      <c r="D24" s="168"/>
      <c r="E24" s="99" t="s">
        <v>18</v>
      </c>
      <c r="F24" s="99"/>
      <c r="G24" s="99"/>
      <c r="H24" s="99"/>
      <c r="S24" s="49"/>
      <c r="T24" s="49"/>
      <c r="U24" s="49"/>
      <c r="V24" s="49" t="s">
        <v>203</v>
      </c>
      <c r="W24" s="49" t="s">
        <v>220</v>
      </c>
      <c r="X24"/>
      <c r="Y24"/>
      <c r="Z24"/>
    </row>
    <row r="25" spans="1:26" ht="15" customHeight="1" x14ac:dyDescent="0.35">
      <c r="A25" s="145" t="s">
        <v>19</v>
      </c>
      <c r="B25" s="145"/>
      <c r="C25" s="145"/>
      <c r="D25" s="145"/>
      <c r="E25" s="99" t="str">
        <f>IF(AND(G19="Mumbai"),"Upper Class","Middle Class")</f>
        <v>Middle Class</v>
      </c>
      <c r="F25" s="99"/>
      <c r="G25" s="99"/>
      <c r="H25" s="99"/>
      <c r="S25" s="49"/>
      <c r="T25" s="49"/>
      <c r="U25" s="49"/>
      <c r="V25" s="49" t="s">
        <v>204</v>
      </c>
      <c r="W25" s="49" t="s">
        <v>221</v>
      </c>
      <c r="X25"/>
      <c r="Y25"/>
      <c r="Z25"/>
    </row>
    <row r="26" spans="1:26" x14ac:dyDescent="0.35">
      <c r="A26" s="145" t="s">
        <v>20</v>
      </c>
      <c r="B26" s="145"/>
      <c r="C26" s="145"/>
      <c r="D26" s="145"/>
      <c r="E26" s="99" t="s">
        <v>21</v>
      </c>
      <c r="F26" s="99"/>
      <c r="G26" s="99"/>
      <c r="H26" s="99"/>
      <c r="S26" s="49"/>
      <c r="T26" s="49"/>
      <c r="U26" s="49"/>
      <c r="V26" s="49" t="s">
        <v>205</v>
      </c>
      <c r="W26" s="49" t="s">
        <v>222</v>
      </c>
      <c r="X26"/>
      <c r="Y26"/>
      <c r="Z26"/>
    </row>
    <row r="27" spans="1:26" ht="15.75" customHeight="1" x14ac:dyDescent="0.35">
      <c r="A27" s="145" t="s">
        <v>22</v>
      </c>
      <c r="B27" s="145"/>
      <c r="C27" s="145"/>
      <c r="D27" s="145"/>
      <c r="E27" s="99" t="str">
        <f>IF(AND(G19="Mumbai"),"Developed","Developing")</f>
        <v>Developing</v>
      </c>
      <c r="F27" s="99"/>
      <c r="G27" s="99"/>
      <c r="H27" s="99"/>
    </row>
    <row r="28" spans="1:26" x14ac:dyDescent="0.35">
      <c r="A28" s="145" t="s">
        <v>23</v>
      </c>
      <c r="B28" s="145"/>
      <c r="C28" s="145"/>
      <c r="D28" s="145"/>
      <c r="E28" s="99" t="s">
        <v>24</v>
      </c>
      <c r="F28" s="99"/>
      <c r="G28" s="99"/>
      <c r="H28" s="99"/>
    </row>
    <row r="29" spans="1:26" ht="15.75" customHeight="1" x14ac:dyDescent="0.35">
      <c r="A29" s="145" t="s">
        <v>80</v>
      </c>
      <c r="B29" s="145"/>
      <c r="C29" s="145"/>
      <c r="D29" s="145"/>
      <c r="E29" s="99" t="s">
        <v>81</v>
      </c>
      <c r="F29" s="99"/>
      <c r="G29" s="99"/>
      <c r="H29" s="99"/>
    </row>
    <row r="30" spans="1:26" ht="15" customHeight="1" x14ac:dyDescent="0.35">
      <c r="A30" s="145" t="s">
        <v>32</v>
      </c>
      <c r="B30" s="145"/>
      <c r="C30" s="145"/>
      <c r="D30" s="145"/>
      <c r="E30" s="99" t="str">
        <f>IF(AND(ISNUMBER(SEARCH("Flat",D60)),ISNUMBER(SEARCH("Shop",D60)),ISNUMBER(SEARCH("Office",D60))),"Residential + Commercial",IF(AND(ISNUMBER(SEARCH("Flat",D60)),ISNUMBER(SEARCH("Shop",D60))),"Residential + Commercial",IF(AND(ISNUMBER(SEARCH("Flat",D60)),ISNUMBER(SEARCH("Office",D60))),"Residential + Commercial",IF(AND(ISNUMBER(SEARCH("Shop",D60)),ISNUMBER(SEARCH("Office",D60))),"Commercial",IF(ISNUMBER(SEARCH("Shop",D60)),"Commercial",IF(ISNUMBER(SEARCH("Office",D60)),"Commercial",IF(ISNUMBER(SEARCH("Flat",D60)),"Residential")))))))</f>
        <v>Residential + Commercial</v>
      </c>
      <c r="F30" s="99"/>
      <c r="G30" s="99"/>
      <c r="H30" s="99"/>
    </row>
    <row r="31" spans="1:26" ht="15.75" customHeight="1" x14ac:dyDescent="0.35">
      <c r="A31" s="145" t="s">
        <v>92</v>
      </c>
      <c r="B31" s="145"/>
      <c r="C31" s="145"/>
      <c r="D31" s="145"/>
      <c r="E31" s="99" t="s">
        <v>33</v>
      </c>
      <c r="F31" s="99"/>
      <c r="G31" s="99"/>
      <c r="H31" s="99"/>
    </row>
    <row r="32" spans="1:26" s="20" customFormat="1" x14ac:dyDescent="0.35">
      <c r="A32" s="214" t="s">
        <v>93</v>
      </c>
      <c r="B32" s="214"/>
      <c r="C32" s="227" t="s">
        <v>171</v>
      </c>
      <c r="D32" s="227"/>
      <c r="E32" s="227"/>
      <c r="F32" s="227" t="s">
        <v>30</v>
      </c>
      <c r="G32" s="227"/>
      <c r="H32" s="227"/>
    </row>
    <row r="33" spans="1:29" s="20" customFormat="1" x14ac:dyDescent="0.35">
      <c r="A33" s="213" t="s">
        <v>25</v>
      </c>
      <c r="B33" s="213" t="s">
        <v>29</v>
      </c>
      <c r="C33" s="228" t="s">
        <v>248</v>
      </c>
      <c r="D33" s="228"/>
      <c r="E33" s="228"/>
      <c r="F33" s="228" t="s">
        <v>242</v>
      </c>
      <c r="G33" s="228"/>
      <c r="H33" s="228"/>
    </row>
    <row r="34" spans="1:29" x14ac:dyDescent="0.35">
      <c r="A34" s="213" t="s">
        <v>26</v>
      </c>
      <c r="B34" s="213" t="s">
        <v>29</v>
      </c>
      <c r="C34" s="228" t="s">
        <v>249</v>
      </c>
      <c r="D34" s="228"/>
      <c r="E34" s="228"/>
      <c r="F34" s="167" t="s">
        <v>245</v>
      </c>
      <c r="G34" s="228"/>
      <c r="H34" s="228"/>
    </row>
    <row r="35" spans="1:29" s="20" customFormat="1" x14ac:dyDescent="0.35">
      <c r="A35" s="213" t="s">
        <v>28</v>
      </c>
      <c r="B35" s="213" t="s">
        <v>29</v>
      </c>
      <c r="C35" s="228" t="s">
        <v>247</v>
      </c>
      <c r="D35" s="228"/>
      <c r="E35" s="228"/>
      <c r="F35" s="228" t="s">
        <v>244</v>
      </c>
      <c r="G35" s="228"/>
      <c r="H35" s="228"/>
    </row>
    <row r="36" spans="1:29" x14ac:dyDescent="0.35">
      <c r="A36" s="213" t="s">
        <v>27</v>
      </c>
      <c r="B36" s="213" t="s">
        <v>29</v>
      </c>
      <c r="C36" s="228" t="s">
        <v>243</v>
      </c>
      <c r="D36" s="228"/>
      <c r="E36" s="228"/>
      <c r="F36" s="228" t="s">
        <v>239</v>
      </c>
      <c r="G36" s="228"/>
      <c r="H36" s="228"/>
    </row>
    <row r="37" spans="1:29" x14ac:dyDescent="0.35">
      <c r="A37" s="145" t="s">
        <v>31</v>
      </c>
      <c r="B37" s="145"/>
      <c r="C37" s="145"/>
      <c r="D37" s="145"/>
      <c r="E37" s="145"/>
      <c r="F37" s="145"/>
      <c r="G37" s="145"/>
      <c r="H37" s="145"/>
    </row>
    <row r="38" spans="1:29" ht="15.75" customHeight="1" x14ac:dyDescent="0.35">
      <c r="A38" s="145" t="s">
        <v>164</v>
      </c>
      <c r="B38" s="145"/>
      <c r="C38" s="147" t="s">
        <v>235</v>
      </c>
      <c r="D38" s="147"/>
      <c r="E38" s="147"/>
      <c r="F38" s="147"/>
      <c r="G38" s="147"/>
      <c r="H38" s="147"/>
    </row>
    <row r="39" spans="1:29" x14ac:dyDescent="0.35">
      <c r="A39" s="145" t="s">
        <v>160</v>
      </c>
      <c r="B39" s="145"/>
      <c r="C39" s="222" t="s">
        <v>236</v>
      </c>
      <c r="D39" s="99"/>
      <c r="E39" s="99"/>
      <c r="F39" s="99"/>
      <c r="G39" s="99"/>
      <c r="H39" s="99"/>
    </row>
    <row r="40" spans="1:29" x14ac:dyDescent="0.35">
      <c r="A40" s="201" t="s">
        <v>34</v>
      </c>
      <c r="B40" s="201"/>
      <c r="C40" s="201"/>
      <c r="D40" s="201"/>
      <c r="E40" s="201"/>
      <c r="F40" s="201"/>
      <c r="G40" s="201"/>
      <c r="H40" s="201"/>
    </row>
    <row r="41" spans="1:29" x14ac:dyDescent="0.35">
      <c r="A41" s="158" t="s">
        <v>35</v>
      </c>
      <c r="B41" s="158"/>
      <c r="C41" s="158"/>
      <c r="D41" s="158"/>
      <c r="E41" s="215">
        <v>1079.02</v>
      </c>
      <c r="F41" s="215"/>
      <c r="G41" s="215"/>
      <c r="H41" s="215"/>
    </row>
    <row r="42" spans="1:29" x14ac:dyDescent="0.35">
      <c r="A42" s="158" t="s">
        <v>36</v>
      </c>
      <c r="B42" s="158"/>
      <c r="C42" s="158"/>
      <c r="D42" s="158"/>
      <c r="E42" s="208">
        <f>1186.922/E41</f>
        <v>1.1000000000000001</v>
      </c>
      <c r="F42" s="208"/>
      <c r="G42" s="208"/>
      <c r="H42" s="208"/>
      <c r="I42" s="19">
        <f>1618.53/E41</f>
        <v>1.5</v>
      </c>
    </row>
    <row r="43" spans="1:29" x14ac:dyDescent="0.35">
      <c r="A43" s="158" t="s">
        <v>37</v>
      </c>
      <c r="B43" s="158"/>
      <c r="C43" s="158"/>
      <c r="D43" s="158"/>
      <c r="E43" s="208">
        <f>E45/E41-E42</f>
        <v>3.718985746325369</v>
      </c>
      <c r="F43" s="208"/>
      <c r="G43" s="208"/>
      <c r="H43" s="208"/>
      <c r="I43" s="19">
        <f>2589.648/E41</f>
        <v>2.4000000000000004</v>
      </c>
    </row>
    <row r="44" spans="1:29" x14ac:dyDescent="0.35">
      <c r="A44" s="158" t="s">
        <v>38</v>
      </c>
      <c r="B44" s="158"/>
      <c r="C44" s="158"/>
      <c r="D44" s="158"/>
      <c r="E44" s="208">
        <f>E42+E43</f>
        <v>4.8189857463253691</v>
      </c>
      <c r="F44" s="208"/>
      <c r="G44" s="208"/>
      <c r="H44" s="208"/>
    </row>
    <row r="45" spans="1:29" x14ac:dyDescent="0.35">
      <c r="A45" s="158" t="s">
        <v>91</v>
      </c>
      <c r="B45" s="158"/>
      <c r="C45" s="158"/>
      <c r="D45" s="158"/>
      <c r="E45" s="218">
        <v>5199.7820000000002</v>
      </c>
      <c r="F45" s="218"/>
      <c r="G45" s="218"/>
      <c r="H45" s="218"/>
    </row>
    <row r="46" spans="1:29" x14ac:dyDescent="0.35">
      <c r="A46" s="158" t="s">
        <v>39</v>
      </c>
      <c r="B46" s="158"/>
      <c r="C46" s="158"/>
      <c r="D46" s="158"/>
      <c r="E46" s="158" t="s">
        <v>121</v>
      </c>
      <c r="F46" s="158"/>
      <c r="G46" s="158"/>
      <c r="H46" s="158"/>
    </row>
    <row r="47" spans="1:29" x14ac:dyDescent="0.35">
      <c r="A47" s="147" t="s">
        <v>40</v>
      </c>
      <c r="B47" s="147"/>
      <c r="C47" s="147"/>
      <c r="D47" s="147"/>
      <c r="E47" s="147"/>
      <c r="F47" s="147"/>
      <c r="G47" s="147"/>
      <c r="H47" s="147"/>
    </row>
    <row r="48" spans="1:29" ht="33.75" customHeight="1" x14ac:dyDescent="0.35">
      <c r="A48" s="115" t="s">
        <v>150</v>
      </c>
      <c r="B48" s="79"/>
      <c r="C48" s="223" t="s">
        <v>291</v>
      </c>
      <c r="D48" s="224"/>
      <c r="E48" s="224"/>
      <c r="F48" s="224"/>
      <c r="G48" s="224"/>
      <c r="H48" s="225"/>
      <c r="AC48"/>
    </row>
    <row r="49" spans="1:14" ht="15.75" customHeight="1" x14ac:dyDescent="0.35">
      <c r="A49" s="115" t="s">
        <v>41</v>
      </c>
      <c r="B49" s="79"/>
      <c r="C49" s="115" t="s">
        <v>278</v>
      </c>
      <c r="D49" s="78"/>
      <c r="E49" s="79"/>
      <c r="F49" s="18" t="s">
        <v>42</v>
      </c>
      <c r="G49" s="80">
        <v>45495</v>
      </c>
      <c r="H49" s="79"/>
      <c r="I49" s="115" t="s">
        <v>257</v>
      </c>
      <c r="J49" s="78"/>
      <c r="K49" s="79"/>
      <c r="L49" s="80">
        <v>45029</v>
      </c>
      <c r="M49" s="79"/>
    </row>
    <row r="50" spans="1:14" x14ac:dyDescent="0.35">
      <c r="A50" s="82" t="s">
        <v>43</v>
      </c>
      <c r="B50" s="157"/>
      <c r="C50" s="115" t="str">
        <f>C49</f>
        <v>NRV/A-2598</v>
      </c>
      <c r="D50" s="78"/>
      <c r="E50" s="79"/>
      <c r="F50" s="18" t="s">
        <v>42</v>
      </c>
      <c r="G50" s="80">
        <f>G49</f>
        <v>45495</v>
      </c>
      <c r="H50" s="81"/>
    </row>
    <row r="51" spans="1:14" s="21" customFormat="1" ht="15.75" customHeight="1" x14ac:dyDescent="0.35">
      <c r="A51" s="65" t="s">
        <v>229</v>
      </c>
      <c r="B51" s="66"/>
      <c r="C51" s="78" t="s">
        <v>279</v>
      </c>
      <c r="D51" s="78"/>
      <c r="E51" s="79"/>
      <c r="F51" s="18" t="s">
        <v>42</v>
      </c>
      <c r="G51" s="80">
        <v>45495</v>
      </c>
      <c r="H51" s="81"/>
    </row>
    <row r="52" spans="1:14" s="21" customFormat="1" ht="31.5" customHeight="1" x14ac:dyDescent="0.35">
      <c r="A52" s="84" t="s">
        <v>230</v>
      </c>
      <c r="B52" s="85"/>
      <c r="C52" s="78" t="s">
        <v>293</v>
      </c>
      <c r="D52" s="78"/>
      <c r="E52" s="78"/>
      <c r="F52" s="78"/>
      <c r="G52" s="78"/>
      <c r="H52" s="79"/>
    </row>
    <row r="53" spans="1:14" x14ac:dyDescent="0.35">
      <c r="A53" s="82" t="s">
        <v>310</v>
      </c>
      <c r="B53" s="83"/>
      <c r="C53" s="78" t="s">
        <v>312</v>
      </c>
      <c r="D53" s="78"/>
      <c r="E53" s="79"/>
      <c r="F53" s="18" t="s">
        <v>42</v>
      </c>
      <c r="G53" s="80">
        <v>45286</v>
      </c>
      <c r="H53" s="81"/>
      <c r="I53" s="20" t="s">
        <v>306</v>
      </c>
    </row>
    <row r="54" spans="1:14" x14ac:dyDescent="0.35">
      <c r="A54" s="84"/>
      <c r="B54" s="85"/>
      <c r="C54" s="78" t="s">
        <v>311</v>
      </c>
      <c r="D54" s="78"/>
      <c r="E54" s="78"/>
      <c r="F54" s="78"/>
      <c r="G54" s="78"/>
      <c r="H54" s="79"/>
      <c r="I54" s="20">
        <f>67.87-6.14</f>
        <v>61.730000000000004</v>
      </c>
      <c r="J54" s="20">
        <f>61.55+2.9</f>
        <v>64.45</v>
      </c>
    </row>
    <row r="55" spans="1:14" x14ac:dyDescent="0.35">
      <c r="A55" s="95" t="s">
        <v>304</v>
      </c>
      <c r="B55" s="96"/>
      <c r="C55" s="90" t="s">
        <v>301</v>
      </c>
      <c r="D55" s="91"/>
      <c r="E55" s="92"/>
      <c r="F55" s="74" t="s">
        <v>42</v>
      </c>
      <c r="G55" s="93">
        <v>44861</v>
      </c>
      <c r="H55" s="94"/>
      <c r="I55" s="19">
        <f>54.08-6.14</f>
        <v>47.94</v>
      </c>
    </row>
    <row r="56" spans="1:14" ht="49.5" customHeight="1" x14ac:dyDescent="0.35">
      <c r="A56" s="97"/>
      <c r="B56" s="98"/>
      <c r="C56" s="99" t="s">
        <v>302</v>
      </c>
      <c r="D56" s="99"/>
      <c r="E56" s="99"/>
      <c r="F56" s="74" t="s">
        <v>300</v>
      </c>
      <c r="G56" s="93">
        <v>47782</v>
      </c>
      <c r="H56" s="94"/>
      <c r="I56" s="22">
        <f>54.08-6.14</f>
        <v>47.94</v>
      </c>
    </row>
    <row r="57" spans="1:14" x14ac:dyDescent="0.35">
      <c r="A57" s="175" t="s">
        <v>44</v>
      </c>
      <c r="B57" s="176"/>
      <c r="C57" s="177" t="s">
        <v>105</v>
      </c>
      <c r="D57" s="178"/>
      <c r="E57" s="179"/>
      <c r="F57" s="41" t="s">
        <v>42</v>
      </c>
      <c r="G57" s="206" t="s">
        <v>29</v>
      </c>
      <c r="H57" s="207"/>
    </row>
    <row r="58" spans="1:14" ht="15.75" customHeight="1" x14ac:dyDescent="0.35">
      <c r="A58" s="193" t="s">
        <v>46</v>
      </c>
      <c r="B58" s="193"/>
      <c r="C58" s="193"/>
      <c r="D58" s="193"/>
      <c r="E58" s="193"/>
      <c r="F58" s="193"/>
      <c r="G58" s="193"/>
      <c r="H58" s="193"/>
    </row>
    <row r="59" spans="1:14" ht="15.75" customHeight="1" x14ac:dyDescent="0.35">
      <c r="A59" s="168" t="s">
        <v>90</v>
      </c>
      <c r="B59" s="168"/>
      <c r="C59" s="168"/>
      <c r="D59" s="145">
        <f>E45</f>
        <v>5199.7820000000002</v>
      </c>
      <c r="E59" s="145"/>
      <c r="F59" s="145"/>
      <c r="G59" s="145"/>
      <c r="H59" s="145"/>
      <c r="J59" s="23"/>
      <c r="K59" s="22"/>
      <c r="N59" s="22"/>
    </row>
    <row r="60" spans="1:14" ht="15.75" customHeight="1" x14ac:dyDescent="0.35">
      <c r="A60" s="99" t="s">
        <v>47</v>
      </c>
      <c r="B60" s="158"/>
      <c r="C60" s="158"/>
      <c r="D60" s="158" t="s">
        <v>290</v>
      </c>
      <c r="E60" s="158"/>
      <c r="F60" s="158"/>
      <c r="G60" s="158"/>
      <c r="H60" s="158"/>
      <c r="N60" s="22"/>
    </row>
    <row r="61" spans="1:14" ht="15.75" customHeight="1" x14ac:dyDescent="0.35">
      <c r="A61" s="95" t="s">
        <v>48</v>
      </c>
      <c r="B61" s="159"/>
      <c r="C61" s="205"/>
      <c r="D61" s="195" t="s">
        <v>292</v>
      </c>
      <c r="E61" s="204"/>
      <c r="F61" s="204"/>
      <c r="G61" s="204"/>
      <c r="H61" s="204"/>
      <c r="J61" s="24"/>
      <c r="K61" s="24"/>
    </row>
    <row r="62" spans="1:14" x14ac:dyDescent="0.35">
      <c r="A62" s="95" t="s">
        <v>88</v>
      </c>
      <c r="B62" s="159"/>
      <c r="C62" s="159"/>
      <c r="D62" s="160" t="s">
        <v>272</v>
      </c>
      <c r="E62" s="161"/>
      <c r="F62" s="161"/>
      <c r="G62" s="161"/>
      <c r="H62" s="162"/>
    </row>
    <row r="63" spans="1:14" x14ac:dyDescent="0.35">
      <c r="A63" s="145" t="s">
        <v>45</v>
      </c>
      <c r="B63" s="145"/>
      <c r="C63" s="145"/>
      <c r="D63" s="216" t="s">
        <v>246</v>
      </c>
      <c r="E63" s="216"/>
      <c r="F63" s="216"/>
      <c r="G63" s="216"/>
      <c r="H63" s="216"/>
      <c r="I63" s="25"/>
      <c r="J63" s="25"/>
      <c r="K63" s="25"/>
      <c r="L63" s="25"/>
      <c r="M63" s="25"/>
      <c r="N63" s="25"/>
    </row>
    <row r="64" spans="1:14" x14ac:dyDescent="0.35">
      <c r="A64" s="145" t="s">
        <v>86</v>
      </c>
      <c r="B64" s="145"/>
      <c r="C64" s="145"/>
      <c r="D64" s="217" t="str">
        <f>(IF(G57="NA","60 Years After Completion",IF(G57&lt;&gt;"NA",""&amp;60-ROUNDDOWN((E3-G57)/360,0)&amp;" Years"," ")))</f>
        <v>60 Years After Completion</v>
      </c>
      <c r="E64" s="217"/>
      <c r="F64" s="217"/>
      <c r="G64" s="217"/>
      <c r="H64" s="217"/>
      <c r="J64" s="24"/>
    </row>
    <row r="65" spans="1:15" ht="16" thickBot="1" x14ac:dyDescent="0.4">
      <c r="A65" s="145" t="s">
        <v>87</v>
      </c>
      <c r="B65" s="145"/>
      <c r="C65" s="145"/>
      <c r="D65" s="168" t="s">
        <v>24</v>
      </c>
      <c r="E65" s="168"/>
      <c r="F65" s="168"/>
      <c r="G65" s="168"/>
      <c r="H65" s="168"/>
    </row>
    <row r="66" spans="1:15" ht="15.75" customHeight="1" x14ac:dyDescent="0.35">
      <c r="A66" s="158" t="s">
        <v>231</v>
      </c>
      <c r="B66" s="158"/>
      <c r="C66" s="158"/>
      <c r="D66" s="99" t="s">
        <v>303</v>
      </c>
      <c r="E66" s="99"/>
      <c r="F66" s="99"/>
      <c r="G66" s="99"/>
      <c r="H66" s="99"/>
      <c r="I66" s="42" t="str">
        <f ca="1">IF(D83=100%,"All work Completed. Possession granted to the Building.",IF(D82=100%,"All work Completed, Waiting for OC",I67&amp;""&amp;I68&amp;""&amp;J67&amp;""&amp;J66&amp;" "&amp;J68))</f>
        <v>Excavation, Plinth, RCC Slab Completed, Brickwork upto 17 Floor, Internal Plaster upto 14 Floor, External Plaster upto 11 Floor Completed</v>
      </c>
      <c r="J66" s="43" t="str">
        <f ca="1">(IF(C76=(D71+F71+H71),"",IF(C76&gt;0,", RCC upto "&amp;C76&amp;" Slab","")))&amp;(IF(C77=H71,"",IF(C77&gt;0,", Brickwork upto "&amp;C77&amp;" Floor","")))&amp;(IF(C78=H71,"",IF(C78&gt;0,", Internal Plaster upto "&amp;C78&amp;" Floor","")))&amp;(IF(C79=H71,"",IF(C79&gt;0,", External Plaster upto "&amp;C79&amp;" Floor","")))&amp;(IF(C80=H71,"",IF(C80&gt;0,", Flooring upto "&amp;C80&amp;" Floor","")))&amp;(IF(C81=H71,"",IF(C81&gt;0,", Painting upto "&amp;C81&amp;" Floor","")))&amp;(IF(C82=H71,"",IF(C82&gt;0,", Finishing upto "&amp;C82&amp;" Floor","")))&amp;(IF(C83=H71,"",IF(C83&gt;0,", Possession upto "&amp;C83&amp;" Floor","")))</f>
        <v>, Brickwork upto 17 Floor, Internal Plaster upto 14 Floor, External Plaster upto 11 Floor</v>
      </c>
    </row>
    <row r="67" spans="1:15" x14ac:dyDescent="0.35">
      <c r="A67" s="168" t="s">
        <v>148</v>
      </c>
      <c r="B67" s="168"/>
      <c r="C67" s="168"/>
      <c r="D67" s="168" t="s">
        <v>29</v>
      </c>
      <c r="E67" s="168"/>
      <c r="F67" s="168"/>
      <c r="G67" s="168"/>
      <c r="H67" s="168"/>
      <c r="I67" s="44" t="str">
        <f ca="1">IF(D74=100%,"Excavation","")&amp;IF(D75=100%,", Plinth","")&amp;IF(D76=100%,", RCC Slab","")&amp;IF(D77=100%,", Brickwork","")&amp;IF(D78=100%,", Internal Plaster","")&amp;IF(D79=100%,", External Plaster","")&amp;IF(D80=100%,", Flooring","")&amp;IF(D81=100%,", Painting","")&amp;IF(D82=100%,", Building common Amenities","")</f>
        <v>Excavation, Plinth, RCC Slab</v>
      </c>
      <c r="J67" s="45" t="str">
        <f ca="1">(IF(C74=0,"Work not yet Started.",IF(D74=25%,"Piling work in process",IF(D74=50%,"Excavation work in process",IF(D74=100%,"","0")))))&amp;(IF(C75=0%,"",IF(C75=J72,", Footing work is process",IF(C75=J73,", Footing work Completed",IF(C75=J74,", 1st Basement Completed",IF(C75=J75,", 1st &amp; 2nd Basement Completed",IF(C75=J76,", 1st to 3rd Basement Completed",IF(C75=J77,", 1st to 4th Basement Completed",IF(C75=J78,", Plinth work is process",IF(C75=J79,"","0"))))))))))</f>
        <v/>
      </c>
    </row>
    <row r="68" spans="1:15" x14ac:dyDescent="0.35">
      <c r="A68" s="197" t="s">
        <v>85</v>
      </c>
      <c r="B68" s="197"/>
      <c r="C68" s="197"/>
      <c r="D68" s="195" t="str">
        <f ca="1">(IF(G74&gt;95%,"Nothing",IF(G74&gt;0%,"Cement, Aggregate, Steel, etc",IF(G74=0%,"Work not yet Started"))))</f>
        <v>Cement, Aggregate, Steel, etc</v>
      </c>
      <c r="E68" s="195"/>
      <c r="F68" s="195"/>
      <c r="G68" s="195"/>
      <c r="H68" s="195"/>
      <c r="I68" s="44" t="str">
        <f ca="1">IF(I67&lt;&gt;""," Completed","")</f>
        <v xml:space="preserve"> Completed</v>
      </c>
      <c r="J68" s="45" t="str">
        <f ca="1">IF(J66&lt;&gt;"","Completed","")</f>
        <v>Completed</v>
      </c>
    </row>
    <row r="69" spans="1:15" ht="15.75" customHeight="1" thickBot="1" x14ac:dyDescent="0.4">
      <c r="A69" s="194" t="s">
        <v>118</v>
      </c>
      <c r="B69" s="194"/>
      <c r="C69" s="194"/>
      <c r="D69" s="195" t="str">
        <f ca="1">(IF(D68="Nothing","Yes",IF(D68="Cement, Aggregate, Steel, etc","Under Construction",IF(D68="Work not yet Started","Work not yet Started"))))</f>
        <v>Under Construction</v>
      </c>
      <c r="E69" s="195"/>
      <c r="F69" s="195" t="str">
        <f ca="1">(IF(D68="Nothing","Yes",IF(D68="Cement, Aggregate, Steel, etc","Under Construction",IF(D68="Work not yet Started","Work not yet Started"))))</f>
        <v>Under Construction</v>
      </c>
      <c r="G69" s="195"/>
      <c r="H69" s="195"/>
      <c r="I69" s="14" t="s">
        <v>141</v>
      </c>
      <c r="J69" s="26">
        <f ca="1">H71*25%</f>
        <v>4.75</v>
      </c>
    </row>
    <row r="70" spans="1:15" x14ac:dyDescent="0.35">
      <c r="A70" s="202" t="s">
        <v>140</v>
      </c>
      <c r="B70" s="203"/>
      <c r="C70" s="164" t="str">
        <f>D62</f>
        <v>Gr + 1st to 19th Floor</v>
      </c>
      <c r="D70" s="165"/>
      <c r="E70" s="165"/>
      <c r="F70" s="165"/>
      <c r="G70" s="165"/>
      <c r="H70" s="166"/>
      <c r="I70" s="14" t="s">
        <v>100</v>
      </c>
      <c r="J70" s="27">
        <f ca="1">H71*50%</f>
        <v>9.5</v>
      </c>
    </row>
    <row r="71" spans="1:15" x14ac:dyDescent="0.35">
      <c r="A71" s="16" t="s">
        <v>142</v>
      </c>
      <c r="B71" s="46">
        <f>IF(AND(ISNUMBER(SEARCH("1B",C70))),1,IF(AND(ISNUMBER(SEARCH("2B",C70))),2,IF(AND(ISNUMBER(SEARCH("3B",C70))),3,IF(AND(ISNUMBER(SEARCH("4B",C70))),4,IF(ISNUMBER(SEARCH("5B",C70)),5,0)))))</f>
        <v>0</v>
      </c>
      <c r="C71" s="46" t="s">
        <v>71</v>
      </c>
      <c r="D71" s="46">
        <v>1</v>
      </c>
      <c r="E71" s="46" t="s">
        <v>70</v>
      </c>
      <c r="F71" s="46">
        <v>0</v>
      </c>
      <c r="G71" s="46" t="s">
        <v>79</v>
      </c>
      <c r="H71" s="17">
        <f ca="1">--TRIM(RIGHT(SUBSTITUTE(LEFT(C70,_xlfn.AGGREGATE(16,6,FIND({0,1,2,3,4,5,6,7,8,9},C70,ROW(INDIRECT("1:"&amp;LEN(C70)))),1))," ",REPT(" ",LEN(C70))),LEN(C70)))</f>
        <v>19</v>
      </c>
      <c r="I71" s="14" t="s">
        <v>101</v>
      </c>
      <c r="J71" s="27">
        <f ca="1">H71</f>
        <v>19</v>
      </c>
    </row>
    <row r="72" spans="1:15" ht="37.5" customHeight="1" x14ac:dyDescent="0.35">
      <c r="A72" s="200" t="s">
        <v>89</v>
      </c>
      <c r="B72" s="201"/>
      <c r="C72" s="169" t="str">
        <f ca="1">I66</f>
        <v>Excavation, Plinth, RCC Slab Completed, Brickwork upto 17 Floor, Internal Plaster upto 14 Floor, External Plaster upto 11 Floor Completed</v>
      </c>
      <c r="D72" s="169"/>
      <c r="E72" s="169"/>
      <c r="F72" s="169"/>
      <c r="G72" s="169"/>
      <c r="H72" s="170"/>
      <c r="I72" s="14" t="s">
        <v>102</v>
      </c>
      <c r="J72" s="28">
        <f ca="1">(IF(B71&gt;1,(H71/(B71+2)),H71/4))</f>
        <v>4.75</v>
      </c>
    </row>
    <row r="73" spans="1:15" ht="15.75" customHeight="1" x14ac:dyDescent="0.35">
      <c r="A73" s="198" t="s">
        <v>49</v>
      </c>
      <c r="B73" s="167"/>
      <c r="C73" s="67" t="s">
        <v>139</v>
      </c>
      <c r="D73" s="67" t="s">
        <v>82</v>
      </c>
      <c r="E73" s="167" t="s">
        <v>84</v>
      </c>
      <c r="F73" s="167"/>
      <c r="G73" s="167" t="s">
        <v>83</v>
      </c>
      <c r="H73" s="196"/>
      <c r="I73" s="14" t="s">
        <v>103</v>
      </c>
      <c r="J73" s="28">
        <f ca="1">(IF(B71&gt;1,(H71/(B71+2)+J72),H71/4+J72))</f>
        <v>9.5</v>
      </c>
    </row>
    <row r="74" spans="1:15" ht="15.75" customHeight="1" x14ac:dyDescent="0.35">
      <c r="A74" s="167" t="s">
        <v>128</v>
      </c>
      <c r="B74" s="167"/>
      <c r="C74" s="67">
        <f ca="1">J71</f>
        <v>19</v>
      </c>
      <c r="D74" s="68">
        <f ca="1">((100/H71)*C74)/100</f>
        <v>1</v>
      </c>
      <c r="E74" s="199">
        <f ca="1">(((C75/H71*10)+(40/(D71+F71+H71)*C76)+(7.5/(H71)*C77)+(7.5/(H71)*C78)+(10/H71*C79)+(10/H71*C80)+(5/H71*C81)+(5/H71*C82)+(5/H71*C83))/100)</f>
        <v>0.6802631578947369</v>
      </c>
      <c r="F74" s="199"/>
      <c r="G74" s="199">
        <f ca="1">((((C74/H71)*20)+((C75/H71)*25)+(30/(H71+F71+D71)*C76)+(5/H71*C77)+(5/H71*C78)+(5/H71*C79)+(5/H71*C80)+(0/H71*C81)+(0/H71*C82)+(5/H71*C83))/100)</f>
        <v>0.86052631578947369</v>
      </c>
      <c r="H74" s="199"/>
      <c r="I74" s="14" t="s">
        <v>146</v>
      </c>
      <c r="J74" s="28">
        <f>(IF(B71&gt;1,(H71/(B71+2)+J73),0))</f>
        <v>0</v>
      </c>
    </row>
    <row r="75" spans="1:15" ht="15" customHeight="1" x14ac:dyDescent="0.35">
      <c r="A75" s="167" t="s">
        <v>50</v>
      </c>
      <c r="B75" s="167"/>
      <c r="C75" s="67">
        <f ca="1">J79</f>
        <v>19</v>
      </c>
      <c r="D75" s="68">
        <f ca="1">((100/H71)*C75)/100</f>
        <v>1</v>
      </c>
      <c r="E75" s="199"/>
      <c r="F75" s="199"/>
      <c r="G75" s="199"/>
      <c r="H75" s="199"/>
      <c r="I75" s="14" t="s">
        <v>143</v>
      </c>
      <c r="J75" s="28">
        <f>(IF(B71&gt;2,(H71/(B71+2)+J74),0))</f>
        <v>0</v>
      </c>
    </row>
    <row r="76" spans="1:15" ht="15.75" customHeight="1" x14ac:dyDescent="0.35">
      <c r="A76" s="167" t="s">
        <v>129</v>
      </c>
      <c r="B76" s="167"/>
      <c r="C76" s="67">
        <v>20</v>
      </c>
      <c r="D76" s="68">
        <f ca="1">((100/(D71+F71+H71))*C76)/100</f>
        <v>1</v>
      </c>
      <c r="E76" s="199"/>
      <c r="F76" s="199"/>
      <c r="G76" s="199"/>
      <c r="H76" s="199"/>
      <c r="I76" s="14" t="s">
        <v>144</v>
      </c>
      <c r="J76" s="29">
        <f>(IF(B71&gt;3,(H71/(B71+2)+J75),0))</f>
        <v>0</v>
      </c>
    </row>
    <row r="77" spans="1:15" ht="15.75" customHeight="1" x14ac:dyDescent="0.35">
      <c r="A77" s="167" t="s">
        <v>136</v>
      </c>
      <c r="B77" s="167" t="s">
        <v>130</v>
      </c>
      <c r="C77" s="67">
        <v>17</v>
      </c>
      <c r="D77" s="68">
        <f ca="1">((100/H71)*C77)/100</f>
        <v>0.89473684210526327</v>
      </c>
      <c r="E77" s="199"/>
      <c r="F77" s="199"/>
      <c r="G77" s="199"/>
      <c r="H77" s="199"/>
      <c r="I77" s="14" t="s">
        <v>145</v>
      </c>
      <c r="J77" s="28">
        <f>(IF(B71&gt;4,(H71/(B71+2)+J76),0))</f>
        <v>0</v>
      </c>
    </row>
    <row r="78" spans="1:15" ht="15.75" customHeight="1" x14ac:dyDescent="0.35">
      <c r="A78" s="167" t="s">
        <v>137</v>
      </c>
      <c r="B78" s="167" t="s">
        <v>130</v>
      </c>
      <c r="C78" s="67">
        <v>14</v>
      </c>
      <c r="D78" s="68">
        <f ca="1">((100/H71)*C78)/100</f>
        <v>0.73684210526315796</v>
      </c>
      <c r="E78" s="199"/>
      <c r="F78" s="199"/>
      <c r="G78" s="199"/>
      <c r="H78" s="199"/>
      <c r="I78" s="14" t="s">
        <v>147</v>
      </c>
      <c r="J78" s="28">
        <f ca="1">(IF(B71=1,(H71/(B71+3)+J73),IF(B71=0,(H71/4+J73),IF(B71&gt;1,0))))</f>
        <v>14.25</v>
      </c>
    </row>
    <row r="79" spans="1:15" ht="16" thickBot="1" x14ac:dyDescent="0.4">
      <c r="A79" s="167" t="s">
        <v>135</v>
      </c>
      <c r="B79" s="167" t="s">
        <v>132</v>
      </c>
      <c r="C79" s="67">
        <v>11</v>
      </c>
      <c r="D79" s="68">
        <f ca="1">((100/(H71))*C79)/100</f>
        <v>0.57894736842105265</v>
      </c>
      <c r="E79" s="199"/>
      <c r="F79" s="199"/>
      <c r="G79" s="199"/>
      <c r="H79" s="199"/>
      <c r="I79" s="15" t="s">
        <v>104</v>
      </c>
      <c r="J79" s="30">
        <f ca="1">(IF(B71&gt;1.5,(H71/(B71+2)+J73+MAX(0,J74-J73)+MAX(0,J75-J74)+MAX(0,J76-J75)+MAX(0,J77-J76)+MAX(0,J78-J77)),IF(B71=1,(H71/(B71+3)+J78),IF(B71=0,H71/4+J78))))</f>
        <v>19</v>
      </c>
    </row>
    <row r="80" spans="1:15" ht="15.75" customHeight="1" x14ac:dyDescent="0.35">
      <c r="A80" s="167" t="s">
        <v>131</v>
      </c>
      <c r="B80" s="167" t="s">
        <v>131</v>
      </c>
      <c r="C80" s="67">
        <v>0</v>
      </c>
      <c r="D80" s="68">
        <f ca="1">((100/H71)*C80)/100</f>
        <v>0</v>
      </c>
      <c r="E80" s="199"/>
      <c r="F80" s="199"/>
      <c r="G80" s="199"/>
      <c r="H80" s="199"/>
      <c r="I80" s="87" t="s">
        <v>318</v>
      </c>
      <c r="J80" s="88"/>
      <c r="K80" s="88"/>
      <c r="L80" s="88"/>
      <c r="M80" s="88"/>
      <c r="N80" s="88"/>
      <c r="O80" s="88"/>
    </row>
    <row r="81" spans="1:15" ht="15.75" customHeight="1" x14ac:dyDescent="0.35">
      <c r="A81" s="167" t="s">
        <v>138</v>
      </c>
      <c r="B81" s="167"/>
      <c r="C81" s="67">
        <v>0</v>
      </c>
      <c r="D81" s="68">
        <f ca="1">((100/H71)*C81)/100</f>
        <v>0</v>
      </c>
      <c r="E81" s="199"/>
      <c r="F81" s="199"/>
      <c r="G81" s="199"/>
      <c r="H81" s="199"/>
      <c r="I81" s="87"/>
      <c r="J81" s="88"/>
      <c r="K81" s="88"/>
      <c r="L81" s="88"/>
      <c r="M81" s="88"/>
      <c r="N81" s="88"/>
      <c r="O81" s="88"/>
    </row>
    <row r="82" spans="1:15" ht="15.75" customHeight="1" x14ac:dyDescent="0.35">
      <c r="A82" s="167" t="s">
        <v>133</v>
      </c>
      <c r="B82" s="167" t="s">
        <v>133</v>
      </c>
      <c r="C82" s="67">
        <v>0</v>
      </c>
      <c r="D82" s="68">
        <f ca="1">((100/(H71))*C82)/100</f>
        <v>0</v>
      </c>
      <c r="E82" s="199"/>
      <c r="F82" s="199"/>
      <c r="G82" s="199"/>
      <c r="H82" s="199"/>
      <c r="I82" s="87"/>
      <c r="J82" s="88"/>
      <c r="K82" s="88"/>
      <c r="L82" s="88"/>
      <c r="M82" s="88"/>
      <c r="N82" s="88"/>
      <c r="O82" s="88"/>
    </row>
    <row r="83" spans="1:15" ht="15.75" customHeight="1" x14ac:dyDescent="0.35">
      <c r="A83" s="167" t="s">
        <v>134</v>
      </c>
      <c r="B83" s="167"/>
      <c r="C83" s="67">
        <v>0</v>
      </c>
      <c r="D83" s="68">
        <f ca="1">((100/(H71))*C83)/100</f>
        <v>0</v>
      </c>
      <c r="E83" s="199"/>
      <c r="F83" s="199"/>
      <c r="G83" s="199"/>
      <c r="H83" s="199"/>
      <c r="I83" s="87"/>
      <c r="J83" s="88"/>
      <c r="K83" s="88"/>
      <c r="L83" s="88"/>
      <c r="M83" s="88"/>
      <c r="N83" s="88"/>
      <c r="O83" s="88"/>
    </row>
    <row r="84" spans="1:15" s="31" customFormat="1" ht="15" x14ac:dyDescent="0.3">
      <c r="A84" s="147" t="s">
        <v>154</v>
      </c>
      <c r="B84" s="147"/>
      <c r="C84" s="147"/>
      <c r="D84" s="147"/>
      <c r="E84" s="147"/>
      <c r="F84" s="141" t="s">
        <v>158</v>
      </c>
      <c r="G84" s="141"/>
      <c r="H84" s="141"/>
    </row>
    <row r="85" spans="1:15" s="31" customFormat="1" x14ac:dyDescent="0.35">
      <c r="A85" s="145" t="s">
        <v>156</v>
      </c>
      <c r="B85" s="145"/>
      <c r="C85" s="145"/>
      <c r="D85" s="145"/>
      <c r="E85" s="145"/>
      <c r="F85" s="142">
        <v>17500</v>
      </c>
      <c r="G85" s="142"/>
      <c r="H85" s="142"/>
      <c r="I85" s="19" t="s">
        <v>275</v>
      </c>
    </row>
    <row r="86" spans="1:15" s="31" customFormat="1" x14ac:dyDescent="0.3">
      <c r="A86" s="145" t="s">
        <v>155</v>
      </c>
      <c r="B86" s="145"/>
      <c r="C86" s="145"/>
      <c r="D86" s="145"/>
      <c r="E86" s="145"/>
      <c r="F86" s="142">
        <v>25000</v>
      </c>
      <c r="G86" s="142"/>
      <c r="H86" s="142"/>
    </row>
    <row r="87" spans="1:15" s="31" customFormat="1" hidden="1" x14ac:dyDescent="0.3">
      <c r="A87" s="145" t="s">
        <v>157</v>
      </c>
      <c r="B87" s="145"/>
      <c r="C87" s="145"/>
      <c r="D87" s="145"/>
      <c r="E87" s="145"/>
      <c r="F87" s="142"/>
      <c r="G87" s="142"/>
      <c r="H87" s="142"/>
    </row>
    <row r="88" spans="1:15" s="31" customFormat="1" hidden="1" x14ac:dyDescent="0.3">
      <c r="A88" s="145" t="s">
        <v>173</v>
      </c>
      <c r="B88" s="145"/>
      <c r="C88" s="145"/>
      <c r="D88" s="145"/>
      <c r="E88" s="145"/>
      <c r="F88" s="142"/>
      <c r="G88" s="142"/>
      <c r="H88" s="142"/>
    </row>
    <row r="89" spans="1:15" s="31" customFormat="1" hidden="1" x14ac:dyDescent="0.3">
      <c r="A89" s="145" t="s">
        <v>94</v>
      </c>
      <c r="B89" s="145"/>
      <c r="C89" s="145"/>
      <c r="D89" s="145"/>
      <c r="E89" s="145"/>
      <c r="F89" s="142"/>
      <c r="G89" s="142"/>
      <c r="H89" s="142"/>
    </row>
    <row r="90" spans="1:15" s="31" customFormat="1" hidden="1" x14ac:dyDescent="0.3">
      <c r="A90" s="145" t="s">
        <v>95</v>
      </c>
      <c r="B90" s="145"/>
      <c r="C90" s="145"/>
      <c r="D90" s="145"/>
      <c r="E90" s="145"/>
      <c r="F90" s="142"/>
      <c r="G90" s="142"/>
      <c r="H90" s="142"/>
    </row>
    <row r="91" spans="1:15" s="31" customFormat="1" hidden="1" x14ac:dyDescent="0.3">
      <c r="A91" s="145" t="s">
        <v>159</v>
      </c>
      <c r="B91" s="145"/>
      <c r="C91" s="145"/>
      <c r="D91" s="145"/>
      <c r="E91" s="145"/>
      <c r="F91" s="142"/>
      <c r="G91" s="142"/>
      <c r="H91" s="142"/>
    </row>
    <row r="92" spans="1:15" hidden="1" x14ac:dyDescent="0.35">
      <c r="A92" s="145" t="s">
        <v>96</v>
      </c>
      <c r="B92" s="145"/>
      <c r="C92" s="145"/>
      <c r="D92" s="145"/>
      <c r="E92" s="145"/>
      <c r="F92" s="142"/>
      <c r="G92" s="142"/>
      <c r="H92" s="142"/>
    </row>
    <row r="93" spans="1:15" s="32" customFormat="1" hidden="1" x14ac:dyDescent="0.35">
      <c r="A93" s="145" t="s">
        <v>97</v>
      </c>
      <c r="B93" s="145"/>
      <c r="C93" s="145"/>
      <c r="D93" s="145"/>
      <c r="E93" s="145"/>
      <c r="F93" s="142"/>
      <c r="G93" s="142"/>
      <c r="H93" s="142"/>
    </row>
    <row r="94" spans="1:15" s="33" customFormat="1" ht="15.75" hidden="1" customHeight="1" x14ac:dyDescent="0.35">
      <c r="A94" s="145" t="s">
        <v>98</v>
      </c>
      <c r="B94" s="145"/>
      <c r="C94" s="145"/>
      <c r="D94" s="145"/>
      <c r="E94" s="145"/>
      <c r="F94" s="142"/>
      <c r="G94" s="142"/>
      <c r="H94" s="142"/>
    </row>
    <row r="95" spans="1:15" s="33" customFormat="1" ht="15.75" hidden="1" customHeight="1" x14ac:dyDescent="0.35">
      <c r="A95" s="145" t="s">
        <v>99</v>
      </c>
      <c r="B95" s="145"/>
      <c r="C95" s="145"/>
      <c r="D95" s="145"/>
      <c r="E95" s="145"/>
      <c r="F95" s="142"/>
      <c r="G95" s="142"/>
      <c r="H95" s="142"/>
    </row>
    <row r="96" spans="1:15" s="33" customFormat="1" x14ac:dyDescent="0.35">
      <c r="A96" s="145" t="s">
        <v>51</v>
      </c>
      <c r="B96" s="145"/>
      <c r="C96" s="145"/>
      <c r="D96" s="145"/>
      <c r="E96" s="145"/>
      <c r="F96" s="146">
        <v>800000</v>
      </c>
      <c r="G96" s="146"/>
      <c r="H96" s="146"/>
    </row>
    <row r="97" spans="1:14" s="33" customFormat="1" x14ac:dyDescent="0.35">
      <c r="A97" s="147" t="s">
        <v>52</v>
      </c>
      <c r="B97" s="147"/>
      <c r="C97" s="147"/>
      <c r="D97" s="147"/>
      <c r="E97" s="147"/>
      <c r="F97" s="142">
        <f>F85*0.8</f>
        <v>14000</v>
      </c>
      <c r="G97" s="142"/>
      <c r="H97" s="142"/>
    </row>
    <row r="98" spans="1:14" s="33" customFormat="1" x14ac:dyDescent="0.35">
      <c r="A98" s="104" t="s">
        <v>74</v>
      </c>
      <c r="B98" s="104"/>
      <c r="C98" s="104"/>
      <c r="D98" s="104"/>
      <c r="E98" s="104"/>
      <c r="F98" s="104"/>
      <c r="G98" s="104"/>
      <c r="H98" s="104"/>
    </row>
    <row r="99" spans="1:14" s="33" customFormat="1" x14ac:dyDescent="0.35">
      <c r="A99" s="163" t="s">
        <v>53</v>
      </c>
      <c r="B99" s="163"/>
      <c r="C99" s="150" t="s">
        <v>77</v>
      </c>
      <c r="D99" s="150"/>
      <c r="E99" s="180" t="s">
        <v>54</v>
      </c>
      <c r="F99" s="180"/>
      <c r="G99" s="163" t="s">
        <v>55</v>
      </c>
      <c r="H99" s="163"/>
    </row>
    <row r="100" spans="1:14" s="33" customFormat="1" ht="15.75" customHeight="1" x14ac:dyDescent="0.35">
      <c r="A100" s="189" t="s">
        <v>250</v>
      </c>
      <c r="B100" s="189"/>
      <c r="C100" s="219">
        <f>COUNT(D113:D118)</f>
        <v>6</v>
      </c>
      <c r="D100" s="220"/>
      <c r="E100" s="148">
        <f>SUM(D113:D118)</f>
        <v>1381.0750199999998</v>
      </c>
      <c r="F100" s="149"/>
      <c r="G100" s="148">
        <f>SUM(F113:F118)</f>
        <v>2140.6662809999998</v>
      </c>
      <c r="H100" s="149"/>
    </row>
    <row r="101" spans="1:14" s="33" customFormat="1" x14ac:dyDescent="0.35">
      <c r="A101" s="100" t="s">
        <v>280</v>
      </c>
      <c r="B101" s="100"/>
      <c r="C101" s="101">
        <f>COUNT(D119)</f>
        <v>1</v>
      </c>
      <c r="D101" s="102"/>
      <c r="E101" s="101">
        <f>SUM(D119)</f>
        <v>1966.90572</v>
      </c>
      <c r="F101" s="102"/>
      <c r="G101" s="101">
        <f>SUM(F119)</f>
        <v>3048.7038659999998</v>
      </c>
      <c r="H101" s="102"/>
    </row>
    <row r="102" spans="1:14" s="33" customFormat="1" x14ac:dyDescent="0.35">
      <c r="A102" s="104" t="s">
        <v>289</v>
      </c>
      <c r="B102" s="104"/>
      <c r="C102" s="103">
        <f>C100+C101</f>
        <v>7</v>
      </c>
      <c r="D102" s="103"/>
      <c r="E102" s="103">
        <f t="shared" ref="E102" si="0">E100+E101</f>
        <v>3347.98074</v>
      </c>
      <c r="F102" s="103"/>
      <c r="G102" s="103">
        <f t="shared" ref="G102" si="1">G100+G101</f>
        <v>5189.3701469999996</v>
      </c>
      <c r="H102" s="103"/>
    </row>
    <row r="103" spans="1:14" s="33" customFormat="1" x14ac:dyDescent="0.35">
      <c r="A103" s="104" t="s">
        <v>69</v>
      </c>
      <c r="B103" s="104"/>
      <c r="C103" s="104"/>
      <c r="D103" s="104"/>
      <c r="E103" s="104"/>
      <c r="F103" s="104"/>
      <c r="G103" s="104"/>
      <c r="H103" s="104"/>
    </row>
    <row r="104" spans="1:14" s="32" customFormat="1" x14ac:dyDescent="0.35">
      <c r="A104" s="163" t="s">
        <v>53</v>
      </c>
      <c r="B104" s="163"/>
      <c r="C104" s="150" t="s">
        <v>77</v>
      </c>
      <c r="D104" s="150"/>
      <c r="E104" s="180" t="s">
        <v>54</v>
      </c>
      <c r="F104" s="180"/>
      <c r="G104" s="163" t="s">
        <v>55</v>
      </c>
      <c r="H104" s="163"/>
    </row>
    <row r="105" spans="1:14" x14ac:dyDescent="0.35">
      <c r="A105" s="189" t="s">
        <v>68</v>
      </c>
      <c r="B105" s="189"/>
      <c r="C105" s="219">
        <f>COUNT(D131:D132)+COUNT(D136:D137)*4+COUNT(D141:D144)+COUNT(D146:D149)*5+COUNT(D151:D154)+COUNT(D156:D159)+COUNT(D161:D164)+COUNT(D166:D168)+COUNT(D170:D172)+COUNT(D174:D176)</f>
        <v>55</v>
      </c>
      <c r="D105" s="219"/>
      <c r="E105" s="148">
        <f>SUM(D131:D132)+SUM(D136:D137)*4+SUM(D141:D144)+SUM(D146:D149)*5+SUM(D151:D154)+SUM(D156:D159)+SUM(D161:D164)+SUM(D166:D168)+SUM(D170:D172)+SUM(D174:D176)</f>
        <v>39106.225547999995</v>
      </c>
      <c r="F105" s="148"/>
      <c r="G105" s="148">
        <f>SUM(F131:F132)+SUM(F136:F137)*4+SUM(F141:F144)+SUM(F146:F149)*5+SUM(F151:F154)+SUM(F156:F159)+SUM(F161:F164)+SUM(F166:F168)+SUM(F170:F172)+SUM(F174:F176)</f>
        <v>59161.478921999995</v>
      </c>
      <c r="H105" s="148"/>
    </row>
    <row r="106" spans="1:14" x14ac:dyDescent="0.35">
      <c r="A106" s="104" t="s">
        <v>289</v>
      </c>
      <c r="B106" s="104"/>
      <c r="C106" s="219">
        <f>C105</f>
        <v>55</v>
      </c>
      <c r="D106" s="219"/>
      <c r="E106" s="219">
        <f t="shared" ref="E106" si="2">E105</f>
        <v>39106.225547999995</v>
      </c>
      <c r="F106" s="219"/>
      <c r="G106" s="219">
        <f t="shared" ref="G106" si="3">G105</f>
        <v>59161.478921999995</v>
      </c>
      <c r="H106" s="219"/>
    </row>
    <row r="107" spans="1:14" s="35" customFormat="1" x14ac:dyDescent="0.35">
      <c r="A107" s="104" t="s">
        <v>165</v>
      </c>
      <c r="B107" s="104"/>
      <c r="C107" s="103">
        <f>C102+C105</f>
        <v>62</v>
      </c>
      <c r="D107" s="150"/>
      <c r="E107" s="103">
        <f>E102+E105</f>
        <v>42454.206287999994</v>
      </c>
      <c r="F107" s="150"/>
      <c r="G107" s="103">
        <f>G102+G105</f>
        <v>64350.849068999996</v>
      </c>
      <c r="H107" s="150"/>
    </row>
    <row r="108" spans="1:14" s="35" customFormat="1" x14ac:dyDescent="0.35">
      <c r="A108" s="141" t="s">
        <v>313</v>
      </c>
      <c r="B108" s="141"/>
      <c r="C108" s="141"/>
      <c r="D108" s="141"/>
      <c r="E108" s="141"/>
      <c r="F108" s="141"/>
      <c r="G108" s="141"/>
      <c r="H108" s="141"/>
      <c r="J108" s="34"/>
      <c r="K108" s="59">
        <v>10.763999999999999</v>
      </c>
    </row>
    <row r="109" spans="1:14" s="35" customFormat="1" ht="15.75" customHeight="1" x14ac:dyDescent="0.35">
      <c r="A109" s="141" t="s">
        <v>172</v>
      </c>
      <c r="B109" s="141"/>
      <c r="C109" s="141"/>
      <c r="D109" s="141"/>
      <c r="E109" s="141"/>
      <c r="F109" s="141"/>
      <c r="G109" s="141"/>
      <c r="H109" s="141"/>
      <c r="I109" s="34">
        <f>3*8.8+6.1*3.1+18.5*8.65</f>
        <v>205.33500000000001</v>
      </c>
      <c r="L109" s="116"/>
      <c r="M109" s="116"/>
      <c r="N109" s="34"/>
    </row>
    <row r="110" spans="1:14" s="35" customFormat="1" ht="53.25" customHeight="1" x14ac:dyDescent="0.35">
      <c r="A110" s="229" t="s">
        <v>119</v>
      </c>
      <c r="B110" s="229" t="s">
        <v>174</v>
      </c>
      <c r="C110" s="229" t="s">
        <v>56</v>
      </c>
      <c r="D110" s="229" t="s">
        <v>57</v>
      </c>
      <c r="E110" s="230" t="s">
        <v>153</v>
      </c>
      <c r="F110" s="231" t="s">
        <v>149</v>
      </c>
      <c r="G110" s="229" t="s">
        <v>59</v>
      </c>
      <c r="H110" s="229"/>
      <c r="I110" s="54">
        <f>3*5.55</f>
        <v>16.649999999999999</v>
      </c>
      <c r="J110" s="35">
        <f>3*5.55</f>
        <v>16.649999999999999</v>
      </c>
      <c r="L110" s="116"/>
      <c r="M110" s="116"/>
      <c r="N110" s="34"/>
    </row>
    <row r="111" spans="1:14" s="35" customFormat="1" ht="15.75" customHeight="1" x14ac:dyDescent="0.35">
      <c r="A111" s="229"/>
      <c r="B111" s="229"/>
      <c r="C111" s="229"/>
      <c r="D111" s="229"/>
      <c r="E111" s="230"/>
      <c r="F111" s="232">
        <v>0.55000000000000004</v>
      </c>
      <c r="G111" s="229"/>
      <c r="H111" s="229"/>
      <c r="I111" s="34"/>
      <c r="J111" s="35" t="s">
        <v>268</v>
      </c>
      <c r="L111" s="116"/>
      <c r="M111" s="116"/>
      <c r="N111" s="34"/>
    </row>
    <row r="112" spans="1:14" s="35" customFormat="1" ht="15.75" customHeight="1" x14ac:dyDescent="0.35">
      <c r="A112" s="233" t="s">
        <v>267</v>
      </c>
      <c r="B112" s="233"/>
      <c r="C112" s="233"/>
      <c r="D112" s="233"/>
      <c r="E112" s="233"/>
      <c r="F112" s="233"/>
      <c r="G112" s="233"/>
      <c r="H112" s="233"/>
      <c r="I112" s="34">
        <f>3*8.8</f>
        <v>26.400000000000002</v>
      </c>
      <c r="J112" s="55">
        <f>3*8.8+1.5*1.2+1.35*1.2</f>
        <v>29.820000000000004</v>
      </c>
      <c r="L112" s="116"/>
      <c r="M112" s="116"/>
      <c r="N112" s="34"/>
    </row>
    <row r="113" spans="1:16" s="52" customFormat="1" ht="15.75" customHeight="1" x14ac:dyDescent="0.35">
      <c r="A113" s="108">
        <v>1</v>
      </c>
      <c r="B113" s="108"/>
      <c r="C113" s="71" t="s">
        <v>250</v>
      </c>
      <c r="D113" s="59">
        <f>(16.65)*10.764</f>
        <v>179.22059999999996</v>
      </c>
      <c r="E113" s="71">
        <v>0</v>
      </c>
      <c r="F113" s="71">
        <f>(D113+E113)*(($F$111)+1)</f>
        <v>277.79192999999992</v>
      </c>
      <c r="G113" s="108" t="str">
        <f>A112</f>
        <v>Ground Floor For Entrance Lobby, Commercial, Society Office, Pump Room, Fire Control Room &amp; Parking</v>
      </c>
      <c r="H113" s="108"/>
      <c r="I113" s="34"/>
      <c r="K113" s="52">
        <f>3*8.8</f>
        <v>26.400000000000002</v>
      </c>
      <c r="L113" s="116"/>
      <c r="M113" s="116"/>
      <c r="N113" s="34"/>
    </row>
    <row r="114" spans="1:16" s="52" customFormat="1" ht="15.75" customHeight="1" x14ac:dyDescent="0.35">
      <c r="A114" s="108">
        <f t="shared" ref="A114:A118" si="4">A113+1</f>
        <v>2</v>
      </c>
      <c r="B114" s="108"/>
      <c r="C114" s="71" t="s">
        <v>250</v>
      </c>
      <c r="D114" s="59">
        <f>(16.65)*10.764</f>
        <v>179.22059999999996</v>
      </c>
      <c r="E114" s="71">
        <v>0</v>
      </c>
      <c r="F114" s="71">
        <f t="shared" ref="F114:F116" si="5">(D114+E114)*(($F$111)+1)</f>
        <v>277.79192999999992</v>
      </c>
      <c r="G114" s="108"/>
      <c r="H114" s="108"/>
      <c r="I114" s="34"/>
      <c r="L114" s="116"/>
      <c r="M114" s="116"/>
      <c r="N114" s="34"/>
    </row>
    <row r="115" spans="1:16" s="61" customFormat="1" x14ac:dyDescent="0.35">
      <c r="A115" s="108">
        <f t="shared" si="4"/>
        <v>3</v>
      </c>
      <c r="B115" s="108"/>
      <c r="C115" s="71" t="s">
        <v>250</v>
      </c>
      <c r="D115" s="59">
        <f>(16.65)*10.764</f>
        <v>179.22059999999996</v>
      </c>
      <c r="E115" s="71">
        <v>0</v>
      </c>
      <c r="F115" s="71">
        <f t="shared" si="5"/>
        <v>277.79192999999992</v>
      </c>
      <c r="G115" s="108"/>
      <c r="H115" s="108"/>
      <c r="I115" s="34">
        <f>7.75*3.1+1.5*3.1+(18.5*8.65-3.5*1.7)</f>
        <v>182.75000000000003</v>
      </c>
      <c r="L115" s="116"/>
      <c r="M115" s="116"/>
      <c r="N115" s="34"/>
    </row>
    <row r="116" spans="1:16" s="52" customFormat="1" x14ac:dyDescent="0.35">
      <c r="A116" s="108">
        <f t="shared" si="4"/>
        <v>4</v>
      </c>
      <c r="B116" s="108"/>
      <c r="C116" s="71" t="s">
        <v>250</v>
      </c>
      <c r="D116" s="59">
        <f>(26.4)*10.764</f>
        <v>284.16959999999995</v>
      </c>
      <c r="E116" s="71">
        <v>0</v>
      </c>
      <c r="F116" s="71">
        <f t="shared" si="5"/>
        <v>440.46287999999993</v>
      </c>
      <c r="G116" s="108"/>
      <c r="H116" s="108"/>
      <c r="J116" s="34"/>
    </row>
    <row r="117" spans="1:16" s="52" customFormat="1" x14ac:dyDescent="0.35">
      <c r="A117" s="108">
        <f t="shared" si="4"/>
        <v>5</v>
      </c>
      <c r="B117" s="108"/>
      <c r="C117" s="71" t="s">
        <v>250</v>
      </c>
      <c r="D117" s="59">
        <f>(26.4)*10.764</f>
        <v>284.16959999999995</v>
      </c>
      <c r="E117" s="71">
        <v>0</v>
      </c>
      <c r="F117" s="71">
        <f t="shared" ref="F117:F118" si="6">(D117+E117)*(($F$111)+1)</f>
        <v>440.46287999999993</v>
      </c>
      <c r="G117" s="108"/>
      <c r="H117" s="108"/>
      <c r="I117" s="34"/>
      <c r="L117" s="116"/>
      <c r="M117" s="116"/>
      <c r="N117" s="34"/>
    </row>
    <row r="118" spans="1:16" s="52" customFormat="1" ht="19.5" customHeight="1" x14ac:dyDescent="0.35">
      <c r="A118" s="108">
        <f t="shared" si="4"/>
        <v>6</v>
      </c>
      <c r="B118" s="108"/>
      <c r="C118" s="71" t="s">
        <v>250</v>
      </c>
      <c r="D118" s="59">
        <f>(25.555)*10.764</f>
        <v>275.07401999999996</v>
      </c>
      <c r="E118" s="71">
        <v>0</v>
      </c>
      <c r="F118" s="71">
        <f t="shared" si="6"/>
        <v>426.36473099999995</v>
      </c>
      <c r="G118" s="108"/>
      <c r="H118" s="108"/>
      <c r="I118" s="34"/>
      <c r="L118" s="116"/>
      <c r="M118" s="116"/>
      <c r="N118" s="34"/>
    </row>
    <row r="119" spans="1:16" s="52" customFormat="1" ht="46.5" x14ac:dyDescent="0.35">
      <c r="A119" s="108">
        <v>1</v>
      </c>
      <c r="B119" s="108"/>
      <c r="C119" s="71" t="s">
        <v>294</v>
      </c>
      <c r="D119" s="59">
        <f>(7.75*3.1+1.5*3.1+(18.5*8.65-3.5*1.5-0.6*1.2))*10.764</f>
        <v>1966.90572</v>
      </c>
      <c r="E119" s="71">
        <v>0</v>
      </c>
      <c r="F119" s="71">
        <f t="shared" ref="F119" si="7">(D119+E119)*(($F$111)+1)</f>
        <v>3048.7038659999998</v>
      </c>
      <c r="G119" s="108"/>
      <c r="H119" s="108"/>
      <c r="I119" s="34"/>
      <c r="L119" s="116"/>
      <c r="M119" s="116"/>
      <c r="N119" s="34"/>
    </row>
    <row r="120" spans="1:16" s="52" customFormat="1" x14ac:dyDescent="0.35">
      <c r="A120" s="181" t="s">
        <v>251</v>
      </c>
      <c r="B120" s="182"/>
      <c r="C120" s="182"/>
      <c r="D120" s="182"/>
      <c r="E120" s="182"/>
      <c r="F120" s="182"/>
      <c r="G120" s="182"/>
      <c r="H120" s="183"/>
      <c r="I120" s="34"/>
      <c r="L120" s="116"/>
      <c r="M120" s="116"/>
      <c r="N120" s="34"/>
    </row>
    <row r="121" spans="1:16" s="52" customFormat="1" x14ac:dyDescent="0.35">
      <c r="A121" s="137">
        <v>1</v>
      </c>
      <c r="B121" s="138"/>
      <c r="C121" s="137" t="s">
        <v>295</v>
      </c>
      <c r="D121" s="144"/>
      <c r="E121" s="144"/>
      <c r="F121" s="138"/>
      <c r="G121" s="143" t="str">
        <f>A120</f>
        <v>1st Floor For Commercial &amp; Driver Room</v>
      </c>
      <c r="H121" s="143"/>
      <c r="I121" s="34"/>
      <c r="L121" s="116"/>
      <c r="M121" s="116"/>
      <c r="N121" s="34"/>
    </row>
    <row r="122" spans="1:16" s="52" customFormat="1" x14ac:dyDescent="0.35">
      <c r="A122" s="137" t="s">
        <v>256</v>
      </c>
      <c r="B122" s="138"/>
      <c r="C122" s="123" t="s">
        <v>271</v>
      </c>
      <c r="D122" s="124"/>
      <c r="E122" s="124"/>
      <c r="F122" s="125"/>
      <c r="G122" s="143"/>
      <c r="H122" s="143"/>
      <c r="I122" s="34"/>
      <c r="L122" s="116"/>
      <c r="M122" s="116"/>
      <c r="N122" s="34"/>
    </row>
    <row r="123" spans="1:16" s="35" customFormat="1" x14ac:dyDescent="0.35">
      <c r="A123" s="137" t="s">
        <v>256</v>
      </c>
      <c r="B123" s="138"/>
      <c r="C123" s="126"/>
      <c r="D123" s="127"/>
      <c r="E123" s="127"/>
      <c r="F123" s="128"/>
      <c r="G123" s="143"/>
      <c r="H123" s="143"/>
      <c r="I123" s="34"/>
      <c r="N123" s="34"/>
    </row>
    <row r="124" spans="1:16" x14ac:dyDescent="0.35">
      <c r="A124" s="137" t="s">
        <v>256</v>
      </c>
      <c r="B124" s="138"/>
      <c r="C124" s="126"/>
      <c r="D124" s="127"/>
      <c r="E124" s="127"/>
      <c r="F124" s="128"/>
      <c r="G124" s="143"/>
      <c r="H124" s="143"/>
      <c r="I124" s="121" t="s">
        <v>262</v>
      </c>
      <c r="J124" s="122" t="s">
        <v>269</v>
      </c>
      <c r="K124" s="116"/>
      <c r="L124" s="116"/>
      <c r="M124" s="116"/>
      <c r="N124" s="116"/>
      <c r="O124" s="116"/>
      <c r="P124" s="116"/>
    </row>
    <row r="125" spans="1:16" s="35" customFormat="1" x14ac:dyDescent="0.35">
      <c r="A125" s="137" t="s">
        <v>256</v>
      </c>
      <c r="B125" s="138"/>
      <c r="C125" s="126"/>
      <c r="D125" s="127"/>
      <c r="E125" s="127"/>
      <c r="F125" s="128"/>
      <c r="G125" s="143"/>
      <c r="H125" s="143"/>
      <c r="I125" s="121"/>
      <c r="J125" s="116"/>
      <c r="K125" s="116"/>
      <c r="L125" s="116"/>
      <c r="M125" s="116"/>
      <c r="N125" s="116"/>
      <c r="O125" s="116"/>
      <c r="P125" s="116"/>
    </row>
    <row r="126" spans="1:16" s="35" customFormat="1" x14ac:dyDescent="0.35">
      <c r="A126" s="137" t="s">
        <v>256</v>
      </c>
      <c r="B126" s="138"/>
      <c r="C126" s="129"/>
      <c r="D126" s="130"/>
      <c r="E126" s="130"/>
      <c r="F126" s="131"/>
      <c r="G126" s="143"/>
      <c r="H126" s="143"/>
      <c r="I126" s="54"/>
      <c r="J126" s="35" t="s">
        <v>259</v>
      </c>
      <c r="K126" s="35" t="s">
        <v>260</v>
      </c>
    </row>
    <row r="127" spans="1:16" s="35" customFormat="1" ht="15.75" customHeight="1" x14ac:dyDescent="0.35">
      <c r="A127" s="113"/>
      <c r="B127" s="135"/>
      <c r="C127" s="135"/>
      <c r="D127" s="135"/>
      <c r="E127" s="135"/>
      <c r="F127" s="135"/>
      <c r="G127" s="135"/>
      <c r="H127" s="114"/>
      <c r="I127" s="54">
        <f>(3*4.9+1.2*3+3.05*2.4+3*3.05+3*3.65+2.1*1.35+2.1*1.35+2.1*0.9)</f>
        <v>53.28</v>
      </c>
      <c r="J127" s="56">
        <f>3*1.25</f>
        <v>3.75</v>
      </c>
      <c r="K127" s="54">
        <f>4.3*3+0.9*1.8+1.4*0.4</f>
        <v>15.08</v>
      </c>
      <c r="L127" s="116">
        <f>3*4.9+1.2*3+3.05*2.4+3*3.05+3*3.65+2.1*1.35+2.1*1.35+0.9*2</f>
        <v>53.19</v>
      </c>
      <c r="M127" s="116"/>
      <c r="N127" s="56">
        <f>3*1.25</f>
        <v>3.75</v>
      </c>
      <c r="O127" s="35">
        <f>4.2*3+0.6*3.2</f>
        <v>14.520000000000001</v>
      </c>
      <c r="P127" s="35">
        <f>4.9*1.7+4.2*1.8+0.6*1.45</f>
        <v>16.760000000000002</v>
      </c>
    </row>
    <row r="128" spans="1:16" s="35" customFormat="1" ht="46.5" customHeight="1" x14ac:dyDescent="0.35">
      <c r="A128" s="153" t="s">
        <v>120</v>
      </c>
      <c r="B128" s="139" t="s">
        <v>175</v>
      </c>
      <c r="C128" s="139" t="s">
        <v>56</v>
      </c>
      <c r="D128" s="139" t="s">
        <v>57</v>
      </c>
      <c r="E128" s="151" t="s">
        <v>58</v>
      </c>
      <c r="F128" s="47" t="s">
        <v>149</v>
      </c>
      <c r="G128" s="153" t="s">
        <v>59</v>
      </c>
      <c r="H128" s="154"/>
      <c r="I128" s="54">
        <f>(3*4.9+1.2*3+3.05*2.4+3*3.05+3*3.65+2.1*1.35+2.1*1.35+2.1*0.9)</f>
        <v>53.28</v>
      </c>
      <c r="J128" s="56">
        <f>3*1.25</f>
        <v>3.75</v>
      </c>
      <c r="K128" s="35">
        <f>4.9*2.9+1.6*2.8+0.4*1.45</f>
        <v>19.27</v>
      </c>
      <c r="L128" s="116"/>
      <c r="M128" s="116"/>
      <c r="N128" s="34"/>
    </row>
    <row r="129" spans="1:14" s="52" customFormat="1" ht="15.75" customHeight="1" x14ac:dyDescent="0.35">
      <c r="A129" s="155"/>
      <c r="B129" s="140"/>
      <c r="C129" s="140"/>
      <c r="D129" s="140"/>
      <c r="E129" s="152"/>
      <c r="F129" s="13">
        <v>0.5</v>
      </c>
      <c r="G129" s="155"/>
      <c r="H129" s="156"/>
      <c r="I129" s="54"/>
      <c r="J129" s="56"/>
      <c r="K129" s="54"/>
      <c r="L129" s="116"/>
      <c r="M129" s="116"/>
      <c r="N129" s="34"/>
    </row>
    <row r="130" spans="1:14" s="52" customFormat="1" ht="15.75" customHeight="1" x14ac:dyDescent="0.35">
      <c r="A130" s="186" t="s">
        <v>255</v>
      </c>
      <c r="B130" s="186"/>
      <c r="C130" s="186"/>
      <c r="D130" s="186"/>
      <c r="E130" s="186"/>
      <c r="F130" s="186"/>
      <c r="G130" s="186"/>
      <c r="H130" s="186"/>
      <c r="I130" s="54"/>
      <c r="J130" s="56"/>
      <c r="L130" s="116"/>
      <c r="M130" s="116"/>
      <c r="N130" s="34"/>
    </row>
    <row r="131" spans="1:14" s="35" customFormat="1" ht="15.75" customHeight="1" x14ac:dyDescent="0.35">
      <c r="A131" s="108">
        <v>1</v>
      </c>
      <c r="B131" s="108"/>
      <c r="C131" s="60" t="s">
        <v>252</v>
      </c>
      <c r="D131" s="53">
        <f>(57.995+3*1.25)*10.764</f>
        <v>664.62317999999993</v>
      </c>
      <c r="E131" s="63">
        <f>(4.1*2.9+0.7*1.7+0.5*1.5)*10.764</f>
        <v>148.86611999999997</v>
      </c>
      <c r="F131" s="60">
        <f>D131*(($F$129)+1)+(IF(E131&lt;101,E131,IF(E131&lt;201,E131/2,IF(E131&lt;=301,E131/3,E131/4))))</f>
        <v>1071.3678299999999</v>
      </c>
      <c r="G131" s="108" t="str">
        <f>A130</f>
        <v>2nd Floor For Residential &amp; Parking Tower</v>
      </c>
      <c r="H131" s="108"/>
      <c r="I131" s="34"/>
      <c r="L131" s="116"/>
      <c r="M131" s="116"/>
    </row>
    <row r="132" spans="1:14" s="35" customFormat="1" ht="15.75" customHeight="1" x14ac:dyDescent="0.35">
      <c r="A132" s="108">
        <f t="shared" ref="A132" si="8">A131+1</f>
        <v>2</v>
      </c>
      <c r="B132" s="108"/>
      <c r="C132" s="60" t="s">
        <v>252</v>
      </c>
      <c r="D132" s="53">
        <f>(57.995+3*1.25)*10.764</f>
        <v>664.62317999999993</v>
      </c>
      <c r="E132" s="63">
        <f>(4.9*2.9+0.5*1.5)*10.764</f>
        <v>161.02943999999999</v>
      </c>
      <c r="F132" s="60">
        <f>D132*(($F$129)+1)+(IF(E132&lt;101,E132,IF(E132&lt;201,E132/2,IF(E132&lt;=301,E132/3,E132/4))))</f>
        <v>1077.4494899999997</v>
      </c>
      <c r="G132" s="108"/>
      <c r="H132" s="108"/>
      <c r="I132" s="54">
        <f>0.75*3.05</f>
        <v>2.2874999999999996</v>
      </c>
      <c r="N132" s="34"/>
    </row>
    <row r="133" spans="1:14" s="35" customFormat="1" ht="15.75" customHeight="1" x14ac:dyDescent="0.35">
      <c r="A133" s="108">
        <v>3</v>
      </c>
      <c r="B133" s="108"/>
      <c r="C133" s="108" t="s">
        <v>261</v>
      </c>
      <c r="D133" s="108"/>
      <c r="E133" s="108"/>
      <c r="F133" s="108"/>
      <c r="G133" s="108"/>
      <c r="H133" s="108"/>
      <c r="I133" s="34"/>
      <c r="N133" s="34"/>
    </row>
    <row r="134" spans="1:14" s="52" customFormat="1" ht="15.75" customHeight="1" x14ac:dyDescent="0.35">
      <c r="A134" s="108">
        <v>4</v>
      </c>
      <c r="B134" s="108"/>
      <c r="C134" s="108"/>
      <c r="D134" s="108"/>
      <c r="E134" s="108"/>
      <c r="F134" s="108"/>
      <c r="G134" s="108"/>
      <c r="H134" s="108"/>
      <c r="I134" s="54"/>
      <c r="J134" s="56"/>
      <c r="K134" s="54"/>
      <c r="L134" s="116"/>
      <c r="M134" s="116"/>
      <c r="N134" s="34"/>
    </row>
    <row r="135" spans="1:14" s="52" customFormat="1" ht="15.75" customHeight="1" x14ac:dyDescent="0.35">
      <c r="A135" s="186" t="s">
        <v>253</v>
      </c>
      <c r="B135" s="186"/>
      <c r="C135" s="186"/>
      <c r="D135" s="186"/>
      <c r="E135" s="186"/>
      <c r="F135" s="186"/>
      <c r="G135" s="186"/>
      <c r="H135" s="186"/>
      <c r="I135" s="54"/>
      <c r="J135" s="56"/>
      <c r="L135" s="116"/>
      <c r="M135" s="116"/>
      <c r="N135" s="34"/>
    </row>
    <row r="136" spans="1:14" s="35" customFormat="1" ht="15.75" customHeight="1" x14ac:dyDescent="0.35">
      <c r="A136" s="108">
        <v>1</v>
      </c>
      <c r="B136" s="108"/>
      <c r="C136" s="51" t="s">
        <v>252</v>
      </c>
      <c r="D136" s="53">
        <f t="shared" ref="D136:D137" si="9">(57.995+3*1.25)*10.764</f>
        <v>664.62317999999993</v>
      </c>
      <c r="E136" s="51">
        <v>0</v>
      </c>
      <c r="F136" s="51">
        <f t="shared" ref="F136:F137" si="10">D136*(($F$129)+1)+(IF(E136&lt;101,E136,IF(E136&lt;201,E136/2,IF(E136&lt;=301,E136/3,E136/4))))</f>
        <v>996.93476999999984</v>
      </c>
      <c r="G136" s="117" t="str">
        <f>A135</f>
        <v>3rd to 6th Floor</v>
      </c>
      <c r="H136" s="110"/>
      <c r="I136" s="57" t="s">
        <v>263</v>
      </c>
    </row>
    <row r="137" spans="1:14" s="35" customFormat="1" ht="15.75" customHeight="1" x14ac:dyDescent="0.35">
      <c r="A137" s="108">
        <f t="shared" ref="A137" si="11">A136+1</f>
        <v>2</v>
      </c>
      <c r="B137" s="108"/>
      <c r="C137" s="51" t="s">
        <v>252</v>
      </c>
      <c r="D137" s="53">
        <f t="shared" si="9"/>
        <v>664.62317999999993</v>
      </c>
      <c r="E137" s="51">
        <v>0</v>
      </c>
      <c r="F137" s="40">
        <f t="shared" si="10"/>
        <v>996.93476999999984</v>
      </c>
      <c r="G137" s="118"/>
      <c r="H137" s="112"/>
      <c r="I137" s="34"/>
    </row>
    <row r="138" spans="1:14" s="35" customFormat="1" ht="15.75" customHeight="1" x14ac:dyDescent="0.35">
      <c r="A138" s="108">
        <v>3</v>
      </c>
      <c r="B138" s="108"/>
      <c r="C138" s="117" t="s">
        <v>261</v>
      </c>
      <c r="D138" s="109"/>
      <c r="E138" s="109"/>
      <c r="F138" s="110"/>
      <c r="G138" s="118"/>
      <c r="H138" s="112"/>
      <c r="I138" s="34"/>
    </row>
    <row r="139" spans="1:14" s="35" customFormat="1" ht="15.75" customHeight="1" x14ac:dyDescent="0.35">
      <c r="A139" s="108">
        <v>4</v>
      </c>
      <c r="B139" s="108"/>
      <c r="C139" s="119"/>
      <c r="D139" s="136"/>
      <c r="E139" s="136"/>
      <c r="F139" s="120"/>
      <c r="G139" s="119"/>
      <c r="H139" s="120"/>
      <c r="I139" s="34">
        <f>3*5.35+3.05*2.4+1.8*2.8+3*3.65+3*4.25+1.8*1.8+2.35*1.4+1.8*0.9+1*2.65</f>
        <v>62.91</v>
      </c>
      <c r="J139" s="35">
        <f>9.3*2.6+2.875*0.4+2.9*3.3+2.55*0.4+5.2*0.85+1.65*2.5</f>
        <v>44.465000000000003</v>
      </c>
      <c r="K139" s="35">
        <f>3*1.1</f>
        <v>3.3000000000000003</v>
      </c>
    </row>
    <row r="140" spans="1:14" s="35" customFormat="1" ht="15.75" customHeight="1" x14ac:dyDescent="0.35">
      <c r="A140" s="105" t="s">
        <v>281</v>
      </c>
      <c r="B140" s="106"/>
      <c r="C140" s="106"/>
      <c r="D140" s="106"/>
      <c r="E140" s="106"/>
      <c r="F140" s="106"/>
      <c r="G140" s="106"/>
      <c r="H140" s="107"/>
      <c r="I140" s="34"/>
      <c r="J140" s="35">
        <f>2.7*6.2+3*3+3*1.2+2.95*3.4+0.4*2.55+5.4*0.8+1.85*2.3</f>
        <v>48.965000000000011</v>
      </c>
    </row>
    <row r="141" spans="1:14" s="35" customFormat="1" x14ac:dyDescent="0.35">
      <c r="A141" s="108">
        <v>1</v>
      </c>
      <c r="B141" s="108"/>
      <c r="C141" s="51" t="s">
        <v>252</v>
      </c>
      <c r="D141" s="53">
        <f>(57.995+3*1.25)*10.764</f>
        <v>664.62317999999993</v>
      </c>
      <c r="E141" s="51">
        <v>0</v>
      </c>
      <c r="F141" s="40">
        <f>D141*(($F$129)+1)+(IF(E141&lt;101,E141,IF(E141&lt;201,E141/2,IF(E141&lt;=301,E141/3,E141/4))))</f>
        <v>996.93476999999984</v>
      </c>
      <c r="G141" s="117" t="str">
        <f>A140</f>
        <v>7th Floor (Refuge Balcony At Midlanding of Stairecase)</v>
      </c>
      <c r="H141" s="110"/>
      <c r="I141" s="34"/>
    </row>
    <row r="142" spans="1:14" s="35" customFormat="1" ht="15.75" customHeight="1" x14ac:dyDescent="0.35">
      <c r="A142" s="108">
        <f t="shared" ref="A142" si="12">A141+1</f>
        <v>2</v>
      </c>
      <c r="B142" s="108"/>
      <c r="C142" s="51" t="s">
        <v>252</v>
      </c>
      <c r="D142" s="53">
        <f>(57.995+3*1.25)*10.764</f>
        <v>664.62317999999993</v>
      </c>
      <c r="E142" s="51">
        <v>0</v>
      </c>
      <c r="F142" s="40">
        <f>D142*(($F$129)+1)+(IF(E142&lt;101,E142,IF(E142&lt;201,E142/2,IF(E142&lt;=301,E142/3,E142/4))))</f>
        <v>996.93476999999984</v>
      </c>
      <c r="G142" s="118"/>
      <c r="H142" s="112"/>
      <c r="I142" s="34"/>
    </row>
    <row r="143" spans="1:14" s="35" customFormat="1" ht="15.75" customHeight="1" x14ac:dyDescent="0.35">
      <c r="A143" s="108">
        <v>3</v>
      </c>
      <c r="B143" s="108"/>
      <c r="C143" s="51" t="s">
        <v>252</v>
      </c>
      <c r="D143" s="53">
        <f>(64.5+3*1.2)*10.764</f>
        <v>733.02839999999992</v>
      </c>
      <c r="E143" s="40">
        <f>(9*2.7+3*0.45+2.95*3.4+5.2*0.9+1.9*2.5)*10.764</f>
        <v>485.56404000000003</v>
      </c>
      <c r="F143" s="40">
        <f>D143*(($F$129)+1)+(IF(E143&lt;101,E143,IF(E143&lt;201,E143/2,IF(E143&lt;=301,E143/3,E143/4))))</f>
        <v>1220.9336099999998</v>
      </c>
      <c r="G143" s="118"/>
      <c r="H143" s="112"/>
      <c r="I143" s="34"/>
    </row>
    <row r="144" spans="1:14" s="35" customFormat="1" ht="15.75" customHeight="1" x14ac:dyDescent="0.35">
      <c r="A144" s="108">
        <v>4</v>
      </c>
      <c r="B144" s="108"/>
      <c r="C144" s="51" t="s">
        <v>252</v>
      </c>
      <c r="D144" s="53">
        <f>(64.5+3*1.2)*10.764</f>
        <v>733.02839999999992</v>
      </c>
      <c r="E144" s="63">
        <f>(9*2.7+3*0.45+2.95*3.4+5.2*0.9+1.9*2.5)*10.764</f>
        <v>485.56404000000003</v>
      </c>
      <c r="F144" s="40">
        <f>D144*(($F$129)+1)+(IF(E144&lt;101,E144,IF(E144&lt;201,E144/2,IF(E144&lt;=301,E144/3,E144/4))))</f>
        <v>1220.9336099999998</v>
      </c>
      <c r="G144" s="119"/>
      <c r="H144" s="120"/>
      <c r="I144" s="34"/>
    </row>
    <row r="145" spans="1:12" s="35" customFormat="1" ht="15.75" customHeight="1" x14ac:dyDescent="0.35">
      <c r="A145" s="105" t="s">
        <v>282</v>
      </c>
      <c r="B145" s="106"/>
      <c r="C145" s="106"/>
      <c r="D145" s="106"/>
      <c r="E145" s="106"/>
      <c r="F145" s="106"/>
      <c r="G145" s="106"/>
      <c r="H145" s="107"/>
      <c r="I145" s="34"/>
    </row>
    <row r="146" spans="1:12" s="61" customFormat="1" x14ac:dyDescent="0.35">
      <c r="A146" s="108">
        <v>1</v>
      </c>
      <c r="B146" s="108"/>
      <c r="C146" s="51" t="s">
        <v>252</v>
      </c>
      <c r="D146" s="53">
        <f>(57.995+3*1.25)*10.764</f>
        <v>664.62317999999993</v>
      </c>
      <c r="E146" s="51">
        <v>0</v>
      </c>
      <c r="F146" s="40">
        <f>D146*(($F$129)+1)+(IF(E146&lt;101,E146,IF(E146&lt;201,E146/2,IF(E146&lt;=301,E146/3,E146/4))))</f>
        <v>996.93476999999984</v>
      </c>
      <c r="G146" s="117" t="str">
        <f>A145</f>
        <v>8th to 11th &amp; 13th Floor</v>
      </c>
      <c r="H146" s="110"/>
      <c r="I146" s="34"/>
    </row>
    <row r="147" spans="1:12" s="61" customFormat="1" ht="15.75" customHeight="1" x14ac:dyDescent="0.35">
      <c r="A147" s="108">
        <f t="shared" ref="A147" si="13">A146+1</f>
        <v>2</v>
      </c>
      <c r="B147" s="108"/>
      <c r="C147" s="51" t="s">
        <v>252</v>
      </c>
      <c r="D147" s="53">
        <f>(57.995+3*1.25)*10.764</f>
        <v>664.62317999999993</v>
      </c>
      <c r="E147" s="51">
        <v>0</v>
      </c>
      <c r="F147" s="40">
        <f>D147*(($F$129)+1)+(IF(E147&lt;101,E147,IF(E147&lt;201,E147/2,IF(E147&lt;=301,E147/3,E147/4))))</f>
        <v>996.93476999999984</v>
      </c>
      <c r="G147" s="118"/>
      <c r="H147" s="112"/>
      <c r="I147" s="34"/>
    </row>
    <row r="148" spans="1:12" s="61" customFormat="1" ht="15.75" customHeight="1" x14ac:dyDescent="0.35">
      <c r="A148" s="108">
        <v>3</v>
      </c>
      <c r="B148" s="108"/>
      <c r="C148" s="51" t="s">
        <v>252</v>
      </c>
      <c r="D148" s="53">
        <f>(64.5+3*1.2)*10.764</f>
        <v>733.02839999999992</v>
      </c>
      <c r="E148" s="40">
        <v>0</v>
      </c>
      <c r="F148" s="40">
        <f>D148*(($F$129)+1)+(IF(E148&lt;101,E148,IF(E148&lt;201,E148/2,IF(E148&lt;=301,E148/3,E148/4))))</f>
        <v>1099.5425999999998</v>
      </c>
      <c r="G148" s="118"/>
      <c r="H148" s="112"/>
      <c r="I148" s="34"/>
    </row>
    <row r="149" spans="1:12" s="61" customFormat="1" ht="15.75" customHeight="1" x14ac:dyDescent="0.35">
      <c r="A149" s="108">
        <v>4</v>
      </c>
      <c r="B149" s="108"/>
      <c r="C149" s="51" t="s">
        <v>252</v>
      </c>
      <c r="D149" s="53">
        <f>(64.5+3*1.2)*10.764</f>
        <v>733.02839999999992</v>
      </c>
      <c r="E149" s="51">
        <v>0</v>
      </c>
      <c r="F149" s="40">
        <f>D149*(($F$129)+1)+(IF(E149&lt;101,E149,IF(E149&lt;201,E149/2,IF(E149&lt;=301,E149/3,E149/4))))</f>
        <v>1099.5425999999998</v>
      </c>
      <c r="G149" s="119"/>
      <c r="H149" s="120"/>
      <c r="I149" s="34"/>
    </row>
    <row r="150" spans="1:12" s="61" customFormat="1" ht="15.75" customHeight="1" x14ac:dyDescent="0.35">
      <c r="A150" s="105" t="s">
        <v>283</v>
      </c>
      <c r="B150" s="106"/>
      <c r="C150" s="106"/>
      <c r="D150" s="106"/>
      <c r="E150" s="106"/>
      <c r="F150" s="106"/>
      <c r="G150" s="106"/>
      <c r="H150" s="107"/>
      <c r="I150" s="34"/>
    </row>
    <row r="151" spans="1:12" s="52" customFormat="1" x14ac:dyDescent="0.35">
      <c r="A151" s="108">
        <v>1</v>
      </c>
      <c r="B151" s="108"/>
      <c r="C151" s="62" t="s">
        <v>252</v>
      </c>
      <c r="D151" s="53">
        <f>(57.995+3*1.25)*10.764</f>
        <v>664.62317999999993</v>
      </c>
      <c r="E151" s="62">
        <v>0</v>
      </c>
      <c r="F151" s="62">
        <f>D151*(($F$129)+1)+(IF(E151&lt;101,E151,IF(E151&lt;201,E151/2,IF(E151&lt;=301,E151/3,E151/4))))</f>
        <v>996.93476999999984</v>
      </c>
      <c r="G151" s="117" t="str">
        <f>A150</f>
        <v>12th Floor (Refuge Balcony At Midlanding of Stairecase)</v>
      </c>
      <c r="H151" s="110"/>
      <c r="I151" s="34"/>
      <c r="L151" s="52">
        <f>57.358+7.142</f>
        <v>64.5</v>
      </c>
    </row>
    <row r="152" spans="1:12" s="52" customFormat="1" ht="15.75" customHeight="1" x14ac:dyDescent="0.35">
      <c r="A152" s="108">
        <f t="shared" ref="A152" si="14">A151+1</f>
        <v>2</v>
      </c>
      <c r="B152" s="108"/>
      <c r="C152" s="62" t="s">
        <v>252</v>
      </c>
      <c r="D152" s="53">
        <f>(57.995+3*1.25)*10.764</f>
        <v>664.62317999999993</v>
      </c>
      <c r="E152" s="62">
        <v>0</v>
      </c>
      <c r="F152" s="62">
        <f>D152*(($F$129)+1)+(IF(E152&lt;101,E152,IF(E152&lt;201,E152/2,IF(E152&lt;=301,E152/3,E152/4))))</f>
        <v>996.93476999999984</v>
      </c>
      <c r="G152" s="118"/>
      <c r="H152" s="112"/>
      <c r="I152" s="34"/>
    </row>
    <row r="153" spans="1:12" s="52" customFormat="1" ht="15.75" customHeight="1" x14ac:dyDescent="0.35">
      <c r="A153" s="108">
        <v>3</v>
      </c>
      <c r="B153" s="108"/>
      <c r="C153" s="62" t="s">
        <v>252</v>
      </c>
      <c r="D153" s="53">
        <f>(64.5+3*1.2)*10.764</f>
        <v>733.02839999999992</v>
      </c>
      <c r="E153" s="62">
        <v>0</v>
      </c>
      <c r="F153" s="62">
        <f>D153*(($F$129)+1)+(IF(E153&lt;101,E153,IF(E153&lt;201,E153/2,IF(E153&lt;=301,E153/3,E153/4))))</f>
        <v>1099.5425999999998</v>
      </c>
      <c r="G153" s="118"/>
      <c r="H153" s="112"/>
      <c r="I153" s="34"/>
    </row>
    <row r="154" spans="1:12" s="52" customFormat="1" ht="15.75" customHeight="1" x14ac:dyDescent="0.35">
      <c r="A154" s="108">
        <v>4</v>
      </c>
      <c r="B154" s="108"/>
      <c r="C154" s="62" t="s">
        <v>252</v>
      </c>
      <c r="D154" s="53">
        <f>(64.5+3*1.2)*10.764</f>
        <v>733.02839999999992</v>
      </c>
      <c r="E154" s="62">
        <v>0</v>
      </c>
      <c r="F154" s="62">
        <f>D154*(($F$129)+1)+(IF(E154&lt;101,E154,IF(E154&lt;201,E154/2,IF(E154&lt;=301,E154/3,E154/4))))</f>
        <v>1099.5425999999998</v>
      </c>
      <c r="G154" s="119"/>
      <c r="H154" s="120"/>
      <c r="I154" s="34"/>
    </row>
    <row r="155" spans="1:12" s="52" customFormat="1" ht="15.75" customHeight="1" x14ac:dyDescent="0.35">
      <c r="A155" s="105" t="s">
        <v>254</v>
      </c>
      <c r="B155" s="106"/>
      <c r="C155" s="106"/>
      <c r="D155" s="106"/>
      <c r="E155" s="106"/>
      <c r="F155" s="106"/>
      <c r="G155" s="106"/>
      <c r="H155" s="107"/>
      <c r="I155" s="34"/>
    </row>
    <row r="156" spans="1:12" s="52" customFormat="1" x14ac:dyDescent="0.35">
      <c r="A156" s="108">
        <v>1</v>
      </c>
      <c r="B156" s="108"/>
      <c r="C156" s="51" t="s">
        <v>252</v>
      </c>
      <c r="D156" s="53">
        <f>(57.995+3*1.25)*10.764</f>
        <v>664.62317999999993</v>
      </c>
      <c r="E156" s="51">
        <v>0</v>
      </c>
      <c r="F156" s="51">
        <f>D156*(($F$129)+1)+(IF(E156&lt;101,E156,IF(E156&lt;201,E156/2,IF(E156&lt;=301,E156/3,E156/4))))</f>
        <v>996.93476999999984</v>
      </c>
      <c r="G156" s="117" t="str">
        <f>A155</f>
        <v>14th Floor</v>
      </c>
      <c r="H156" s="110"/>
      <c r="I156" s="34"/>
    </row>
    <row r="157" spans="1:12" s="52" customFormat="1" ht="15.75" customHeight="1" x14ac:dyDescent="0.35">
      <c r="A157" s="108">
        <f t="shared" ref="A157" si="15">A156+1</f>
        <v>2</v>
      </c>
      <c r="B157" s="108"/>
      <c r="C157" s="51" t="s">
        <v>252</v>
      </c>
      <c r="D157" s="53">
        <f>(57.995+3*1.25)*10.764</f>
        <v>664.62317999999993</v>
      </c>
      <c r="E157" s="51">
        <v>0</v>
      </c>
      <c r="F157" s="51">
        <f>D157*(($F$129)+1)+(IF(E157&lt;101,E157,IF(E157&lt;201,E157/2,IF(E157&lt;=301,E157/3,E157/4))))</f>
        <v>996.93476999999984</v>
      </c>
      <c r="G157" s="118"/>
      <c r="H157" s="112"/>
      <c r="I157" s="34"/>
    </row>
    <row r="158" spans="1:12" s="52" customFormat="1" ht="15.75" customHeight="1" x14ac:dyDescent="0.35">
      <c r="A158" s="108">
        <v>3</v>
      </c>
      <c r="B158" s="108"/>
      <c r="C158" s="51" t="s">
        <v>252</v>
      </c>
      <c r="D158" s="53">
        <f>(56.545+8.077+3*1.2)*10.764</f>
        <v>734.34160799999984</v>
      </c>
      <c r="E158" s="51">
        <v>0</v>
      </c>
      <c r="F158" s="51">
        <f>D158*(($F$129)+1)+(IF(E158&lt;101,E158,IF(E158&lt;201,E158/2,IF(E158&lt;=301,E158/3,E158/4))))</f>
        <v>1101.5124119999998</v>
      </c>
      <c r="G158" s="118"/>
      <c r="H158" s="112"/>
      <c r="I158" s="34"/>
    </row>
    <row r="159" spans="1:12" s="52" customFormat="1" ht="15.75" customHeight="1" x14ac:dyDescent="0.35">
      <c r="A159" s="108">
        <v>4</v>
      </c>
      <c r="B159" s="108"/>
      <c r="C159" s="51" t="s">
        <v>252</v>
      </c>
      <c r="D159" s="53">
        <f>(56.545+8.077+3*1.2)*10.764</f>
        <v>734.34160799999984</v>
      </c>
      <c r="E159" s="51">
        <v>0</v>
      </c>
      <c r="F159" s="51">
        <f>D159*(($F$129)+1)+(IF(E159&lt;101,E159,IF(E159&lt;201,E159/2,IF(E159&lt;=301,E159/3,E159/4))))</f>
        <v>1101.5124119999998</v>
      </c>
      <c r="G159" s="119"/>
      <c r="H159" s="120"/>
      <c r="I159" s="34"/>
    </row>
    <row r="160" spans="1:12" s="52" customFormat="1" ht="15.75" customHeight="1" x14ac:dyDescent="0.35">
      <c r="A160" s="105" t="s">
        <v>284</v>
      </c>
      <c r="B160" s="106"/>
      <c r="C160" s="106"/>
      <c r="D160" s="106"/>
      <c r="E160" s="106"/>
      <c r="F160" s="106"/>
      <c r="G160" s="106"/>
      <c r="H160" s="107"/>
      <c r="I160" s="34"/>
    </row>
    <row r="161" spans="1:10" s="61" customFormat="1" x14ac:dyDescent="0.35">
      <c r="A161" s="108">
        <v>1</v>
      </c>
      <c r="B161" s="108"/>
      <c r="C161" s="51" t="s">
        <v>252</v>
      </c>
      <c r="D161" s="53">
        <f>(57.995+3*1.25)*10.764</f>
        <v>664.62317999999993</v>
      </c>
      <c r="E161" s="51">
        <v>0</v>
      </c>
      <c r="F161" s="51">
        <f>D161*(($F$129)+1)+(IF(E161&lt;101,E161,IF(E161&lt;201,E161/2,IF(E161&lt;=301,E161/3,E161/4))))</f>
        <v>996.93476999999984</v>
      </c>
      <c r="G161" s="109" t="str">
        <f>A160</f>
        <v>15th Floor</v>
      </c>
      <c r="H161" s="110"/>
      <c r="I161" s="34"/>
    </row>
    <row r="162" spans="1:10" s="61" customFormat="1" ht="15.75" customHeight="1" x14ac:dyDescent="0.35">
      <c r="A162" s="108">
        <f t="shared" ref="A162" si="16">A161+1</f>
        <v>2</v>
      </c>
      <c r="B162" s="108"/>
      <c r="C162" s="62" t="s">
        <v>252</v>
      </c>
      <c r="D162" s="53">
        <f>(57.995+3*1.25)*10.764</f>
        <v>664.62317999999993</v>
      </c>
      <c r="E162" s="62">
        <v>0</v>
      </c>
      <c r="F162" s="62">
        <f t="shared" ref="F162:F164" si="17">D162*(($F$129)+1)+(IF(E162&lt;101,E162,IF(E162&lt;201,E162/2,IF(E162&lt;=301,E162/3,E162/4))))</f>
        <v>996.93476999999984</v>
      </c>
      <c r="G162" s="111"/>
      <c r="H162" s="112"/>
      <c r="I162" s="34"/>
    </row>
    <row r="163" spans="1:10" s="61" customFormat="1" ht="15.75" customHeight="1" x14ac:dyDescent="0.35">
      <c r="A163" s="108">
        <v>3</v>
      </c>
      <c r="B163" s="108"/>
      <c r="C163" s="62" t="s">
        <v>252</v>
      </c>
      <c r="D163" s="62">
        <f>(56.395+8.25+3*1.25)*10.764</f>
        <v>736.20378000000005</v>
      </c>
      <c r="E163" s="62">
        <v>0</v>
      </c>
      <c r="F163" s="62">
        <f t="shared" si="17"/>
        <v>1104.3056700000002</v>
      </c>
      <c r="G163" s="111"/>
      <c r="H163" s="112"/>
      <c r="I163" s="34"/>
    </row>
    <row r="164" spans="1:10" s="61" customFormat="1" ht="15.75" customHeight="1" x14ac:dyDescent="0.35">
      <c r="A164" s="108">
        <v>4</v>
      </c>
      <c r="B164" s="108"/>
      <c r="C164" s="62" t="s">
        <v>252</v>
      </c>
      <c r="D164" s="62">
        <f>(56.545+7.9+3*1.25)*10.764</f>
        <v>734.05097999999998</v>
      </c>
      <c r="E164" s="62">
        <v>0</v>
      </c>
      <c r="F164" s="62">
        <f t="shared" si="17"/>
        <v>1101.07647</v>
      </c>
      <c r="G164" s="136"/>
      <c r="H164" s="120"/>
      <c r="I164" s="34"/>
    </row>
    <row r="165" spans="1:10" s="61" customFormat="1" x14ac:dyDescent="0.35">
      <c r="A165" s="105" t="s">
        <v>285</v>
      </c>
      <c r="B165" s="106"/>
      <c r="C165" s="106"/>
      <c r="D165" s="106"/>
      <c r="E165" s="106"/>
      <c r="F165" s="106"/>
      <c r="G165" s="106"/>
      <c r="H165" s="107"/>
      <c r="I165" s="34"/>
    </row>
    <row r="166" spans="1:10" s="61" customFormat="1" ht="15.75" customHeight="1" x14ac:dyDescent="0.35">
      <c r="A166" s="108">
        <v>1</v>
      </c>
      <c r="B166" s="108"/>
      <c r="C166" s="62" t="s">
        <v>252</v>
      </c>
      <c r="D166" s="53">
        <f>(57.995+3*1.25)*10.764</f>
        <v>664.62317999999993</v>
      </c>
      <c r="E166" s="62">
        <v>0</v>
      </c>
      <c r="F166" s="62">
        <f>D166*(($F$129)+1)+(IF(E166&lt;101,E166,IF(E166&lt;201,E166/2,IF(E166&lt;=301,E166/3,E166/4))))</f>
        <v>996.93476999999984</v>
      </c>
      <c r="G166" s="109" t="str">
        <f>A165</f>
        <v>16th Floor</v>
      </c>
      <c r="H166" s="110"/>
      <c r="I166" s="34"/>
    </row>
    <row r="167" spans="1:10" s="61" customFormat="1" ht="15.75" customHeight="1" x14ac:dyDescent="0.35">
      <c r="A167" s="108">
        <f t="shared" ref="A167" si="18">A166+1</f>
        <v>2</v>
      </c>
      <c r="B167" s="108"/>
      <c r="C167" s="62" t="s">
        <v>252</v>
      </c>
      <c r="D167" s="53">
        <f>(57.995+3*1.25)*10.764</f>
        <v>664.62317999999993</v>
      </c>
      <c r="E167" s="62">
        <v>0</v>
      </c>
      <c r="F167" s="62">
        <f>D167*(($F$129)+1)+(IF(E167&lt;101,E167,IF(E167&lt;201,E167/2,IF(E167&lt;=301,E167/3,E167/4))))</f>
        <v>996.93476999999984</v>
      </c>
      <c r="G167" s="111"/>
      <c r="H167" s="112"/>
      <c r="I167" s="34"/>
    </row>
    <row r="168" spans="1:10" s="61" customFormat="1" ht="15.75" customHeight="1" x14ac:dyDescent="0.35">
      <c r="A168" s="113" t="s">
        <v>297</v>
      </c>
      <c r="B168" s="114"/>
      <c r="C168" s="62" t="s">
        <v>288</v>
      </c>
      <c r="D168" s="62">
        <f>(101.1)*10.764</f>
        <v>1088.2403999999999</v>
      </c>
      <c r="E168" s="63">
        <f>(3.2*1.8*2+12.4*2.2)*10.764</f>
        <v>417.64320000000004</v>
      </c>
      <c r="F168" s="62">
        <f>D168*(($F$129)+1)+(IF(E168&lt;101,E168,IF(E168&lt;201,E168/2,IF(E168&lt;=301,E168/3,E168/4))))</f>
        <v>1736.7714000000001</v>
      </c>
      <c r="G168" s="111"/>
      <c r="H168" s="112"/>
      <c r="I168" s="54">
        <f>3+2.9</f>
        <v>5.9</v>
      </c>
    </row>
    <row r="169" spans="1:10" s="61" customFormat="1" x14ac:dyDescent="0.35">
      <c r="A169" s="105" t="s">
        <v>286</v>
      </c>
      <c r="B169" s="106"/>
      <c r="C169" s="106"/>
      <c r="D169" s="106"/>
      <c r="E169" s="106"/>
      <c r="F169" s="106"/>
      <c r="G169" s="106"/>
      <c r="H169" s="107"/>
      <c r="I169" s="34"/>
    </row>
    <row r="170" spans="1:10" s="61" customFormat="1" ht="15.75" customHeight="1" x14ac:dyDescent="0.35">
      <c r="A170" s="108">
        <v>1</v>
      </c>
      <c r="B170" s="108"/>
      <c r="C170" s="62" t="s">
        <v>252</v>
      </c>
      <c r="D170" s="53">
        <f>(55.87+2.125+3*1.25)*10.764</f>
        <v>664.62317999999993</v>
      </c>
      <c r="E170" s="62">
        <v>0</v>
      </c>
      <c r="F170" s="62">
        <f>D170*(($F$129)+1)+(IF(E170&lt;101,E170,IF(E170&lt;201,E170/2,IF(E170&lt;=301,E170/3,E170/4))))</f>
        <v>996.93476999999984</v>
      </c>
      <c r="G170" s="109" t="str">
        <f>A169</f>
        <v>17th Floor</v>
      </c>
      <c r="H170" s="110"/>
      <c r="I170" s="34"/>
    </row>
    <row r="171" spans="1:10" s="61" customFormat="1" ht="15.75" customHeight="1" x14ac:dyDescent="0.35">
      <c r="A171" s="108">
        <f t="shared" ref="A171" si="19">A170+1</f>
        <v>2</v>
      </c>
      <c r="B171" s="108"/>
      <c r="C171" s="62" t="s">
        <v>252</v>
      </c>
      <c r="D171" s="53">
        <f>(55.87+2.125+3*1.25)*10.764</f>
        <v>664.62317999999993</v>
      </c>
      <c r="E171" s="62">
        <v>0</v>
      </c>
      <c r="F171" s="62">
        <f>D171*(($F$129)+1)+(IF(E171&lt;101,E171,IF(E171&lt;201,E171/2,IF(E171&lt;=301,E171/3,E171/4))))</f>
        <v>996.93476999999984</v>
      </c>
      <c r="G171" s="111"/>
      <c r="H171" s="112"/>
      <c r="I171" s="34"/>
    </row>
    <row r="172" spans="1:10" s="61" customFormat="1" ht="15.75" customHeight="1" x14ac:dyDescent="0.35">
      <c r="A172" s="113" t="s">
        <v>297</v>
      </c>
      <c r="B172" s="114"/>
      <c r="C172" s="62" t="s">
        <v>288</v>
      </c>
      <c r="D172" s="62">
        <f>(95.83+5.27)*10.764</f>
        <v>1088.2403999999999</v>
      </c>
      <c r="E172" s="62">
        <v>0</v>
      </c>
      <c r="F172" s="62">
        <f>D172*(($F$129)+1)+(IF(E172&lt;101,E172,IF(E172&lt;201,E172/2,IF(E172&lt;=301,E172/3,E172/4))))</f>
        <v>1632.3606</v>
      </c>
      <c r="G172" s="111"/>
      <c r="H172" s="112"/>
      <c r="I172" s="56">
        <f>2.9+3+6.2+3.1+3+85.368</f>
        <v>103.568</v>
      </c>
      <c r="J172" s="61">
        <f>85.368+15.725</f>
        <v>101.09299999999999</v>
      </c>
    </row>
    <row r="173" spans="1:10" s="33" customFormat="1" x14ac:dyDescent="0.35">
      <c r="A173" s="105" t="s">
        <v>287</v>
      </c>
      <c r="B173" s="106"/>
      <c r="C173" s="106"/>
      <c r="D173" s="106"/>
      <c r="E173" s="106"/>
      <c r="F173" s="106"/>
      <c r="G173" s="106"/>
      <c r="H173" s="107"/>
    </row>
    <row r="174" spans="1:10" s="33" customFormat="1" x14ac:dyDescent="0.35">
      <c r="A174" s="108">
        <v>1</v>
      </c>
      <c r="B174" s="108"/>
      <c r="C174" s="62" t="s">
        <v>252</v>
      </c>
      <c r="D174" s="53">
        <f>(57.87+2.125+3*1.25)*10.764</f>
        <v>686.15117999999995</v>
      </c>
      <c r="E174" s="62">
        <v>0</v>
      </c>
      <c r="F174" s="62">
        <f>D174*(($F$129)+1)+(IF(E174&lt;101,E174,IF(E174&lt;201,E174/2,IF(E174&lt;=301,E174/3,E174/4))))</f>
        <v>1029.22677</v>
      </c>
      <c r="G174" s="109" t="str">
        <f>A173</f>
        <v>18th Floor</v>
      </c>
      <c r="H174" s="110"/>
    </row>
    <row r="175" spans="1:10" s="33" customFormat="1" x14ac:dyDescent="0.35">
      <c r="A175" s="108">
        <f t="shared" ref="A175" si="20">A174+1</f>
        <v>2</v>
      </c>
      <c r="B175" s="108"/>
      <c r="C175" s="62" t="s">
        <v>252</v>
      </c>
      <c r="D175" s="53">
        <f>(57.87+2.125+3*1.25)*10.764</f>
        <v>686.15117999999995</v>
      </c>
      <c r="E175" s="62">
        <v>0</v>
      </c>
      <c r="F175" s="62">
        <f>D175*(($F$129)+1)+(IF(E175&lt;101,E175,IF(E175&lt;201,E175/2,IF(E175&lt;=301,E175/3,E175/4))))</f>
        <v>1029.22677</v>
      </c>
      <c r="G175" s="111"/>
      <c r="H175" s="112"/>
    </row>
    <row r="176" spans="1:10" s="33" customFormat="1" x14ac:dyDescent="0.35">
      <c r="A176" s="113" t="s">
        <v>297</v>
      </c>
      <c r="B176" s="114"/>
      <c r="C176" s="62" t="s">
        <v>288</v>
      </c>
      <c r="D176" s="53">
        <f>(85.368+15.725)*10.764</f>
        <v>1088.1650519999998</v>
      </c>
      <c r="E176" s="62">
        <v>0</v>
      </c>
      <c r="F176" s="62">
        <f>D176*(($F$129)+1)+(IF(E176&lt;101,E176,IF(E176&lt;201,E176/2,IF(E176&lt;=301,E176/3,E176/4))))</f>
        <v>1632.2475779999997</v>
      </c>
      <c r="G176" s="111"/>
      <c r="H176" s="112"/>
    </row>
    <row r="177" spans="1:15" s="33" customFormat="1" x14ac:dyDescent="0.35">
      <c r="A177" s="221" t="s">
        <v>67</v>
      </c>
      <c r="B177" s="221"/>
      <c r="C177" s="221"/>
      <c r="D177" s="221"/>
      <c r="E177" s="221"/>
      <c r="F177" s="221"/>
      <c r="G177" s="221"/>
      <c r="H177" s="221"/>
    </row>
    <row r="178" spans="1:15" s="33" customFormat="1" x14ac:dyDescent="0.35">
      <c r="A178" s="64">
        <v>1</v>
      </c>
      <c r="B178" s="132" t="s">
        <v>277</v>
      </c>
      <c r="C178" s="133"/>
      <c r="D178" s="133"/>
      <c r="E178" s="133"/>
      <c r="F178" s="133"/>
      <c r="G178" s="133"/>
      <c r="H178" s="134"/>
    </row>
    <row r="179" spans="1:15" s="33" customFormat="1" x14ac:dyDescent="0.35">
      <c r="A179" s="64">
        <f>A178+1</f>
        <v>2</v>
      </c>
      <c r="B179" s="132" t="str">
        <f>(IF(F128="Saleable area Loading :","We have considered Saleable area of Flats as per our Calculation.","We considered Saleable area of Flat as per Builder area Sheet."))</f>
        <v>We have considered Saleable area of Flats as per our Calculation.</v>
      </c>
      <c r="C179" s="133"/>
      <c r="D179" s="133"/>
      <c r="E179" s="133"/>
      <c r="F179" s="133"/>
      <c r="G179" s="133"/>
      <c r="H179" s="134"/>
    </row>
    <row r="180" spans="1:15" s="33" customFormat="1" x14ac:dyDescent="0.35">
      <c r="A180" s="64">
        <f t="shared" ref="A180:A186" si="21">A179+1</f>
        <v>3</v>
      </c>
      <c r="B180" s="132" t="str">
        <f>(IF(F110="Saleable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80" s="133"/>
      <c r="D180" s="133"/>
      <c r="E180" s="133"/>
      <c r="F180" s="133"/>
      <c r="G180" s="133"/>
      <c r="H180" s="134"/>
    </row>
    <row r="181" spans="1:15" s="33" customFormat="1" x14ac:dyDescent="0.35">
      <c r="A181" s="64">
        <f t="shared" si="21"/>
        <v>4</v>
      </c>
      <c r="B181" s="190" t="s">
        <v>123</v>
      </c>
      <c r="C181" s="191"/>
      <c r="D181" s="191"/>
      <c r="E181" s="191"/>
      <c r="F181" s="191"/>
      <c r="G181" s="191"/>
      <c r="H181" s="192"/>
    </row>
    <row r="182" spans="1:15" s="33" customFormat="1" x14ac:dyDescent="0.35">
      <c r="A182" s="64">
        <f t="shared" si="21"/>
        <v>5</v>
      </c>
      <c r="B182" s="132" t="s">
        <v>296</v>
      </c>
      <c r="C182" s="133"/>
      <c r="D182" s="133"/>
      <c r="E182" s="133"/>
      <c r="F182" s="133"/>
      <c r="G182" s="133"/>
      <c r="H182" s="134"/>
    </row>
    <row r="183" spans="1:15" s="33" customFormat="1" x14ac:dyDescent="0.35">
      <c r="A183" s="64">
        <f t="shared" si="21"/>
        <v>6</v>
      </c>
      <c r="B183" s="190" t="s">
        <v>151</v>
      </c>
      <c r="C183" s="191"/>
      <c r="D183" s="191"/>
      <c r="E183" s="191"/>
      <c r="F183" s="191"/>
      <c r="G183" s="191"/>
      <c r="H183" s="192"/>
    </row>
    <row r="184" spans="1:15" s="33" customFormat="1" x14ac:dyDescent="0.35">
      <c r="A184" s="64">
        <f t="shared" si="21"/>
        <v>7</v>
      </c>
      <c r="B184" s="190" t="s">
        <v>124</v>
      </c>
      <c r="C184" s="191"/>
      <c r="D184" s="191"/>
      <c r="E184" s="191"/>
      <c r="F184" s="191"/>
      <c r="G184" s="191"/>
      <c r="H184" s="192"/>
      <c r="I184" s="58" t="s">
        <v>266</v>
      </c>
    </row>
    <row r="185" spans="1:15" s="33" customFormat="1" ht="39" customHeight="1" x14ac:dyDescent="0.35">
      <c r="A185" s="64">
        <f t="shared" si="21"/>
        <v>8</v>
      </c>
      <c r="B185" s="185" t="s">
        <v>152</v>
      </c>
      <c r="C185" s="185"/>
      <c r="D185" s="185"/>
      <c r="E185" s="185"/>
      <c r="F185" s="185"/>
      <c r="G185" s="185"/>
      <c r="H185" s="185"/>
      <c r="I185" s="58"/>
    </row>
    <row r="186" spans="1:15" s="33" customFormat="1" x14ac:dyDescent="0.35">
      <c r="A186" s="64">
        <f t="shared" si="21"/>
        <v>9</v>
      </c>
      <c r="B186" s="185" t="s">
        <v>125</v>
      </c>
      <c r="C186" s="185"/>
      <c r="D186" s="185"/>
      <c r="E186" s="185"/>
      <c r="F186" s="185"/>
      <c r="G186" s="185"/>
      <c r="H186" s="185"/>
      <c r="I186" s="58"/>
    </row>
    <row r="187" spans="1:15" s="33" customFormat="1" ht="31.5" customHeight="1" x14ac:dyDescent="0.35">
      <c r="A187" s="64">
        <f>A186+1</f>
        <v>10</v>
      </c>
      <c r="B187" s="86" t="s">
        <v>270</v>
      </c>
      <c r="C187" s="86"/>
      <c r="D187" s="86"/>
      <c r="E187" s="86"/>
      <c r="F187" s="86"/>
      <c r="G187" s="86"/>
      <c r="H187" s="86"/>
      <c r="I187" s="58"/>
    </row>
    <row r="188" spans="1:15" s="33" customFormat="1" x14ac:dyDescent="0.35">
      <c r="A188" s="64">
        <v>11</v>
      </c>
      <c r="B188" s="86" t="s">
        <v>276</v>
      </c>
      <c r="C188" s="86"/>
      <c r="D188" s="86"/>
      <c r="E188" s="86"/>
      <c r="F188" s="86"/>
      <c r="G188" s="86"/>
      <c r="H188" s="86"/>
      <c r="I188" s="58"/>
    </row>
    <row r="189" spans="1:15" s="33" customFormat="1" x14ac:dyDescent="0.35">
      <c r="A189" s="64">
        <f t="shared" ref="A189:A194" si="22">A188+1</f>
        <v>12</v>
      </c>
      <c r="B189" s="86" t="s">
        <v>307</v>
      </c>
      <c r="C189" s="86"/>
      <c r="D189" s="86"/>
      <c r="E189" s="86"/>
      <c r="F189" s="86"/>
      <c r="G189" s="86"/>
      <c r="H189" s="86"/>
      <c r="I189" s="58"/>
    </row>
    <row r="190" spans="1:15" ht="32.25" customHeight="1" x14ac:dyDescent="0.35">
      <c r="A190" s="64">
        <f t="shared" si="22"/>
        <v>13</v>
      </c>
      <c r="B190" s="75" t="s">
        <v>298</v>
      </c>
      <c r="C190" s="75"/>
      <c r="D190" s="75"/>
      <c r="E190" s="75"/>
      <c r="F190" s="75"/>
      <c r="G190" s="75"/>
      <c r="H190" s="75"/>
      <c r="I190" s="89" t="s">
        <v>299</v>
      </c>
      <c r="J190" s="89"/>
      <c r="K190" s="89"/>
      <c r="L190" s="89"/>
      <c r="M190" s="89"/>
      <c r="N190" s="89"/>
      <c r="O190" s="89"/>
    </row>
    <row r="191" spans="1:15" ht="15.75" customHeight="1" x14ac:dyDescent="0.35">
      <c r="A191" s="69">
        <f t="shared" si="22"/>
        <v>14</v>
      </c>
      <c r="B191" s="75" t="s">
        <v>308</v>
      </c>
      <c r="C191" s="75"/>
      <c r="D191" s="75"/>
      <c r="E191" s="75"/>
      <c r="F191" s="75"/>
      <c r="G191" s="75"/>
      <c r="H191" s="75"/>
      <c r="I191" s="89" t="s">
        <v>316</v>
      </c>
      <c r="J191" s="89"/>
      <c r="K191" s="89"/>
      <c r="L191" s="89"/>
      <c r="M191" s="89"/>
      <c r="N191" s="89"/>
      <c r="O191" s="89"/>
    </row>
    <row r="192" spans="1:15" x14ac:dyDescent="0.35">
      <c r="A192" s="69">
        <f t="shared" si="22"/>
        <v>15</v>
      </c>
      <c r="B192" s="86" t="s">
        <v>315</v>
      </c>
      <c r="C192" s="86"/>
      <c r="D192" s="86"/>
      <c r="E192" s="86"/>
      <c r="F192" s="86"/>
      <c r="G192" s="86"/>
      <c r="H192" s="86"/>
    </row>
    <row r="193" spans="1:11" ht="17.25" customHeight="1" x14ac:dyDescent="0.35">
      <c r="A193" s="70">
        <f t="shared" si="22"/>
        <v>16</v>
      </c>
      <c r="B193" s="86" t="s">
        <v>317</v>
      </c>
      <c r="C193" s="86"/>
      <c r="D193" s="86"/>
      <c r="E193" s="86"/>
      <c r="F193" s="86"/>
      <c r="G193" s="86"/>
      <c r="H193" s="86"/>
      <c r="I193" s="73" t="s">
        <v>314</v>
      </c>
    </row>
    <row r="194" spans="1:11" ht="54.75" customHeight="1" x14ac:dyDescent="0.35">
      <c r="A194" s="70">
        <f t="shared" si="22"/>
        <v>17</v>
      </c>
      <c r="B194" s="75" t="s">
        <v>320</v>
      </c>
      <c r="C194" s="75"/>
      <c r="D194" s="75"/>
      <c r="E194" s="75"/>
      <c r="F194" s="75"/>
      <c r="G194" s="75"/>
      <c r="H194" s="75"/>
      <c r="I194" s="76" t="s">
        <v>319</v>
      </c>
      <c r="J194" s="77"/>
      <c r="K194" s="77"/>
    </row>
    <row r="195" spans="1:11" ht="17.25" customHeight="1" x14ac:dyDescent="0.35">
      <c r="A195" s="72">
        <f t="shared" ref="A195" si="23">A194+1</f>
        <v>18</v>
      </c>
      <c r="B195" s="86" t="s">
        <v>322</v>
      </c>
      <c r="C195" s="86"/>
      <c r="D195" s="86"/>
      <c r="E195" s="86"/>
      <c r="F195" s="86"/>
      <c r="G195" s="86"/>
      <c r="H195" s="86"/>
      <c r="I195" s="73" t="s">
        <v>314</v>
      </c>
    </row>
    <row r="196" spans="1:11" x14ac:dyDescent="0.35">
      <c r="A196" s="193" t="s">
        <v>60</v>
      </c>
      <c r="B196" s="193"/>
      <c r="C196" s="193"/>
      <c r="D196" s="193"/>
      <c r="E196" s="193"/>
      <c r="F196" s="193"/>
      <c r="G196" s="193"/>
      <c r="H196" s="193"/>
    </row>
    <row r="197" spans="1:11" x14ac:dyDescent="0.35">
      <c r="A197" s="145" t="s">
        <v>61</v>
      </c>
      <c r="B197" s="145"/>
      <c r="C197" s="145"/>
      <c r="D197" s="145"/>
      <c r="E197" s="145"/>
      <c r="F197" s="145"/>
      <c r="G197" s="145"/>
      <c r="H197" s="145"/>
    </row>
    <row r="198" spans="1:11" x14ac:dyDescent="0.35">
      <c r="A198" s="184" t="s">
        <v>62</v>
      </c>
      <c r="B198" s="184"/>
      <c r="C198" s="184"/>
      <c r="D198" s="184"/>
      <c r="E198" s="184"/>
      <c r="F198" s="184"/>
      <c r="G198" s="184"/>
      <c r="H198" s="184"/>
    </row>
    <row r="199" spans="1:11" x14ac:dyDescent="0.35">
      <c r="A199" s="145" t="s">
        <v>63</v>
      </c>
      <c r="B199" s="145"/>
      <c r="C199" s="145"/>
      <c r="D199" s="145"/>
      <c r="E199" s="145"/>
      <c r="F199" s="145"/>
      <c r="G199" s="145"/>
      <c r="H199" s="145"/>
    </row>
    <row r="200" spans="1:11" x14ac:dyDescent="0.35">
      <c r="A200" s="145" t="s">
        <v>64</v>
      </c>
      <c r="B200" s="145"/>
      <c r="C200" s="145"/>
      <c r="D200" s="145"/>
      <c r="E200" s="145"/>
      <c r="F200" s="145"/>
      <c r="G200" s="145"/>
      <c r="H200" s="145"/>
    </row>
    <row r="201" spans="1:11" x14ac:dyDescent="0.35">
      <c r="A201" s="145" t="s">
        <v>126</v>
      </c>
      <c r="B201" s="145"/>
      <c r="C201" s="145"/>
      <c r="D201" s="145"/>
      <c r="E201" s="145"/>
      <c r="F201" s="145"/>
      <c r="G201" s="145"/>
      <c r="H201" s="145"/>
    </row>
    <row r="202" spans="1:11" x14ac:dyDescent="0.35">
      <c r="A202" s="168" t="s">
        <v>127</v>
      </c>
      <c r="B202" s="168"/>
      <c r="C202" s="168"/>
      <c r="D202" s="168"/>
      <c r="E202" s="168"/>
      <c r="F202" s="168"/>
      <c r="G202" s="168"/>
      <c r="H202" s="168"/>
    </row>
    <row r="203" spans="1:11" x14ac:dyDescent="0.35">
      <c r="A203" s="188" t="s">
        <v>76</v>
      </c>
      <c r="B203" s="188"/>
      <c r="C203" s="188" t="s">
        <v>274</v>
      </c>
      <c r="D203" s="188"/>
      <c r="E203" s="188" t="s">
        <v>106</v>
      </c>
      <c r="F203" s="188"/>
      <c r="G203" s="188" t="s">
        <v>321</v>
      </c>
      <c r="H203" s="188"/>
    </row>
    <row r="204" spans="1:11" x14ac:dyDescent="0.35">
      <c r="A204" s="187" t="s">
        <v>78</v>
      </c>
      <c r="B204" s="187"/>
      <c r="C204" s="187"/>
      <c r="D204" s="187"/>
      <c r="E204" s="187"/>
      <c r="F204" s="187"/>
      <c r="G204" s="187"/>
      <c r="H204" s="187"/>
    </row>
    <row r="205" spans="1:11" x14ac:dyDescent="0.35">
      <c r="A205" s="187"/>
      <c r="B205" s="187"/>
      <c r="C205" s="187"/>
      <c r="D205" s="187"/>
      <c r="E205" s="187"/>
      <c r="F205" s="187"/>
      <c r="G205" s="187"/>
      <c r="H205" s="187"/>
    </row>
    <row r="206" spans="1:11" x14ac:dyDescent="0.35">
      <c r="A206" s="187"/>
      <c r="B206" s="187"/>
      <c r="C206" s="187"/>
      <c r="D206" s="187"/>
      <c r="E206" s="187"/>
      <c r="F206" s="187"/>
      <c r="G206" s="187"/>
      <c r="H206" s="187"/>
    </row>
    <row r="207" spans="1:11" ht="15" customHeight="1" x14ac:dyDescent="0.35">
      <c r="A207" s="187"/>
      <c r="B207" s="187"/>
      <c r="C207" s="187"/>
      <c r="D207" s="187"/>
      <c r="E207" s="187"/>
      <c r="F207" s="187"/>
      <c r="G207" s="187"/>
      <c r="H207" s="187"/>
    </row>
    <row r="208" spans="1:11" x14ac:dyDescent="0.35">
      <c r="A208" s="36" t="s">
        <v>65</v>
      </c>
      <c r="B208" s="37"/>
      <c r="C208" s="37"/>
      <c r="D208" s="36" t="str">
        <f>E8</f>
        <v>The Domus Prive</v>
      </c>
      <c r="F208" s="37"/>
      <c r="G208" s="37"/>
      <c r="H208" s="37"/>
    </row>
    <row r="209" spans="1:8" x14ac:dyDescent="0.35">
      <c r="A209" s="37"/>
      <c r="B209" s="37"/>
      <c r="C209" s="37"/>
      <c r="D209" s="37"/>
      <c r="E209" s="37"/>
      <c r="F209" s="37"/>
      <c r="G209" s="37"/>
      <c r="H209" s="37"/>
    </row>
    <row r="210" spans="1:8" x14ac:dyDescent="0.35">
      <c r="A210" s="37"/>
      <c r="B210" s="37"/>
      <c r="C210" s="37"/>
      <c r="D210" s="37"/>
      <c r="E210" s="37"/>
      <c r="F210" s="37"/>
      <c r="G210" s="37"/>
      <c r="H210" s="37"/>
    </row>
    <row r="251" spans="1:1" x14ac:dyDescent="0.35">
      <c r="A251" s="39" t="s">
        <v>162</v>
      </c>
    </row>
    <row r="294" spans="1:1" x14ac:dyDescent="0.35">
      <c r="A294" s="39" t="s">
        <v>265</v>
      </c>
    </row>
    <row r="337" spans="1:1" x14ac:dyDescent="0.35">
      <c r="A337" s="39" t="s">
        <v>66</v>
      </c>
    </row>
  </sheetData>
  <mergeCells count="382">
    <mergeCell ref="B195:H195"/>
    <mergeCell ref="I190:O190"/>
    <mergeCell ref="C52:H52"/>
    <mergeCell ref="A89:E89"/>
    <mergeCell ref="A39:B39"/>
    <mergeCell ref="C39:H39"/>
    <mergeCell ref="B185:H185"/>
    <mergeCell ref="A48:B48"/>
    <mergeCell ref="C48:H48"/>
    <mergeCell ref="B183:H183"/>
    <mergeCell ref="F86:H86"/>
    <mergeCell ref="A86:E86"/>
    <mergeCell ref="D110:D111"/>
    <mergeCell ref="A88:E88"/>
    <mergeCell ref="A87:E87"/>
    <mergeCell ref="A84:E84"/>
    <mergeCell ref="F88:H88"/>
    <mergeCell ref="A95:E95"/>
    <mergeCell ref="A81:B81"/>
    <mergeCell ref="C105:D105"/>
    <mergeCell ref="E105:F105"/>
    <mergeCell ref="G105:H105"/>
    <mergeCell ref="F91:H91"/>
    <mergeCell ref="A85:E85"/>
    <mergeCell ref="C100:D100"/>
    <mergeCell ref="E100:F100"/>
    <mergeCell ref="B110:B111"/>
    <mergeCell ref="A110:A111"/>
    <mergeCell ref="C110:C111"/>
    <mergeCell ref="L110:M110"/>
    <mergeCell ref="L109:M109"/>
    <mergeCell ref="B181:H181"/>
    <mergeCell ref="A177:H177"/>
    <mergeCell ref="A149:B149"/>
    <mergeCell ref="A145:H145"/>
    <mergeCell ref="A155:H155"/>
    <mergeCell ref="A156:B156"/>
    <mergeCell ref="A157:B157"/>
    <mergeCell ref="A158:B158"/>
    <mergeCell ref="A159:B159"/>
    <mergeCell ref="A140:H140"/>
    <mergeCell ref="A138:B138"/>
    <mergeCell ref="A147:B147"/>
    <mergeCell ref="A137:B137"/>
    <mergeCell ref="A148:B148"/>
    <mergeCell ref="G136:H139"/>
    <mergeCell ref="A131:B131"/>
    <mergeCell ref="A37:H37"/>
    <mergeCell ref="A36:B36"/>
    <mergeCell ref="C36:E36"/>
    <mergeCell ref="A41:D41"/>
    <mergeCell ref="E41:H41"/>
    <mergeCell ref="A40:H40"/>
    <mergeCell ref="A63:C63"/>
    <mergeCell ref="A64:C64"/>
    <mergeCell ref="D63:H63"/>
    <mergeCell ref="D64:H64"/>
    <mergeCell ref="A43:D43"/>
    <mergeCell ref="E43:H43"/>
    <mergeCell ref="E44:H44"/>
    <mergeCell ref="E45:H45"/>
    <mergeCell ref="E46:H46"/>
    <mergeCell ref="A44:D44"/>
    <mergeCell ref="F36:H36"/>
    <mergeCell ref="A38:B38"/>
    <mergeCell ref="C38:H38"/>
    <mergeCell ref="A45:D45"/>
    <mergeCell ref="C50:E50"/>
    <mergeCell ref="A58:H58"/>
    <mergeCell ref="A59:C59"/>
    <mergeCell ref="A60:C60"/>
    <mergeCell ref="E26:H26"/>
    <mergeCell ref="A28:D28"/>
    <mergeCell ref="E28:H28"/>
    <mergeCell ref="A25:D25"/>
    <mergeCell ref="E25:H25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C34:E34"/>
    <mergeCell ref="A16:B16"/>
    <mergeCell ref="A13:D13"/>
    <mergeCell ref="E13:H13"/>
    <mergeCell ref="A14:D14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10:D10"/>
    <mergeCell ref="E10:H10"/>
    <mergeCell ref="A22:D23"/>
    <mergeCell ref="E22:H23"/>
    <mergeCell ref="E14:H14"/>
    <mergeCell ref="A46:D46"/>
    <mergeCell ref="A47:H47"/>
    <mergeCell ref="D61:H61"/>
    <mergeCell ref="A61:C61"/>
    <mergeCell ref="G50:H50"/>
    <mergeCell ref="G57:H57"/>
    <mergeCell ref="F34:H34"/>
    <mergeCell ref="E42:H42"/>
    <mergeCell ref="A42:D42"/>
    <mergeCell ref="F33:H33"/>
    <mergeCell ref="A15:B15"/>
    <mergeCell ref="C15:H15"/>
    <mergeCell ref="C16:H16"/>
    <mergeCell ref="A17:B17"/>
    <mergeCell ref="C17:H17"/>
    <mergeCell ref="A12:D12"/>
    <mergeCell ref="E12:H12"/>
    <mergeCell ref="A11:D11"/>
    <mergeCell ref="E11:H11"/>
    <mergeCell ref="A69:C69"/>
    <mergeCell ref="D69:H69"/>
    <mergeCell ref="D68:H68"/>
    <mergeCell ref="A74:B74"/>
    <mergeCell ref="G73:H73"/>
    <mergeCell ref="D67:H67"/>
    <mergeCell ref="A68:C68"/>
    <mergeCell ref="A67:C67"/>
    <mergeCell ref="A73:B73"/>
    <mergeCell ref="E74:F83"/>
    <mergeCell ref="G74:H83"/>
    <mergeCell ref="A82:B82"/>
    <mergeCell ref="A80:B80"/>
    <mergeCell ref="A76:B76"/>
    <mergeCell ref="A79:B79"/>
    <mergeCell ref="A72:B72"/>
    <mergeCell ref="A70:B70"/>
    <mergeCell ref="A77:B77"/>
    <mergeCell ref="E73:F73"/>
    <mergeCell ref="A83:B83"/>
    <mergeCell ref="A204:H207"/>
    <mergeCell ref="A203:B203"/>
    <mergeCell ref="E203:F203"/>
    <mergeCell ref="C203:D203"/>
    <mergeCell ref="G203:H203"/>
    <mergeCell ref="A98:H98"/>
    <mergeCell ref="A135:H135"/>
    <mergeCell ref="A105:B105"/>
    <mergeCell ref="A143:B143"/>
    <mergeCell ref="A100:B100"/>
    <mergeCell ref="A199:H199"/>
    <mergeCell ref="A103:H103"/>
    <mergeCell ref="A202:H202"/>
    <mergeCell ref="A200:H200"/>
    <mergeCell ref="B184:H184"/>
    <mergeCell ref="B180:H180"/>
    <mergeCell ref="A108:H108"/>
    <mergeCell ref="B178:H178"/>
    <mergeCell ref="B179:H179"/>
    <mergeCell ref="A128:A129"/>
    <mergeCell ref="A121:B121"/>
    <mergeCell ref="A196:H196"/>
    <mergeCell ref="G104:H104"/>
    <mergeCell ref="A146:B146"/>
    <mergeCell ref="A201:H201"/>
    <mergeCell ref="A198:H198"/>
    <mergeCell ref="A136:B136"/>
    <mergeCell ref="D128:D129"/>
    <mergeCell ref="E128:E129"/>
    <mergeCell ref="G128:H129"/>
    <mergeCell ref="A197:H197"/>
    <mergeCell ref="B128:B129"/>
    <mergeCell ref="A125:B125"/>
    <mergeCell ref="B186:H186"/>
    <mergeCell ref="A164:B164"/>
    <mergeCell ref="A163:B163"/>
    <mergeCell ref="A162:B162"/>
    <mergeCell ref="G161:H164"/>
    <mergeCell ref="A160:H160"/>
    <mergeCell ref="B188:H188"/>
    <mergeCell ref="A161:B161"/>
    <mergeCell ref="G156:H159"/>
    <mergeCell ref="B187:H187"/>
    <mergeCell ref="A130:H130"/>
    <mergeCell ref="A144:B144"/>
    <mergeCell ref="A141:B141"/>
    <mergeCell ref="B192:H192"/>
    <mergeCell ref="B191:H191"/>
    <mergeCell ref="I2:M2"/>
    <mergeCell ref="I14:P14"/>
    <mergeCell ref="F95:H95"/>
    <mergeCell ref="F93:H93"/>
    <mergeCell ref="A142:B142"/>
    <mergeCell ref="A109:H109"/>
    <mergeCell ref="G99:H99"/>
    <mergeCell ref="A94:E94"/>
    <mergeCell ref="A114:B114"/>
    <mergeCell ref="A57:B57"/>
    <mergeCell ref="C57:E57"/>
    <mergeCell ref="D59:H59"/>
    <mergeCell ref="F94:H94"/>
    <mergeCell ref="E99:F99"/>
    <mergeCell ref="A99:B99"/>
    <mergeCell ref="C104:D104"/>
    <mergeCell ref="A90:E90"/>
    <mergeCell ref="A120:H120"/>
    <mergeCell ref="E104:F104"/>
    <mergeCell ref="A139:B139"/>
    <mergeCell ref="A122:B122"/>
    <mergeCell ref="L118:M118"/>
    <mergeCell ref="A123:B123"/>
    <mergeCell ref="L119:M119"/>
    <mergeCell ref="A49:B49"/>
    <mergeCell ref="C49:E49"/>
    <mergeCell ref="G49:H49"/>
    <mergeCell ref="G51:H51"/>
    <mergeCell ref="A50:B50"/>
    <mergeCell ref="A117:B117"/>
    <mergeCell ref="L113:M113"/>
    <mergeCell ref="A118:B118"/>
    <mergeCell ref="L114:M114"/>
    <mergeCell ref="D60:H60"/>
    <mergeCell ref="A52:B52"/>
    <mergeCell ref="C51:E51"/>
    <mergeCell ref="A62:C62"/>
    <mergeCell ref="D62:H62"/>
    <mergeCell ref="A104:B104"/>
    <mergeCell ref="G107:H107"/>
    <mergeCell ref="C70:H70"/>
    <mergeCell ref="A78:B78"/>
    <mergeCell ref="A65:C65"/>
    <mergeCell ref="D65:H65"/>
    <mergeCell ref="C72:H72"/>
    <mergeCell ref="A75:B75"/>
    <mergeCell ref="A66:C66"/>
    <mergeCell ref="D66:H66"/>
    <mergeCell ref="F84:H84"/>
    <mergeCell ref="F89:H89"/>
    <mergeCell ref="A126:B126"/>
    <mergeCell ref="G121:H126"/>
    <mergeCell ref="C121:F121"/>
    <mergeCell ref="A92:E92"/>
    <mergeCell ref="A96:E96"/>
    <mergeCell ref="F96:H96"/>
    <mergeCell ref="A97:E97"/>
    <mergeCell ref="F97:H97"/>
    <mergeCell ref="F85:H85"/>
    <mergeCell ref="G100:H100"/>
    <mergeCell ref="A113:B113"/>
    <mergeCell ref="F92:H92"/>
    <mergeCell ref="C99:D99"/>
    <mergeCell ref="F90:H90"/>
    <mergeCell ref="A91:E91"/>
    <mergeCell ref="A93:E93"/>
    <mergeCell ref="F87:H87"/>
    <mergeCell ref="E107:F107"/>
    <mergeCell ref="E110:E111"/>
    <mergeCell ref="G110:H111"/>
    <mergeCell ref="A107:B107"/>
    <mergeCell ref="C107:D107"/>
    <mergeCell ref="L111:M111"/>
    <mergeCell ref="G146:H149"/>
    <mergeCell ref="G141:H144"/>
    <mergeCell ref="A133:B133"/>
    <mergeCell ref="A134:B134"/>
    <mergeCell ref="G131:H134"/>
    <mergeCell ref="C133:F134"/>
    <mergeCell ref="C138:F139"/>
    <mergeCell ref="A124:B124"/>
    <mergeCell ref="A116:B116"/>
    <mergeCell ref="A115:B115"/>
    <mergeCell ref="A132:B132"/>
    <mergeCell ref="L112:M112"/>
    <mergeCell ref="C128:C129"/>
    <mergeCell ref="A112:H112"/>
    <mergeCell ref="L131:M131"/>
    <mergeCell ref="A173:H173"/>
    <mergeCell ref="A174:B174"/>
    <mergeCell ref="G174:H176"/>
    <mergeCell ref="A175:B175"/>
    <mergeCell ref="A176:B176"/>
    <mergeCell ref="A165:H165"/>
    <mergeCell ref="A166:B166"/>
    <mergeCell ref="G166:H168"/>
    <mergeCell ref="A167:B167"/>
    <mergeCell ref="A168:B168"/>
    <mergeCell ref="I49:K49"/>
    <mergeCell ref="L49:M49"/>
    <mergeCell ref="A119:B119"/>
    <mergeCell ref="L115:M115"/>
    <mergeCell ref="G113:H119"/>
    <mergeCell ref="A150:H150"/>
    <mergeCell ref="A151:B151"/>
    <mergeCell ref="G151:H154"/>
    <mergeCell ref="A152:B152"/>
    <mergeCell ref="A153:B153"/>
    <mergeCell ref="A154:B154"/>
    <mergeCell ref="L129:M129"/>
    <mergeCell ref="L130:M130"/>
    <mergeCell ref="L135:M135"/>
    <mergeCell ref="I124:I125"/>
    <mergeCell ref="L134:M134"/>
    <mergeCell ref="L127:M127"/>
    <mergeCell ref="L128:M128"/>
    <mergeCell ref="L120:M120"/>
    <mergeCell ref="J124:P125"/>
    <mergeCell ref="L121:M121"/>
    <mergeCell ref="L122:M122"/>
    <mergeCell ref="L117:M117"/>
    <mergeCell ref="C122:F126"/>
    <mergeCell ref="C106:D106"/>
    <mergeCell ref="E106:F106"/>
    <mergeCell ref="G106:H106"/>
    <mergeCell ref="A169:H169"/>
    <mergeCell ref="A170:B170"/>
    <mergeCell ref="G170:H172"/>
    <mergeCell ref="A171:B171"/>
    <mergeCell ref="A172:B172"/>
    <mergeCell ref="B189:H189"/>
    <mergeCell ref="B182:H182"/>
    <mergeCell ref="A127:H127"/>
    <mergeCell ref="B194:H194"/>
    <mergeCell ref="I194:K194"/>
    <mergeCell ref="C53:E53"/>
    <mergeCell ref="G53:H53"/>
    <mergeCell ref="C54:H54"/>
    <mergeCell ref="A53:B54"/>
    <mergeCell ref="B193:H193"/>
    <mergeCell ref="I80:O83"/>
    <mergeCell ref="I191:O191"/>
    <mergeCell ref="C55:E55"/>
    <mergeCell ref="G55:H55"/>
    <mergeCell ref="A55:B56"/>
    <mergeCell ref="C56:E56"/>
    <mergeCell ref="G56:H56"/>
    <mergeCell ref="B190:H190"/>
    <mergeCell ref="A101:B101"/>
    <mergeCell ref="C101:D101"/>
    <mergeCell ref="E101:F101"/>
    <mergeCell ref="G101:H101"/>
    <mergeCell ref="C102:D102"/>
    <mergeCell ref="E102:F102"/>
    <mergeCell ref="G102:H102"/>
    <mergeCell ref="A102:B102"/>
    <mergeCell ref="A106:B106"/>
  </mergeCells>
  <dataValidations count="13">
    <dataValidation type="list" allowBlank="1" showInputMessage="1" showErrorMessage="1" sqref="E4:H4">
      <formula1>"Axis Goregaon,Axis Thane,Axis Badlapur,Axis Sanpada, PNB Thane"</formula1>
    </dataValidation>
    <dataValidation type="list" allowBlank="1" showInputMessage="1" showErrorMessage="1" sqref="A16:B16">
      <formula1>"CTS No,Survey No,Plot No,Gut No,FP No,"</formula1>
    </dataValidation>
    <dataValidation type="list" allowBlank="1" showInputMessage="1" showErrorMessage="1" sqref="G19:H19">
      <formula1>$S$12:$W$12</formula1>
    </dataValidation>
    <dataValidation type="list" allowBlank="1" showInputMessage="1" showErrorMessage="1" sqref="E110:E111">
      <formula1>"Attached Loft area,Attached Terrace area,Attached Mezzanine area"</formula1>
    </dataValidation>
    <dataValidation type="list" allowBlank="1" showInputMessage="1" showErrorMessage="1" sqref="F111 F129">
      <formula1>"45%,50%,55%,60%"</formula1>
    </dataValidation>
    <dataValidation type="list" allowBlank="1" showInputMessage="1" showErrorMessage="1" sqref="G203:H203">
      <formula1>"Gaurav Panchal,Kunal Kadam,Pranita Mhatre,Shruti Fule,Pooja Kawale,Mansee Mohite,Anjali Kamble, Hitakshi Mhatre, Sachin Sawant"</formula1>
    </dataValidation>
    <dataValidation type="list" allowBlank="1" showInputMessage="1" showErrorMessage="1" sqref="F84:H84">
      <formula1>"On Saleable Area,On Builtup Area,On Carpet Area,On Plot Area"</formula1>
    </dataValidation>
    <dataValidation type="list" allowBlank="1" showInputMessage="1" showErrorMessage="1" sqref="F96:H96">
      <formula1>"100000,150000,200000,250000,300000,350000,400000,500000,600000,700000,800000,900000,1000000,1200000,1400000,1500000"</formula1>
    </dataValidation>
    <dataValidation type="list" allowBlank="1" showInputMessage="1" showErrorMessage="1" sqref="F110 F128">
      <formula1>"Saleable area Loading :,Builder Saleable area"</formula1>
    </dataValidation>
    <dataValidation type="list" allowBlank="1" showInputMessage="1" showErrorMessage="1" sqref="B110:B111">
      <formula1>"Shop No. (Sale Plan),Sale / Rehab,Sale / Mhada"</formula1>
    </dataValidation>
    <dataValidation type="list" allowBlank="1" showInputMessage="1" showErrorMessage="1" sqref="B128:B129">
      <formula1>"Flat No. (Sale Plan),Sale / Rehab,Sale / Mhada"</formula1>
    </dataValidation>
    <dataValidation type="list" allowBlank="1" showInputMessage="1" showErrorMessage="1" sqref="C20:D20">
      <formula1>OFFSET($S$12,1,MATCH($G19,$S$12:$W$12,0)-1,15,1)</formula1>
    </dataValidation>
    <dataValidation type="list" allowBlank="1" showInputMessage="1" showErrorMessage="1" sqref="Y12">
      <formula1>$D$4:$H$4</formula1>
    </dataValidation>
  </dataValidations>
  <hyperlinks>
    <hyperlink ref="C39" r:id="rId1"/>
    <hyperlink ref="J124" r:id="rId2"/>
  </hyperlinks>
  <printOptions horizontalCentered="1"/>
  <pageMargins left="0.39370078740157483" right="0.39370078740157483" top="0.82677165354330717" bottom="0.78740157480314965" header="0.15748031496062992" footer="0.19685039370078741"/>
  <pageSetup scale="99" fitToHeight="0" orientation="portrait" r:id="rId3"/>
  <headerFooter>
    <oddHeader>&amp;C&amp;G</oddHeader>
    <oddFooter>&amp;L&amp;"Times New Roman,Bold"&amp;12Ref No: &amp;F&amp;C&amp;G&amp;R&amp;"Times New Roman,Bold"&amp;12&amp;P</oddFooter>
  </headerFooter>
  <rowBreaks count="8" manualBreakCount="8">
    <brk id="39" max="7" man="1"/>
    <brk id="69" max="7" man="1"/>
    <brk id="107" max="7" man="1"/>
    <brk id="176" max="7" man="1"/>
    <brk id="207" max="7" man="1"/>
    <brk id="250" max="7" man="1"/>
    <brk id="293" max="7" man="1"/>
    <brk id="336" max="7" man="1"/>
  </rowBreaks>
  <drawing r:id="rId4"/>
  <legacyDrawing r:id="rId5"/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226" t="s">
        <v>107</v>
      </c>
      <c r="C3" s="226"/>
      <c r="D3" s="226"/>
      <c r="E3" s="226"/>
      <c r="F3" s="226"/>
      <c r="G3" s="226"/>
      <c r="H3" s="226"/>
    </row>
    <row r="4" spans="1:9" x14ac:dyDescent="0.35">
      <c r="A4" s="2"/>
      <c r="B4" s="3" t="s">
        <v>108</v>
      </c>
      <c r="C4" s="3" t="s">
        <v>109</v>
      </c>
      <c r="D4" s="3" t="s">
        <v>68</v>
      </c>
      <c r="E4" s="3" t="s">
        <v>110</v>
      </c>
      <c r="F4" s="3" t="s">
        <v>116</v>
      </c>
      <c r="G4" s="3" t="s">
        <v>117</v>
      </c>
      <c r="H4" s="3" t="s">
        <v>111</v>
      </c>
    </row>
    <row r="5" spans="1:9" ht="15" customHeight="1" x14ac:dyDescent="0.35">
      <c r="A5" s="2"/>
      <c r="B5" s="5" t="s">
        <v>112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112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112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112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112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113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113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114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115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K30"/>
  <sheetViews>
    <sheetView topLeftCell="A16" zoomScale="130" zoomScaleNormal="130" workbookViewId="0">
      <selection activeCell="C30" sqref="C30"/>
    </sheetView>
  </sheetViews>
  <sheetFormatPr defaultRowHeight="14.5" x14ac:dyDescent="0.35"/>
  <cols>
    <col min="4" max="4" width="11" bestFit="1" customWidth="1"/>
    <col min="5" max="5" width="10.453125" bestFit="1" customWidth="1"/>
    <col min="8" max="8" width="10.54296875" bestFit="1" customWidth="1"/>
  </cols>
  <sheetData>
    <row r="3" spans="2:11" x14ac:dyDescent="0.35">
      <c r="J3">
        <v>1</v>
      </c>
      <c r="K3">
        <v>2</v>
      </c>
    </row>
    <row r="4" spans="2:11" x14ac:dyDescent="0.35">
      <c r="B4" s="48"/>
      <c r="C4" s="48" t="s">
        <v>12</v>
      </c>
      <c r="D4" s="49" t="s">
        <v>176</v>
      </c>
      <c r="E4" s="49" t="s">
        <v>186</v>
      </c>
      <c r="F4" s="49" t="s">
        <v>170</v>
      </c>
      <c r="G4" s="49" t="s">
        <v>191</v>
      </c>
      <c r="H4" s="49" t="s">
        <v>209</v>
      </c>
      <c r="J4" t="s">
        <v>191</v>
      </c>
      <c r="K4" t="s">
        <v>207</v>
      </c>
    </row>
    <row r="5" spans="2:11" x14ac:dyDescent="0.35">
      <c r="B5" s="48"/>
      <c r="C5" s="48"/>
      <c r="D5" s="49" t="s">
        <v>177</v>
      </c>
      <c r="E5" s="49" t="s">
        <v>184</v>
      </c>
      <c r="F5" s="49" t="s">
        <v>206</v>
      </c>
      <c r="G5" s="49" t="s">
        <v>192</v>
      </c>
      <c r="H5" s="49" t="s">
        <v>210</v>
      </c>
    </row>
    <row r="6" spans="2:11" x14ac:dyDescent="0.35">
      <c r="B6" s="48"/>
      <c r="C6" s="48"/>
      <c r="D6" s="49" t="s">
        <v>178</v>
      </c>
      <c r="E6" s="49" t="s">
        <v>185</v>
      </c>
      <c r="F6" s="49" t="s">
        <v>207</v>
      </c>
      <c r="G6" s="49" t="s">
        <v>193</v>
      </c>
      <c r="H6" s="49" t="s">
        <v>223</v>
      </c>
    </row>
    <row r="7" spans="2:11" x14ac:dyDescent="0.35">
      <c r="B7" s="48"/>
      <c r="C7" s="48"/>
      <c r="D7" s="49" t="s">
        <v>179</v>
      </c>
      <c r="E7" s="49" t="s">
        <v>187</v>
      </c>
      <c r="F7" s="49" t="s">
        <v>208</v>
      </c>
      <c r="G7" s="49" t="s">
        <v>194</v>
      </c>
      <c r="H7" s="49" t="s">
        <v>211</v>
      </c>
    </row>
    <row r="8" spans="2:11" x14ac:dyDescent="0.35">
      <c r="B8" s="48"/>
      <c r="C8" s="48"/>
      <c r="D8" s="49" t="s">
        <v>180</v>
      </c>
      <c r="E8" s="49" t="s">
        <v>188</v>
      </c>
      <c r="F8" s="49"/>
      <c r="G8" s="49" t="s">
        <v>195</v>
      </c>
      <c r="H8" s="49" t="s">
        <v>212</v>
      </c>
    </row>
    <row r="9" spans="2:11" x14ac:dyDescent="0.35">
      <c r="B9" s="48"/>
      <c r="C9" s="48"/>
      <c r="D9" s="49" t="s">
        <v>181</v>
      </c>
      <c r="E9" s="49" t="s">
        <v>186</v>
      </c>
      <c r="F9" s="49"/>
      <c r="G9" s="49" t="s">
        <v>196</v>
      </c>
      <c r="H9" s="49" t="s">
        <v>213</v>
      </c>
    </row>
    <row r="10" spans="2:11" x14ac:dyDescent="0.35">
      <c r="B10" s="48"/>
      <c r="C10" s="48"/>
      <c r="D10" s="49" t="s">
        <v>182</v>
      </c>
      <c r="E10" s="49" t="s">
        <v>189</v>
      </c>
      <c r="F10" s="49"/>
      <c r="G10" s="49" t="s">
        <v>197</v>
      </c>
      <c r="H10" s="49" t="s">
        <v>214</v>
      </c>
    </row>
    <row r="11" spans="2:11" x14ac:dyDescent="0.35">
      <c r="B11" s="48"/>
      <c r="C11" s="48"/>
      <c r="D11" s="49" t="s">
        <v>183</v>
      </c>
      <c r="E11" s="49" t="s">
        <v>190</v>
      </c>
      <c r="F11" s="49"/>
      <c r="G11" s="49" t="s">
        <v>198</v>
      </c>
      <c r="H11" s="49" t="s">
        <v>215</v>
      </c>
    </row>
    <row r="12" spans="2:11" x14ac:dyDescent="0.35">
      <c r="B12" s="48"/>
      <c r="C12" s="48"/>
      <c r="D12" s="49"/>
      <c r="E12" s="49"/>
      <c r="F12" s="49"/>
      <c r="G12" s="49" t="s">
        <v>199</v>
      </c>
      <c r="H12" s="49" t="s">
        <v>216</v>
      </c>
    </row>
    <row r="13" spans="2:11" x14ac:dyDescent="0.35">
      <c r="B13" s="48"/>
      <c r="C13" s="48"/>
      <c r="D13" s="49"/>
      <c r="E13" s="49"/>
      <c r="F13" s="49"/>
      <c r="G13" s="49" t="s">
        <v>200</v>
      </c>
      <c r="H13" s="49" t="s">
        <v>217</v>
      </c>
    </row>
    <row r="14" spans="2:11" x14ac:dyDescent="0.35">
      <c r="B14" s="48"/>
      <c r="C14" s="48"/>
      <c r="D14" s="49"/>
      <c r="E14" s="49"/>
      <c r="F14" s="49"/>
      <c r="G14" s="49" t="s">
        <v>201</v>
      </c>
      <c r="H14" s="49" t="s">
        <v>218</v>
      </c>
    </row>
    <row r="15" spans="2:11" x14ac:dyDescent="0.35">
      <c r="B15" s="48"/>
      <c r="C15" s="48"/>
      <c r="D15" s="49"/>
      <c r="E15" s="49"/>
      <c r="F15" s="49"/>
      <c r="G15" s="49" t="s">
        <v>202</v>
      </c>
      <c r="H15" s="49" t="s">
        <v>219</v>
      </c>
    </row>
    <row r="16" spans="2:11" x14ac:dyDescent="0.35">
      <c r="B16" s="48"/>
      <c r="C16" s="48"/>
      <c r="D16" s="49"/>
      <c r="E16" s="49"/>
      <c r="F16" s="49"/>
      <c r="G16" s="49" t="s">
        <v>203</v>
      </c>
      <c r="H16" s="49" t="s">
        <v>220</v>
      </c>
    </row>
    <row r="17" spans="2:8" x14ac:dyDescent="0.35">
      <c r="B17" s="48"/>
      <c r="C17" s="48"/>
      <c r="D17" s="49"/>
      <c r="E17" s="49"/>
      <c r="F17" s="49"/>
      <c r="G17" s="49" t="s">
        <v>204</v>
      </c>
      <c r="H17" s="49" t="s">
        <v>221</v>
      </c>
    </row>
    <row r="18" spans="2:8" x14ac:dyDescent="0.35">
      <c r="B18" s="48"/>
      <c r="C18" s="48"/>
      <c r="D18" s="49"/>
      <c r="E18" s="49"/>
      <c r="F18" s="49"/>
      <c r="G18" s="49" t="s">
        <v>205</v>
      </c>
      <c r="H18" s="49" t="s">
        <v>222</v>
      </c>
    </row>
    <row r="24" spans="2:8" x14ac:dyDescent="0.35">
      <c r="C24" t="s">
        <v>168</v>
      </c>
    </row>
    <row r="25" spans="2:8" x14ac:dyDescent="0.35">
      <c r="C25" t="s">
        <v>224</v>
      </c>
    </row>
    <row r="26" spans="2:8" x14ac:dyDescent="0.35">
      <c r="C26" t="s">
        <v>225</v>
      </c>
    </row>
    <row r="27" spans="2:8" x14ac:dyDescent="0.35">
      <c r="C27" t="s">
        <v>226</v>
      </c>
    </row>
    <row r="28" spans="2:8" x14ac:dyDescent="0.35">
      <c r="C28" t="s">
        <v>227</v>
      </c>
    </row>
    <row r="29" spans="2:8" x14ac:dyDescent="0.35">
      <c r="C29" t="s">
        <v>228</v>
      </c>
    </row>
    <row r="30" spans="2:8" x14ac:dyDescent="0.35">
      <c r="C30" t="s">
        <v>168</v>
      </c>
    </row>
  </sheetData>
  <dataValidations count="2">
    <dataValidation type="list" allowBlank="1" showInputMessage="1" showErrorMessage="1" sqref="J4">
      <formula1>$D$4:$H$4</formula1>
    </dataValidation>
    <dataValidation type="list" allowBlank="1" showInputMessage="1" showErrorMessage="1" sqref="K4">
      <formula1>OFFSET($D$4,1,MATCH($J4,$D$4:$H$4,0)-1,15,1)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Research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2025-09-19T07:49:45Z</cp:lastPrinted>
  <dcterms:created xsi:type="dcterms:W3CDTF">2019-07-16T09:29:46Z</dcterms:created>
  <dcterms:modified xsi:type="dcterms:W3CDTF">2025-09-19T07:50:22Z</dcterms:modified>
</cp:coreProperties>
</file>